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5" yWindow="90" windowWidth="14055" windowHeight="12360" tabRatio="942" firstSheet="81"/>
  </bookViews>
  <sheets>
    <sheet name="Bill Impact Summary_HONI" sheetId="7" r:id="rId1"/>
    <sheet name="Bill Impact Summary_Acq" sheetId="179" r:id="rId2"/>
    <sheet name="Data for Bill Impacts" sheetId="3" state="hidden" r:id="rId3"/>
    <sheet name="Data for Bill Impacts_HONI Avg " sheetId="167" state="hidden" r:id="rId4"/>
    <sheet name="BI_UR_Low" sheetId="4" r:id="rId5"/>
    <sheet name="BI_UR_Typical" sheetId="46" r:id="rId6"/>
    <sheet name="BI_UR_Avg" sheetId="180" r:id="rId7"/>
    <sheet name="BI_UR_High" sheetId="47" r:id="rId8"/>
    <sheet name="BI_R1_Low" sheetId="48" r:id="rId9"/>
    <sheet name="BI_R1_Typical" sheetId="49" r:id="rId10"/>
    <sheet name="BI_R1_High" sheetId="50" r:id="rId11"/>
    <sheet name="BI_R1_Avg" sheetId="182" r:id="rId12"/>
    <sheet name="BI_R2_Low" sheetId="51" r:id="rId13"/>
    <sheet name="BI_R2_Typical" sheetId="52" r:id="rId14"/>
    <sheet name="BI_R2_Avg" sheetId="181" r:id="rId15"/>
    <sheet name="BI_R2_High" sheetId="53" r:id="rId16"/>
    <sheet name="BI_Seas_Low" sheetId="54" r:id="rId17"/>
    <sheet name="BI_Seas_Avg" sheetId="168" r:id="rId18"/>
    <sheet name="BI_Seas_High" sheetId="56" r:id="rId19"/>
    <sheet name="BI_UGe_Low" sheetId="60" r:id="rId20"/>
    <sheet name="BI_UGe_Typical" sheetId="61" r:id="rId21"/>
    <sheet name="BI_UGe_Avg" sheetId="183" r:id="rId22"/>
    <sheet name="BI_UGe_High" sheetId="62" r:id="rId23"/>
    <sheet name="BI_GSe_Low" sheetId="57" r:id="rId24"/>
    <sheet name="BI_GSe_Typical" sheetId="58" r:id="rId25"/>
    <sheet name="BI_GSe_Avg" sheetId="184" r:id="rId26"/>
    <sheet name="BI_GSe_High" sheetId="59" r:id="rId27"/>
    <sheet name="BI_UGd_Low" sheetId="73" r:id="rId28"/>
    <sheet name="BI_UGd_Avg" sheetId="170" r:id="rId29"/>
    <sheet name="BI_UGd_High" sheetId="75" r:id="rId30"/>
    <sheet name="BI_GSd_Low" sheetId="5" r:id="rId31"/>
    <sheet name="BI_GSd_Avg" sheetId="171" r:id="rId32"/>
    <sheet name="BI_GSd_High" sheetId="72" r:id="rId33"/>
    <sheet name="BI_DGen_Low" sheetId="76" r:id="rId34"/>
    <sheet name="BI_DGen_Avg" sheetId="172" r:id="rId35"/>
    <sheet name="BI_DGen_High" sheetId="78" r:id="rId36"/>
    <sheet name="BI_ST_Low" sheetId="79" r:id="rId37"/>
    <sheet name="BI_ST_Avg" sheetId="173" r:id="rId38"/>
    <sheet name="BI_ST_High" sheetId="81" r:id="rId39"/>
    <sheet name="BI_USL_Low" sheetId="68" r:id="rId40"/>
    <sheet name="BI_USL_Avg" sheetId="175" r:id="rId41"/>
    <sheet name="BI_USL_High" sheetId="70" r:id="rId42"/>
    <sheet name="BI_SenLgt_Low" sheetId="65" r:id="rId43"/>
    <sheet name="BI_SenLgt_Avg" sheetId="174" r:id="rId44"/>
    <sheet name="BI_SenLgt_High" sheetId="67" r:id="rId45"/>
    <sheet name="BI_StLgt_Low" sheetId="25" r:id="rId46"/>
    <sheet name="BI_StLgt_Avg" sheetId="169" r:id="rId47"/>
    <sheet name="BI_StLgt_High" sheetId="64" r:id="rId48"/>
    <sheet name="BI_AUR_Low" sheetId="112" r:id="rId49"/>
    <sheet name="BI_AUR_Avg" sheetId="113" r:id="rId50"/>
    <sheet name="BI_AUR_Typical" sheetId="185" r:id="rId51"/>
    <sheet name="BI_AUR_High" sheetId="115" r:id="rId52"/>
    <sheet name="BI_AUGE_Low" sheetId="116" r:id="rId53"/>
    <sheet name="BI_AUGE_Avg" sheetId="117" r:id="rId54"/>
    <sheet name="BI_AUGE_Typical" sheetId="186" r:id="rId55"/>
    <sheet name="BI_AUGE_High" sheetId="118" r:id="rId56"/>
    <sheet name="BI_AUGd_Low" sheetId="119" r:id="rId57"/>
    <sheet name="BI_AUGd_Avg" sheetId="120" r:id="rId58"/>
    <sheet name="BI_AUGd_High" sheetId="121" r:id="rId59"/>
    <sheet name="WHSI_BI_ST_Low" sheetId="146" r:id="rId60"/>
    <sheet name="WHSI_BI_ST_Avg" sheetId="199" r:id="rId61"/>
    <sheet name="WHSI_BI_ST_High" sheetId="148" r:id="rId62"/>
    <sheet name="NPDI_BI_AR_Low" sheetId="122" r:id="rId63"/>
    <sheet name="NPDI_BI_AR_Avg" sheetId="123" r:id="rId64"/>
    <sheet name="NPDI_BI_AR_Typical" sheetId="187" r:id="rId65"/>
    <sheet name="NPDI_BI_AR_High" sheetId="124" r:id="rId66"/>
    <sheet name="HCHI_BI_AR_Low" sheetId="125" r:id="rId67"/>
    <sheet name="HCHI_BI_AR_Avg" sheetId="126" r:id="rId68"/>
    <sheet name="HCHI_BI_AR_Typical" sheetId="188" r:id="rId69"/>
    <sheet name="HCHI_BI_AR_High" sheetId="127" r:id="rId70"/>
    <sheet name="NPDI_BI_AGSE_Low" sheetId="128" r:id="rId71"/>
    <sheet name="NPDI_BI_AGSE_Avg" sheetId="129" r:id="rId72"/>
    <sheet name="NPDI_BI_AGSE_Typical" sheetId="189" r:id="rId73"/>
    <sheet name="NPDI_BI_AGSE_High" sheetId="130" r:id="rId74"/>
    <sheet name="HCHI_BI_AGSE_Low" sheetId="131" r:id="rId75"/>
    <sheet name="HCHI_BI_AGSE_Avg" sheetId="132" r:id="rId76"/>
    <sheet name="HCHI_BI_AGSE_Typical" sheetId="190" r:id="rId77"/>
    <sheet name="HCHI_BI_AGSE_High" sheetId="133" r:id="rId78"/>
    <sheet name="NPDI_BI_AGSD_Low" sheetId="134" r:id="rId79"/>
    <sheet name="NPDI_BI_AGSd_Avg" sheetId="135" r:id="rId80"/>
    <sheet name="NPDI_BI_AGSd_High" sheetId="136" r:id="rId81"/>
    <sheet name="HCHI_BI_AGSd_Low" sheetId="137" r:id="rId82"/>
    <sheet name="HCHI_BI_AGSd_Avg" sheetId="138" r:id="rId83"/>
    <sheet name="HCHI_BI_AGSd_High" sheetId="139" r:id="rId84"/>
    <sheet name="WHSI_BI_USL_Avg" sheetId="141" r:id="rId85"/>
    <sheet name="NPDI_BI_USL_Avg" sheetId="151" r:id="rId86"/>
    <sheet name="HCHI_BI_USL_Avg" sheetId="154" r:id="rId87"/>
    <sheet name="WHSI_BI_St Lgt_Avg" sheetId="144" r:id="rId88"/>
    <sheet name="NPDI_BI_St Lgt_Avg" sheetId="160" r:id="rId89"/>
    <sheet name="HCHI_BI_St Lgt_Avg" sheetId="157" r:id="rId90"/>
    <sheet name="NPDI_BI_SenLgt_Avg" sheetId="197" r:id="rId91"/>
    <sheet name="HCHI_BI_SenLgt_Avg" sheetId="198" r:id="rId92"/>
  </sheets>
  <definedNames>
    <definedName name="_xlnm.Print_Area" localSheetId="0">'Bill Impact Summary_HONI'!$A$1:$I$45</definedName>
  </definedNames>
  <calcPr calcId="145621"/>
</workbook>
</file>

<file path=xl/calcChain.xml><?xml version="1.0" encoding="utf-8"?>
<calcChain xmlns="http://schemas.openxmlformats.org/spreadsheetml/2006/main">
  <c r="C18" i="64" l="1"/>
  <c r="C18" i="169"/>
  <c r="C27" i="3"/>
  <c r="C39" i="3"/>
  <c r="C38" i="3"/>
  <c r="I18" i="73" l="1"/>
  <c r="I17" i="73"/>
  <c r="I18" i="170"/>
  <c r="I17" i="170"/>
  <c r="I18" i="75"/>
  <c r="I17" i="75"/>
  <c r="I18" i="5"/>
  <c r="I17" i="5"/>
  <c r="I18" i="171"/>
  <c r="I17" i="171"/>
  <c r="I18" i="72"/>
  <c r="I17" i="72"/>
  <c r="I18" i="76"/>
  <c r="I17" i="76"/>
  <c r="I18" i="172"/>
  <c r="I17" i="172"/>
  <c r="I18" i="78"/>
  <c r="I17" i="78"/>
  <c r="I18" i="79"/>
  <c r="I17" i="79"/>
  <c r="I18" i="173"/>
  <c r="I17" i="173"/>
  <c r="I18" i="81"/>
  <c r="I17" i="81"/>
  <c r="I17" i="68"/>
  <c r="I16" i="68"/>
  <c r="I17" i="175"/>
  <c r="I16" i="175"/>
  <c r="I17" i="70"/>
  <c r="I16" i="70"/>
  <c r="I17" i="65"/>
  <c r="I16" i="65"/>
  <c r="I17" i="174"/>
  <c r="I16" i="174"/>
  <c r="I17" i="67"/>
  <c r="I16" i="67"/>
  <c r="I17" i="25"/>
  <c r="I16" i="25"/>
  <c r="I17" i="169"/>
  <c r="I16" i="169"/>
  <c r="I17" i="64"/>
  <c r="I16" i="64"/>
  <c r="B5" i="148" l="1"/>
  <c r="D18" i="179" s="1"/>
  <c r="B4" i="148"/>
  <c r="C18" i="179" s="1"/>
  <c r="B5" i="146" l="1"/>
  <c r="D16" i="179" s="1"/>
  <c r="B4" i="146"/>
  <c r="C16" i="179" s="1"/>
  <c r="I39" i="180" l="1"/>
  <c r="I41" i="47"/>
  <c r="I39" i="47"/>
  <c r="I41" i="48"/>
  <c r="I39" i="48"/>
  <c r="I41" i="49"/>
  <c r="I39" i="49"/>
  <c r="I41" i="50"/>
  <c r="I39" i="50"/>
  <c r="I39" i="182"/>
  <c r="I41" i="51"/>
  <c r="I39" i="51"/>
  <c r="I41" i="52"/>
  <c r="I39" i="52"/>
  <c r="I39" i="181"/>
  <c r="I41" i="53"/>
  <c r="I39" i="53"/>
  <c r="I41" i="54"/>
  <c r="I39" i="54"/>
  <c r="I39" i="168"/>
  <c r="I41" i="56"/>
  <c r="I39" i="56"/>
  <c r="I41" i="60"/>
  <c r="I39" i="60"/>
  <c r="I41" i="61"/>
  <c r="I39" i="61"/>
  <c r="I39" i="183"/>
  <c r="I41" i="62"/>
  <c r="I39" i="62"/>
  <c r="I41" i="57"/>
  <c r="I39" i="57"/>
  <c r="I41" i="58"/>
  <c r="I39" i="58"/>
  <c r="I39" i="184"/>
  <c r="I41" i="59"/>
  <c r="I39" i="59"/>
  <c r="I33" i="73"/>
  <c r="I31" i="73"/>
  <c r="I31" i="170"/>
  <c r="I33" i="75"/>
  <c r="I31" i="75"/>
  <c r="I33" i="5"/>
  <c r="I31" i="5"/>
  <c r="I31" i="171"/>
  <c r="I33" i="72"/>
  <c r="I31" i="72"/>
  <c r="I33" i="76"/>
  <c r="I31" i="76"/>
  <c r="I31" i="172"/>
  <c r="I33" i="78"/>
  <c r="I31" i="78"/>
  <c r="I33" i="79"/>
  <c r="I31" i="79"/>
  <c r="I31" i="173"/>
  <c r="I33" i="81"/>
  <c r="I31" i="81"/>
  <c r="I34" i="68"/>
  <c r="I32" i="68"/>
  <c r="I32" i="175"/>
  <c r="I34" i="70"/>
  <c r="I32" i="70"/>
  <c r="I34" i="65"/>
  <c r="I32" i="65"/>
  <c r="I32" i="174"/>
  <c r="I34" i="67"/>
  <c r="I32" i="67"/>
  <c r="I34" i="25"/>
  <c r="I32" i="25"/>
  <c r="I32" i="169"/>
  <c r="I34" i="64"/>
  <c r="I32" i="64"/>
  <c r="I39" i="112"/>
  <c r="I37" i="112"/>
  <c r="I37" i="113"/>
  <c r="I39" i="185"/>
  <c r="I37" i="185"/>
  <c r="I39" i="115"/>
  <c r="I37" i="115"/>
  <c r="I40" i="116"/>
  <c r="I38" i="116"/>
  <c r="I38" i="117"/>
  <c r="I40" i="186"/>
  <c r="I38" i="186"/>
  <c r="I40" i="118"/>
  <c r="I38" i="118"/>
  <c r="I30" i="119"/>
  <c r="I28" i="119"/>
  <c r="I28" i="120"/>
  <c r="I30" i="121"/>
  <c r="I28" i="121"/>
  <c r="I31" i="146"/>
  <c r="I31" i="199"/>
  <c r="I31" i="148"/>
  <c r="I40" i="122"/>
  <c r="I38" i="122"/>
  <c r="I38" i="123"/>
  <c r="I40" i="187"/>
  <c r="I38" i="187"/>
  <c r="I40" i="124"/>
  <c r="I38" i="124"/>
  <c r="I40" i="125"/>
  <c r="I38" i="125"/>
  <c r="I38" i="126"/>
  <c r="I40" i="188"/>
  <c r="I38" i="188"/>
  <c r="I40" i="127"/>
  <c r="I38" i="127"/>
  <c r="I40" i="128"/>
  <c r="I38" i="128"/>
  <c r="I38" i="129"/>
  <c r="I40" i="189"/>
  <c r="I38" i="189"/>
  <c r="I40" i="130"/>
  <c r="I38" i="130"/>
  <c r="I40" i="131"/>
  <c r="I38" i="131"/>
  <c r="I38" i="132"/>
  <c r="I40" i="190"/>
  <c r="I38" i="190"/>
  <c r="I40" i="133"/>
  <c r="I38" i="133"/>
  <c r="I31" i="134"/>
  <c r="I29" i="134"/>
  <c r="I29" i="135"/>
  <c r="I31" i="136"/>
  <c r="I29" i="136"/>
  <c r="I31" i="137"/>
  <c r="I29" i="137"/>
  <c r="I29" i="138"/>
  <c r="I31" i="139"/>
  <c r="I29" i="139"/>
  <c r="I39" i="141"/>
  <c r="I31" i="141"/>
  <c r="I32" i="151"/>
  <c r="I32" i="154"/>
  <c r="I39" i="144"/>
  <c r="I31" i="144"/>
  <c r="I32" i="160"/>
  <c r="I32" i="157"/>
  <c r="I32" i="197"/>
  <c r="I32" i="198"/>
  <c r="I41" i="46"/>
  <c r="I39" i="46"/>
  <c r="I41" i="4" l="1"/>
  <c r="I39" i="4"/>
  <c r="E17" i="157" l="1"/>
  <c r="E16" i="157"/>
  <c r="B15" i="157"/>
  <c r="B17" i="157" s="1"/>
  <c r="E17" i="160"/>
  <c r="E16" i="160"/>
  <c r="B15" i="160"/>
  <c r="B17" i="160" s="1"/>
  <c r="E17" i="144"/>
  <c r="E16" i="144"/>
  <c r="B16" i="144"/>
  <c r="B15" i="144"/>
  <c r="B17" i="144" s="1"/>
  <c r="B16" i="160" l="1"/>
  <c r="B16" i="157"/>
  <c r="C34" i="167" l="1"/>
  <c r="E34" i="167" s="1"/>
  <c r="B53" i="167" l="1"/>
  <c r="C5" i="197" s="1"/>
  <c r="B4" i="197"/>
  <c r="B4" i="141" l="1"/>
  <c r="B49" i="167"/>
  <c r="B4" i="151"/>
  <c r="D54" i="167"/>
  <c r="B54" i="167" s="1"/>
  <c r="B4" i="198"/>
  <c r="B4" i="154" l="1"/>
  <c r="C5" i="198"/>
  <c r="C28" i="179" l="1"/>
  <c r="C24" i="179"/>
  <c r="C20" i="179"/>
  <c r="C7" i="179"/>
  <c r="C11" i="179"/>
  <c r="C3" i="179" l="1"/>
  <c r="B4" i="113" l="1"/>
  <c r="C4" i="139"/>
  <c r="C5" i="139"/>
  <c r="B6" i="139"/>
  <c r="B9" i="139" s="1"/>
  <c r="E27" i="139" s="1"/>
  <c r="C6" i="139"/>
  <c r="C9" i="139" s="1"/>
  <c r="B7" i="139"/>
  <c r="C7" i="139"/>
  <c r="B8" i="139"/>
  <c r="C10" i="139"/>
  <c r="B19" i="139" s="1"/>
  <c r="F13" i="139"/>
  <c r="D14" i="139"/>
  <c r="E14" i="139"/>
  <c r="F14" i="139"/>
  <c r="E16" i="139"/>
  <c r="G17" i="139"/>
  <c r="E18" i="139"/>
  <c r="E19" i="139"/>
  <c r="G19" i="139"/>
  <c r="E20" i="139"/>
  <c r="G20" i="139"/>
  <c r="B22" i="139"/>
  <c r="E22" i="139"/>
  <c r="B23" i="139"/>
  <c r="E23" i="139"/>
  <c r="D29" i="139"/>
  <c r="E29" i="139"/>
  <c r="G29" i="139" s="1"/>
  <c r="F29" i="139"/>
  <c r="B31" i="139"/>
  <c r="D31" i="139"/>
  <c r="E31" i="139"/>
  <c r="F31" i="139"/>
  <c r="G31" i="139"/>
  <c r="H31" i="139"/>
  <c r="F33" i="139"/>
  <c r="F35" i="139"/>
  <c r="E30" i="121"/>
  <c r="E30" i="119"/>
  <c r="E22" i="121"/>
  <c r="E22" i="119"/>
  <c r="E21" i="121"/>
  <c r="E21" i="119"/>
  <c r="E19" i="121"/>
  <c r="E19" i="119"/>
  <c r="B22" i="121"/>
  <c r="B22" i="119"/>
  <c r="B21" i="121"/>
  <c r="B21" i="119"/>
  <c r="B19" i="121"/>
  <c r="B19" i="119"/>
  <c r="B18" i="121"/>
  <c r="B18" i="119"/>
  <c r="E18" i="121"/>
  <c r="E18" i="119"/>
  <c r="C8" i="120"/>
  <c r="C8" i="121"/>
  <c r="C8" i="119"/>
  <c r="C6" i="120"/>
  <c r="C6" i="121"/>
  <c r="C9" i="121" s="1"/>
  <c r="B13" i="121" s="1"/>
  <c r="C6" i="119"/>
  <c r="C9" i="119" s="1"/>
  <c r="B26" i="119" s="1"/>
  <c r="C7" i="121"/>
  <c r="C7" i="119"/>
  <c r="C6" i="116"/>
  <c r="C8" i="116" s="1"/>
  <c r="C6" i="117"/>
  <c r="C6" i="186"/>
  <c r="C8" i="186" s="1"/>
  <c r="C6" i="118"/>
  <c r="C8" i="118" s="1"/>
  <c r="E39" i="112"/>
  <c r="E39" i="185"/>
  <c r="E39" i="115"/>
  <c r="E40" i="186"/>
  <c r="E40" i="118"/>
  <c r="E40" i="116"/>
  <c r="E17" i="112"/>
  <c r="E17" i="185"/>
  <c r="E17" i="115"/>
  <c r="E17" i="186"/>
  <c r="E17" i="118"/>
  <c r="E17" i="116"/>
  <c r="E16" i="112"/>
  <c r="E16" i="185"/>
  <c r="E16" i="115"/>
  <c r="E16" i="186"/>
  <c r="E16" i="118"/>
  <c r="E16" i="116"/>
  <c r="E15" i="112"/>
  <c r="E15" i="185"/>
  <c r="E15" i="115"/>
  <c r="E15" i="186"/>
  <c r="E15" i="118"/>
  <c r="E15" i="116"/>
  <c r="D17" i="112"/>
  <c r="D16" i="185"/>
  <c r="D17" i="115"/>
  <c r="D16" i="186"/>
  <c r="D17" i="186"/>
  <c r="D16" i="118"/>
  <c r="D17" i="118"/>
  <c r="D16" i="116"/>
  <c r="D17" i="116"/>
  <c r="D15" i="112"/>
  <c r="D15" i="185"/>
  <c r="D15" i="115"/>
  <c r="D15" i="186"/>
  <c r="D15" i="118"/>
  <c r="D15" i="116"/>
  <c r="B39" i="112"/>
  <c r="B17" i="112"/>
  <c r="B16" i="112"/>
  <c r="D16" i="112" s="1"/>
  <c r="B15" i="112"/>
  <c r="B39" i="113"/>
  <c r="B39" i="185"/>
  <c r="B17" i="185"/>
  <c r="D17" i="185" s="1"/>
  <c r="B16" i="185"/>
  <c r="B15" i="185"/>
  <c r="B40" i="116"/>
  <c r="B17" i="116"/>
  <c r="B16" i="116"/>
  <c r="B15" i="116"/>
  <c r="B40" i="186"/>
  <c r="B17" i="186"/>
  <c r="B16" i="186"/>
  <c r="B15" i="186"/>
  <c r="B40" i="118"/>
  <c r="B17" i="118"/>
  <c r="B16" i="118"/>
  <c r="B15" i="118"/>
  <c r="B30" i="119"/>
  <c r="B30" i="121"/>
  <c r="B39" i="115"/>
  <c r="B17" i="115"/>
  <c r="B16" i="115"/>
  <c r="D16" i="115" s="1"/>
  <c r="B15" i="115"/>
  <c r="C9" i="113"/>
  <c r="C7" i="113"/>
  <c r="C5" i="113"/>
  <c r="C4" i="113"/>
  <c r="B17" i="113" s="1"/>
  <c r="D17" i="113" s="1"/>
  <c r="C9" i="185"/>
  <c r="B22" i="185" s="1"/>
  <c r="C7" i="185"/>
  <c r="B12" i="185" s="1"/>
  <c r="D12" i="185" s="1"/>
  <c r="C5" i="185"/>
  <c r="C9" i="115"/>
  <c r="B21" i="115" s="1"/>
  <c r="C7" i="115"/>
  <c r="B12" i="115" s="1"/>
  <c r="D12" i="115" s="1"/>
  <c r="C5" i="115"/>
  <c r="C9" i="116"/>
  <c r="B21" i="116" s="1"/>
  <c r="C7" i="116"/>
  <c r="B13" i="116" s="1"/>
  <c r="D13" i="116" s="1"/>
  <c r="C5" i="116"/>
  <c r="C9" i="117"/>
  <c r="C7" i="117"/>
  <c r="C5" i="117"/>
  <c r="C9" i="186"/>
  <c r="B22" i="186" s="1"/>
  <c r="C7" i="186"/>
  <c r="B12" i="186" s="1"/>
  <c r="D12" i="186" s="1"/>
  <c r="C9" i="118"/>
  <c r="B22" i="118" s="1"/>
  <c r="C7" i="118"/>
  <c r="B13" i="118" s="1"/>
  <c r="D13" i="118" s="1"/>
  <c r="C5" i="118"/>
  <c r="C9" i="112"/>
  <c r="B21" i="112" s="1"/>
  <c r="C7" i="112"/>
  <c r="B13" i="112" s="1"/>
  <c r="C5" i="112"/>
  <c r="G14" i="139" l="1"/>
  <c r="B22" i="113"/>
  <c r="B12" i="116"/>
  <c r="D12" i="116" s="1"/>
  <c r="B18" i="139"/>
  <c r="B12" i="112"/>
  <c r="D12" i="112" s="1"/>
  <c r="B22" i="115"/>
  <c r="B25" i="119"/>
  <c r="B25" i="121"/>
  <c r="B21" i="113"/>
  <c r="B21" i="118"/>
  <c r="B12" i="113"/>
  <c r="D12" i="113" s="1"/>
  <c r="B31" i="118"/>
  <c r="B35" i="118"/>
  <c r="B26" i="121"/>
  <c r="E28" i="139"/>
  <c r="B27" i="119"/>
  <c r="B21" i="186"/>
  <c r="B13" i="119"/>
  <c r="B22" i="116"/>
  <c r="B12" i="118"/>
  <c r="D12" i="118" s="1"/>
  <c r="B27" i="121"/>
  <c r="B13" i="186"/>
  <c r="D13" i="186" s="1"/>
  <c r="B13" i="115"/>
  <c r="D13" i="115" s="1"/>
  <c r="B21" i="185"/>
  <c r="B13" i="185"/>
  <c r="D13" i="185" s="1"/>
  <c r="B13" i="113"/>
  <c r="B15" i="113"/>
  <c r="D15" i="113" s="1"/>
  <c r="B16" i="113"/>
  <c r="D16" i="113" s="1"/>
  <c r="B22" i="112"/>
  <c r="H14" i="139"/>
  <c r="I14" i="139" s="1"/>
  <c r="B13" i="139"/>
  <c r="D13" i="139" s="1"/>
  <c r="D15" i="139" s="1"/>
  <c r="B27" i="139"/>
  <c r="D27" i="139" s="1"/>
  <c r="B26" i="139"/>
  <c r="D26" i="139" s="1"/>
  <c r="B28" i="139"/>
  <c r="G27" i="139"/>
  <c r="E26" i="139"/>
  <c r="G26" i="139" s="1"/>
  <c r="E13" i="139"/>
  <c r="G13" i="139" s="1"/>
  <c r="H29" i="139"/>
  <c r="B20" i="139"/>
  <c r="B35" i="186"/>
  <c r="B36" i="186"/>
  <c r="B27" i="116"/>
  <c r="B26" i="116"/>
  <c r="B36" i="118"/>
  <c r="B37" i="186"/>
  <c r="B30" i="116"/>
  <c r="B37" i="118"/>
  <c r="B31" i="116"/>
  <c r="B26" i="186"/>
  <c r="B35" i="116"/>
  <c r="B26" i="118"/>
  <c r="B27" i="186"/>
  <c r="B36" i="116"/>
  <c r="B27" i="118"/>
  <c r="B30" i="186"/>
  <c r="B37" i="116"/>
  <c r="B30" i="118"/>
  <c r="B31" i="186"/>
  <c r="H13" i="139" l="1"/>
  <c r="I13" i="139" s="1"/>
  <c r="G15" i="139"/>
  <c r="H26" i="139"/>
  <c r="I26" i="139" s="1"/>
  <c r="H27" i="139"/>
  <c r="I27" i="139" s="1"/>
  <c r="D28" i="139"/>
  <c r="D30" i="139" s="1"/>
  <c r="G28" i="139"/>
  <c r="H15" i="139" l="1"/>
  <c r="I15" i="139" s="1"/>
  <c r="H28" i="139"/>
  <c r="I28" i="139" s="1"/>
  <c r="G30" i="139"/>
  <c r="H30" i="139" l="1"/>
  <c r="I30" i="139" s="1"/>
  <c r="E20" i="198" l="1"/>
  <c r="E19" i="198"/>
  <c r="G19" i="198" s="1"/>
  <c r="B20" i="198"/>
  <c r="B19" i="198"/>
  <c r="E20" i="197"/>
  <c r="E19" i="197"/>
  <c r="G19" i="197" s="1"/>
  <c r="B20" i="197"/>
  <c r="B19" i="197"/>
  <c r="G16" i="154"/>
  <c r="E19" i="154"/>
  <c r="G19" i="154" s="1"/>
  <c r="G16" i="151"/>
  <c r="D17" i="141"/>
  <c r="E19" i="137" l="1"/>
  <c r="E19" i="136"/>
  <c r="E19" i="134"/>
  <c r="E22" i="190"/>
  <c r="E22" i="133"/>
  <c r="E22" i="131"/>
  <c r="B22" i="190"/>
  <c r="B22" i="133"/>
  <c r="B22" i="131"/>
  <c r="E22" i="189"/>
  <c r="E22" i="130"/>
  <c r="E22" i="128"/>
  <c r="B22" i="189"/>
  <c r="B22" i="130"/>
  <c r="B22" i="128"/>
  <c r="C23" i="126"/>
  <c r="C23" i="188"/>
  <c r="C23" i="127"/>
  <c r="C23" i="125"/>
  <c r="C20" i="126"/>
  <c r="C20" i="188"/>
  <c r="C20" i="127"/>
  <c r="C20" i="125"/>
  <c r="C23" i="123"/>
  <c r="C23" i="187"/>
  <c r="C23" i="124"/>
  <c r="C23" i="122"/>
  <c r="C20" i="123"/>
  <c r="C20" i="187"/>
  <c r="C20" i="124"/>
  <c r="C20" i="122"/>
  <c r="C20" i="146"/>
  <c r="C19" i="141"/>
  <c r="C22" i="118"/>
  <c r="C20" i="113"/>
  <c r="C20" i="185"/>
  <c r="C20" i="115"/>
  <c r="C20" i="112"/>
  <c r="C20" i="116"/>
  <c r="C19" i="119" l="1"/>
  <c r="C20" i="118"/>
  <c r="C19" i="144"/>
  <c r="C20" i="186"/>
  <c r="C19" i="121"/>
  <c r="C20" i="148"/>
  <c r="C20" i="117"/>
  <c r="C19" i="120"/>
  <c r="C22" i="186"/>
  <c r="C20" i="199"/>
  <c r="C22" i="117"/>
  <c r="C22" i="116"/>
  <c r="C19" i="139"/>
  <c r="D19" i="139" s="1"/>
  <c r="H19" i="139" s="1"/>
  <c r="I19" i="139" s="1"/>
  <c r="C17" i="139"/>
  <c r="D17" i="139" s="1"/>
  <c r="H17" i="139" s="1"/>
  <c r="I17" i="139" s="1"/>
  <c r="C20" i="139"/>
  <c r="D20" i="139" s="1"/>
  <c r="H20" i="139" s="1"/>
  <c r="I20" i="139" s="1"/>
  <c r="C19" i="157" l="1"/>
  <c r="C16" i="198"/>
  <c r="C20" i="197"/>
  <c r="C19" i="160"/>
  <c r="C20" i="157"/>
  <c r="C16" i="144"/>
  <c r="C20" i="151"/>
  <c r="C19" i="197"/>
  <c r="D19" i="197" s="1"/>
  <c r="H19" i="197" s="1"/>
  <c r="I19" i="197" s="1"/>
  <c r="C20" i="198"/>
  <c r="C19" i="198"/>
  <c r="D19" i="198" s="1"/>
  <c r="H19" i="198" s="1"/>
  <c r="I19" i="198" s="1"/>
  <c r="C19" i="154"/>
  <c r="C16" i="197"/>
  <c r="C16" i="157"/>
  <c r="C16" i="151"/>
  <c r="D16" i="151" s="1"/>
  <c r="H16" i="151" s="1"/>
  <c r="I16" i="151" s="1"/>
  <c r="C19" i="151"/>
  <c r="C20" i="154"/>
  <c r="C20" i="160"/>
  <c r="C16" i="154"/>
  <c r="D16" i="154" s="1"/>
  <c r="H16" i="154" s="1"/>
  <c r="I16" i="154" s="1"/>
  <c r="C16" i="160"/>
  <c r="C17" i="120"/>
  <c r="C17" i="121"/>
  <c r="C17" i="119"/>
  <c r="C17" i="135"/>
  <c r="C17" i="136"/>
  <c r="C17" i="134"/>
  <c r="C20" i="128"/>
  <c r="C20" i="129"/>
  <c r="C20" i="189"/>
  <c r="C20" i="130"/>
  <c r="C20" i="137"/>
  <c r="C20" i="138"/>
  <c r="C22" i="123"/>
  <c r="C22" i="187"/>
  <c r="C22" i="124"/>
  <c r="C22" i="122"/>
  <c r="C17" i="138"/>
  <c r="C17" i="137"/>
  <c r="C20" i="132"/>
  <c r="C20" i="190"/>
  <c r="C20" i="133"/>
  <c r="C20" i="131"/>
  <c r="C16" i="141"/>
  <c r="C23" i="129"/>
  <c r="C23" i="189"/>
  <c r="C23" i="130"/>
  <c r="C23" i="128"/>
  <c r="C22" i="132"/>
  <c r="C22" i="190"/>
  <c r="C22" i="133"/>
  <c r="C22" i="131"/>
  <c r="C22" i="126"/>
  <c r="C22" i="188"/>
  <c r="C22" i="127"/>
  <c r="C22" i="125"/>
  <c r="C23" i="132"/>
  <c r="C23" i="190"/>
  <c r="C23" i="133"/>
  <c r="C23" i="131"/>
  <c r="C17" i="199"/>
  <c r="C17" i="148"/>
  <c r="C17" i="146"/>
  <c r="C20" i="135"/>
  <c r="C20" i="136"/>
  <c r="C20" i="134"/>
  <c r="C19" i="134"/>
  <c r="C19" i="135"/>
  <c r="C19" i="136"/>
  <c r="C22" i="129"/>
  <c r="C22" i="189"/>
  <c r="C22" i="130"/>
  <c r="C22" i="128"/>
  <c r="C19" i="138"/>
  <c r="C19" i="137"/>
  <c r="C22" i="7" l="1"/>
  <c r="C32" i="3" l="1"/>
  <c r="C33" i="3"/>
  <c r="C5" i="157"/>
  <c r="C5" i="160"/>
  <c r="B20" i="160" s="1"/>
  <c r="D20" i="160" s="1"/>
  <c r="C4" i="160"/>
  <c r="B4" i="160" s="1"/>
  <c r="C5" i="144"/>
  <c r="C20" i="144"/>
  <c r="C21" i="160"/>
  <c r="C21" i="157"/>
  <c r="C21" i="197"/>
  <c r="C21" i="198"/>
  <c r="C17" i="144"/>
  <c r="C17" i="160"/>
  <c r="C17" i="157"/>
  <c r="C17" i="197"/>
  <c r="C17" i="198"/>
  <c r="B9" i="144"/>
  <c r="C7" i="144"/>
  <c r="B7" i="144"/>
  <c r="B6" i="144"/>
  <c r="B9" i="160"/>
  <c r="C7" i="160"/>
  <c r="B7" i="160"/>
  <c r="B6" i="160"/>
  <c r="B9" i="157"/>
  <c r="C7" i="157"/>
  <c r="B7" i="157"/>
  <c r="B6" i="157"/>
  <c r="B9" i="197"/>
  <c r="C7" i="197"/>
  <c r="B7" i="197"/>
  <c r="B9" i="198"/>
  <c r="C7" i="198"/>
  <c r="B7" i="198"/>
  <c r="B12" i="160" l="1"/>
  <c r="E20" i="160"/>
  <c r="G20" i="160" s="1"/>
  <c r="H20" i="160" s="1"/>
  <c r="I20" i="160" s="1"/>
  <c r="D14" i="179"/>
  <c r="B19" i="144"/>
  <c r="D31" i="179"/>
  <c r="D46" i="179"/>
  <c r="B19" i="157"/>
  <c r="D19" i="157" s="1"/>
  <c r="C4" i="144"/>
  <c r="B4" i="144" s="1"/>
  <c r="C4" i="157"/>
  <c r="B4" i="157" s="1"/>
  <c r="C46" i="179" s="1"/>
  <c r="B12" i="144" l="1"/>
  <c r="E19" i="157"/>
  <c r="G19" i="157" s="1"/>
  <c r="H19" i="157" s="1"/>
  <c r="I19" i="157" s="1"/>
  <c r="B12" i="157"/>
  <c r="C21" i="151"/>
  <c r="C21" i="154"/>
  <c r="C17" i="151"/>
  <c r="D17" i="151" s="1"/>
  <c r="C17" i="154"/>
  <c r="D17" i="154" s="1"/>
  <c r="B9" i="151" l="1"/>
  <c r="B7" i="151"/>
  <c r="B6" i="151"/>
  <c r="B5" i="151"/>
  <c r="B9" i="154"/>
  <c r="B7" i="154"/>
  <c r="B6" i="154"/>
  <c r="B8" i="154" s="1"/>
  <c r="B5" i="154"/>
  <c r="B9" i="141"/>
  <c r="B7" i="141"/>
  <c r="B6" i="141"/>
  <c r="B5" i="141"/>
  <c r="E31" i="167"/>
  <c r="C4" i="138" s="1"/>
  <c r="B4" i="138" s="1"/>
  <c r="E32" i="167"/>
  <c r="C4" i="135"/>
  <c r="B4" i="135" s="1"/>
  <c r="C4" i="132"/>
  <c r="B4" i="132" s="1"/>
  <c r="C4" i="123"/>
  <c r="B4" i="123" s="1"/>
  <c r="F32" i="167"/>
  <c r="C5" i="135" s="1"/>
  <c r="D29" i="179" s="1"/>
  <c r="F31" i="167"/>
  <c r="C5" i="138" s="1"/>
  <c r="B5" i="138" s="1"/>
  <c r="E19" i="138" s="1"/>
  <c r="E28" i="167"/>
  <c r="E29" i="167"/>
  <c r="E30" i="167"/>
  <c r="C4" i="129" s="1"/>
  <c r="E27" i="167"/>
  <c r="C4" i="126" s="1"/>
  <c r="B4" i="126" s="1"/>
  <c r="D34" i="167"/>
  <c r="F34" i="167" s="1"/>
  <c r="C4" i="199"/>
  <c r="B4" i="199" s="1"/>
  <c r="C17" i="179" s="1"/>
  <c r="C5" i="199" l="1"/>
  <c r="B5" i="199" s="1"/>
  <c r="D17" i="179" s="1"/>
  <c r="B22" i="132"/>
  <c r="E22" i="132"/>
  <c r="B4" i="129"/>
  <c r="E22" i="129" s="1"/>
  <c r="B22" i="129"/>
  <c r="B5" i="135"/>
  <c r="E19" i="135" s="1"/>
  <c r="E18" i="134"/>
  <c r="E18" i="135"/>
  <c r="E18" i="136"/>
  <c r="E18" i="137"/>
  <c r="E18" i="138"/>
  <c r="E23" i="134"/>
  <c r="E23" i="136"/>
  <c r="E23" i="137"/>
  <c r="E23" i="138"/>
  <c r="E22" i="134"/>
  <c r="E22" i="136"/>
  <c r="E22" i="137"/>
  <c r="E22" i="138"/>
  <c r="B23" i="135"/>
  <c r="B23" i="136"/>
  <c r="B23" i="138"/>
  <c r="B22" i="135"/>
  <c r="B22" i="138"/>
  <c r="C10" i="135"/>
  <c r="C10" i="136"/>
  <c r="B19" i="136" s="1"/>
  <c r="D19" i="136" s="1"/>
  <c r="C10" i="137"/>
  <c r="B19" i="137" s="1"/>
  <c r="D19" i="137" s="1"/>
  <c r="C10" i="138"/>
  <c r="C10" i="134"/>
  <c r="C8" i="135"/>
  <c r="C8" i="136"/>
  <c r="C8" i="137"/>
  <c r="C8" i="134"/>
  <c r="C6" i="135"/>
  <c r="C6" i="136"/>
  <c r="C6" i="137"/>
  <c r="C6" i="138"/>
  <c r="C6" i="134"/>
  <c r="B8" i="135"/>
  <c r="B6" i="135"/>
  <c r="B8" i="136"/>
  <c r="B6" i="136"/>
  <c r="G19" i="136" s="1"/>
  <c r="F20" i="137"/>
  <c r="B8" i="137"/>
  <c r="B6" i="137"/>
  <c r="G19" i="137" s="1"/>
  <c r="F20" i="138"/>
  <c r="B8" i="138"/>
  <c r="B6" i="138"/>
  <c r="G19" i="138" s="1"/>
  <c r="B8" i="134"/>
  <c r="B6" i="134"/>
  <c r="G19" i="134" s="1"/>
  <c r="C5" i="136"/>
  <c r="D30" i="179" s="1"/>
  <c r="C5" i="137"/>
  <c r="B22" i="137" s="1"/>
  <c r="C5" i="134"/>
  <c r="D28" i="179" s="1"/>
  <c r="C4" i="136"/>
  <c r="C4" i="137"/>
  <c r="C4" i="134"/>
  <c r="C27" i="187"/>
  <c r="C27" i="124"/>
  <c r="C27" i="125"/>
  <c r="C27" i="126"/>
  <c r="C27" i="188"/>
  <c r="C27" i="127"/>
  <c r="C27" i="123"/>
  <c r="B21" i="190"/>
  <c r="B21" i="128"/>
  <c r="E21" i="189"/>
  <c r="E21" i="130"/>
  <c r="E21" i="131"/>
  <c r="E21" i="190"/>
  <c r="E21" i="133"/>
  <c r="E21" i="128"/>
  <c r="C25" i="129"/>
  <c r="C25" i="189"/>
  <c r="C25" i="130"/>
  <c r="C25" i="131"/>
  <c r="C25" i="132"/>
  <c r="C25" i="190"/>
  <c r="C25" i="133"/>
  <c r="C25" i="128"/>
  <c r="C9" i="129"/>
  <c r="C9" i="189"/>
  <c r="C9" i="130"/>
  <c r="C9" i="131"/>
  <c r="C9" i="132"/>
  <c r="C9" i="190"/>
  <c r="C9" i="133"/>
  <c r="C9" i="128"/>
  <c r="C6" i="129"/>
  <c r="C6" i="189"/>
  <c r="C6" i="130"/>
  <c r="C6" i="131"/>
  <c r="C8" i="131" s="1"/>
  <c r="B27" i="131" s="1"/>
  <c r="C6" i="132"/>
  <c r="C6" i="190"/>
  <c r="C6" i="133"/>
  <c r="C6" i="128"/>
  <c r="F25" i="128"/>
  <c r="B9" i="128"/>
  <c r="B7" i="128"/>
  <c r="F26" i="128" s="1"/>
  <c r="B6" i="128"/>
  <c r="B5" i="128"/>
  <c r="F25" i="129"/>
  <c r="B9" i="129"/>
  <c r="B7" i="129"/>
  <c r="C7" i="129" s="1"/>
  <c r="B6" i="129"/>
  <c r="B5" i="129"/>
  <c r="F25" i="189"/>
  <c r="B9" i="189"/>
  <c r="B7" i="189"/>
  <c r="F26" i="189" s="1"/>
  <c r="B6" i="189"/>
  <c r="B5" i="189"/>
  <c r="F25" i="130"/>
  <c r="B9" i="130"/>
  <c r="B7" i="130"/>
  <c r="F26" i="130" s="1"/>
  <c r="B6" i="130"/>
  <c r="B5" i="130"/>
  <c r="F25" i="131"/>
  <c r="B9" i="131"/>
  <c r="B7" i="131"/>
  <c r="F26" i="131" s="1"/>
  <c r="B6" i="131"/>
  <c r="B5" i="131"/>
  <c r="F25" i="132"/>
  <c r="B9" i="132"/>
  <c r="B7" i="132"/>
  <c r="C7" i="132" s="1"/>
  <c r="B6" i="132"/>
  <c r="B5" i="132"/>
  <c r="F25" i="190"/>
  <c r="B9" i="190"/>
  <c r="B7" i="190"/>
  <c r="F26" i="190" s="1"/>
  <c r="B6" i="190"/>
  <c r="B5" i="190"/>
  <c r="F25" i="133"/>
  <c r="B9" i="133"/>
  <c r="B7" i="133"/>
  <c r="C7" i="133" s="1"/>
  <c r="B6" i="133"/>
  <c r="B5" i="133"/>
  <c r="C4" i="128"/>
  <c r="C4" i="189"/>
  <c r="B21" i="189" s="1"/>
  <c r="C4" i="130"/>
  <c r="B21" i="130" s="1"/>
  <c r="C4" i="131"/>
  <c r="B21" i="131" s="1"/>
  <c r="C4" i="190"/>
  <c r="C4" i="133"/>
  <c r="B21" i="133" s="1"/>
  <c r="E40" i="123"/>
  <c r="E40" i="187"/>
  <c r="E40" i="124"/>
  <c r="E40" i="125"/>
  <c r="E40" i="126"/>
  <c r="E40" i="188"/>
  <c r="E40" i="127"/>
  <c r="E40" i="122"/>
  <c r="B40" i="123"/>
  <c r="B40" i="126"/>
  <c r="C25" i="123"/>
  <c r="C25" i="187"/>
  <c r="C25" i="124"/>
  <c r="C25" i="125"/>
  <c r="C25" i="126"/>
  <c r="C25" i="188"/>
  <c r="C25" i="127"/>
  <c r="C25" i="122"/>
  <c r="E22" i="135" l="1"/>
  <c r="E23" i="135"/>
  <c r="G19" i="135"/>
  <c r="B18" i="138"/>
  <c r="B19" i="138"/>
  <c r="D19" i="138" s="1"/>
  <c r="H19" i="138" s="1"/>
  <c r="I19" i="138" s="1"/>
  <c r="H19" i="137"/>
  <c r="I19" i="137" s="1"/>
  <c r="B18" i="137"/>
  <c r="B23" i="137"/>
  <c r="B18" i="135"/>
  <c r="B19" i="135"/>
  <c r="D19" i="135" s="1"/>
  <c r="H19" i="135" s="1"/>
  <c r="I19" i="135" s="1"/>
  <c r="H19" i="136"/>
  <c r="I19" i="136" s="1"/>
  <c r="B18" i="134"/>
  <c r="B19" i="134"/>
  <c r="D19" i="134" s="1"/>
  <c r="H19" i="134" s="1"/>
  <c r="I19" i="134" s="1"/>
  <c r="B18" i="136"/>
  <c r="B22" i="136"/>
  <c r="B23" i="134"/>
  <c r="C7" i="134"/>
  <c r="B22" i="134"/>
  <c r="C5" i="190"/>
  <c r="D22" i="190" s="1"/>
  <c r="G22" i="190"/>
  <c r="C5" i="131"/>
  <c r="D22" i="131" s="1"/>
  <c r="G22" i="131"/>
  <c r="C5" i="132"/>
  <c r="D22" i="132" s="1"/>
  <c r="G22" i="132"/>
  <c r="C5" i="133"/>
  <c r="D22" i="133" s="1"/>
  <c r="G22" i="133"/>
  <c r="C8" i="133"/>
  <c r="C26" i="133"/>
  <c r="C8" i="190"/>
  <c r="C5" i="130"/>
  <c r="D22" i="130" s="1"/>
  <c r="G22" i="130"/>
  <c r="C5" i="189"/>
  <c r="D22" i="189" s="1"/>
  <c r="G22" i="189"/>
  <c r="C5" i="129"/>
  <c r="D22" i="129" s="1"/>
  <c r="G22" i="129"/>
  <c r="C5" i="128"/>
  <c r="D22" i="128" s="1"/>
  <c r="G22" i="128"/>
  <c r="C8" i="128"/>
  <c r="B31" i="128" s="1"/>
  <c r="C7" i="190"/>
  <c r="C26" i="190" s="1"/>
  <c r="F26" i="133"/>
  <c r="C7" i="131"/>
  <c r="C26" i="131" s="1"/>
  <c r="C8" i="130"/>
  <c r="C8" i="189"/>
  <c r="C7" i="136"/>
  <c r="C7" i="137"/>
  <c r="C9" i="134"/>
  <c r="C9" i="137"/>
  <c r="C9" i="136"/>
  <c r="B26" i="131"/>
  <c r="B37" i="131"/>
  <c r="B36" i="131"/>
  <c r="B35" i="131"/>
  <c r="B31" i="131"/>
  <c r="B30" i="131"/>
  <c r="C7" i="128"/>
  <c r="C26" i="128" s="1"/>
  <c r="C7" i="130"/>
  <c r="C26" i="130" s="1"/>
  <c r="C7" i="189"/>
  <c r="C26" i="189" s="1"/>
  <c r="C9" i="187"/>
  <c r="B22" i="187" s="1"/>
  <c r="C9" i="124"/>
  <c r="B22" i="124" s="1"/>
  <c r="C9" i="125"/>
  <c r="C9" i="126"/>
  <c r="C9" i="188"/>
  <c r="C9" i="127"/>
  <c r="C9" i="122"/>
  <c r="C9" i="123"/>
  <c r="B22" i="123" s="1"/>
  <c r="F25" i="123"/>
  <c r="B9" i="123"/>
  <c r="B7" i="123"/>
  <c r="C7" i="123" s="1"/>
  <c r="B6" i="123"/>
  <c r="B5" i="123"/>
  <c r="C5" i="123" s="1"/>
  <c r="F25" i="187"/>
  <c r="B9" i="187"/>
  <c r="B7" i="187"/>
  <c r="C7" i="187" s="1"/>
  <c r="B6" i="187"/>
  <c r="B5" i="187"/>
  <c r="C5" i="187" s="1"/>
  <c r="F25" i="124"/>
  <c r="B9" i="124"/>
  <c r="B7" i="124"/>
  <c r="C7" i="124" s="1"/>
  <c r="B6" i="124"/>
  <c r="B5" i="124"/>
  <c r="C5" i="124" s="1"/>
  <c r="F25" i="125"/>
  <c r="B9" i="125"/>
  <c r="B7" i="125"/>
  <c r="C7" i="125" s="1"/>
  <c r="B6" i="125"/>
  <c r="B5" i="125"/>
  <c r="C5" i="125" s="1"/>
  <c r="F25" i="126"/>
  <c r="B9" i="126"/>
  <c r="B7" i="126"/>
  <c r="C7" i="126" s="1"/>
  <c r="B6" i="126"/>
  <c r="B5" i="126"/>
  <c r="C5" i="126" s="1"/>
  <c r="F25" i="188"/>
  <c r="B9" i="188"/>
  <c r="B7" i="188"/>
  <c r="C7" i="188" s="1"/>
  <c r="B6" i="188"/>
  <c r="B5" i="188"/>
  <c r="C5" i="188" s="1"/>
  <c r="F25" i="127"/>
  <c r="B9" i="127"/>
  <c r="B7" i="127"/>
  <c r="C7" i="127" s="1"/>
  <c r="B6" i="127"/>
  <c r="B5" i="127"/>
  <c r="C5" i="127" s="1"/>
  <c r="F25" i="122"/>
  <c r="B9" i="122"/>
  <c r="B7" i="122"/>
  <c r="C7" i="122" s="1"/>
  <c r="B6" i="122"/>
  <c r="B5" i="122"/>
  <c r="C5" i="122" s="1"/>
  <c r="C6" i="123"/>
  <c r="C8" i="123" s="1"/>
  <c r="C6" i="187"/>
  <c r="C8" i="187" s="1"/>
  <c r="C6" i="124"/>
  <c r="C8" i="124" s="1"/>
  <c r="C6" i="122"/>
  <c r="C4" i="187"/>
  <c r="B40" i="187" s="1"/>
  <c r="C4" i="124"/>
  <c r="B40" i="124" s="1"/>
  <c r="C4" i="125"/>
  <c r="B40" i="125" s="1"/>
  <c r="C4" i="188"/>
  <c r="B40" i="188" s="1"/>
  <c r="C4" i="127"/>
  <c r="B40" i="127" s="1"/>
  <c r="C4" i="122"/>
  <c r="B40" i="122" s="1"/>
  <c r="C21" i="199"/>
  <c r="C21" i="148"/>
  <c r="C21" i="146"/>
  <c r="C22" i="199"/>
  <c r="C22" i="148"/>
  <c r="C22" i="146"/>
  <c r="F20" i="117"/>
  <c r="F20" i="186"/>
  <c r="F20" i="118"/>
  <c r="F20" i="116"/>
  <c r="B37" i="190" l="1"/>
  <c r="B27" i="190"/>
  <c r="B30" i="133"/>
  <c r="B27" i="133"/>
  <c r="B37" i="130"/>
  <c r="B27" i="130"/>
  <c r="B35" i="189"/>
  <c r="B27" i="189"/>
  <c r="B36" i="190"/>
  <c r="B26" i="190"/>
  <c r="B35" i="128"/>
  <c r="B30" i="190"/>
  <c r="B31" i="190"/>
  <c r="B35" i="190"/>
  <c r="B31" i="133"/>
  <c r="B35" i="133"/>
  <c r="B26" i="128"/>
  <c r="B36" i="133"/>
  <c r="B37" i="133"/>
  <c r="B26" i="133"/>
  <c r="B30" i="128"/>
  <c r="H22" i="133"/>
  <c r="I22" i="133" s="1"/>
  <c r="H22" i="132"/>
  <c r="I22" i="132" s="1"/>
  <c r="H22" i="131"/>
  <c r="I22" i="131" s="1"/>
  <c r="H22" i="190"/>
  <c r="I22" i="190" s="1"/>
  <c r="H22" i="189"/>
  <c r="I22" i="189" s="1"/>
  <c r="H22" i="130"/>
  <c r="I22" i="130" s="1"/>
  <c r="H22" i="128"/>
  <c r="I22" i="128" s="1"/>
  <c r="H22" i="129"/>
  <c r="I22" i="129" s="1"/>
  <c r="B36" i="128"/>
  <c r="B37" i="128"/>
  <c r="D22" i="187"/>
  <c r="E22" i="187"/>
  <c r="G22" i="187" s="1"/>
  <c r="B22" i="122"/>
  <c r="D22" i="124"/>
  <c r="E22" i="124"/>
  <c r="G22" i="124" s="1"/>
  <c r="D22" i="123"/>
  <c r="E22" i="123"/>
  <c r="G22" i="123" s="1"/>
  <c r="C8" i="122"/>
  <c r="B37" i="122" s="1"/>
  <c r="B30" i="130"/>
  <c r="B26" i="189"/>
  <c r="B26" i="130"/>
  <c r="B31" i="130"/>
  <c r="B35" i="130"/>
  <c r="B30" i="189"/>
  <c r="C26" i="124"/>
  <c r="B21" i="122"/>
  <c r="B23" i="126"/>
  <c r="B21" i="126"/>
  <c r="B27" i="124"/>
  <c r="B37" i="124"/>
  <c r="B36" i="124"/>
  <c r="B35" i="124"/>
  <c r="B31" i="124"/>
  <c r="B30" i="124"/>
  <c r="B26" i="124"/>
  <c r="B23" i="125"/>
  <c r="B21" i="125"/>
  <c r="B31" i="189"/>
  <c r="B36" i="130"/>
  <c r="B30" i="187"/>
  <c r="B26" i="187"/>
  <c r="B27" i="187"/>
  <c r="B37" i="187"/>
  <c r="B36" i="187"/>
  <c r="B35" i="187"/>
  <c r="B31" i="187"/>
  <c r="B27" i="123"/>
  <c r="B37" i="123"/>
  <c r="B36" i="123"/>
  <c r="B35" i="123"/>
  <c r="B31" i="123"/>
  <c r="B30" i="123"/>
  <c r="B26" i="123"/>
  <c r="C26" i="123"/>
  <c r="B21" i="187"/>
  <c r="B36" i="189"/>
  <c r="C26" i="188"/>
  <c r="B21" i="123"/>
  <c r="B37" i="189"/>
  <c r="B27" i="134"/>
  <c r="B13" i="134"/>
  <c r="B28" i="134"/>
  <c r="B26" i="134"/>
  <c r="B23" i="188"/>
  <c r="B21" i="188"/>
  <c r="C26" i="187"/>
  <c r="C26" i="125"/>
  <c r="B21" i="124"/>
  <c r="B23" i="127"/>
  <c r="B21" i="127"/>
  <c r="C26" i="126"/>
  <c r="C26" i="127"/>
  <c r="B27" i="136"/>
  <c r="B13" i="136"/>
  <c r="B28" i="136"/>
  <c r="B26" i="136"/>
  <c r="B13" i="137"/>
  <c r="B28" i="137"/>
  <c r="B27" i="137"/>
  <c r="B26" i="137"/>
  <c r="B27" i="122" l="1"/>
  <c r="B36" i="122"/>
  <c r="B31" i="122"/>
  <c r="B35" i="122"/>
  <c r="B26" i="122"/>
  <c r="D22" i="122"/>
  <c r="E22" i="122"/>
  <c r="G22" i="122" s="1"/>
  <c r="B30" i="122"/>
  <c r="H22" i="187"/>
  <c r="I22" i="187" s="1"/>
  <c r="H22" i="123"/>
  <c r="I22" i="123" s="1"/>
  <c r="H22" i="124"/>
  <c r="I22" i="124" s="1"/>
  <c r="F37" i="72"/>
  <c r="F35" i="72"/>
  <c r="F33" i="72"/>
  <c r="B33" i="72"/>
  <c r="D33" i="72" s="1"/>
  <c r="H22" i="122" l="1"/>
  <c r="I22" i="122" s="1"/>
  <c r="E33" i="72"/>
  <c r="G33" i="72" s="1"/>
  <c r="H33" i="72" l="1"/>
  <c r="B33" i="75" l="1"/>
  <c r="F37" i="75"/>
  <c r="F35" i="75"/>
  <c r="F33" i="75"/>
  <c r="E33" i="75"/>
  <c r="G33" i="75" s="1"/>
  <c r="F37" i="170"/>
  <c r="F35" i="170"/>
  <c r="F33" i="170"/>
  <c r="F22" i="139" l="1"/>
  <c r="G22" i="139" s="1"/>
  <c r="F23" i="139"/>
  <c r="G23" i="139" s="1"/>
  <c r="F22" i="136"/>
  <c r="F22" i="137"/>
  <c r="F22" i="135"/>
  <c r="F22" i="138"/>
  <c r="F22" i="134"/>
  <c r="F23" i="136"/>
  <c r="F23" i="135"/>
  <c r="F23" i="138"/>
  <c r="F23" i="137"/>
  <c r="F23" i="134"/>
  <c r="D33" i="75"/>
  <c r="G24" i="139" l="1"/>
  <c r="H33" i="75"/>
  <c r="F30" i="186" l="1"/>
  <c r="F30" i="116"/>
  <c r="F30" i="118"/>
  <c r="F29" i="115"/>
  <c r="F29" i="185"/>
  <c r="F29" i="113"/>
  <c r="F29" i="112"/>
  <c r="F24" i="144"/>
  <c r="F25" i="160"/>
  <c r="F25" i="157"/>
  <c r="F25" i="144"/>
  <c r="F26" i="160"/>
  <c r="F26" i="157"/>
  <c r="F26" i="151"/>
  <c r="F26" i="154"/>
  <c r="F25" i="141"/>
  <c r="F25" i="151"/>
  <c r="F25" i="154"/>
  <c r="F24" i="141"/>
  <c r="F30" i="131"/>
  <c r="F30" i="128"/>
  <c r="F30" i="129"/>
  <c r="F30" i="132"/>
  <c r="F30" i="133"/>
  <c r="F30" i="190"/>
  <c r="F30" i="189"/>
  <c r="F30" i="130"/>
  <c r="F30" i="127"/>
  <c r="F30" i="122"/>
  <c r="F30" i="123"/>
  <c r="F30" i="126"/>
  <c r="F30" i="125"/>
  <c r="F30" i="187"/>
  <c r="F30" i="124"/>
  <c r="F30" i="188"/>
  <c r="F31" i="132"/>
  <c r="F31" i="190"/>
  <c r="F31" i="189"/>
  <c r="F31" i="133"/>
  <c r="F31" i="128"/>
  <c r="F31" i="131"/>
  <c r="F31" i="129"/>
  <c r="F31" i="130"/>
  <c r="F31" i="187"/>
  <c r="F31" i="124"/>
  <c r="F31" i="125"/>
  <c r="F31" i="126"/>
  <c r="F31" i="122"/>
  <c r="F31" i="127"/>
  <c r="F31" i="188"/>
  <c r="F31" i="123"/>
  <c r="U3" i="3" l="1"/>
  <c r="U11" i="3"/>
  <c r="U4" i="3"/>
  <c r="U8" i="3"/>
  <c r="U6" i="3"/>
  <c r="U7" i="3"/>
  <c r="U5" i="3"/>
  <c r="U10" i="3"/>
  <c r="U9" i="3"/>
  <c r="C22" i="76"/>
  <c r="C22" i="78"/>
  <c r="C22" i="172"/>
  <c r="U14" i="3"/>
  <c r="C22" i="171"/>
  <c r="U12" i="3"/>
  <c r="C22" i="72"/>
  <c r="C22" i="5"/>
  <c r="C22" i="79"/>
  <c r="C22" i="173"/>
  <c r="C22" i="81"/>
  <c r="U15" i="3"/>
  <c r="C21" i="75"/>
  <c r="C22" i="170"/>
  <c r="U13" i="3"/>
  <c r="C22" i="73"/>
  <c r="V4" i="3"/>
  <c r="W4" i="3"/>
  <c r="V5" i="3"/>
  <c r="W5" i="3"/>
  <c r="V6" i="3"/>
  <c r="W6" i="3"/>
  <c r="V7" i="3"/>
  <c r="W7" i="3"/>
  <c r="V8" i="3"/>
  <c r="W8" i="3"/>
  <c r="V9" i="3"/>
  <c r="W9" i="3"/>
  <c r="V10" i="3"/>
  <c r="W10" i="3"/>
  <c r="V11" i="3"/>
  <c r="W11" i="3"/>
  <c r="V12" i="3"/>
  <c r="W12" i="3"/>
  <c r="V13" i="3"/>
  <c r="W13" i="3"/>
  <c r="V14" i="3"/>
  <c r="W14" i="3"/>
  <c r="V15" i="3"/>
  <c r="W15" i="3"/>
  <c r="W3" i="3"/>
  <c r="V3" i="3"/>
  <c r="F20" i="141" l="1"/>
  <c r="F17" i="141"/>
  <c r="G17" i="141" s="1"/>
  <c r="H17" i="141" s="1"/>
  <c r="I17" i="141" s="1"/>
  <c r="F19" i="76"/>
  <c r="F19" i="172"/>
  <c r="F19" i="78"/>
  <c r="F19" i="81"/>
  <c r="F19" i="173"/>
  <c r="F19" i="79"/>
  <c r="F19" i="73"/>
  <c r="F19" i="170"/>
  <c r="F19" i="75"/>
  <c r="F19" i="72"/>
  <c r="F19" i="171"/>
  <c r="F19" i="5"/>
  <c r="F17" i="197"/>
  <c r="F17" i="198"/>
  <c r="F17" i="144"/>
  <c r="F17" i="160"/>
  <c r="F17" i="157"/>
  <c r="F21" i="198"/>
  <c r="F21" i="197"/>
  <c r="F20" i="144"/>
  <c r="F21" i="160"/>
  <c r="F21" i="157"/>
  <c r="F17" i="154"/>
  <c r="G17" i="154" s="1"/>
  <c r="F17" i="151"/>
  <c r="G17" i="151" s="1"/>
  <c r="F21" i="151"/>
  <c r="F21" i="154"/>
  <c r="F22" i="146"/>
  <c r="F22" i="199"/>
  <c r="F22" i="148"/>
  <c r="F21" i="75"/>
  <c r="F22" i="170"/>
  <c r="F22" i="73"/>
  <c r="F22" i="5"/>
  <c r="F22" i="72"/>
  <c r="F22" i="171"/>
  <c r="F22" i="78"/>
  <c r="F22" i="76"/>
  <c r="F22" i="172"/>
  <c r="F22" i="81"/>
  <c r="F22" i="79"/>
  <c r="F22" i="173"/>
  <c r="H17" i="154" l="1"/>
  <c r="I17" i="154" s="1"/>
  <c r="H17" i="151"/>
  <c r="I17" i="151" s="1"/>
  <c r="C48" i="179"/>
  <c r="D44" i="179"/>
  <c r="C40" i="179"/>
  <c r="C36" i="179"/>
  <c r="C37" i="179"/>
  <c r="C25" i="179"/>
  <c r="C22" i="179"/>
  <c r="C15" i="179"/>
  <c r="C14" i="179"/>
  <c r="C8" i="179"/>
  <c r="C4" i="179"/>
  <c r="D44" i="7"/>
  <c r="D41" i="7"/>
  <c r="D29" i="7"/>
  <c r="D26" i="7"/>
  <c r="C5" i="148" l="1"/>
  <c r="B24" i="148" s="1"/>
  <c r="F37" i="199"/>
  <c r="F35" i="199"/>
  <c r="F33" i="199"/>
  <c r="G31" i="199"/>
  <c r="F31" i="199"/>
  <c r="E31" i="199"/>
  <c r="D31" i="199"/>
  <c r="E18" i="199"/>
  <c r="C18" i="199"/>
  <c r="D18" i="199" s="1"/>
  <c r="E17" i="199"/>
  <c r="G17" i="199" s="1"/>
  <c r="D17" i="199"/>
  <c r="E16" i="199"/>
  <c r="F14" i="199"/>
  <c r="E14" i="199"/>
  <c r="D14" i="199"/>
  <c r="F13" i="199"/>
  <c r="C10" i="199"/>
  <c r="B20" i="199" s="1"/>
  <c r="E20" i="199" s="1"/>
  <c r="G20" i="199" s="1"/>
  <c r="C8" i="199"/>
  <c r="B8" i="199"/>
  <c r="B6" i="199"/>
  <c r="B9" i="199" s="1"/>
  <c r="E13" i="199" s="1"/>
  <c r="F37" i="148"/>
  <c r="F35" i="148"/>
  <c r="F33" i="148"/>
  <c r="F31" i="148"/>
  <c r="E31" i="148"/>
  <c r="G31" i="148" s="1"/>
  <c r="D31" i="148"/>
  <c r="E25" i="148"/>
  <c r="E24" i="148"/>
  <c r="E21" i="148"/>
  <c r="E19" i="148"/>
  <c r="E18" i="148"/>
  <c r="C18" i="148"/>
  <c r="D18" i="148" s="1"/>
  <c r="E17" i="148"/>
  <c r="G17" i="148" s="1"/>
  <c r="D17" i="148"/>
  <c r="E16" i="148"/>
  <c r="F14" i="148"/>
  <c r="E14" i="148"/>
  <c r="D14" i="148"/>
  <c r="F13" i="148"/>
  <c r="C10" i="148"/>
  <c r="C8" i="148"/>
  <c r="B8" i="148"/>
  <c r="B7" i="148"/>
  <c r="B6" i="148"/>
  <c r="B9" i="148" s="1"/>
  <c r="C4" i="148"/>
  <c r="B33" i="148"/>
  <c r="F37" i="146"/>
  <c r="F35" i="146"/>
  <c r="F33" i="146"/>
  <c r="F31" i="146"/>
  <c r="E31" i="146"/>
  <c r="D31" i="146"/>
  <c r="E25" i="146"/>
  <c r="E24" i="146"/>
  <c r="B24" i="146"/>
  <c r="E21" i="146"/>
  <c r="E19" i="146"/>
  <c r="E18" i="146"/>
  <c r="D18" i="146"/>
  <c r="E17" i="146"/>
  <c r="G17" i="146" s="1"/>
  <c r="D17" i="146"/>
  <c r="E16" i="146"/>
  <c r="F14" i="146"/>
  <c r="E14" i="146"/>
  <c r="G14" i="146" s="1"/>
  <c r="D14" i="146"/>
  <c r="F13" i="146"/>
  <c r="C10" i="146"/>
  <c r="C8" i="146"/>
  <c r="B8" i="146"/>
  <c r="B6" i="146"/>
  <c r="B9" i="146" s="1"/>
  <c r="B25" i="146"/>
  <c r="F38" i="154"/>
  <c r="F36" i="154"/>
  <c r="F34" i="154"/>
  <c r="F32" i="154"/>
  <c r="E32" i="154"/>
  <c r="D32" i="154"/>
  <c r="E18" i="154"/>
  <c r="E17" i="154"/>
  <c r="E15" i="154"/>
  <c r="F13" i="154"/>
  <c r="F12" i="154"/>
  <c r="C6" i="154"/>
  <c r="C5" i="154"/>
  <c r="C4" i="154"/>
  <c r="F37" i="141"/>
  <c r="F35" i="141"/>
  <c r="F33" i="141"/>
  <c r="F31" i="141"/>
  <c r="E31" i="141"/>
  <c r="G31" i="141" s="1"/>
  <c r="D31" i="141"/>
  <c r="E18" i="141"/>
  <c r="E16" i="141"/>
  <c r="D16" i="141"/>
  <c r="E15" i="141"/>
  <c r="F13" i="141"/>
  <c r="F12" i="141"/>
  <c r="B12" i="141"/>
  <c r="C6" i="141"/>
  <c r="C8" i="141" s="1"/>
  <c r="B8" i="141"/>
  <c r="C5" i="141"/>
  <c r="C4" i="141"/>
  <c r="B33" i="141" s="1"/>
  <c r="B25" i="148" l="1"/>
  <c r="B34" i="154"/>
  <c r="E34" i="154" s="1"/>
  <c r="G34" i="154" s="1"/>
  <c r="C8" i="154"/>
  <c r="E22" i="146"/>
  <c r="G22" i="146" s="1"/>
  <c r="E13" i="146"/>
  <c r="E22" i="148"/>
  <c r="G22" i="148" s="1"/>
  <c r="E13" i="148"/>
  <c r="B24" i="141"/>
  <c r="B22" i="141"/>
  <c r="D20" i="199"/>
  <c r="H20" i="199" s="1"/>
  <c r="I20" i="199" s="1"/>
  <c r="B21" i="148"/>
  <c r="D21" i="148" s="1"/>
  <c r="B20" i="148"/>
  <c r="B21" i="146"/>
  <c r="D21" i="146" s="1"/>
  <c r="B20" i="146"/>
  <c r="G14" i="199"/>
  <c r="H14" i="199" s="1"/>
  <c r="I14" i="199" s="1"/>
  <c r="E30" i="141"/>
  <c r="G30" i="141" s="1"/>
  <c r="E22" i="141"/>
  <c r="C7" i="154"/>
  <c r="C23" i="154" s="1"/>
  <c r="F23" i="154" s="1"/>
  <c r="B12" i="154"/>
  <c r="G32" i="154"/>
  <c r="H32" i="154" s="1"/>
  <c r="G31" i="146"/>
  <c r="H31" i="146" s="1"/>
  <c r="H14" i="146"/>
  <c r="I14" i="146" s="1"/>
  <c r="G14" i="148"/>
  <c r="H14" i="148" s="1"/>
  <c r="I14" i="148" s="1"/>
  <c r="C9" i="148"/>
  <c r="E25" i="141"/>
  <c r="H17" i="146"/>
  <c r="I17" i="146" s="1"/>
  <c r="H17" i="199"/>
  <c r="I17" i="199" s="1"/>
  <c r="H31" i="199"/>
  <c r="E28" i="148"/>
  <c r="G28" i="148" s="1"/>
  <c r="E29" i="148"/>
  <c r="G29" i="148" s="1"/>
  <c r="E30" i="148"/>
  <c r="G30" i="148" s="1"/>
  <c r="E33" i="148"/>
  <c r="G33" i="148" s="1"/>
  <c r="D33" i="148"/>
  <c r="H31" i="148"/>
  <c r="B19" i="148"/>
  <c r="H17" i="148"/>
  <c r="I17" i="148" s="1"/>
  <c r="C7" i="148"/>
  <c r="E28" i="146"/>
  <c r="G28" i="146" s="1"/>
  <c r="E29" i="146"/>
  <c r="G29" i="146" s="1"/>
  <c r="E30" i="146"/>
  <c r="G30" i="146" s="1"/>
  <c r="B19" i="146"/>
  <c r="B33" i="146"/>
  <c r="C4" i="146"/>
  <c r="B7" i="146"/>
  <c r="C9" i="154"/>
  <c r="E23" i="154"/>
  <c r="B13" i="154"/>
  <c r="E21" i="154"/>
  <c r="B29" i="141"/>
  <c r="D29" i="141" s="1"/>
  <c r="B30" i="141"/>
  <c r="D30" i="141" s="1"/>
  <c r="B28" i="141"/>
  <c r="D28" i="141" s="1"/>
  <c r="B25" i="141"/>
  <c r="B13" i="141"/>
  <c r="C7" i="141"/>
  <c r="C22" i="141" s="1"/>
  <c r="F22" i="141" s="1"/>
  <c r="H31" i="141"/>
  <c r="E33" i="141"/>
  <c r="G33" i="141" s="1"/>
  <c r="D33" i="141"/>
  <c r="E24" i="141"/>
  <c r="E28" i="141"/>
  <c r="G28" i="141" s="1"/>
  <c r="C9" i="141"/>
  <c r="E29" i="141"/>
  <c r="G29" i="141" s="1"/>
  <c r="F38" i="157"/>
  <c r="F36" i="157"/>
  <c r="F34" i="157"/>
  <c r="B34" i="157"/>
  <c r="E34" i="157" s="1"/>
  <c r="F32" i="157"/>
  <c r="E32" i="157"/>
  <c r="D32" i="157"/>
  <c r="G16" i="157"/>
  <c r="D16" i="157"/>
  <c r="F13" i="157"/>
  <c r="F12" i="157"/>
  <c r="C9" i="157"/>
  <c r="E21" i="157"/>
  <c r="C23" i="157"/>
  <c r="F23" i="157" s="1"/>
  <c r="C6" i="157"/>
  <c r="B20" i="157"/>
  <c r="D20" i="157" s="1"/>
  <c r="F37" i="144"/>
  <c r="F35" i="144"/>
  <c r="F33" i="144"/>
  <c r="E33" i="144"/>
  <c r="F31" i="144"/>
  <c r="E31" i="144"/>
  <c r="D31" i="144"/>
  <c r="G16" i="144"/>
  <c r="D16" i="144"/>
  <c r="F13" i="144"/>
  <c r="F12" i="144"/>
  <c r="C9" i="144"/>
  <c r="E19" i="144"/>
  <c r="E13" i="144"/>
  <c r="C6" i="144"/>
  <c r="B8" i="144"/>
  <c r="D34" i="154" l="1"/>
  <c r="H34" i="154" s="1"/>
  <c r="I34" i="154" s="1"/>
  <c r="B30" i="148"/>
  <c r="D30" i="148" s="1"/>
  <c r="H30" i="148" s="1"/>
  <c r="I30" i="148" s="1"/>
  <c r="B13" i="148"/>
  <c r="D13" i="148" s="1"/>
  <c r="D15" i="148" s="1"/>
  <c r="B22" i="148"/>
  <c r="B19" i="141"/>
  <c r="D19" i="141" s="1"/>
  <c r="B20" i="141"/>
  <c r="B20" i="154"/>
  <c r="B19" i="154"/>
  <c r="D19" i="154" s="1"/>
  <c r="H19" i="154" s="1"/>
  <c r="I19" i="154" s="1"/>
  <c r="E21" i="197"/>
  <c r="C32" i="179"/>
  <c r="B25" i="157"/>
  <c r="B26" i="157"/>
  <c r="B25" i="144"/>
  <c r="B24" i="144"/>
  <c r="B26" i="154"/>
  <c r="B25" i="154"/>
  <c r="B23" i="154"/>
  <c r="D23" i="154" s="1"/>
  <c r="H30" i="141"/>
  <c r="I30" i="141" s="1"/>
  <c r="E20" i="146"/>
  <c r="G20" i="146" s="1"/>
  <c r="D20" i="146"/>
  <c r="E20" i="148"/>
  <c r="G20" i="148" s="1"/>
  <c r="D20" i="148"/>
  <c r="G33" i="144"/>
  <c r="G13" i="144"/>
  <c r="G32" i="157"/>
  <c r="H32" i="157" s="1"/>
  <c r="H16" i="157"/>
  <c r="I16" i="157" s="1"/>
  <c r="G31" i="144"/>
  <c r="H31" i="144" s="1"/>
  <c r="G34" i="157"/>
  <c r="C8" i="157"/>
  <c r="B30" i="157" s="1"/>
  <c r="D30" i="157" s="1"/>
  <c r="B30" i="154"/>
  <c r="D30" i="154" s="1"/>
  <c r="B31" i="154"/>
  <c r="D31" i="154" s="1"/>
  <c r="B29" i="154"/>
  <c r="D29" i="154" s="1"/>
  <c r="B29" i="148"/>
  <c r="D29" i="148" s="1"/>
  <c r="H29" i="148" s="1"/>
  <c r="I29" i="148" s="1"/>
  <c r="B28" i="148"/>
  <c r="D28" i="148" s="1"/>
  <c r="B18" i="144"/>
  <c r="E18" i="197"/>
  <c r="B21" i="157"/>
  <c r="D21" i="157" s="1"/>
  <c r="G22" i="141"/>
  <c r="G19" i="144"/>
  <c r="E20" i="144"/>
  <c r="C22" i="144"/>
  <c r="F22" i="144" s="1"/>
  <c r="H33" i="148"/>
  <c r="I33" i="148" s="1"/>
  <c r="G13" i="148"/>
  <c r="G32" i="148"/>
  <c r="C9" i="146"/>
  <c r="C7" i="146"/>
  <c r="G32" i="146"/>
  <c r="D33" i="146"/>
  <c r="E33" i="146"/>
  <c r="G33" i="146" s="1"/>
  <c r="G13" i="146"/>
  <c r="E13" i="154"/>
  <c r="G13" i="154" s="1"/>
  <c r="D13" i="154"/>
  <c r="E12" i="154"/>
  <c r="G12" i="154" s="1"/>
  <c r="D12" i="154"/>
  <c r="E25" i="154"/>
  <c r="G23" i="154"/>
  <c r="E31" i="154"/>
  <c r="G31" i="154" s="1"/>
  <c r="E26" i="154"/>
  <c r="E29" i="154"/>
  <c r="G29" i="154" s="1"/>
  <c r="E30" i="154"/>
  <c r="G30" i="154" s="1"/>
  <c r="B18" i="154"/>
  <c r="B21" i="154"/>
  <c r="D21" i="154" s="1"/>
  <c r="H33" i="141"/>
  <c r="I33" i="141" s="1"/>
  <c r="E13" i="141"/>
  <c r="G13" i="141" s="1"/>
  <c r="D13" i="141"/>
  <c r="B18" i="141"/>
  <c r="D22" i="141"/>
  <c r="H29" i="141"/>
  <c r="I29" i="141" s="1"/>
  <c r="G32" i="141"/>
  <c r="H28" i="141"/>
  <c r="I28" i="141" s="1"/>
  <c r="E12" i="141"/>
  <c r="G12" i="141" s="1"/>
  <c r="D12" i="141"/>
  <c r="D32" i="141"/>
  <c r="E18" i="157"/>
  <c r="B18" i="157"/>
  <c r="E20" i="157"/>
  <c r="G20" i="157" s="1"/>
  <c r="D34" i="157"/>
  <c r="B8" i="157"/>
  <c r="B13" i="157"/>
  <c r="B20" i="144"/>
  <c r="D20" i="144" s="1"/>
  <c r="E28" i="144"/>
  <c r="G28" i="144" s="1"/>
  <c r="E30" i="144"/>
  <c r="G30" i="144" s="1"/>
  <c r="E29" i="144"/>
  <c r="G29" i="144" s="1"/>
  <c r="E22" i="144"/>
  <c r="E25" i="144"/>
  <c r="E24" i="144"/>
  <c r="H16" i="144"/>
  <c r="I16" i="144" s="1"/>
  <c r="E12" i="144"/>
  <c r="G12" i="144" s="1"/>
  <c r="E18" i="144"/>
  <c r="D20" i="141" l="1"/>
  <c r="E20" i="141"/>
  <c r="G20" i="141" s="1"/>
  <c r="E19" i="141"/>
  <c r="G19" i="141" s="1"/>
  <c r="H19" i="141" s="1"/>
  <c r="I19" i="141" s="1"/>
  <c r="B13" i="146"/>
  <c r="D13" i="146" s="1"/>
  <c r="D15" i="146" s="1"/>
  <c r="B22" i="146"/>
  <c r="E20" i="154"/>
  <c r="G20" i="154" s="1"/>
  <c r="D20" i="154"/>
  <c r="H20" i="146"/>
  <c r="I20" i="146" s="1"/>
  <c r="H20" i="148"/>
  <c r="I20" i="148" s="1"/>
  <c r="H34" i="157"/>
  <c r="I34" i="157" s="1"/>
  <c r="B23" i="157"/>
  <c r="D23" i="157" s="1"/>
  <c r="D19" i="144"/>
  <c r="H19" i="144" s="1"/>
  <c r="I19" i="144" s="1"/>
  <c r="B31" i="157"/>
  <c r="D31" i="157" s="1"/>
  <c r="B29" i="157"/>
  <c r="D29" i="157" s="1"/>
  <c r="D33" i="154"/>
  <c r="D32" i="148"/>
  <c r="H32" i="148" s="1"/>
  <c r="I32" i="148" s="1"/>
  <c r="H28" i="148"/>
  <c r="I28" i="148" s="1"/>
  <c r="H22" i="141"/>
  <c r="I22" i="141" s="1"/>
  <c r="G22" i="144"/>
  <c r="H13" i="148"/>
  <c r="I13" i="148" s="1"/>
  <c r="G15" i="148"/>
  <c r="G15" i="146"/>
  <c r="H33" i="146"/>
  <c r="I33" i="146" s="1"/>
  <c r="B30" i="146"/>
  <c r="D30" i="146" s="1"/>
  <c r="H30" i="146" s="1"/>
  <c r="I30" i="146" s="1"/>
  <c r="B28" i="146"/>
  <c r="D28" i="146" s="1"/>
  <c r="B29" i="146"/>
  <c r="D29" i="146" s="1"/>
  <c r="H29" i="146" s="1"/>
  <c r="I29" i="146" s="1"/>
  <c r="H30" i="154"/>
  <c r="I30" i="154" s="1"/>
  <c r="H23" i="154"/>
  <c r="I23" i="154" s="1"/>
  <c r="H13" i="154"/>
  <c r="I13" i="154" s="1"/>
  <c r="H31" i="154"/>
  <c r="I31" i="154" s="1"/>
  <c r="D14" i="154"/>
  <c r="G14" i="154"/>
  <c r="H12" i="154"/>
  <c r="I12" i="154" s="1"/>
  <c r="G33" i="154"/>
  <c r="H29" i="154"/>
  <c r="I29" i="154" s="1"/>
  <c r="D14" i="141"/>
  <c r="H12" i="141"/>
  <c r="I12" i="141" s="1"/>
  <c r="G14" i="141"/>
  <c r="H32" i="141"/>
  <c r="I32" i="141" s="1"/>
  <c r="H13" i="141"/>
  <c r="I13" i="141" s="1"/>
  <c r="H20" i="157"/>
  <c r="I20" i="157" s="1"/>
  <c r="E13" i="157"/>
  <c r="G13" i="157" s="1"/>
  <c r="D13" i="157"/>
  <c r="E12" i="157"/>
  <c r="G12" i="157" s="1"/>
  <c r="D12" i="157"/>
  <c r="E25" i="157"/>
  <c r="E30" i="157"/>
  <c r="G30" i="157" s="1"/>
  <c r="E23" i="157"/>
  <c r="G23" i="157" s="1"/>
  <c r="E31" i="157"/>
  <c r="G31" i="157" s="1"/>
  <c r="E26" i="157"/>
  <c r="E29" i="157"/>
  <c r="G29" i="157" s="1"/>
  <c r="G14" i="144"/>
  <c r="C8" i="144"/>
  <c r="B33" i="144"/>
  <c r="D33" i="144" s="1"/>
  <c r="H33" i="144" s="1"/>
  <c r="I33" i="144" s="1"/>
  <c r="D12" i="144"/>
  <c r="H12" i="144" s="1"/>
  <c r="I12" i="144" s="1"/>
  <c r="B13" i="144"/>
  <c r="D13" i="144" s="1"/>
  <c r="H13" i="144" s="1"/>
  <c r="I13" i="144" s="1"/>
  <c r="G32" i="144"/>
  <c r="C9" i="198"/>
  <c r="C6" i="198"/>
  <c r="D47" i="179"/>
  <c r="B6" i="198"/>
  <c r="B5" i="198"/>
  <c r="F38" i="198"/>
  <c r="F36" i="198"/>
  <c r="F34" i="198"/>
  <c r="F32" i="198"/>
  <c r="E32" i="198"/>
  <c r="G32" i="198" s="1"/>
  <c r="D32" i="198"/>
  <c r="E17" i="198"/>
  <c r="D17" i="198"/>
  <c r="E16" i="198"/>
  <c r="G16" i="198" s="1"/>
  <c r="D16" i="198"/>
  <c r="E15" i="198"/>
  <c r="F13" i="198"/>
  <c r="F12" i="198"/>
  <c r="C9" i="197"/>
  <c r="C6" i="197"/>
  <c r="B6" i="197"/>
  <c r="B8" i="197" s="1"/>
  <c r="E29" i="197" s="1"/>
  <c r="B5" i="197"/>
  <c r="C4" i="197"/>
  <c r="B12" i="197" s="1"/>
  <c r="F38" i="197"/>
  <c r="F36" i="197"/>
  <c r="F34" i="197"/>
  <c r="B34" i="197"/>
  <c r="D34" i="197" s="1"/>
  <c r="F32" i="197"/>
  <c r="E32" i="197"/>
  <c r="D32" i="197"/>
  <c r="E17" i="197"/>
  <c r="D17" i="197"/>
  <c r="E16" i="197"/>
  <c r="G16" i="197" s="1"/>
  <c r="D16" i="197"/>
  <c r="E15" i="197"/>
  <c r="F13" i="197"/>
  <c r="F12" i="197"/>
  <c r="B13" i="197"/>
  <c r="E13" i="197" s="1"/>
  <c r="F38" i="160"/>
  <c r="F36" i="160"/>
  <c r="F34" i="160"/>
  <c r="F32" i="160"/>
  <c r="E32" i="160"/>
  <c r="D32" i="160"/>
  <c r="G17" i="160"/>
  <c r="G16" i="160"/>
  <c r="D16" i="160"/>
  <c r="F13" i="160"/>
  <c r="F12" i="160"/>
  <c r="C9" i="160"/>
  <c r="C6" i="160"/>
  <c r="B19" i="160"/>
  <c r="F38" i="151"/>
  <c r="F36" i="151"/>
  <c r="F34" i="151"/>
  <c r="F32" i="151"/>
  <c r="E32" i="151"/>
  <c r="D32" i="151"/>
  <c r="E17" i="151"/>
  <c r="E15" i="151"/>
  <c r="F13" i="151"/>
  <c r="F12" i="151"/>
  <c r="C7" i="151"/>
  <c r="C6" i="151"/>
  <c r="C5" i="151"/>
  <c r="F49" i="190"/>
  <c r="F47" i="190"/>
  <c r="F44" i="190"/>
  <c r="F42" i="190"/>
  <c r="F40" i="190"/>
  <c r="F38" i="190"/>
  <c r="E38" i="190"/>
  <c r="G38" i="190" s="1"/>
  <c r="D38" i="190"/>
  <c r="C27" i="190"/>
  <c r="F27" i="190" s="1"/>
  <c r="G25" i="190"/>
  <c r="D25" i="190"/>
  <c r="E20" i="190"/>
  <c r="G20" i="190" s="1"/>
  <c r="D20" i="190"/>
  <c r="E19" i="190"/>
  <c r="F17" i="190"/>
  <c r="B17" i="190"/>
  <c r="F16" i="190"/>
  <c r="B16" i="190"/>
  <c r="F15" i="190"/>
  <c r="B15" i="190"/>
  <c r="F13" i="190"/>
  <c r="F12" i="190"/>
  <c r="B23" i="190"/>
  <c r="E23" i="190" s="1"/>
  <c r="B13" i="190"/>
  <c r="E13" i="190" s="1"/>
  <c r="F49" i="189"/>
  <c r="F47" i="189"/>
  <c r="F44" i="189"/>
  <c r="F42" i="189"/>
  <c r="F40" i="189"/>
  <c r="F38" i="189"/>
  <c r="E38" i="189"/>
  <c r="G38" i="189" s="1"/>
  <c r="D38" i="189"/>
  <c r="C27" i="189"/>
  <c r="F27" i="189" s="1"/>
  <c r="G25" i="189"/>
  <c r="D25" i="189"/>
  <c r="E20" i="189"/>
  <c r="G20" i="189" s="1"/>
  <c r="D20" i="189"/>
  <c r="E19" i="189"/>
  <c r="F17" i="189"/>
  <c r="B17" i="189"/>
  <c r="F16" i="189"/>
  <c r="B16" i="189"/>
  <c r="F15" i="189"/>
  <c r="B15" i="189"/>
  <c r="F13" i="189"/>
  <c r="F12" i="189"/>
  <c r="B12" i="189"/>
  <c r="E12" i="189" s="1"/>
  <c r="G12" i="189" s="1"/>
  <c r="F49" i="188"/>
  <c r="F47" i="188"/>
  <c r="F44" i="188"/>
  <c r="F42" i="188"/>
  <c r="F40" i="188"/>
  <c r="F38" i="188"/>
  <c r="E38" i="188"/>
  <c r="G38" i="188" s="1"/>
  <c r="D38" i="188"/>
  <c r="G25" i="188"/>
  <c r="D25" i="188"/>
  <c r="E20" i="188"/>
  <c r="G20" i="188" s="1"/>
  <c r="D20" i="188"/>
  <c r="E19" i="188"/>
  <c r="F17" i="188"/>
  <c r="F16" i="188"/>
  <c r="F15" i="188"/>
  <c r="B15" i="188"/>
  <c r="E15" i="188" s="1"/>
  <c r="F13" i="188"/>
  <c r="F26" i="188" s="1"/>
  <c r="F12" i="188"/>
  <c r="B22" i="188"/>
  <c r="E22" i="188" s="1"/>
  <c r="B16" i="188"/>
  <c r="F49" i="187"/>
  <c r="F47" i="187"/>
  <c r="F44" i="187"/>
  <c r="F42" i="187"/>
  <c r="F40" i="187"/>
  <c r="F38" i="187"/>
  <c r="E38" i="187"/>
  <c r="G38" i="187" s="1"/>
  <c r="D38" i="187"/>
  <c r="G25" i="187"/>
  <c r="D25" i="187"/>
  <c r="E20" i="187"/>
  <c r="G20" i="187" s="1"/>
  <c r="D20" i="187"/>
  <c r="E19" i="187"/>
  <c r="F17" i="187"/>
  <c r="F16" i="187"/>
  <c r="F15" i="187"/>
  <c r="F13" i="187"/>
  <c r="F26" i="187" s="1"/>
  <c r="F12" i="187"/>
  <c r="F49" i="186"/>
  <c r="F47" i="186"/>
  <c r="F44" i="186"/>
  <c r="F42" i="186"/>
  <c r="F40" i="186"/>
  <c r="F38" i="186"/>
  <c r="D38" i="186"/>
  <c r="C27" i="186"/>
  <c r="F27" i="186" s="1"/>
  <c r="F25" i="186"/>
  <c r="G25" i="186" s="1"/>
  <c r="C25" i="186"/>
  <c r="D25" i="186" s="1"/>
  <c r="D20" i="186"/>
  <c r="F22" i="186"/>
  <c r="F17" i="186"/>
  <c r="F16" i="186"/>
  <c r="F15" i="186"/>
  <c r="G15" i="186"/>
  <c r="F13" i="186"/>
  <c r="F12" i="186"/>
  <c r="B9" i="186"/>
  <c r="B7" i="186"/>
  <c r="B6" i="186"/>
  <c r="F48" i="185"/>
  <c r="F46" i="185"/>
  <c r="F43" i="185"/>
  <c r="F41" i="185"/>
  <c r="F39" i="185"/>
  <c r="F37" i="185"/>
  <c r="D37" i="185"/>
  <c r="C26" i="185"/>
  <c r="F26" i="185" s="1"/>
  <c r="F24" i="185"/>
  <c r="G24" i="185" s="1"/>
  <c r="C24" i="185"/>
  <c r="D24" i="185" s="1"/>
  <c r="D20" i="185"/>
  <c r="D22" i="185"/>
  <c r="F17" i="185"/>
  <c r="F16" i="185"/>
  <c r="F15" i="185"/>
  <c r="F13" i="185"/>
  <c r="F12" i="185"/>
  <c r="B9" i="185"/>
  <c r="B7" i="185"/>
  <c r="B6" i="185"/>
  <c r="B5" i="185"/>
  <c r="F50" i="184"/>
  <c r="F48" i="184"/>
  <c r="F45" i="184"/>
  <c r="F43" i="184"/>
  <c r="F41" i="184"/>
  <c r="F39" i="184"/>
  <c r="E39" i="184"/>
  <c r="G39" i="184" s="1"/>
  <c r="H39" i="184" s="1"/>
  <c r="D39" i="184"/>
  <c r="C28" i="184"/>
  <c r="F28" i="184" s="1"/>
  <c r="F26" i="184"/>
  <c r="G26" i="184" s="1"/>
  <c r="C26" i="184"/>
  <c r="D26" i="184" s="1"/>
  <c r="E22" i="184"/>
  <c r="E21" i="184"/>
  <c r="D21" i="184"/>
  <c r="E20" i="184"/>
  <c r="G20" i="184" s="1"/>
  <c r="D20" i="184"/>
  <c r="E19" i="184"/>
  <c r="F17" i="184"/>
  <c r="F16" i="184"/>
  <c r="F15" i="184"/>
  <c r="F13" i="184"/>
  <c r="F12" i="184"/>
  <c r="B9" i="184"/>
  <c r="B7" i="184"/>
  <c r="B6" i="184"/>
  <c r="B5" i="184"/>
  <c r="F50" i="183"/>
  <c r="F48" i="183"/>
  <c r="F45" i="183"/>
  <c r="F43" i="183"/>
  <c r="F41" i="183"/>
  <c r="F39" i="183"/>
  <c r="E39" i="183"/>
  <c r="G39" i="183" s="1"/>
  <c r="D39" i="183"/>
  <c r="C28" i="183"/>
  <c r="F28" i="183" s="1"/>
  <c r="F26" i="183"/>
  <c r="G26" i="183" s="1"/>
  <c r="C26" i="183"/>
  <c r="D26" i="183" s="1"/>
  <c r="E22" i="183"/>
  <c r="E21" i="183"/>
  <c r="D21" i="183"/>
  <c r="E20" i="183"/>
  <c r="G20" i="183" s="1"/>
  <c r="D20" i="183"/>
  <c r="E19" i="183"/>
  <c r="F17" i="183"/>
  <c r="F16" i="183"/>
  <c r="F15" i="183"/>
  <c r="F13" i="183"/>
  <c r="F12" i="183"/>
  <c r="B9" i="183"/>
  <c r="B7" i="183"/>
  <c r="B6" i="183"/>
  <c r="B5" i="183"/>
  <c r="F50" i="181"/>
  <c r="F48" i="181"/>
  <c r="F45" i="181"/>
  <c r="F43" i="181"/>
  <c r="F41" i="181"/>
  <c r="F39" i="181"/>
  <c r="E39" i="181"/>
  <c r="G39" i="181" s="1"/>
  <c r="D39" i="181"/>
  <c r="C28" i="181"/>
  <c r="F28" i="181" s="1"/>
  <c r="F26" i="181"/>
  <c r="G26" i="181" s="1"/>
  <c r="C26" i="181"/>
  <c r="D26" i="181" s="1"/>
  <c r="E22" i="181"/>
  <c r="E21" i="181"/>
  <c r="D21" i="181"/>
  <c r="E20" i="181"/>
  <c r="G20" i="181" s="1"/>
  <c r="D20" i="181"/>
  <c r="E19" i="181"/>
  <c r="F17" i="181"/>
  <c r="F16" i="181"/>
  <c r="F15" i="181"/>
  <c r="F13" i="181"/>
  <c r="F12" i="181"/>
  <c r="B9" i="181"/>
  <c r="B7" i="181"/>
  <c r="B6" i="181"/>
  <c r="B5" i="181"/>
  <c r="F50" i="182"/>
  <c r="F48" i="182"/>
  <c r="F45" i="182"/>
  <c r="F43" i="182"/>
  <c r="F41" i="182"/>
  <c r="F39" i="182"/>
  <c r="E39" i="182"/>
  <c r="D39" i="182"/>
  <c r="C28" i="182"/>
  <c r="F28" i="182" s="1"/>
  <c r="F26" i="182"/>
  <c r="G26" i="182" s="1"/>
  <c r="C26" i="182"/>
  <c r="D26" i="182" s="1"/>
  <c r="E22" i="182"/>
  <c r="E21" i="182"/>
  <c r="D21" i="182"/>
  <c r="E20" i="182"/>
  <c r="G20" i="182" s="1"/>
  <c r="D20" i="182"/>
  <c r="E19" i="182"/>
  <c r="F17" i="182"/>
  <c r="F16" i="182"/>
  <c r="F15" i="182"/>
  <c r="F13" i="182"/>
  <c r="F12" i="182"/>
  <c r="B9" i="182"/>
  <c r="B7" i="182"/>
  <c r="B6" i="182"/>
  <c r="B5" i="182"/>
  <c r="F50" i="180"/>
  <c r="F48" i="180"/>
  <c r="F45" i="180"/>
  <c r="F43" i="180"/>
  <c r="F41" i="180"/>
  <c r="F39" i="180"/>
  <c r="E39" i="180"/>
  <c r="D39" i="180"/>
  <c r="C28" i="180"/>
  <c r="F28" i="180" s="1"/>
  <c r="F26" i="180"/>
  <c r="G26" i="180" s="1"/>
  <c r="C26" i="180"/>
  <c r="D26" i="180" s="1"/>
  <c r="E22" i="180"/>
  <c r="E21" i="180"/>
  <c r="D21" i="180"/>
  <c r="E20" i="180"/>
  <c r="G20" i="180" s="1"/>
  <c r="D20" i="180"/>
  <c r="E19" i="180"/>
  <c r="F17" i="180"/>
  <c r="F16" i="180"/>
  <c r="F15" i="180"/>
  <c r="F13" i="180"/>
  <c r="F12" i="180"/>
  <c r="B9" i="180"/>
  <c r="B7" i="180"/>
  <c r="B6" i="180"/>
  <c r="B5" i="180"/>
  <c r="H20" i="141" l="1"/>
  <c r="I20" i="141" s="1"/>
  <c r="H13" i="146"/>
  <c r="I13" i="146" s="1"/>
  <c r="E22" i="186"/>
  <c r="G22" i="186" s="1"/>
  <c r="E21" i="186"/>
  <c r="E22" i="185"/>
  <c r="G22" i="185" s="1"/>
  <c r="H22" i="185" s="1"/>
  <c r="I22" i="185" s="1"/>
  <c r="E21" i="185"/>
  <c r="E12" i="185"/>
  <c r="E13" i="185"/>
  <c r="H20" i="154"/>
  <c r="I20" i="154" s="1"/>
  <c r="B26" i="198"/>
  <c r="B25" i="198"/>
  <c r="C4" i="198"/>
  <c r="B12" i="198" s="1"/>
  <c r="C47" i="179"/>
  <c r="G13" i="197"/>
  <c r="B18" i="197"/>
  <c r="D32" i="179"/>
  <c r="B26" i="197"/>
  <c r="B25" i="197"/>
  <c r="B25" i="160"/>
  <c r="B26" i="160"/>
  <c r="D22" i="186"/>
  <c r="G15" i="188"/>
  <c r="F27" i="188"/>
  <c r="F27" i="187"/>
  <c r="G16" i="186"/>
  <c r="G38" i="186"/>
  <c r="G37" i="185"/>
  <c r="G13" i="190"/>
  <c r="G32" i="160"/>
  <c r="H32" i="160" s="1"/>
  <c r="G32" i="197"/>
  <c r="H32" i="197" s="1"/>
  <c r="D33" i="157"/>
  <c r="C23" i="198"/>
  <c r="F23" i="198" s="1"/>
  <c r="B34" i="198"/>
  <c r="E34" i="198" s="1"/>
  <c r="G34" i="198" s="1"/>
  <c r="C8" i="197"/>
  <c r="B31" i="197" s="1"/>
  <c r="G32" i="151"/>
  <c r="H32" i="151" s="1"/>
  <c r="H20" i="190"/>
  <c r="I20" i="190" s="1"/>
  <c r="G21" i="184"/>
  <c r="H21" i="184" s="1"/>
  <c r="I21" i="184" s="1"/>
  <c r="G39" i="182"/>
  <c r="G39" i="180"/>
  <c r="B21" i="197"/>
  <c r="D21" i="197" s="1"/>
  <c r="D20" i="198"/>
  <c r="B18" i="198"/>
  <c r="B21" i="198"/>
  <c r="D21" i="198" s="1"/>
  <c r="B8" i="198"/>
  <c r="E31" i="198" s="1"/>
  <c r="E31" i="197"/>
  <c r="B21" i="160"/>
  <c r="D21" i="160" s="1"/>
  <c r="E21" i="198"/>
  <c r="E18" i="198"/>
  <c r="H15" i="148"/>
  <c r="I15" i="148" s="1"/>
  <c r="D32" i="146"/>
  <c r="H28" i="146"/>
  <c r="I28" i="146" s="1"/>
  <c r="H15" i="146"/>
  <c r="I15" i="146" s="1"/>
  <c r="H14" i="154"/>
  <c r="I14" i="154" s="1"/>
  <c r="H33" i="154"/>
  <c r="I33" i="154" s="1"/>
  <c r="H14" i="141"/>
  <c r="I14" i="141" s="1"/>
  <c r="H16" i="198"/>
  <c r="I16" i="198" s="1"/>
  <c r="E26" i="197"/>
  <c r="E30" i="197"/>
  <c r="E23" i="197"/>
  <c r="D14" i="157"/>
  <c r="H13" i="157"/>
  <c r="I13" i="157" s="1"/>
  <c r="H31" i="157"/>
  <c r="I31" i="157" s="1"/>
  <c r="G14" i="157"/>
  <c r="H12" i="157"/>
  <c r="I12" i="157" s="1"/>
  <c r="G33" i="157"/>
  <c r="H29" i="157"/>
  <c r="I29" i="157" s="1"/>
  <c r="H30" i="157"/>
  <c r="I30" i="157" s="1"/>
  <c r="H23" i="157"/>
  <c r="I23" i="157" s="1"/>
  <c r="B30" i="144"/>
  <c r="D30" i="144" s="1"/>
  <c r="H30" i="144" s="1"/>
  <c r="I30" i="144" s="1"/>
  <c r="B22" i="144"/>
  <c r="D22" i="144" s="1"/>
  <c r="B28" i="144"/>
  <c r="D28" i="144" s="1"/>
  <c r="B29" i="144"/>
  <c r="D29" i="144" s="1"/>
  <c r="H29" i="144" s="1"/>
  <c r="I29" i="144" s="1"/>
  <c r="D14" i="144"/>
  <c r="H14" i="144" s="1"/>
  <c r="I14" i="144" s="1"/>
  <c r="H25" i="188"/>
  <c r="I25" i="188" s="1"/>
  <c r="G21" i="182"/>
  <c r="H21" i="182" s="1"/>
  <c r="I21" i="182" s="1"/>
  <c r="H26" i="183"/>
  <c r="I26" i="183" s="1"/>
  <c r="G21" i="181"/>
  <c r="H21" i="181" s="1"/>
  <c r="I21" i="181" s="1"/>
  <c r="B23" i="186"/>
  <c r="D23" i="186" s="1"/>
  <c r="H25" i="186"/>
  <c r="I25" i="186" s="1"/>
  <c r="G22" i="188"/>
  <c r="H26" i="184"/>
  <c r="I26" i="184" s="1"/>
  <c r="D19" i="160"/>
  <c r="H20" i="189"/>
  <c r="I20" i="189" s="1"/>
  <c r="G21" i="180"/>
  <c r="H21" i="180" s="1"/>
  <c r="I21" i="180" s="1"/>
  <c r="H26" i="180"/>
  <c r="I26" i="180" s="1"/>
  <c r="G21" i="183"/>
  <c r="H21" i="183" s="1"/>
  <c r="I21" i="183" s="1"/>
  <c r="B12" i="190"/>
  <c r="E12" i="190" s="1"/>
  <c r="G12" i="190" s="1"/>
  <c r="D23" i="190"/>
  <c r="B13" i="189"/>
  <c r="E13" i="189" s="1"/>
  <c r="G13" i="189" s="1"/>
  <c r="G14" i="189" s="1"/>
  <c r="C23" i="197"/>
  <c r="F23" i="197" s="1"/>
  <c r="E12" i="197"/>
  <c r="G12" i="197" s="1"/>
  <c r="E25" i="197"/>
  <c r="B23" i="189"/>
  <c r="E23" i="189" s="1"/>
  <c r="H24" i="185"/>
  <c r="I24" i="185" s="1"/>
  <c r="D23" i="188"/>
  <c r="G20" i="197"/>
  <c r="H32" i="198"/>
  <c r="B13" i="198"/>
  <c r="E34" i="197"/>
  <c r="G34" i="197" s="1"/>
  <c r="D13" i="197"/>
  <c r="H16" i="197"/>
  <c r="I16" i="197" s="1"/>
  <c r="D20" i="197"/>
  <c r="H16" i="160"/>
  <c r="I16" i="160" s="1"/>
  <c r="B18" i="160"/>
  <c r="C9" i="151"/>
  <c r="H25" i="190"/>
  <c r="I25" i="190" s="1"/>
  <c r="E16" i="190"/>
  <c r="G16" i="190" s="1"/>
  <c r="D16" i="190"/>
  <c r="D13" i="190"/>
  <c r="E15" i="190"/>
  <c r="G15" i="190" s="1"/>
  <c r="D15" i="190"/>
  <c r="E17" i="190"/>
  <c r="G17" i="190" s="1"/>
  <c r="D17" i="190"/>
  <c r="H38" i="190"/>
  <c r="B8" i="190"/>
  <c r="E27" i="190" s="1"/>
  <c r="B40" i="190"/>
  <c r="H25" i="189"/>
  <c r="I25" i="189" s="1"/>
  <c r="D12" i="189"/>
  <c r="H12" i="189" s="1"/>
  <c r="I12" i="189" s="1"/>
  <c r="E15" i="189"/>
  <c r="G15" i="189" s="1"/>
  <c r="D15" i="189"/>
  <c r="E16" i="189"/>
  <c r="G16" i="189" s="1"/>
  <c r="D16" i="189"/>
  <c r="E17" i="189"/>
  <c r="G17" i="189" s="1"/>
  <c r="D17" i="189"/>
  <c r="H38" i="189"/>
  <c r="B8" i="189"/>
  <c r="E27" i="189" s="1"/>
  <c r="B40" i="189"/>
  <c r="E16" i="188"/>
  <c r="G16" i="188" s="1"/>
  <c r="D16" i="188"/>
  <c r="H38" i="188"/>
  <c r="D15" i="188"/>
  <c r="H20" i="188"/>
  <c r="I20" i="188" s="1"/>
  <c r="B13" i="188"/>
  <c r="B12" i="188"/>
  <c r="B8" i="188"/>
  <c r="B17" i="188"/>
  <c r="D22" i="188"/>
  <c r="B13" i="187"/>
  <c r="B12" i="187"/>
  <c r="B17" i="187"/>
  <c r="B23" i="187"/>
  <c r="H20" i="187"/>
  <c r="I20" i="187" s="1"/>
  <c r="H25" i="187"/>
  <c r="I25" i="187" s="1"/>
  <c r="H38" i="187"/>
  <c r="B15" i="187"/>
  <c r="B8" i="187"/>
  <c r="B16" i="187"/>
  <c r="H15" i="186"/>
  <c r="I15" i="186" s="1"/>
  <c r="H38" i="186"/>
  <c r="C26" i="186"/>
  <c r="F26" i="186" s="1"/>
  <c r="B8" i="186"/>
  <c r="H16" i="186"/>
  <c r="I16" i="186" s="1"/>
  <c r="H37" i="185"/>
  <c r="H20" i="184"/>
  <c r="I20" i="184" s="1"/>
  <c r="H20" i="183"/>
  <c r="I20" i="183" s="1"/>
  <c r="H39" i="183"/>
  <c r="H20" i="181"/>
  <c r="I20" i="181" s="1"/>
  <c r="H39" i="181"/>
  <c r="H26" i="181"/>
  <c r="I26" i="181" s="1"/>
  <c r="H20" i="182"/>
  <c r="I20" i="182" s="1"/>
  <c r="H26" i="182"/>
  <c r="I26" i="182" s="1"/>
  <c r="H39" i="182"/>
  <c r="H39" i="180"/>
  <c r="H20" i="180"/>
  <c r="I20" i="180" s="1"/>
  <c r="C8" i="198" l="1"/>
  <c r="B30" i="198" s="1"/>
  <c r="D30" i="198" s="1"/>
  <c r="H13" i="197"/>
  <c r="I13" i="197" s="1"/>
  <c r="E26" i="189"/>
  <c r="G14" i="197"/>
  <c r="E31" i="186"/>
  <c r="E26" i="186"/>
  <c r="E36" i="186"/>
  <c r="E30" i="186"/>
  <c r="E35" i="186"/>
  <c r="E27" i="186"/>
  <c r="E37" i="186"/>
  <c r="H13" i="190"/>
  <c r="I13" i="190" s="1"/>
  <c r="H22" i="186"/>
  <c r="I22" i="186" s="1"/>
  <c r="G14" i="190"/>
  <c r="E26" i="198"/>
  <c r="D34" i="198"/>
  <c r="H34" i="198" s="1"/>
  <c r="I34" i="198" s="1"/>
  <c r="E30" i="198"/>
  <c r="G30" i="198" s="1"/>
  <c r="E25" i="198"/>
  <c r="E23" i="198"/>
  <c r="G23" i="198" s="1"/>
  <c r="B23" i="197"/>
  <c r="D23" i="197" s="1"/>
  <c r="B29" i="197"/>
  <c r="D29" i="197" s="1"/>
  <c r="B30" i="197"/>
  <c r="D30" i="197" s="1"/>
  <c r="E29" i="198"/>
  <c r="G29" i="198" s="1"/>
  <c r="E37" i="187"/>
  <c r="E36" i="187"/>
  <c r="E35" i="187"/>
  <c r="E31" i="187"/>
  <c r="E30" i="187"/>
  <c r="E27" i="187"/>
  <c r="E26" i="187"/>
  <c r="E36" i="188"/>
  <c r="E31" i="188"/>
  <c r="E27" i="188"/>
  <c r="E37" i="188"/>
  <c r="E35" i="188"/>
  <c r="E30" i="188"/>
  <c r="E26" i="188"/>
  <c r="E37" i="189"/>
  <c r="E36" i="189"/>
  <c r="E35" i="189"/>
  <c r="E31" i="189"/>
  <c r="E30" i="189"/>
  <c r="E26" i="190"/>
  <c r="E37" i="190"/>
  <c r="E36" i="190"/>
  <c r="E35" i="190"/>
  <c r="E31" i="190"/>
  <c r="E30" i="190"/>
  <c r="G20" i="198"/>
  <c r="H20" i="198" s="1"/>
  <c r="I20" i="198" s="1"/>
  <c r="D12" i="190"/>
  <c r="D14" i="190" s="1"/>
  <c r="H32" i="146"/>
  <c r="I32" i="146" s="1"/>
  <c r="H14" i="157"/>
  <c r="I14" i="157" s="1"/>
  <c r="H33" i="157"/>
  <c r="I33" i="157" s="1"/>
  <c r="H22" i="144"/>
  <c r="I22" i="144" s="1"/>
  <c r="D32" i="144"/>
  <c r="H32" i="144" s="1"/>
  <c r="I32" i="144" s="1"/>
  <c r="H28" i="144"/>
  <c r="I28" i="144" s="1"/>
  <c r="E23" i="186"/>
  <c r="D23" i="189"/>
  <c r="D13" i="189"/>
  <c r="H13" i="189" s="1"/>
  <c r="I13" i="189" s="1"/>
  <c r="H22" i="188"/>
  <c r="I22" i="188" s="1"/>
  <c r="H20" i="197"/>
  <c r="I20" i="197" s="1"/>
  <c r="D12" i="197"/>
  <c r="D14" i="197" s="1"/>
  <c r="E21" i="188"/>
  <c r="E23" i="188"/>
  <c r="G31" i="198"/>
  <c r="E13" i="198"/>
  <c r="G13" i="198" s="1"/>
  <c r="D13" i="198"/>
  <c r="E12" i="198"/>
  <c r="G12" i="198" s="1"/>
  <c r="D12" i="198"/>
  <c r="H34" i="197"/>
  <c r="I34" i="197" s="1"/>
  <c r="G30" i="197"/>
  <c r="G31" i="197"/>
  <c r="D31" i="197"/>
  <c r="G29" i="197"/>
  <c r="G23" i="197"/>
  <c r="D40" i="190"/>
  <c r="E40" i="190"/>
  <c r="G40" i="190" s="1"/>
  <c r="G18" i="190"/>
  <c r="H15" i="190"/>
  <c r="I15" i="190" s="1"/>
  <c r="H16" i="190"/>
  <c r="I16" i="190" s="1"/>
  <c r="H17" i="190"/>
  <c r="I17" i="190" s="1"/>
  <c r="D18" i="190"/>
  <c r="H16" i="189"/>
  <c r="I16" i="189" s="1"/>
  <c r="D40" i="189"/>
  <c r="E40" i="189"/>
  <c r="G40" i="189" s="1"/>
  <c r="D18" i="189"/>
  <c r="H17" i="189"/>
  <c r="I17" i="189" s="1"/>
  <c r="G18" i="189"/>
  <c r="H15" i="189"/>
  <c r="I15" i="189" s="1"/>
  <c r="E13" i="188"/>
  <c r="G13" i="188" s="1"/>
  <c r="D13" i="188"/>
  <c r="H15" i="188"/>
  <c r="I15" i="188" s="1"/>
  <c r="G40" i="188"/>
  <c r="D40" i="188"/>
  <c r="E17" i="188"/>
  <c r="G17" i="188" s="1"/>
  <c r="G18" i="188" s="1"/>
  <c r="D17" i="188"/>
  <c r="D18" i="188" s="1"/>
  <c r="E12" i="188"/>
  <c r="G12" i="188" s="1"/>
  <c r="D12" i="188"/>
  <c r="H16" i="188"/>
  <c r="I16" i="188" s="1"/>
  <c r="E17" i="187"/>
  <c r="G17" i="187" s="1"/>
  <c r="D17" i="187"/>
  <c r="G40" i="187"/>
  <c r="D40" i="187"/>
  <c r="D13" i="187"/>
  <c r="E13" i="187"/>
  <c r="G13" i="187" s="1"/>
  <c r="E15" i="187"/>
  <c r="G15" i="187" s="1"/>
  <c r="D15" i="187"/>
  <c r="E16" i="187"/>
  <c r="G16" i="187" s="1"/>
  <c r="D16" i="187"/>
  <c r="E23" i="187"/>
  <c r="G23" i="187" s="1"/>
  <c r="D23" i="187"/>
  <c r="E21" i="187"/>
  <c r="E12" i="187"/>
  <c r="G12" i="187" s="1"/>
  <c r="D12" i="187"/>
  <c r="E12" i="186"/>
  <c r="G12" i="186" s="1"/>
  <c r="G40" i="186"/>
  <c r="D40" i="186"/>
  <c r="G17" i="186"/>
  <c r="D18" i="186"/>
  <c r="E13" i="186"/>
  <c r="G13" i="186" s="1"/>
  <c r="B29" i="198" l="1"/>
  <c r="D29" i="198" s="1"/>
  <c r="H29" i="198" s="1"/>
  <c r="I29" i="198" s="1"/>
  <c r="B31" i="198"/>
  <c r="D31" i="198" s="1"/>
  <c r="H31" i="198" s="1"/>
  <c r="I31" i="198" s="1"/>
  <c r="B23" i="198"/>
  <c r="D23" i="198" s="1"/>
  <c r="H23" i="198" s="1"/>
  <c r="I23" i="198" s="1"/>
  <c r="H30" i="198"/>
  <c r="I30" i="198" s="1"/>
  <c r="H14" i="197"/>
  <c r="I14" i="197" s="1"/>
  <c r="H14" i="190"/>
  <c r="I14" i="190" s="1"/>
  <c r="D18" i="187"/>
  <c r="H12" i="190"/>
  <c r="I12" i="190" s="1"/>
  <c r="H12" i="197"/>
  <c r="I12" i="197" s="1"/>
  <c r="D14" i="189"/>
  <c r="H14" i="189" s="1"/>
  <c r="I14" i="189" s="1"/>
  <c r="D14" i="198"/>
  <c r="G14" i="198"/>
  <c r="H12" i="198"/>
  <c r="I12" i="198" s="1"/>
  <c r="G33" i="198"/>
  <c r="H13" i="198"/>
  <c r="I13" i="198" s="1"/>
  <c r="D33" i="197"/>
  <c r="H30" i="197"/>
  <c r="I30" i="197" s="1"/>
  <c r="G33" i="197"/>
  <c r="H29" i="197"/>
  <c r="I29" i="197" s="1"/>
  <c r="H31" i="197"/>
  <c r="I31" i="197" s="1"/>
  <c r="H23" i="197"/>
  <c r="I23" i="197" s="1"/>
  <c r="D37" i="190"/>
  <c r="G37" i="190"/>
  <c r="H18" i="190"/>
  <c r="I18" i="190" s="1"/>
  <c r="G27" i="190"/>
  <c r="D27" i="190"/>
  <c r="D36" i="190"/>
  <c r="G36" i="190"/>
  <c r="H40" i="190"/>
  <c r="D35" i="190"/>
  <c r="G35" i="190"/>
  <c r="G26" i="190"/>
  <c r="D26" i="190"/>
  <c r="G27" i="189"/>
  <c r="D27" i="189"/>
  <c r="D36" i="189"/>
  <c r="G36" i="189"/>
  <c r="G26" i="189"/>
  <c r="D26" i="189"/>
  <c r="H18" i="189"/>
  <c r="I18" i="189" s="1"/>
  <c r="H40" i="189"/>
  <c r="G35" i="189"/>
  <c r="D35" i="189"/>
  <c r="D37" i="189"/>
  <c r="G37" i="189"/>
  <c r="D14" i="188"/>
  <c r="H18" i="188"/>
  <c r="I18" i="188" s="1"/>
  <c r="G35" i="188"/>
  <c r="G14" i="188"/>
  <c r="H12" i="188"/>
  <c r="I12" i="188" s="1"/>
  <c r="H40" i="188"/>
  <c r="G36" i="188"/>
  <c r="H17" i="188"/>
  <c r="I17" i="188" s="1"/>
  <c r="H13" i="188"/>
  <c r="I13" i="188" s="1"/>
  <c r="G26" i="188"/>
  <c r="G27" i="188"/>
  <c r="G37" i="188"/>
  <c r="D14" i="187"/>
  <c r="D26" i="187"/>
  <c r="G26" i="187"/>
  <c r="G35" i="187"/>
  <c r="D35" i="187"/>
  <c r="H23" i="187"/>
  <c r="I23" i="187" s="1"/>
  <c r="H16" i="187"/>
  <c r="I16" i="187" s="1"/>
  <c r="H17" i="187"/>
  <c r="I17" i="187" s="1"/>
  <c r="H12" i="187"/>
  <c r="I12" i="187" s="1"/>
  <c r="G14" i="187"/>
  <c r="G36" i="187"/>
  <c r="D36" i="187"/>
  <c r="G27" i="187"/>
  <c r="D27" i="187"/>
  <c r="G37" i="187"/>
  <c r="D37" i="187"/>
  <c r="G18" i="187"/>
  <c r="H15" i="187"/>
  <c r="I15" i="187" s="1"/>
  <c r="H40" i="187"/>
  <c r="H13" i="187"/>
  <c r="I13" i="187" s="1"/>
  <c r="G27" i="186"/>
  <c r="D27" i="186"/>
  <c r="G37" i="186"/>
  <c r="D37" i="186"/>
  <c r="H40" i="186"/>
  <c r="H13" i="186"/>
  <c r="I13" i="186" s="1"/>
  <c r="H17" i="186"/>
  <c r="I17" i="186" s="1"/>
  <c r="G18" i="186"/>
  <c r="D14" i="186"/>
  <c r="D26" i="186"/>
  <c r="G26" i="186"/>
  <c r="G35" i="186"/>
  <c r="D35" i="186"/>
  <c r="G14" i="186"/>
  <c r="H12" i="186"/>
  <c r="I12" i="186" s="1"/>
  <c r="G36" i="186"/>
  <c r="D36" i="186"/>
  <c r="D33" i="198" l="1"/>
  <c r="H33" i="198" s="1"/>
  <c r="I33" i="198" s="1"/>
  <c r="H14" i="198"/>
  <c r="I14" i="198" s="1"/>
  <c r="H33" i="197"/>
  <c r="I33" i="197" s="1"/>
  <c r="D39" i="190"/>
  <c r="H26" i="190"/>
  <c r="I26" i="190" s="1"/>
  <c r="H27" i="190"/>
  <c r="I27" i="190" s="1"/>
  <c r="G39" i="190"/>
  <c r="H35" i="190"/>
  <c r="I35" i="190" s="1"/>
  <c r="H36" i="190"/>
  <c r="I36" i="190" s="1"/>
  <c r="H37" i="190"/>
  <c r="I37" i="190" s="1"/>
  <c r="H26" i="189"/>
  <c r="I26" i="189" s="1"/>
  <c r="G39" i="189"/>
  <c r="H35" i="189"/>
  <c r="I35" i="189" s="1"/>
  <c r="H27" i="189"/>
  <c r="I27" i="189" s="1"/>
  <c r="H36" i="189"/>
  <c r="I36" i="189" s="1"/>
  <c r="H37" i="189"/>
  <c r="I37" i="189" s="1"/>
  <c r="D39" i="189"/>
  <c r="H14" i="188"/>
  <c r="I14" i="188" s="1"/>
  <c r="G39" i="188"/>
  <c r="D39" i="187"/>
  <c r="H18" i="187"/>
  <c r="I18" i="187" s="1"/>
  <c r="H27" i="187"/>
  <c r="I27" i="187" s="1"/>
  <c r="H14" i="187"/>
  <c r="I14" i="187" s="1"/>
  <c r="H35" i="187"/>
  <c r="I35" i="187" s="1"/>
  <c r="G39" i="187"/>
  <c r="H36" i="187"/>
  <c r="I36" i="187" s="1"/>
  <c r="H26" i="187"/>
  <c r="I26" i="187" s="1"/>
  <c r="H37" i="187"/>
  <c r="I37" i="187" s="1"/>
  <c r="D39" i="186"/>
  <c r="H37" i="186"/>
  <c r="I37" i="186" s="1"/>
  <c r="H35" i="186"/>
  <c r="I35" i="186" s="1"/>
  <c r="G39" i="186"/>
  <c r="H18" i="186"/>
  <c r="I18" i="186" s="1"/>
  <c r="H36" i="186"/>
  <c r="I36" i="186" s="1"/>
  <c r="H14" i="186"/>
  <c r="I14" i="186" s="1"/>
  <c r="H26" i="186"/>
  <c r="I26" i="186" s="1"/>
  <c r="H27" i="186"/>
  <c r="I27" i="186" s="1"/>
  <c r="H39" i="190" l="1"/>
  <c r="I39" i="190" s="1"/>
  <c r="H39" i="189"/>
  <c r="I39" i="189" s="1"/>
  <c r="H39" i="187"/>
  <c r="I39" i="187" s="1"/>
  <c r="H39" i="186"/>
  <c r="I39" i="186" s="1"/>
  <c r="D45" i="179" l="1"/>
  <c r="C45" i="179"/>
  <c r="D43" i="179"/>
  <c r="C43" i="179"/>
  <c r="C42" i="179"/>
  <c r="C39" i="179"/>
  <c r="C38" i="179"/>
  <c r="C35" i="179"/>
  <c r="C30" i="179"/>
  <c r="C27" i="179"/>
  <c r="C23" i="179"/>
  <c r="D13" i="179"/>
  <c r="C13" i="179"/>
  <c r="D11" i="179"/>
  <c r="C10" i="179"/>
  <c r="C6" i="179"/>
  <c r="C18" i="139" l="1"/>
  <c r="D18" i="139" s="1"/>
  <c r="C16" i="139"/>
  <c r="D16" i="139" s="1"/>
  <c r="C23" i="139"/>
  <c r="D23" i="139" s="1"/>
  <c r="H23" i="139" s="1"/>
  <c r="I23" i="139" s="1"/>
  <c r="C22" i="139"/>
  <c r="D22" i="139" s="1"/>
  <c r="D24" i="139" l="1"/>
  <c r="H24" i="139" s="1"/>
  <c r="I24" i="139" s="1"/>
  <c r="H22" i="139"/>
  <c r="I22" i="139" s="1"/>
  <c r="D21" i="139"/>
  <c r="D25" i="139"/>
  <c r="C19" i="118"/>
  <c r="C19" i="186"/>
  <c r="D19" i="186" s="1"/>
  <c r="C19" i="117"/>
  <c r="C19" i="116"/>
  <c r="C25" i="198"/>
  <c r="C15" i="157"/>
  <c r="D15" i="157" s="1"/>
  <c r="C15" i="197"/>
  <c r="D15" i="197" s="1"/>
  <c r="C26" i="160"/>
  <c r="C15" i="144"/>
  <c r="D15" i="144" s="1"/>
  <c r="C25" i="157"/>
  <c r="C15" i="198"/>
  <c r="D15" i="198" s="1"/>
  <c r="C25" i="197"/>
  <c r="C15" i="160"/>
  <c r="D15" i="160" s="1"/>
  <c r="C24" i="144"/>
  <c r="C25" i="160"/>
  <c r="C25" i="144"/>
  <c r="C26" i="198"/>
  <c r="C18" i="157"/>
  <c r="D18" i="157" s="1"/>
  <c r="C18" i="197"/>
  <c r="D18" i="197" s="1"/>
  <c r="C18" i="144"/>
  <c r="D18" i="144" s="1"/>
  <c r="C26" i="157"/>
  <c r="C18" i="198"/>
  <c r="D18" i="198" s="1"/>
  <c r="C26" i="197"/>
  <c r="C18" i="160"/>
  <c r="D18" i="160" s="1"/>
  <c r="C18" i="141"/>
  <c r="D18" i="141" s="1"/>
  <c r="C18" i="151"/>
  <c r="C18" i="154"/>
  <c r="D18" i="154" s="1"/>
  <c r="C25" i="154"/>
  <c r="C25" i="151"/>
  <c r="C24" i="141"/>
  <c r="C15" i="154"/>
  <c r="D15" i="154" s="1"/>
  <c r="C15" i="141"/>
  <c r="D15" i="141" s="1"/>
  <c r="C15" i="151"/>
  <c r="D15" i="151" s="1"/>
  <c r="C26" i="154"/>
  <c r="C26" i="151"/>
  <c r="C25" i="141"/>
  <c r="C22" i="137"/>
  <c r="C22" i="138"/>
  <c r="C19" i="190"/>
  <c r="D19" i="190" s="1"/>
  <c r="C19" i="131"/>
  <c r="C19" i="133"/>
  <c r="C19" i="132"/>
  <c r="C16" i="135"/>
  <c r="C16" i="134"/>
  <c r="C16" i="136"/>
  <c r="C21" i="190"/>
  <c r="D21" i="190" s="1"/>
  <c r="C21" i="133"/>
  <c r="C21" i="132"/>
  <c r="C21" i="131"/>
  <c r="C30" i="187"/>
  <c r="D30" i="187" s="1"/>
  <c r="C30" i="122"/>
  <c r="D30" i="122" s="1"/>
  <c r="C30" i="124"/>
  <c r="D30" i="124" s="1"/>
  <c r="C30" i="123"/>
  <c r="D30" i="123" s="1"/>
  <c r="C18" i="137"/>
  <c r="C18" i="138"/>
  <c r="C24" i="146"/>
  <c r="C24" i="148"/>
  <c r="C24" i="199"/>
  <c r="C30" i="127"/>
  <c r="C30" i="125"/>
  <c r="C30" i="188"/>
  <c r="C30" i="126"/>
  <c r="C25" i="146"/>
  <c r="C25" i="199"/>
  <c r="C25" i="148"/>
  <c r="C31" i="127"/>
  <c r="C31" i="125"/>
  <c r="C31" i="126"/>
  <c r="C31" i="188"/>
  <c r="C31" i="128"/>
  <c r="C31" i="129"/>
  <c r="C31" i="189"/>
  <c r="C31" i="130"/>
  <c r="C18" i="135"/>
  <c r="C18" i="136"/>
  <c r="C18" i="134"/>
  <c r="C16" i="138"/>
  <c r="C16" i="137"/>
  <c r="C31" i="124"/>
  <c r="C31" i="122"/>
  <c r="C31" i="123"/>
  <c r="C31" i="187"/>
  <c r="C30" i="133"/>
  <c r="C30" i="131"/>
  <c r="C30" i="190"/>
  <c r="C30" i="132"/>
  <c r="C22" i="134"/>
  <c r="C22" i="136"/>
  <c r="C22" i="135"/>
  <c r="C19" i="129"/>
  <c r="C19" i="130"/>
  <c r="C19" i="128"/>
  <c r="C19" i="189"/>
  <c r="D19" i="189" s="1"/>
  <c r="C23" i="137"/>
  <c r="C23" i="138"/>
  <c r="C30" i="130"/>
  <c r="C30" i="128"/>
  <c r="C30" i="129"/>
  <c r="C30" i="189"/>
  <c r="C31" i="133"/>
  <c r="C31" i="132"/>
  <c r="C31" i="190"/>
  <c r="C31" i="131"/>
  <c r="C23" i="136"/>
  <c r="C23" i="134"/>
  <c r="C23" i="135"/>
  <c r="C21" i="189"/>
  <c r="D21" i="189" s="1"/>
  <c r="C21" i="128"/>
  <c r="C21" i="130"/>
  <c r="C21" i="129"/>
  <c r="C16" i="146"/>
  <c r="D16" i="146" s="1"/>
  <c r="C16" i="148"/>
  <c r="D16" i="148" s="1"/>
  <c r="C16" i="199"/>
  <c r="D16" i="199" s="1"/>
  <c r="C19" i="199"/>
  <c r="C19" i="148"/>
  <c r="D19" i="148" s="1"/>
  <c r="C19" i="146"/>
  <c r="D19" i="146" s="1"/>
  <c r="D22" i="148"/>
  <c r="H22" i="148" s="1"/>
  <c r="I22" i="148" s="1"/>
  <c r="D22" i="146"/>
  <c r="H22" i="146" s="1"/>
  <c r="I22" i="146" s="1"/>
  <c r="D22" i="154" l="1"/>
  <c r="D24" i="154" s="1"/>
  <c r="D32" i="139"/>
  <c r="D21" i="141"/>
  <c r="D24" i="190"/>
  <c r="D29" i="190" s="1"/>
  <c r="D24" i="189"/>
  <c r="D28" i="189" s="1"/>
  <c r="D23" i="146"/>
  <c r="D22" i="198"/>
  <c r="D24" i="198" s="1"/>
  <c r="D22" i="197"/>
  <c r="D24" i="197" s="1"/>
  <c r="D23" i="148"/>
  <c r="D33" i="139" l="1"/>
  <c r="D34" i="139" s="1"/>
  <c r="D35" i="139"/>
  <c r="C19" i="185"/>
  <c r="D19" i="185" s="1"/>
  <c r="C19" i="113"/>
  <c r="C19" i="112"/>
  <c r="C19" i="115"/>
  <c r="C21" i="112"/>
  <c r="C21" i="185"/>
  <c r="C21" i="115"/>
  <c r="C21" i="113"/>
  <c r="D28" i="190"/>
  <c r="D29" i="189"/>
  <c r="C21" i="187"/>
  <c r="D21" i="187" s="1"/>
  <c r="C21" i="123"/>
  <c r="C21" i="122"/>
  <c r="C21" i="124"/>
  <c r="C21" i="127"/>
  <c r="C21" i="125"/>
  <c r="C21" i="126"/>
  <c r="C21" i="188"/>
  <c r="D21" i="188" s="1"/>
  <c r="C19" i="125"/>
  <c r="C19" i="126"/>
  <c r="C19" i="188"/>
  <c r="D19" i="188" s="1"/>
  <c r="C19" i="127"/>
  <c r="C19" i="123"/>
  <c r="C19" i="122"/>
  <c r="C19" i="187"/>
  <c r="D19" i="187" s="1"/>
  <c r="C19" i="124"/>
  <c r="F48" i="112"/>
  <c r="F43" i="112"/>
  <c r="F48" i="115"/>
  <c r="F43" i="115"/>
  <c r="F48" i="113"/>
  <c r="F43" i="113"/>
  <c r="D36" i="139" l="1"/>
  <c r="E45" i="179" s="1"/>
  <c r="D24" i="187"/>
  <c r="D28" i="187" s="1"/>
  <c r="D24" i="188"/>
  <c r="F35" i="138"/>
  <c r="F33" i="138"/>
  <c r="F31" i="138"/>
  <c r="F29" i="138"/>
  <c r="E29" i="138"/>
  <c r="D29" i="138"/>
  <c r="B20" i="138"/>
  <c r="E20" i="138" s="1"/>
  <c r="E17" i="138"/>
  <c r="G17" i="138" s="1"/>
  <c r="D17" i="138"/>
  <c r="E16" i="138"/>
  <c r="F14" i="138"/>
  <c r="E14" i="138"/>
  <c r="D14" i="138"/>
  <c r="F13" i="138"/>
  <c r="F35" i="137"/>
  <c r="F33" i="137"/>
  <c r="F31" i="137"/>
  <c r="B31" i="137"/>
  <c r="E31" i="137" s="1"/>
  <c r="F29" i="137"/>
  <c r="E29" i="137"/>
  <c r="G29" i="137" s="1"/>
  <c r="D29" i="137"/>
  <c r="B20" i="137"/>
  <c r="E20" i="137" s="1"/>
  <c r="E17" i="137"/>
  <c r="G17" i="137" s="1"/>
  <c r="D17" i="137"/>
  <c r="E16" i="137"/>
  <c r="F14" i="137"/>
  <c r="E14" i="137"/>
  <c r="G14" i="137" s="1"/>
  <c r="D14" i="137"/>
  <c r="F13" i="137"/>
  <c r="B7" i="137"/>
  <c r="B9" i="137"/>
  <c r="F35" i="136"/>
  <c r="F33" i="136"/>
  <c r="F31" i="136"/>
  <c r="B31" i="136"/>
  <c r="D31" i="136" s="1"/>
  <c r="F29" i="136"/>
  <c r="E29" i="136"/>
  <c r="G29" i="136" s="1"/>
  <c r="D29" i="136"/>
  <c r="B20" i="136"/>
  <c r="E20" i="136" s="1"/>
  <c r="E17" i="136"/>
  <c r="G17" i="136" s="1"/>
  <c r="D17" i="136"/>
  <c r="E16" i="136"/>
  <c r="F14" i="136"/>
  <c r="E14" i="136"/>
  <c r="D14" i="136"/>
  <c r="F13" i="136"/>
  <c r="B7" i="136"/>
  <c r="B9" i="136"/>
  <c r="F35" i="135"/>
  <c r="F33" i="135"/>
  <c r="F31" i="135"/>
  <c r="F29" i="135"/>
  <c r="E29" i="135"/>
  <c r="G29" i="135" s="1"/>
  <c r="D29" i="135"/>
  <c r="B20" i="135"/>
  <c r="E20" i="135" s="1"/>
  <c r="E17" i="135"/>
  <c r="G17" i="135" s="1"/>
  <c r="D17" i="135"/>
  <c r="E16" i="135"/>
  <c r="D16" i="135"/>
  <c r="F14" i="135"/>
  <c r="E14" i="135"/>
  <c r="D14" i="135"/>
  <c r="F13" i="135"/>
  <c r="D17" i="134"/>
  <c r="B9" i="134"/>
  <c r="F35" i="134"/>
  <c r="F33" i="134"/>
  <c r="F31" i="134"/>
  <c r="B31" i="134"/>
  <c r="E31" i="134" s="1"/>
  <c r="G31" i="134" s="1"/>
  <c r="F29" i="134"/>
  <c r="E29" i="134"/>
  <c r="G29" i="134" s="1"/>
  <c r="D29" i="134"/>
  <c r="B20" i="134"/>
  <c r="E20" i="134" s="1"/>
  <c r="E17" i="134"/>
  <c r="G17" i="134" s="1"/>
  <c r="E16" i="134"/>
  <c r="F14" i="134"/>
  <c r="E14" i="134"/>
  <c r="D14" i="134"/>
  <c r="F13" i="134"/>
  <c r="B7" i="134"/>
  <c r="F49" i="133"/>
  <c r="F47" i="133"/>
  <c r="F44" i="133"/>
  <c r="F42" i="133"/>
  <c r="F40" i="133"/>
  <c r="B40" i="133"/>
  <c r="D40" i="133" s="1"/>
  <c r="F38" i="133"/>
  <c r="E38" i="133"/>
  <c r="D38" i="133"/>
  <c r="C27" i="133"/>
  <c r="F27" i="133" s="1"/>
  <c r="G25" i="133"/>
  <c r="D25" i="133"/>
  <c r="E20" i="133"/>
  <c r="G20" i="133" s="1"/>
  <c r="D20" i="133"/>
  <c r="E19" i="133"/>
  <c r="F17" i="133"/>
  <c r="B17" i="133"/>
  <c r="D17" i="133" s="1"/>
  <c r="F16" i="133"/>
  <c r="B16" i="133"/>
  <c r="D16" i="133" s="1"/>
  <c r="F15" i="133"/>
  <c r="B15" i="133"/>
  <c r="D15" i="133" s="1"/>
  <c r="F13" i="133"/>
  <c r="F12" i="133"/>
  <c r="B8" i="133"/>
  <c r="E27" i="133" s="1"/>
  <c r="F49" i="132"/>
  <c r="F47" i="132"/>
  <c r="F44" i="132"/>
  <c r="F42" i="132"/>
  <c r="F40" i="132"/>
  <c r="F38" i="132"/>
  <c r="E38" i="132"/>
  <c r="G38" i="132" s="1"/>
  <c r="D38" i="132"/>
  <c r="C27" i="132"/>
  <c r="F27" i="132" s="1"/>
  <c r="G25" i="132"/>
  <c r="D25" i="132"/>
  <c r="E20" i="132"/>
  <c r="G20" i="132" s="1"/>
  <c r="D20" i="132"/>
  <c r="E19" i="132"/>
  <c r="F17" i="132"/>
  <c r="F16" i="132"/>
  <c r="F15" i="132"/>
  <c r="F13" i="132"/>
  <c r="F12" i="132"/>
  <c r="F49" i="131"/>
  <c r="F47" i="131"/>
  <c r="F44" i="131"/>
  <c r="F42" i="131"/>
  <c r="F40" i="131"/>
  <c r="B40" i="131"/>
  <c r="E40" i="131" s="1"/>
  <c r="F38" i="131"/>
  <c r="E38" i="131"/>
  <c r="D38" i="131"/>
  <c r="C27" i="131"/>
  <c r="F27" i="131" s="1"/>
  <c r="G25" i="131"/>
  <c r="D25" i="131"/>
  <c r="E20" i="131"/>
  <c r="G20" i="131" s="1"/>
  <c r="D20" i="131"/>
  <c r="E19" i="131"/>
  <c r="F17" i="131"/>
  <c r="B17" i="131"/>
  <c r="E17" i="131" s="1"/>
  <c r="F16" i="131"/>
  <c r="B16" i="131"/>
  <c r="E16" i="131" s="1"/>
  <c r="G16" i="131" s="1"/>
  <c r="F15" i="131"/>
  <c r="B15" i="131"/>
  <c r="E15" i="131" s="1"/>
  <c r="F13" i="131"/>
  <c r="F12" i="131"/>
  <c r="B8" i="131"/>
  <c r="E27" i="131" s="1"/>
  <c r="F49" i="130"/>
  <c r="F47" i="130"/>
  <c r="F44" i="130"/>
  <c r="F42" i="130"/>
  <c r="F40" i="130"/>
  <c r="B40" i="130"/>
  <c r="D40" i="130" s="1"/>
  <c r="F38" i="130"/>
  <c r="E38" i="130"/>
  <c r="D38" i="130"/>
  <c r="C27" i="130"/>
  <c r="F27" i="130" s="1"/>
  <c r="G25" i="130"/>
  <c r="D25" i="130"/>
  <c r="E20" i="130"/>
  <c r="G20" i="130" s="1"/>
  <c r="D20" i="130"/>
  <c r="E19" i="130"/>
  <c r="F17" i="130"/>
  <c r="B17" i="130"/>
  <c r="D17" i="130" s="1"/>
  <c r="F16" i="130"/>
  <c r="B16" i="130"/>
  <c r="D16" i="130" s="1"/>
  <c r="F15" i="130"/>
  <c r="B15" i="130"/>
  <c r="D15" i="130" s="1"/>
  <c r="F13" i="130"/>
  <c r="F12" i="130"/>
  <c r="B8" i="130"/>
  <c r="F49" i="129"/>
  <c r="F47" i="129"/>
  <c r="F44" i="129"/>
  <c r="F42" i="129"/>
  <c r="F40" i="129"/>
  <c r="F38" i="129"/>
  <c r="E38" i="129"/>
  <c r="D38" i="129"/>
  <c r="C27" i="129"/>
  <c r="F27" i="129" s="1"/>
  <c r="G25" i="129"/>
  <c r="D25" i="129"/>
  <c r="E20" i="129"/>
  <c r="G20" i="129" s="1"/>
  <c r="D20" i="129"/>
  <c r="E19" i="129"/>
  <c r="F17" i="129"/>
  <c r="F16" i="129"/>
  <c r="F15" i="129"/>
  <c r="F13" i="129"/>
  <c r="F12" i="129"/>
  <c r="G25" i="128"/>
  <c r="D25" i="128"/>
  <c r="D20" i="128"/>
  <c r="B8" i="128"/>
  <c r="F49" i="128"/>
  <c r="F47" i="128"/>
  <c r="F44" i="128"/>
  <c r="F42" i="128"/>
  <c r="F40" i="128"/>
  <c r="B40" i="128"/>
  <c r="E40" i="128" s="1"/>
  <c r="F38" i="128"/>
  <c r="E38" i="128"/>
  <c r="D38" i="128"/>
  <c r="C27" i="128"/>
  <c r="F27" i="128" s="1"/>
  <c r="E20" i="128"/>
  <c r="G20" i="128" s="1"/>
  <c r="E19" i="128"/>
  <c r="F17" i="128"/>
  <c r="B17" i="128"/>
  <c r="D17" i="128" s="1"/>
  <c r="F16" i="128"/>
  <c r="B16" i="128"/>
  <c r="D16" i="128" s="1"/>
  <c r="F15" i="128"/>
  <c r="B15" i="128"/>
  <c r="D15" i="128" s="1"/>
  <c r="F13" i="128"/>
  <c r="F12" i="128"/>
  <c r="F49" i="127"/>
  <c r="F47" i="127"/>
  <c r="F44" i="127"/>
  <c r="F42" i="127"/>
  <c r="F40" i="127"/>
  <c r="D40" i="127"/>
  <c r="F38" i="127"/>
  <c r="E38" i="127"/>
  <c r="D38" i="127"/>
  <c r="G25" i="127"/>
  <c r="D25" i="127"/>
  <c r="E20" i="127"/>
  <c r="G20" i="127" s="1"/>
  <c r="D20" i="127"/>
  <c r="E19" i="127"/>
  <c r="F17" i="127"/>
  <c r="B17" i="127"/>
  <c r="D17" i="127" s="1"/>
  <c r="F16" i="127"/>
  <c r="B16" i="127"/>
  <c r="D16" i="127" s="1"/>
  <c r="F15" i="127"/>
  <c r="B15" i="127"/>
  <c r="D15" i="127" s="1"/>
  <c r="F13" i="127"/>
  <c r="F26" i="127" s="1"/>
  <c r="F12" i="127"/>
  <c r="B8" i="127"/>
  <c r="F49" i="126"/>
  <c r="F47" i="126"/>
  <c r="F44" i="126"/>
  <c r="F42" i="126"/>
  <c r="F40" i="126"/>
  <c r="G40" i="126"/>
  <c r="F38" i="126"/>
  <c r="E38" i="126"/>
  <c r="D38" i="126"/>
  <c r="G25" i="126"/>
  <c r="D25" i="126"/>
  <c r="E20" i="126"/>
  <c r="G20" i="126" s="1"/>
  <c r="D20" i="126"/>
  <c r="E19" i="126"/>
  <c r="F17" i="126"/>
  <c r="B17" i="126"/>
  <c r="D17" i="126" s="1"/>
  <c r="F16" i="126"/>
  <c r="B16" i="126"/>
  <c r="D16" i="126" s="1"/>
  <c r="F15" i="126"/>
  <c r="B15" i="126"/>
  <c r="D15" i="126" s="1"/>
  <c r="F13" i="126"/>
  <c r="F26" i="126" s="1"/>
  <c r="F12" i="126"/>
  <c r="B8" i="126"/>
  <c r="G25" i="125"/>
  <c r="D25" i="125"/>
  <c r="D20" i="125"/>
  <c r="B8" i="125"/>
  <c r="F49" i="125"/>
  <c r="F47" i="125"/>
  <c r="F44" i="125"/>
  <c r="F42" i="125"/>
  <c r="F40" i="125"/>
  <c r="G40" i="125" s="1"/>
  <c r="F38" i="125"/>
  <c r="E38" i="125"/>
  <c r="G38" i="125" s="1"/>
  <c r="D38" i="125"/>
  <c r="E20" i="125"/>
  <c r="G20" i="125" s="1"/>
  <c r="E19" i="125"/>
  <c r="F17" i="125"/>
  <c r="B17" i="125"/>
  <c r="E17" i="125" s="1"/>
  <c r="F16" i="125"/>
  <c r="B16" i="125"/>
  <c r="E16" i="125" s="1"/>
  <c r="F15" i="125"/>
  <c r="B15" i="125"/>
  <c r="E15" i="125" s="1"/>
  <c r="F13" i="125"/>
  <c r="F12" i="125"/>
  <c r="F26" i="125" s="1"/>
  <c r="F49" i="124"/>
  <c r="F47" i="124"/>
  <c r="F44" i="124"/>
  <c r="F42" i="124"/>
  <c r="F40" i="124"/>
  <c r="G40" i="124" s="1"/>
  <c r="D40" i="124"/>
  <c r="F38" i="124"/>
  <c r="E38" i="124"/>
  <c r="D38" i="124"/>
  <c r="G25" i="124"/>
  <c r="D25" i="124"/>
  <c r="E20" i="124"/>
  <c r="G20" i="124" s="1"/>
  <c r="D20" i="124"/>
  <c r="E19" i="124"/>
  <c r="F17" i="124"/>
  <c r="B17" i="124"/>
  <c r="D17" i="124" s="1"/>
  <c r="F16" i="124"/>
  <c r="B16" i="124"/>
  <c r="D16" i="124" s="1"/>
  <c r="F15" i="124"/>
  <c r="B15" i="124"/>
  <c r="D15" i="124" s="1"/>
  <c r="F13" i="124"/>
  <c r="F26" i="124" s="1"/>
  <c r="F12" i="124"/>
  <c r="B8" i="124"/>
  <c r="F49" i="123"/>
  <c r="F47" i="123"/>
  <c r="F44" i="123"/>
  <c r="F42" i="123"/>
  <c r="F40" i="123"/>
  <c r="G40" i="123" s="1"/>
  <c r="F38" i="123"/>
  <c r="E38" i="123"/>
  <c r="D38" i="123"/>
  <c r="G25" i="123"/>
  <c r="D25" i="123"/>
  <c r="E20" i="123"/>
  <c r="G20" i="123" s="1"/>
  <c r="D20" i="123"/>
  <c r="E19" i="123"/>
  <c r="F17" i="123"/>
  <c r="B17" i="123"/>
  <c r="E17" i="123" s="1"/>
  <c r="F16" i="123"/>
  <c r="B16" i="123"/>
  <c r="E16" i="123" s="1"/>
  <c r="F15" i="123"/>
  <c r="B15" i="123"/>
  <c r="E15" i="123" s="1"/>
  <c r="F13" i="123"/>
  <c r="F12" i="123"/>
  <c r="F26" i="123" s="1"/>
  <c r="B8" i="123"/>
  <c r="G25" i="122"/>
  <c r="D25" i="122"/>
  <c r="D20" i="122"/>
  <c r="C26" i="122"/>
  <c r="F26" i="122" s="1"/>
  <c r="B8" i="122"/>
  <c r="F49" i="122"/>
  <c r="F47" i="122"/>
  <c r="F44" i="122"/>
  <c r="F42" i="122"/>
  <c r="F40" i="122"/>
  <c r="G40" i="122" s="1"/>
  <c r="D40" i="122"/>
  <c r="F38" i="122"/>
  <c r="E38" i="122"/>
  <c r="D38" i="122"/>
  <c r="C27" i="122"/>
  <c r="F27" i="122" s="1"/>
  <c r="E20" i="122"/>
  <c r="G20" i="122" s="1"/>
  <c r="E19" i="122"/>
  <c r="F17" i="122"/>
  <c r="B17" i="122"/>
  <c r="D17" i="122" s="1"/>
  <c r="F16" i="122"/>
  <c r="B16" i="122"/>
  <c r="D16" i="122" s="1"/>
  <c r="F15" i="122"/>
  <c r="B15" i="122"/>
  <c r="D15" i="122" s="1"/>
  <c r="F13" i="122"/>
  <c r="F12" i="122"/>
  <c r="F34" i="121"/>
  <c r="F32" i="121"/>
  <c r="F30" i="121"/>
  <c r="G30" i="121"/>
  <c r="D30" i="121"/>
  <c r="F28" i="121"/>
  <c r="E28" i="121"/>
  <c r="D28" i="121"/>
  <c r="E17" i="121"/>
  <c r="G17" i="121" s="1"/>
  <c r="D17" i="121"/>
  <c r="E16" i="121"/>
  <c r="F14" i="121"/>
  <c r="E14" i="121"/>
  <c r="D14" i="121"/>
  <c r="F13" i="121"/>
  <c r="B8" i="121"/>
  <c r="B7" i="121"/>
  <c r="B6" i="121"/>
  <c r="B9" i="121" s="1"/>
  <c r="F34" i="120"/>
  <c r="F32" i="120"/>
  <c r="F30" i="120"/>
  <c r="F28" i="120"/>
  <c r="E28" i="120"/>
  <c r="D28" i="120"/>
  <c r="F19" i="120"/>
  <c r="E17" i="120"/>
  <c r="G17" i="120" s="1"/>
  <c r="D17" i="120"/>
  <c r="E16" i="120"/>
  <c r="F14" i="120"/>
  <c r="E14" i="120"/>
  <c r="D14" i="120"/>
  <c r="F13" i="120"/>
  <c r="B8" i="120"/>
  <c r="B6" i="120"/>
  <c r="F19" i="119"/>
  <c r="D17" i="119"/>
  <c r="B8" i="119"/>
  <c r="B6" i="119"/>
  <c r="B9" i="119" s="1"/>
  <c r="F34" i="119"/>
  <c r="F32" i="119"/>
  <c r="F30" i="119"/>
  <c r="F28" i="119"/>
  <c r="E28" i="119"/>
  <c r="G28" i="119" s="1"/>
  <c r="D28" i="119"/>
  <c r="E17" i="119"/>
  <c r="G17" i="119" s="1"/>
  <c r="E16" i="119"/>
  <c r="F14" i="119"/>
  <c r="E14" i="119"/>
  <c r="D14" i="119"/>
  <c r="F13" i="119"/>
  <c r="B7" i="119"/>
  <c r="F49" i="118"/>
  <c r="F47" i="118"/>
  <c r="F44" i="118"/>
  <c r="F42" i="118"/>
  <c r="F40" i="118"/>
  <c r="F38" i="118"/>
  <c r="G38" i="118"/>
  <c r="D38" i="118"/>
  <c r="C27" i="118"/>
  <c r="F27" i="118" s="1"/>
  <c r="F25" i="118"/>
  <c r="G25" i="118" s="1"/>
  <c r="C25" i="118"/>
  <c r="D25" i="118" s="1"/>
  <c r="C23" i="118"/>
  <c r="D20" i="118"/>
  <c r="F22" i="118"/>
  <c r="F17" i="118"/>
  <c r="F16" i="118"/>
  <c r="F15" i="118"/>
  <c r="F13" i="118"/>
  <c r="F12" i="118"/>
  <c r="B9" i="118"/>
  <c r="B7" i="118"/>
  <c r="C26" i="118" s="1"/>
  <c r="F26" i="118" s="1"/>
  <c r="B6" i="118"/>
  <c r="B8" i="118" s="1"/>
  <c r="B5" i="118"/>
  <c r="F49" i="117"/>
  <c r="F47" i="117"/>
  <c r="F44" i="117"/>
  <c r="F42" i="117"/>
  <c r="F40" i="117"/>
  <c r="F38" i="117"/>
  <c r="D38" i="117"/>
  <c r="C27" i="117"/>
  <c r="F27" i="117" s="1"/>
  <c r="F25" i="117"/>
  <c r="G25" i="117" s="1"/>
  <c r="C25" i="117"/>
  <c r="D25" i="117" s="1"/>
  <c r="C23" i="117"/>
  <c r="E20" i="117"/>
  <c r="D20" i="117"/>
  <c r="F22" i="117"/>
  <c r="E19" i="117"/>
  <c r="F17" i="117"/>
  <c r="F16" i="117"/>
  <c r="F15" i="117"/>
  <c r="F13" i="117"/>
  <c r="F12" i="117"/>
  <c r="B9" i="117"/>
  <c r="B7" i="117"/>
  <c r="B6" i="117"/>
  <c r="B5" i="117"/>
  <c r="F25" i="116"/>
  <c r="G25" i="116" s="1"/>
  <c r="C25" i="116"/>
  <c r="D25" i="116" s="1"/>
  <c r="C23" i="116"/>
  <c r="D20" i="116"/>
  <c r="F22" i="116"/>
  <c r="B9" i="116"/>
  <c r="B7" i="116"/>
  <c r="C26" i="116" s="1"/>
  <c r="F26" i="116" s="1"/>
  <c r="B6" i="116"/>
  <c r="B8" i="116" s="1"/>
  <c r="B5" i="116"/>
  <c r="F49" i="116"/>
  <c r="F47" i="116"/>
  <c r="F44" i="116"/>
  <c r="F42" i="116"/>
  <c r="F40" i="116"/>
  <c r="D40" i="116"/>
  <c r="F38" i="116"/>
  <c r="D38" i="116"/>
  <c r="C27" i="116"/>
  <c r="F27" i="116" s="1"/>
  <c r="F17" i="116"/>
  <c r="F16" i="116"/>
  <c r="F15" i="116"/>
  <c r="F13" i="116"/>
  <c r="F12" i="116"/>
  <c r="F46" i="115"/>
  <c r="F41" i="115"/>
  <c r="F39" i="115"/>
  <c r="F37" i="115"/>
  <c r="G37" i="115"/>
  <c r="D37" i="115"/>
  <c r="C26" i="115"/>
  <c r="F26" i="115" s="1"/>
  <c r="F24" i="115"/>
  <c r="G24" i="115" s="1"/>
  <c r="C24" i="115"/>
  <c r="D24" i="115" s="1"/>
  <c r="D20" i="115"/>
  <c r="F17" i="115"/>
  <c r="G17" i="115" s="1"/>
  <c r="F16" i="115"/>
  <c r="F15" i="115"/>
  <c r="F13" i="115"/>
  <c r="F12" i="115"/>
  <c r="B9" i="115"/>
  <c r="B7" i="115"/>
  <c r="B6" i="115"/>
  <c r="B8" i="115" s="1"/>
  <c r="B5" i="115"/>
  <c r="F46" i="113"/>
  <c r="F41" i="113"/>
  <c r="F39" i="113"/>
  <c r="F37" i="113"/>
  <c r="D37" i="113"/>
  <c r="C26" i="113"/>
  <c r="F26" i="113" s="1"/>
  <c r="F24" i="113"/>
  <c r="G24" i="113" s="1"/>
  <c r="C24" i="113"/>
  <c r="D24" i="113" s="1"/>
  <c r="D20" i="113"/>
  <c r="F17" i="113"/>
  <c r="F16" i="113"/>
  <c r="F15" i="113"/>
  <c r="F13" i="113"/>
  <c r="F12" i="113"/>
  <c r="B9" i="113"/>
  <c r="B7" i="113"/>
  <c r="B6" i="113"/>
  <c r="B5" i="113"/>
  <c r="F24" i="112"/>
  <c r="G24" i="112" s="1"/>
  <c r="C24" i="112"/>
  <c r="D24" i="112" s="1"/>
  <c r="D20" i="112"/>
  <c r="B9" i="112"/>
  <c r="B7" i="112"/>
  <c r="B6" i="112"/>
  <c r="B8" i="112" s="1"/>
  <c r="B5" i="112"/>
  <c r="F46" i="112"/>
  <c r="F41" i="112"/>
  <c r="F39" i="112"/>
  <c r="D39" i="112"/>
  <c r="F37" i="112"/>
  <c r="D37" i="112"/>
  <c r="C26" i="112"/>
  <c r="F26" i="112" s="1"/>
  <c r="F17" i="112"/>
  <c r="F16" i="112"/>
  <c r="F15" i="112"/>
  <c r="F13" i="112"/>
  <c r="F12" i="112"/>
  <c r="P20" i="3"/>
  <c r="O19" i="3"/>
  <c r="O17" i="3"/>
  <c r="C30" i="186" s="1"/>
  <c r="D30" i="186" s="1"/>
  <c r="P17" i="3"/>
  <c r="C31" i="186" s="1"/>
  <c r="D31" i="186" s="1"/>
  <c r="O18" i="3"/>
  <c r="P18" i="3"/>
  <c r="F30" i="185"/>
  <c r="O16" i="3"/>
  <c r="D19" i="128"/>
  <c r="D16" i="134"/>
  <c r="D19" i="133"/>
  <c r="D19" i="118"/>
  <c r="D19" i="113"/>
  <c r="G17" i="125" l="1"/>
  <c r="G15" i="123"/>
  <c r="G17" i="123"/>
  <c r="E27" i="130"/>
  <c r="E26" i="130"/>
  <c r="E21" i="118"/>
  <c r="E22" i="118"/>
  <c r="G22" i="118" s="1"/>
  <c r="E26" i="119"/>
  <c r="G26" i="119" s="1"/>
  <c r="E25" i="119"/>
  <c r="E27" i="119"/>
  <c r="E13" i="119"/>
  <c r="E37" i="116"/>
  <c r="E35" i="116"/>
  <c r="E31" i="116"/>
  <c r="E26" i="116"/>
  <c r="E27" i="116"/>
  <c r="E36" i="116"/>
  <c r="E30" i="116"/>
  <c r="E37" i="118"/>
  <c r="E31" i="118"/>
  <c r="E26" i="118"/>
  <c r="E27" i="118"/>
  <c r="E36" i="118"/>
  <c r="E30" i="118"/>
  <c r="E35" i="118"/>
  <c r="D22" i="116"/>
  <c r="E21" i="116"/>
  <c r="E22" i="116"/>
  <c r="G22" i="116" s="1"/>
  <c r="E26" i="121"/>
  <c r="E27" i="121"/>
  <c r="G27" i="121" s="1"/>
  <c r="E13" i="121"/>
  <c r="E25" i="121"/>
  <c r="D22" i="115"/>
  <c r="E22" i="115"/>
  <c r="G22" i="115" s="1"/>
  <c r="E21" i="115"/>
  <c r="E26" i="115"/>
  <c r="E35" i="115"/>
  <c r="E30" i="115"/>
  <c r="E25" i="115"/>
  <c r="E36" i="115"/>
  <c r="E34" i="115"/>
  <c r="E29" i="115"/>
  <c r="E13" i="115"/>
  <c r="E12" i="115"/>
  <c r="E29" i="112"/>
  <c r="E34" i="112"/>
  <c r="E30" i="112"/>
  <c r="E35" i="112"/>
  <c r="E25" i="112"/>
  <c r="E26" i="112"/>
  <c r="E36" i="112"/>
  <c r="D13" i="112"/>
  <c r="E13" i="112"/>
  <c r="E12" i="112"/>
  <c r="E21" i="112"/>
  <c r="E22" i="112"/>
  <c r="D22" i="118"/>
  <c r="G38" i="131"/>
  <c r="E40" i="133"/>
  <c r="G40" i="133" s="1"/>
  <c r="G15" i="131"/>
  <c r="G38" i="128"/>
  <c r="G38" i="130"/>
  <c r="D18" i="128"/>
  <c r="F27" i="126"/>
  <c r="G15" i="125"/>
  <c r="G18" i="125" s="1"/>
  <c r="G38" i="126"/>
  <c r="G38" i="127"/>
  <c r="H38" i="127" s="1"/>
  <c r="G38" i="122"/>
  <c r="F27" i="124"/>
  <c r="E17" i="124"/>
  <c r="G17" i="124" s="1"/>
  <c r="H17" i="124" s="1"/>
  <c r="I17" i="124" s="1"/>
  <c r="G38" i="123"/>
  <c r="H38" i="123" s="1"/>
  <c r="G38" i="124"/>
  <c r="H38" i="124" s="1"/>
  <c r="G28" i="121"/>
  <c r="D30" i="119"/>
  <c r="G28" i="120"/>
  <c r="G40" i="116"/>
  <c r="H40" i="116" s="1"/>
  <c r="G16" i="118"/>
  <c r="G39" i="115"/>
  <c r="G40" i="118"/>
  <c r="G37" i="113"/>
  <c r="H37" i="113" s="1"/>
  <c r="G38" i="116"/>
  <c r="H38" i="116" s="1"/>
  <c r="D18" i="118"/>
  <c r="G15" i="118"/>
  <c r="H15" i="118" s="1"/>
  <c r="I15" i="118" s="1"/>
  <c r="G15" i="116"/>
  <c r="H15" i="116" s="1"/>
  <c r="I15" i="116" s="1"/>
  <c r="G15" i="112"/>
  <c r="G38" i="117"/>
  <c r="H38" i="117" s="1"/>
  <c r="G14" i="119"/>
  <c r="H14" i="119" s="1"/>
  <c r="I14" i="119" s="1"/>
  <c r="F27" i="123"/>
  <c r="F27" i="125"/>
  <c r="F27" i="127"/>
  <c r="D18" i="133"/>
  <c r="D18" i="116"/>
  <c r="G16" i="123"/>
  <c r="G16" i="125"/>
  <c r="G40" i="128"/>
  <c r="H40" i="128" s="1"/>
  <c r="G38" i="133"/>
  <c r="D29" i="187"/>
  <c r="E35" i="127"/>
  <c r="E26" i="127"/>
  <c r="E36" i="127"/>
  <c r="E30" i="127"/>
  <c r="E37" i="127"/>
  <c r="E31" i="127"/>
  <c r="E27" i="127"/>
  <c r="E30" i="122"/>
  <c r="E31" i="122"/>
  <c r="E37" i="122"/>
  <c r="E35" i="122"/>
  <c r="E26" i="122"/>
  <c r="E36" i="122"/>
  <c r="E27" i="122"/>
  <c r="E37" i="124"/>
  <c r="E36" i="124"/>
  <c r="E35" i="124"/>
  <c r="E31" i="124"/>
  <c r="E30" i="124"/>
  <c r="E27" i="124"/>
  <c r="E26" i="124"/>
  <c r="E37" i="126"/>
  <c r="E36" i="126"/>
  <c r="E35" i="126"/>
  <c r="E31" i="126"/>
  <c r="E30" i="126"/>
  <c r="E27" i="126"/>
  <c r="E26" i="126"/>
  <c r="E26" i="134"/>
  <c r="E27" i="134"/>
  <c r="E13" i="134"/>
  <c r="E28" i="134"/>
  <c r="E26" i="137"/>
  <c r="E28" i="137"/>
  <c r="E27" i="137"/>
  <c r="G27" i="137" s="1"/>
  <c r="E13" i="137"/>
  <c r="E27" i="136"/>
  <c r="G27" i="136" s="1"/>
  <c r="E26" i="136"/>
  <c r="E28" i="136"/>
  <c r="E13" i="136"/>
  <c r="E37" i="123"/>
  <c r="E36" i="123"/>
  <c r="E35" i="123"/>
  <c r="E31" i="123"/>
  <c r="E30" i="123"/>
  <c r="E27" i="123"/>
  <c r="E26" i="123"/>
  <c r="E37" i="125"/>
  <c r="E36" i="125"/>
  <c r="E35" i="125"/>
  <c r="E31" i="125"/>
  <c r="E30" i="125"/>
  <c r="E27" i="125"/>
  <c r="E26" i="125"/>
  <c r="G26" i="125" s="1"/>
  <c r="G14" i="138"/>
  <c r="H14" i="138" s="1"/>
  <c r="I14" i="138" s="1"/>
  <c r="G29" i="138"/>
  <c r="H29" i="138" s="1"/>
  <c r="G14" i="134"/>
  <c r="H14" i="134" s="1"/>
  <c r="I14" i="134" s="1"/>
  <c r="D31" i="134"/>
  <c r="D20" i="137"/>
  <c r="D31" i="137"/>
  <c r="G14" i="135"/>
  <c r="H14" i="135" s="1"/>
  <c r="I14" i="135" s="1"/>
  <c r="G31" i="137"/>
  <c r="H17" i="134"/>
  <c r="I17" i="134" s="1"/>
  <c r="G14" i="136"/>
  <c r="H14" i="136" s="1"/>
  <c r="I14" i="136" s="1"/>
  <c r="E37" i="130"/>
  <c r="E36" i="130"/>
  <c r="E35" i="130"/>
  <c r="E31" i="130"/>
  <c r="E30" i="130"/>
  <c r="G17" i="131"/>
  <c r="D16" i="131"/>
  <c r="H16" i="131" s="1"/>
  <c r="I16" i="131" s="1"/>
  <c r="E37" i="128"/>
  <c r="E36" i="128"/>
  <c r="E35" i="128"/>
  <c r="E31" i="128"/>
  <c r="E30" i="128"/>
  <c r="E26" i="128"/>
  <c r="D40" i="128"/>
  <c r="E35" i="131"/>
  <c r="E26" i="131"/>
  <c r="E37" i="131"/>
  <c r="E30" i="131"/>
  <c r="E36" i="131"/>
  <c r="E31" i="131"/>
  <c r="E35" i="133"/>
  <c r="E26" i="133"/>
  <c r="E30" i="133"/>
  <c r="E37" i="133"/>
  <c r="E36" i="133"/>
  <c r="E31" i="133"/>
  <c r="G19" i="119"/>
  <c r="G30" i="119"/>
  <c r="H30" i="119" s="1"/>
  <c r="G14" i="121"/>
  <c r="H14" i="121" s="1"/>
  <c r="I14" i="121" s="1"/>
  <c r="C25" i="112"/>
  <c r="F25" i="112" s="1"/>
  <c r="G14" i="120"/>
  <c r="H14" i="120" s="1"/>
  <c r="I14" i="120" s="1"/>
  <c r="D32" i="186"/>
  <c r="G31" i="187"/>
  <c r="G31" i="188"/>
  <c r="D31" i="190"/>
  <c r="D31" i="189"/>
  <c r="C29" i="115"/>
  <c r="C29" i="185"/>
  <c r="G30" i="190"/>
  <c r="G30" i="189"/>
  <c r="E17" i="127"/>
  <c r="G17" i="127" s="1"/>
  <c r="H17" i="127" s="1"/>
  <c r="I17" i="127" s="1"/>
  <c r="D18" i="126"/>
  <c r="D15" i="125"/>
  <c r="H40" i="124"/>
  <c r="E15" i="122"/>
  <c r="G15" i="122" s="1"/>
  <c r="H15" i="122" s="1"/>
  <c r="I15" i="122" s="1"/>
  <c r="E16" i="122"/>
  <c r="G16" i="122" s="1"/>
  <c r="H16" i="122" s="1"/>
  <c r="I16" i="122" s="1"/>
  <c r="D18" i="122"/>
  <c r="D20" i="138"/>
  <c r="G16" i="115"/>
  <c r="H17" i="115"/>
  <c r="I17" i="115" s="1"/>
  <c r="G15" i="115"/>
  <c r="F22" i="120"/>
  <c r="B22" i="125"/>
  <c r="E22" i="125" s="1"/>
  <c r="G22" i="125" s="1"/>
  <c r="G22" i="134"/>
  <c r="D16" i="136"/>
  <c r="G20" i="135"/>
  <c r="D23" i="125"/>
  <c r="D16" i="138"/>
  <c r="D16" i="137"/>
  <c r="D18" i="134"/>
  <c r="D19" i="130"/>
  <c r="D19" i="129"/>
  <c r="D18" i="136"/>
  <c r="D18" i="135"/>
  <c r="G20" i="137"/>
  <c r="D19" i="132"/>
  <c r="G22" i="137"/>
  <c r="G23" i="137"/>
  <c r="D18" i="137"/>
  <c r="G20" i="138"/>
  <c r="G22" i="138"/>
  <c r="G23" i="138"/>
  <c r="D19" i="131"/>
  <c r="G22" i="135"/>
  <c r="G23" i="135"/>
  <c r="G22" i="136"/>
  <c r="B23" i="123"/>
  <c r="D21" i="123"/>
  <c r="D21" i="131"/>
  <c r="B23" i="131"/>
  <c r="D23" i="131" s="1"/>
  <c r="G20" i="136"/>
  <c r="D18" i="138"/>
  <c r="H17" i="138"/>
  <c r="I17" i="138" s="1"/>
  <c r="D27" i="137"/>
  <c r="H14" i="137"/>
  <c r="I14" i="137" s="1"/>
  <c r="H17" i="137"/>
  <c r="I17" i="137" s="1"/>
  <c r="H29" i="137"/>
  <c r="D20" i="135"/>
  <c r="E31" i="136"/>
  <c r="G31" i="136" s="1"/>
  <c r="H31" i="136" s="1"/>
  <c r="H29" i="136"/>
  <c r="D27" i="136"/>
  <c r="D20" i="136"/>
  <c r="H17" i="136"/>
  <c r="I17" i="136" s="1"/>
  <c r="H17" i="135"/>
  <c r="I17" i="135" s="1"/>
  <c r="H29" i="135"/>
  <c r="G20" i="134"/>
  <c r="H29" i="134"/>
  <c r="H31" i="134"/>
  <c r="D20" i="134"/>
  <c r="E16" i="133"/>
  <c r="G16" i="133" s="1"/>
  <c r="H16" i="133" s="1"/>
  <c r="I16" i="133" s="1"/>
  <c r="E17" i="133"/>
  <c r="G17" i="133" s="1"/>
  <c r="H17" i="133" s="1"/>
  <c r="I17" i="133" s="1"/>
  <c r="B13" i="133"/>
  <c r="B12" i="133"/>
  <c r="B23" i="133"/>
  <c r="E15" i="133"/>
  <c r="G15" i="133" s="1"/>
  <c r="H20" i="133"/>
  <c r="I20" i="133" s="1"/>
  <c r="H38" i="133"/>
  <c r="H25" i="133"/>
  <c r="I25" i="133" s="1"/>
  <c r="H40" i="133"/>
  <c r="H25" i="132"/>
  <c r="I25" i="132" s="1"/>
  <c r="H20" i="132"/>
  <c r="I20" i="132" s="1"/>
  <c r="H38" i="132"/>
  <c r="H38" i="131"/>
  <c r="B13" i="131"/>
  <c r="B12" i="131"/>
  <c r="D15" i="131"/>
  <c r="G40" i="131"/>
  <c r="D17" i="131"/>
  <c r="H20" i="131"/>
  <c r="I20" i="131" s="1"/>
  <c r="H25" i="131"/>
  <c r="I25" i="131" s="1"/>
  <c r="D40" i="131"/>
  <c r="E16" i="130"/>
  <c r="G16" i="130" s="1"/>
  <c r="H16" i="130" s="1"/>
  <c r="I16" i="130" s="1"/>
  <c r="D18" i="130"/>
  <c r="E40" i="130"/>
  <c r="G40" i="130" s="1"/>
  <c r="H40" i="130" s="1"/>
  <c r="B13" i="130"/>
  <c r="B12" i="130"/>
  <c r="B23" i="130"/>
  <c r="E15" i="130"/>
  <c r="G15" i="130" s="1"/>
  <c r="H25" i="130"/>
  <c r="I25" i="130" s="1"/>
  <c r="E17" i="130"/>
  <c r="G17" i="130" s="1"/>
  <c r="H20" i="130"/>
  <c r="I20" i="130" s="1"/>
  <c r="H38" i="130"/>
  <c r="H20" i="129"/>
  <c r="I20" i="129" s="1"/>
  <c r="H25" i="129"/>
  <c r="I25" i="129" s="1"/>
  <c r="G38" i="129"/>
  <c r="B13" i="128"/>
  <c r="B12" i="128"/>
  <c r="B23" i="128"/>
  <c r="E15" i="128"/>
  <c r="G15" i="128" s="1"/>
  <c r="E16" i="128"/>
  <c r="G16" i="128" s="1"/>
  <c r="H25" i="128"/>
  <c r="I25" i="128" s="1"/>
  <c r="B27" i="128"/>
  <c r="E17" i="128"/>
  <c r="G17" i="128" s="1"/>
  <c r="H20" i="128"/>
  <c r="I20" i="128" s="1"/>
  <c r="H38" i="128"/>
  <c r="D18" i="127"/>
  <c r="G40" i="127"/>
  <c r="H40" i="127" s="1"/>
  <c r="D40" i="126"/>
  <c r="H40" i="126" s="1"/>
  <c r="I40" i="126" s="1"/>
  <c r="E15" i="126"/>
  <c r="G15" i="126" s="1"/>
  <c r="H15" i="126" s="1"/>
  <c r="I15" i="126" s="1"/>
  <c r="B13" i="127"/>
  <c r="B12" i="127"/>
  <c r="B22" i="127"/>
  <c r="E15" i="127"/>
  <c r="G15" i="127" s="1"/>
  <c r="E16" i="127"/>
  <c r="G16" i="127" s="1"/>
  <c r="H25" i="127"/>
  <c r="I25" i="127" s="1"/>
  <c r="H20" i="127"/>
  <c r="I20" i="127" s="1"/>
  <c r="E16" i="126"/>
  <c r="G16" i="126" s="1"/>
  <c r="H25" i="126"/>
  <c r="I25" i="126" s="1"/>
  <c r="E17" i="126"/>
  <c r="G17" i="126" s="1"/>
  <c r="H20" i="126"/>
  <c r="I20" i="126" s="1"/>
  <c r="H38" i="126"/>
  <c r="B22" i="126"/>
  <c r="B13" i="126"/>
  <c r="B12" i="126"/>
  <c r="E23" i="125"/>
  <c r="D16" i="125"/>
  <c r="D17" i="125"/>
  <c r="H17" i="125" s="1"/>
  <c r="I17" i="125" s="1"/>
  <c r="H20" i="125"/>
  <c r="I20" i="125" s="1"/>
  <c r="H25" i="125"/>
  <c r="I25" i="125" s="1"/>
  <c r="B13" i="125"/>
  <c r="B12" i="125"/>
  <c r="H38" i="125"/>
  <c r="D40" i="125"/>
  <c r="H40" i="125" s="1"/>
  <c r="E15" i="124"/>
  <c r="G15" i="124" s="1"/>
  <c r="H15" i="124" s="1"/>
  <c r="I15" i="124" s="1"/>
  <c r="D18" i="124"/>
  <c r="D15" i="123"/>
  <c r="H15" i="123" s="1"/>
  <c r="I15" i="123" s="1"/>
  <c r="D16" i="123"/>
  <c r="B23" i="124"/>
  <c r="H20" i="124"/>
  <c r="I20" i="124" s="1"/>
  <c r="B13" i="124"/>
  <c r="B12" i="124"/>
  <c r="E16" i="124"/>
  <c r="G16" i="124" s="1"/>
  <c r="H25" i="124"/>
  <c r="I25" i="124" s="1"/>
  <c r="H20" i="123"/>
  <c r="I20" i="123" s="1"/>
  <c r="H25" i="123"/>
  <c r="I25" i="123" s="1"/>
  <c r="D17" i="123"/>
  <c r="B13" i="123"/>
  <c r="B12" i="123"/>
  <c r="D40" i="123"/>
  <c r="H40" i="123" s="1"/>
  <c r="I40" i="123" s="1"/>
  <c r="H25" i="122"/>
  <c r="I25" i="122" s="1"/>
  <c r="E17" i="122"/>
  <c r="G17" i="122" s="1"/>
  <c r="H20" i="122"/>
  <c r="I20" i="122" s="1"/>
  <c r="H38" i="122"/>
  <c r="B13" i="122"/>
  <c r="B12" i="122"/>
  <c r="H40" i="122"/>
  <c r="B23" i="122"/>
  <c r="O20" i="3"/>
  <c r="D19" i="116"/>
  <c r="D19" i="117"/>
  <c r="C31" i="116"/>
  <c r="C31" i="117"/>
  <c r="C31" i="118"/>
  <c r="C30" i="118"/>
  <c r="C30" i="116"/>
  <c r="C30" i="117"/>
  <c r="C22" i="121"/>
  <c r="D22" i="121" s="1"/>
  <c r="C22" i="119"/>
  <c r="D22" i="119" s="1"/>
  <c r="C22" i="120"/>
  <c r="F30" i="113"/>
  <c r="F30" i="112"/>
  <c r="F30" i="115"/>
  <c r="C21" i="119"/>
  <c r="D21" i="119" s="1"/>
  <c r="C21" i="121"/>
  <c r="D21" i="121" s="1"/>
  <c r="C21" i="120"/>
  <c r="C29" i="113"/>
  <c r="F31" i="186"/>
  <c r="G31" i="186" s="1"/>
  <c r="H31" i="186" s="1"/>
  <c r="I31" i="186" s="1"/>
  <c r="P19" i="3"/>
  <c r="C29" i="112"/>
  <c r="D19" i="112"/>
  <c r="G19" i="121"/>
  <c r="D26" i="121"/>
  <c r="P21" i="3"/>
  <c r="D21" i="112"/>
  <c r="D19" i="115"/>
  <c r="P16" i="3"/>
  <c r="C30" i="185" s="1"/>
  <c r="O21" i="3"/>
  <c r="D19" i="121"/>
  <c r="H30" i="121"/>
  <c r="H28" i="121"/>
  <c r="H17" i="121"/>
  <c r="I17" i="121" s="1"/>
  <c r="D27" i="121"/>
  <c r="H28" i="120"/>
  <c r="H17" i="120"/>
  <c r="I17" i="120" s="1"/>
  <c r="D19" i="119"/>
  <c r="H28" i="119"/>
  <c r="D26" i="119"/>
  <c r="H17" i="119"/>
  <c r="I17" i="119" s="1"/>
  <c r="D40" i="118"/>
  <c r="H16" i="118"/>
  <c r="I16" i="118" s="1"/>
  <c r="H25" i="118"/>
  <c r="I25" i="118" s="1"/>
  <c r="G17" i="118"/>
  <c r="H38" i="118"/>
  <c r="B23" i="118"/>
  <c r="H25" i="117"/>
  <c r="I25" i="117" s="1"/>
  <c r="G17" i="116"/>
  <c r="B23" i="116"/>
  <c r="G16" i="116"/>
  <c r="H25" i="116"/>
  <c r="I25" i="116" s="1"/>
  <c r="H37" i="115"/>
  <c r="C25" i="115"/>
  <c r="F25" i="115" s="1"/>
  <c r="H24" i="115"/>
  <c r="I24" i="115" s="1"/>
  <c r="D39" i="115"/>
  <c r="H39" i="115" s="1"/>
  <c r="H24" i="113"/>
  <c r="I24" i="113" s="1"/>
  <c r="H24" i="112"/>
  <c r="I24" i="112" s="1"/>
  <c r="G16" i="112"/>
  <c r="G17" i="112"/>
  <c r="G37" i="112"/>
  <c r="G39" i="112"/>
  <c r="H15" i="125" l="1"/>
  <c r="I15" i="125" s="1"/>
  <c r="G18" i="123"/>
  <c r="H17" i="123"/>
  <c r="I17" i="123" s="1"/>
  <c r="H22" i="118"/>
  <c r="I22" i="118" s="1"/>
  <c r="H22" i="115"/>
  <c r="I22" i="115" s="1"/>
  <c r="H22" i="116"/>
  <c r="I22" i="116" s="1"/>
  <c r="D21" i="137"/>
  <c r="D22" i="112"/>
  <c r="D23" i="112" s="1"/>
  <c r="G22" i="112"/>
  <c r="D21" i="138"/>
  <c r="H16" i="123"/>
  <c r="I16" i="123" s="1"/>
  <c r="H40" i="118"/>
  <c r="H15" i="112"/>
  <c r="I15" i="112" s="1"/>
  <c r="H17" i="131"/>
  <c r="I17" i="131" s="1"/>
  <c r="D18" i="125"/>
  <c r="G18" i="115"/>
  <c r="H19" i="119"/>
  <c r="I19" i="119" s="1"/>
  <c r="H31" i="137"/>
  <c r="H20" i="137"/>
  <c r="I20" i="137" s="1"/>
  <c r="G18" i="131"/>
  <c r="D30" i="190"/>
  <c r="D32" i="190" s="1"/>
  <c r="D30" i="189"/>
  <c r="D32" i="189" s="1"/>
  <c r="G31" i="189"/>
  <c r="H31" i="189" s="1"/>
  <c r="I31" i="189" s="1"/>
  <c r="G31" i="190"/>
  <c r="H31" i="190" s="1"/>
  <c r="I31" i="190" s="1"/>
  <c r="G30" i="186"/>
  <c r="D31" i="187"/>
  <c r="H31" i="187" s="1"/>
  <c r="I31" i="187" s="1"/>
  <c r="G30" i="187"/>
  <c r="G30" i="188"/>
  <c r="H20" i="138"/>
  <c r="I20" i="138" s="1"/>
  <c r="H16" i="125"/>
  <c r="I16" i="125" s="1"/>
  <c r="F22" i="119"/>
  <c r="G22" i="119" s="1"/>
  <c r="H22" i="119" s="1"/>
  <c r="I22" i="119" s="1"/>
  <c r="G23" i="136"/>
  <c r="G24" i="136" s="1"/>
  <c r="D22" i="125"/>
  <c r="H22" i="125" s="1"/>
  <c r="I22" i="125" s="1"/>
  <c r="G24" i="135"/>
  <c r="G23" i="134"/>
  <c r="G24" i="134" s="1"/>
  <c r="G24" i="138"/>
  <c r="H16" i="115"/>
  <c r="I16" i="115" s="1"/>
  <c r="D18" i="112"/>
  <c r="D21" i="115"/>
  <c r="D23" i="115" s="1"/>
  <c r="D18" i="115"/>
  <c r="F22" i="121"/>
  <c r="G22" i="121" s="1"/>
  <c r="H22" i="121" s="1"/>
  <c r="I22" i="121" s="1"/>
  <c r="E23" i="131"/>
  <c r="G24" i="137"/>
  <c r="H20" i="135"/>
  <c r="I20" i="135" s="1"/>
  <c r="D22" i="134"/>
  <c r="D22" i="138"/>
  <c r="D22" i="137"/>
  <c r="H22" i="137" s="1"/>
  <c r="I22" i="137" s="1"/>
  <c r="D22" i="135"/>
  <c r="D22" i="136"/>
  <c r="G26" i="121"/>
  <c r="H26" i="121" s="1"/>
  <c r="I26" i="121" s="1"/>
  <c r="D31" i="122"/>
  <c r="D31" i="123"/>
  <c r="D31" i="124"/>
  <c r="D23" i="138"/>
  <c r="H23" i="138" s="1"/>
  <c r="I23" i="138" s="1"/>
  <c r="D23" i="137"/>
  <c r="H23" i="137" s="1"/>
  <c r="I23" i="137" s="1"/>
  <c r="D23" i="136"/>
  <c r="D23" i="135"/>
  <c r="H23" i="135" s="1"/>
  <c r="I23" i="135" s="1"/>
  <c r="D23" i="134"/>
  <c r="D30" i="133"/>
  <c r="D30" i="130"/>
  <c r="D30" i="131"/>
  <c r="D30" i="128"/>
  <c r="H20" i="136"/>
  <c r="I20" i="136" s="1"/>
  <c r="D24" i="131"/>
  <c r="E23" i="123"/>
  <c r="G23" i="123" s="1"/>
  <c r="D23" i="123"/>
  <c r="E21" i="123"/>
  <c r="H27" i="137"/>
  <c r="I27" i="137" s="1"/>
  <c r="D28" i="137"/>
  <c r="G28" i="137"/>
  <c r="G13" i="137"/>
  <c r="D13" i="137"/>
  <c r="D15" i="137" s="1"/>
  <c r="G26" i="137"/>
  <c r="D26" i="137"/>
  <c r="D21" i="135"/>
  <c r="H27" i="136"/>
  <c r="I27" i="136" s="1"/>
  <c r="D21" i="136"/>
  <c r="D28" i="136"/>
  <c r="G28" i="136"/>
  <c r="G13" i="136"/>
  <c r="D13" i="136"/>
  <c r="D15" i="136" s="1"/>
  <c r="G26" i="136"/>
  <c r="D26" i="136"/>
  <c r="H20" i="134"/>
  <c r="I20" i="134" s="1"/>
  <c r="D21" i="134"/>
  <c r="G27" i="134"/>
  <c r="D27" i="134"/>
  <c r="D28" i="134"/>
  <c r="G28" i="134"/>
  <c r="D26" i="134"/>
  <c r="G26" i="134"/>
  <c r="G13" i="134"/>
  <c r="D13" i="134"/>
  <c r="D15" i="134" s="1"/>
  <c r="D21" i="133"/>
  <c r="E13" i="133"/>
  <c r="G13" i="133" s="1"/>
  <c r="D13" i="133"/>
  <c r="D26" i="133"/>
  <c r="G26" i="133"/>
  <c r="G35" i="133"/>
  <c r="D35" i="133"/>
  <c r="D23" i="133"/>
  <c r="E23" i="133"/>
  <c r="G30" i="133"/>
  <c r="G36" i="133"/>
  <c r="D36" i="133"/>
  <c r="D31" i="133"/>
  <c r="D27" i="133"/>
  <c r="G27" i="133"/>
  <c r="G37" i="133"/>
  <c r="D37" i="133"/>
  <c r="G18" i="133"/>
  <c r="H15" i="133"/>
  <c r="I15" i="133" s="1"/>
  <c r="E12" i="133"/>
  <c r="G12" i="133" s="1"/>
  <c r="D12" i="133"/>
  <c r="G30" i="131"/>
  <c r="E13" i="131"/>
  <c r="G13" i="131" s="1"/>
  <c r="D13" i="131"/>
  <c r="G27" i="131"/>
  <c r="D27" i="131"/>
  <c r="G37" i="131"/>
  <c r="D37" i="131"/>
  <c r="D18" i="131"/>
  <c r="G26" i="131"/>
  <c r="G35" i="131"/>
  <c r="D35" i="131"/>
  <c r="E12" i="131"/>
  <c r="G12" i="131" s="1"/>
  <c r="D12" i="131"/>
  <c r="G36" i="131"/>
  <c r="D36" i="131"/>
  <c r="D31" i="131"/>
  <c r="H40" i="131"/>
  <c r="H15" i="131"/>
  <c r="I15" i="131" s="1"/>
  <c r="D26" i="131"/>
  <c r="H17" i="130"/>
  <c r="I17" i="130" s="1"/>
  <c r="D31" i="130"/>
  <c r="G18" i="130"/>
  <c r="H15" i="130"/>
  <c r="I15" i="130" s="1"/>
  <c r="E12" i="130"/>
  <c r="G12" i="130" s="1"/>
  <c r="D12" i="130"/>
  <c r="D26" i="130"/>
  <c r="G26" i="130"/>
  <c r="G35" i="130"/>
  <c r="D35" i="130"/>
  <c r="D21" i="130"/>
  <c r="E13" i="130"/>
  <c r="G13" i="130" s="1"/>
  <c r="D13" i="130"/>
  <c r="G30" i="130"/>
  <c r="G36" i="130"/>
  <c r="D36" i="130"/>
  <c r="D23" i="130"/>
  <c r="E23" i="130"/>
  <c r="D27" i="130"/>
  <c r="G27" i="130"/>
  <c r="G37" i="130"/>
  <c r="D37" i="130"/>
  <c r="H38" i="129"/>
  <c r="H17" i="128"/>
  <c r="I17" i="128" s="1"/>
  <c r="D26" i="128"/>
  <c r="G26" i="128"/>
  <c r="G35" i="128"/>
  <c r="D35" i="128"/>
  <c r="G18" i="128"/>
  <c r="H15" i="128"/>
  <c r="I15" i="128" s="1"/>
  <c r="E13" i="128"/>
  <c r="G13" i="128" s="1"/>
  <c r="D13" i="128"/>
  <c r="D27" i="128"/>
  <c r="E27" i="128"/>
  <c r="G27" i="128" s="1"/>
  <c r="G37" i="128"/>
  <c r="D37" i="128"/>
  <c r="D23" i="128"/>
  <c r="E23" i="128"/>
  <c r="D31" i="128"/>
  <c r="H16" i="128"/>
  <c r="I16" i="128" s="1"/>
  <c r="E12" i="128"/>
  <c r="G12" i="128" s="1"/>
  <c r="D12" i="128"/>
  <c r="G30" i="128"/>
  <c r="G36" i="128"/>
  <c r="D36" i="128"/>
  <c r="D21" i="128"/>
  <c r="G26" i="127"/>
  <c r="G35" i="127"/>
  <c r="D22" i="127"/>
  <c r="E22" i="127"/>
  <c r="G22" i="127" s="1"/>
  <c r="G36" i="127"/>
  <c r="G18" i="127"/>
  <c r="H15" i="127"/>
  <c r="I15" i="127" s="1"/>
  <c r="E12" i="127"/>
  <c r="G12" i="127" s="1"/>
  <c r="D12" i="127"/>
  <c r="G27" i="127"/>
  <c r="G37" i="127"/>
  <c r="H16" i="127"/>
  <c r="I16" i="127" s="1"/>
  <c r="D21" i="127"/>
  <c r="E21" i="127"/>
  <c r="E13" i="127"/>
  <c r="G13" i="127" s="1"/>
  <c r="D13" i="127"/>
  <c r="G31" i="127"/>
  <c r="D23" i="127"/>
  <c r="E23" i="127"/>
  <c r="D22" i="126"/>
  <c r="E22" i="126"/>
  <c r="G22" i="126" s="1"/>
  <c r="H17" i="126"/>
  <c r="I17" i="126" s="1"/>
  <c r="G26" i="126"/>
  <c r="G35" i="126"/>
  <c r="G18" i="126"/>
  <c r="E12" i="126"/>
  <c r="G12" i="126" s="1"/>
  <c r="D12" i="126"/>
  <c r="D21" i="126"/>
  <c r="E21" i="126"/>
  <c r="G36" i="126"/>
  <c r="G31" i="126"/>
  <c r="E13" i="126"/>
  <c r="G13" i="126" s="1"/>
  <c r="D13" i="126"/>
  <c r="D23" i="126"/>
  <c r="E23" i="126"/>
  <c r="G27" i="126"/>
  <c r="G37" i="126"/>
  <c r="H16" i="126"/>
  <c r="I16" i="126" s="1"/>
  <c r="D21" i="125"/>
  <c r="E21" i="125"/>
  <c r="D12" i="125"/>
  <c r="E12" i="125"/>
  <c r="G12" i="125" s="1"/>
  <c r="E13" i="125"/>
  <c r="G13" i="125" s="1"/>
  <c r="D13" i="125"/>
  <c r="G31" i="125"/>
  <c r="G35" i="125"/>
  <c r="H18" i="125"/>
  <c r="I18" i="125" s="1"/>
  <c r="G27" i="125"/>
  <c r="G37" i="125"/>
  <c r="G36" i="125"/>
  <c r="H16" i="124"/>
  <c r="I16" i="124" s="1"/>
  <c r="G31" i="124"/>
  <c r="E12" i="124"/>
  <c r="G12" i="124" s="1"/>
  <c r="D12" i="124"/>
  <c r="D26" i="124"/>
  <c r="G26" i="124"/>
  <c r="G35" i="124"/>
  <c r="D35" i="124"/>
  <c r="D21" i="124"/>
  <c r="E21" i="124"/>
  <c r="E13" i="124"/>
  <c r="G13" i="124" s="1"/>
  <c r="D13" i="124"/>
  <c r="G36" i="124"/>
  <c r="D36" i="124"/>
  <c r="D27" i="124"/>
  <c r="G27" i="124"/>
  <c r="G37" i="124"/>
  <c r="D37" i="124"/>
  <c r="D23" i="124"/>
  <c r="E23" i="124"/>
  <c r="G23" i="124" s="1"/>
  <c r="G18" i="124"/>
  <c r="D26" i="123"/>
  <c r="G26" i="123"/>
  <c r="D18" i="123"/>
  <c r="H18" i="123" s="1"/>
  <c r="I18" i="123" s="1"/>
  <c r="G36" i="123"/>
  <c r="D36" i="123"/>
  <c r="E12" i="123"/>
  <c r="G12" i="123" s="1"/>
  <c r="D12" i="123"/>
  <c r="G27" i="123"/>
  <c r="D27" i="123"/>
  <c r="G37" i="123"/>
  <c r="D37" i="123"/>
  <c r="G35" i="123"/>
  <c r="D35" i="123"/>
  <c r="D13" i="123"/>
  <c r="E13" i="123"/>
  <c r="G13" i="123" s="1"/>
  <c r="G31" i="123"/>
  <c r="E12" i="122"/>
  <c r="G12" i="122" s="1"/>
  <c r="D12" i="122"/>
  <c r="H17" i="122"/>
  <c r="I17" i="122" s="1"/>
  <c r="D26" i="122"/>
  <c r="G26" i="122"/>
  <c r="G35" i="122"/>
  <c r="D35" i="122"/>
  <c r="D23" i="122"/>
  <c r="E23" i="122"/>
  <c r="G23" i="122" s="1"/>
  <c r="E13" i="122"/>
  <c r="G13" i="122" s="1"/>
  <c r="D13" i="122"/>
  <c r="G36" i="122"/>
  <c r="D36" i="122"/>
  <c r="G18" i="122"/>
  <c r="D27" i="122"/>
  <c r="G27" i="122"/>
  <c r="G37" i="122"/>
  <c r="D37" i="122"/>
  <c r="D21" i="122"/>
  <c r="E21" i="122"/>
  <c r="G31" i="122"/>
  <c r="F30" i="117"/>
  <c r="F21" i="120"/>
  <c r="F21" i="119"/>
  <c r="G21" i="119" s="1"/>
  <c r="F21" i="121"/>
  <c r="G21" i="121" s="1"/>
  <c r="H19" i="121"/>
  <c r="I19" i="121" s="1"/>
  <c r="D23" i="119"/>
  <c r="C30" i="112"/>
  <c r="C30" i="113"/>
  <c r="C30" i="115"/>
  <c r="D23" i="121"/>
  <c r="F31" i="116"/>
  <c r="F31" i="118"/>
  <c r="F31" i="117"/>
  <c r="G25" i="121"/>
  <c r="D25" i="121"/>
  <c r="D29" i="121" s="1"/>
  <c r="H27" i="121"/>
  <c r="I27" i="121" s="1"/>
  <c r="D13" i="121"/>
  <c r="D15" i="121" s="1"/>
  <c r="G13" i="121"/>
  <c r="D27" i="119"/>
  <c r="G27" i="119"/>
  <c r="G13" i="119"/>
  <c r="D13" i="119"/>
  <c r="D15" i="119" s="1"/>
  <c r="G25" i="119"/>
  <c r="D25" i="119"/>
  <c r="H26" i="119"/>
  <c r="I26" i="119" s="1"/>
  <c r="D23" i="118"/>
  <c r="E23" i="118"/>
  <c r="E12" i="118"/>
  <c r="G12" i="118" s="1"/>
  <c r="H12" i="118" s="1"/>
  <c r="I12" i="118" s="1"/>
  <c r="H17" i="118"/>
  <c r="I17" i="118" s="1"/>
  <c r="D26" i="118"/>
  <c r="G26" i="118"/>
  <c r="G35" i="118"/>
  <c r="D35" i="118"/>
  <c r="E13" i="118"/>
  <c r="G13" i="118" s="1"/>
  <c r="D30" i="118"/>
  <c r="G36" i="118"/>
  <c r="D36" i="118"/>
  <c r="G18" i="118"/>
  <c r="D27" i="118"/>
  <c r="G27" i="118"/>
  <c r="G37" i="118"/>
  <c r="D37" i="118"/>
  <c r="D31" i="118"/>
  <c r="G12" i="112"/>
  <c r="H12" i="112" s="1"/>
  <c r="I12" i="112" s="1"/>
  <c r="D27" i="116"/>
  <c r="G27" i="116"/>
  <c r="G37" i="116"/>
  <c r="D37" i="116"/>
  <c r="H16" i="116"/>
  <c r="I16" i="116" s="1"/>
  <c r="E12" i="116"/>
  <c r="G12" i="116" s="1"/>
  <c r="H17" i="116"/>
  <c r="I17" i="116" s="1"/>
  <c r="D31" i="116"/>
  <c r="G18" i="116"/>
  <c r="E13" i="116"/>
  <c r="G13" i="116" s="1"/>
  <c r="D26" i="116"/>
  <c r="G26" i="116"/>
  <c r="G35" i="116"/>
  <c r="D35" i="116"/>
  <c r="D23" i="116"/>
  <c r="E23" i="116"/>
  <c r="D30" i="116"/>
  <c r="G36" i="116"/>
  <c r="D36" i="116"/>
  <c r="G30" i="115"/>
  <c r="G25" i="115"/>
  <c r="G35" i="115"/>
  <c r="G13" i="115"/>
  <c r="G26" i="115"/>
  <c r="G36" i="115"/>
  <c r="H15" i="115"/>
  <c r="I15" i="115" s="1"/>
  <c r="G34" i="115"/>
  <c r="G12" i="115"/>
  <c r="D14" i="112"/>
  <c r="G13" i="112"/>
  <c r="G34" i="112"/>
  <c r="G30" i="112"/>
  <c r="G25" i="112"/>
  <c r="G35" i="112"/>
  <c r="H39" i="112"/>
  <c r="G26" i="112"/>
  <c r="G36" i="112"/>
  <c r="H37" i="112"/>
  <c r="H17" i="112"/>
  <c r="I17" i="112" s="1"/>
  <c r="H16" i="112"/>
  <c r="I16" i="112" s="1"/>
  <c r="G18" i="112"/>
  <c r="H22" i="112" l="1"/>
  <c r="I22" i="112" s="1"/>
  <c r="H18" i="115"/>
  <c r="I18" i="115" s="1"/>
  <c r="H30" i="190"/>
  <c r="I30" i="190" s="1"/>
  <c r="G32" i="190"/>
  <c r="H32" i="190" s="1"/>
  <c r="I32" i="190" s="1"/>
  <c r="G32" i="189"/>
  <c r="H32" i="189" s="1"/>
  <c r="I32" i="189" s="1"/>
  <c r="D32" i="187"/>
  <c r="H30" i="187"/>
  <c r="I30" i="187" s="1"/>
  <c r="G32" i="187"/>
  <c r="H30" i="186"/>
  <c r="I30" i="186" s="1"/>
  <c r="G32" i="186"/>
  <c r="H32" i="186" s="1"/>
  <c r="I32" i="186" s="1"/>
  <c r="G29" i="112"/>
  <c r="G31" i="112" s="1"/>
  <c r="D46" i="189"/>
  <c r="D41" i="189"/>
  <c r="D34" i="189"/>
  <c r="D33" i="189"/>
  <c r="G30" i="116"/>
  <c r="H30" i="116" s="1"/>
  <c r="I30" i="116" s="1"/>
  <c r="G32" i="188"/>
  <c r="H30" i="189"/>
  <c r="I30" i="189" s="1"/>
  <c r="D46" i="190"/>
  <c r="D49" i="190" s="1"/>
  <c r="D41" i="190"/>
  <c r="D33" i="190"/>
  <c r="D34" i="190"/>
  <c r="H23" i="136"/>
  <c r="I23" i="136" s="1"/>
  <c r="D24" i="138"/>
  <c r="H24" i="138" s="1"/>
  <c r="I24" i="138" s="1"/>
  <c r="H22" i="138"/>
  <c r="I22" i="138" s="1"/>
  <c r="G30" i="127"/>
  <c r="G31" i="116"/>
  <c r="H31" i="116" s="1"/>
  <c r="I31" i="116" s="1"/>
  <c r="G31" i="128"/>
  <c r="G32" i="128" s="1"/>
  <c r="G31" i="133"/>
  <c r="G32" i="133" s="1"/>
  <c r="H23" i="134"/>
  <c r="I23" i="134" s="1"/>
  <c r="G30" i="122"/>
  <c r="G32" i="122" s="1"/>
  <c r="G30" i="124"/>
  <c r="H30" i="124" s="1"/>
  <c r="I30" i="124" s="1"/>
  <c r="D24" i="135"/>
  <c r="H24" i="135" s="1"/>
  <c r="I24" i="135" s="1"/>
  <c r="D30" i="137"/>
  <c r="G30" i="125"/>
  <c r="H23" i="123"/>
  <c r="I23" i="123" s="1"/>
  <c r="H22" i="136"/>
  <c r="I22" i="136" s="1"/>
  <c r="D24" i="136"/>
  <c r="H24" i="136" s="1"/>
  <c r="I24" i="136" s="1"/>
  <c r="H22" i="134"/>
  <c r="I22" i="134" s="1"/>
  <c r="D24" i="134"/>
  <c r="D25" i="134" s="1"/>
  <c r="G31" i="131"/>
  <c r="H31" i="131" s="1"/>
  <c r="I31" i="131" s="1"/>
  <c r="G29" i="115"/>
  <c r="G31" i="115" s="1"/>
  <c r="D32" i="124"/>
  <c r="G30" i="126"/>
  <c r="G31" i="130"/>
  <c r="G32" i="130" s="1"/>
  <c r="D24" i="137"/>
  <c r="G30" i="123"/>
  <c r="G32" i="123" s="1"/>
  <c r="H22" i="135"/>
  <c r="I22" i="135" s="1"/>
  <c r="D28" i="131"/>
  <c r="D29" i="131"/>
  <c r="D14" i="128"/>
  <c r="D32" i="130"/>
  <c r="D14" i="131"/>
  <c r="D32" i="131"/>
  <c r="H13" i="137"/>
  <c r="I13" i="137" s="1"/>
  <c r="G15" i="137"/>
  <c r="H26" i="137"/>
  <c r="I26" i="137" s="1"/>
  <c r="G30" i="137"/>
  <c r="H28" i="137"/>
  <c r="I28" i="137" s="1"/>
  <c r="D30" i="136"/>
  <c r="H13" i="136"/>
  <c r="I13" i="136" s="1"/>
  <c r="G15" i="136"/>
  <c r="H28" i="136"/>
  <c r="I28" i="136" s="1"/>
  <c r="G30" i="136"/>
  <c r="H26" i="136"/>
  <c r="I26" i="136" s="1"/>
  <c r="D30" i="134"/>
  <c r="H28" i="134"/>
  <c r="I28" i="134" s="1"/>
  <c r="H27" i="134"/>
  <c r="I27" i="134" s="1"/>
  <c r="G30" i="134"/>
  <c r="H26" i="134"/>
  <c r="I26" i="134" s="1"/>
  <c r="G15" i="134"/>
  <c r="H13" i="134"/>
  <c r="I13" i="134" s="1"/>
  <c r="D39" i="133"/>
  <c r="D32" i="133"/>
  <c r="H18" i="133"/>
  <c r="I18" i="133" s="1"/>
  <c r="H27" i="133"/>
  <c r="I27" i="133" s="1"/>
  <c r="H30" i="133"/>
  <c r="I30" i="133" s="1"/>
  <c r="D14" i="133"/>
  <c r="H35" i="133"/>
  <c r="I35" i="133" s="1"/>
  <c r="G39" i="133"/>
  <c r="H13" i="133"/>
  <c r="I13" i="133" s="1"/>
  <c r="G14" i="133"/>
  <c r="H12" i="133"/>
  <c r="I12" i="133" s="1"/>
  <c r="H26" i="133"/>
  <c r="I26" i="133" s="1"/>
  <c r="H37" i="133"/>
  <c r="I37" i="133" s="1"/>
  <c r="H36" i="133"/>
  <c r="I36" i="133" s="1"/>
  <c r="D24" i="133"/>
  <c r="H27" i="131"/>
  <c r="I27" i="131" s="1"/>
  <c r="D39" i="131"/>
  <c r="H37" i="131"/>
  <c r="I37" i="131" s="1"/>
  <c r="H13" i="131"/>
  <c r="I13" i="131" s="1"/>
  <c r="H26" i="131"/>
  <c r="I26" i="131" s="1"/>
  <c r="H12" i="131"/>
  <c r="I12" i="131" s="1"/>
  <c r="G14" i="131"/>
  <c r="H36" i="131"/>
  <c r="I36" i="131" s="1"/>
  <c r="H35" i="131"/>
  <c r="I35" i="131" s="1"/>
  <c r="G39" i="131"/>
  <c r="H30" i="131"/>
  <c r="I30" i="131" s="1"/>
  <c r="H18" i="131"/>
  <c r="I18" i="131" s="1"/>
  <c r="H36" i="130"/>
  <c r="I36" i="130" s="1"/>
  <c r="H13" i="130"/>
  <c r="I13" i="130" s="1"/>
  <c r="H35" i="130"/>
  <c r="I35" i="130" s="1"/>
  <c r="G39" i="130"/>
  <c r="G14" i="130"/>
  <c r="H12" i="130"/>
  <c r="I12" i="130" s="1"/>
  <c r="H30" i="130"/>
  <c r="I30" i="130" s="1"/>
  <c r="H26" i="130"/>
  <c r="I26" i="130" s="1"/>
  <c r="H37" i="130"/>
  <c r="I37" i="130" s="1"/>
  <c r="D24" i="130"/>
  <c r="H18" i="130"/>
  <c r="I18" i="130" s="1"/>
  <c r="H27" i="130"/>
  <c r="I27" i="130" s="1"/>
  <c r="D39" i="130"/>
  <c r="D14" i="130"/>
  <c r="D24" i="128"/>
  <c r="D28" i="128" s="1"/>
  <c r="D32" i="128"/>
  <c r="D39" i="128"/>
  <c r="H37" i="128"/>
  <c r="I37" i="128" s="1"/>
  <c r="H13" i="128"/>
  <c r="I13" i="128" s="1"/>
  <c r="H27" i="128"/>
  <c r="I27" i="128" s="1"/>
  <c r="H36" i="128"/>
  <c r="I36" i="128" s="1"/>
  <c r="G14" i="128"/>
  <c r="H12" i="128"/>
  <c r="I12" i="128" s="1"/>
  <c r="H18" i="128"/>
  <c r="I18" i="128" s="1"/>
  <c r="H26" i="128"/>
  <c r="I26" i="128" s="1"/>
  <c r="H30" i="128"/>
  <c r="I30" i="128" s="1"/>
  <c r="H35" i="128"/>
  <c r="I35" i="128" s="1"/>
  <c r="G39" i="128"/>
  <c r="D14" i="127"/>
  <c r="H13" i="127"/>
  <c r="I13" i="127" s="1"/>
  <c r="H18" i="127"/>
  <c r="I18" i="127" s="1"/>
  <c r="G39" i="127"/>
  <c r="H12" i="127"/>
  <c r="I12" i="127" s="1"/>
  <c r="G14" i="127"/>
  <c r="H22" i="127"/>
  <c r="I22" i="127" s="1"/>
  <c r="H18" i="126"/>
  <c r="I18" i="126" s="1"/>
  <c r="H13" i="126"/>
  <c r="I13" i="126" s="1"/>
  <c r="D14" i="126"/>
  <c r="G39" i="126"/>
  <c r="H22" i="126"/>
  <c r="I22" i="126" s="1"/>
  <c r="H12" i="126"/>
  <c r="I12" i="126" s="1"/>
  <c r="G14" i="126"/>
  <c r="H13" i="125"/>
  <c r="I13" i="125" s="1"/>
  <c r="G39" i="125"/>
  <c r="H12" i="125"/>
  <c r="I12" i="125" s="1"/>
  <c r="G14" i="125"/>
  <c r="D14" i="125"/>
  <c r="H26" i="124"/>
  <c r="I26" i="124" s="1"/>
  <c r="H18" i="124"/>
  <c r="I18" i="124" s="1"/>
  <c r="H23" i="124"/>
  <c r="I23" i="124" s="1"/>
  <c r="H27" i="124"/>
  <c r="I27" i="124" s="1"/>
  <c r="D39" i="124"/>
  <c r="D14" i="124"/>
  <c r="H31" i="124"/>
  <c r="I31" i="124" s="1"/>
  <c r="H37" i="124"/>
  <c r="I37" i="124" s="1"/>
  <c r="H36" i="124"/>
  <c r="I36" i="124" s="1"/>
  <c r="H13" i="124"/>
  <c r="I13" i="124" s="1"/>
  <c r="H35" i="124"/>
  <c r="I35" i="124" s="1"/>
  <c r="G39" i="124"/>
  <c r="G14" i="124"/>
  <c r="H12" i="124"/>
  <c r="I12" i="124" s="1"/>
  <c r="H35" i="123"/>
  <c r="I35" i="123" s="1"/>
  <c r="G39" i="123"/>
  <c r="H27" i="123"/>
  <c r="I27" i="123" s="1"/>
  <c r="H37" i="123"/>
  <c r="I37" i="123" s="1"/>
  <c r="H12" i="123"/>
  <c r="I12" i="123" s="1"/>
  <c r="G14" i="123"/>
  <c r="H31" i="123"/>
  <c r="I31" i="123" s="1"/>
  <c r="D39" i="123"/>
  <c r="H36" i="123"/>
  <c r="I36" i="123" s="1"/>
  <c r="H26" i="123"/>
  <c r="I26" i="123" s="1"/>
  <c r="H13" i="123"/>
  <c r="I13" i="123" s="1"/>
  <c r="D14" i="123"/>
  <c r="D32" i="123"/>
  <c r="D39" i="122"/>
  <c r="H23" i="122"/>
  <c r="I23" i="122" s="1"/>
  <c r="H26" i="122"/>
  <c r="I26" i="122" s="1"/>
  <c r="D14" i="122"/>
  <c r="H31" i="122"/>
  <c r="I31" i="122" s="1"/>
  <c r="H18" i="122"/>
  <c r="I18" i="122" s="1"/>
  <c r="D32" i="122"/>
  <c r="H12" i="122"/>
  <c r="I12" i="122" s="1"/>
  <c r="G14" i="122"/>
  <c r="H37" i="122"/>
  <c r="I37" i="122" s="1"/>
  <c r="H27" i="122"/>
  <c r="I27" i="122" s="1"/>
  <c r="H36" i="122"/>
  <c r="I36" i="122" s="1"/>
  <c r="H13" i="122"/>
  <c r="I13" i="122" s="1"/>
  <c r="H35" i="122"/>
  <c r="I35" i="122" s="1"/>
  <c r="G39" i="122"/>
  <c r="G30" i="118"/>
  <c r="H30" i="118" s="1"/>
  <c r="I30" i="118" s="1"/>
  <c r="G14" i="112"/>
  <c r="H14" i="112" s="1"/>
  <c r="I14" i="112" s="1"/>
  <c r="G31" i="118"/>
  <c r="G23" i="121"/>
  <c r="H21" i="121"/>
  <c r="I21" i="121" s="1"/>
  <c r="H21" i="119"/>
  <c r="I21" i="119" s="1"/>
  <c r="G23" i="119"/>
  <c r="G29" i="121"/>
  <c r="H25" i="121"/>
  <c r="I25" i="121" s="1"/>
  <c r="H13" i="121"/>
  <c r="I13" i="121" s="1"/>
  <c r="G15" i="121"/>
  <c r="H13" i="119"/>
  <c r="I13" i="119" s="1"/>
  <c r="G15" i="119"/>
  <c r="D29" i="119"/>
  <c r="H27" i="119"/>
  <c r="I27" i="119" s="1"/>
  <c r="G29" i="119"/>
  <c r="H25" i="119"/>
  <c r="I25" i="119" s="1"/>
  <c r="H37" i="118"/>
  <c r="I37" i="118" s="1"/>
  <c r="D39" i="118"/>
  <c r="H27" i="118"/>
  <c r="I27" i="118" s="1"/>
  <c r="H36" i="118"/>
  <c r="I36" i="118" s="1"/>
  <c r="H13" i="118"/>
  <c r="I13" i="118" s="1"/>
  <c r="H35" i="118"/>
  <c r="I35" i="118" s="1"/>
  <c r="G39" i="118"/>
  <c r="H26" i="118"/>
  <c r="I26" i="118" s="1"/>
  <c r="D14" i="118"/>
  <c r="H18" i="118"/>
  <c r="I18" i="118" s="1"/>
  <c r="D32" i="118"/>
  <c r="G14" i="118"/>
  <c r="H13" i="112"/>
  <c r="I13" i="112" s="1"/>
  <c r="D14" i="115"/>
  <c r="H36" i="116"/>
  <c r="I36" i="116" s="1"/>
  <c r="H27" i="116"/>
  <c r="I27" i="116" s="1"/>
  <c r="D39" i="116"/>
  <c r="H18" i="116"/>
  <c r="I18" i="116" s="1"/>
  <c r="D32" i="116"/>
  <c r="H35" i="116"/>
  <c r="I35" i="116" s="1"/>
  <c r="G39" i="116"/>
  <c r="H13" i="116"/>
  <c r="I13" i="116" s="1"/>
  <c r="D14" i="116"/>
  <c r="H26" i="116"/>
  <c r="I26" i="116" s="1"/>
  <c r="G14" i="116"/>
  <c r="H12" i="116"/>
  <c r="I12" i="116" s="1"/>
  <c r="H37" i="116"/>
  <c r="I37" i="116" s="1"/>
  <c r="G38" i="115"/>
  <c r="G14" i="115"/>
  <c r="H12" i="115"/>
  <c r="I12" i="115" s="1"/>
  <c r="H13" i="115"/>
  <c r="I13" i="115" s="1"/>
  <c r="H18" i="112"/>
  <c r="I18" i="112" s="1"/>
  <c r="G38" i="112"/>
  <c r="D42" i="189" l="1"/>
  <c r="D43" i="189" s="1"/>
  <c r="D44" i="189"/>
  <c r="D42" i="190"/>
  <c r="D43" i="190" s="1"/>
  <c r="D44" i="190"/>
  <c r="D47" i="189"/>
  <c r="D48" i="189" s="1"/>
  <c r="D49" i="189"/>
  <c r="H32" i="187"/>
  <c r="I32" i="187" s="1"/>
  <c r="D47" i="190"/>
  <c r="D48" i="190" s="1"/>
  <c r="D46" i="187"/>
  <c r="D41" i="187"/>
  <c r="D33" i="187"/>
  <c r="D34" i="187"/>
  <c r="D25" i="135"/>
  <c r="D25" i="138"/>
  <c r="H31" i="133"/>
  <c r="I31" i="133" s="1"/>
  <c r="G32" i="116"/>
  <c r="H32" i="116" s="1"/>
  <c r="I32" i="116" s="1"/>
  <c r="G32" i="127"/>
  <c r="H30" i="122"/>
  <c r="I30" i="122" s="1"/>
  <c r="H31" i="128"/>
  <c r="I31" i="128" s="1"/>
  <c r="G32" i="124"/>
  <c r="G32" i="126"/>
  <c r="D32" i="137"/>
  <c r="G32" i="125"/>
  <c r="D33" i="131"/>
  <c r="D41" i="131"/>
  <c r="H30" i="123"/>
  <c r="I30" i="123" s="1"/>
  <c r="D34" i="131"/>
  <c r="D32" i="136"/>
  <c r="D25" i="136"/>
  <c r="H24" i="134"/>
  <c r="I24" i="134" s="1"/>
  <c r="H31" i="130"/>
  <c r="I31" i="130" s="1"/>
  <c r="G32" i="118"/>
  <c r="G32" i="131"/>
  <c r="D25" i="137"/>
  <c r="H24" i="137"/>
  <c r="I24" i="137" s="1"/>
  <c r="D46" i="128"/>
  <c r="D32" i="134"/>
  <c r="D29" i="128"/>
  <c r="D34" i="128" s="1"/>
  <c r="H31" i="118"/>
  <c r="I31" i="118" s="1"/>
  <c r="H15" i="137"/>
  <c r="I15" i="137" s="1"/>
  <c r="H30" i="137"/>
  <c r="I30" i="137" s="1"/>
  <c r="H15" i="136"/>
  <c r="I15" i="136" s="1"/>
  <c r="H30" i="136"/>
  <c r="I30" i="136" s="1"/>
  <c r="H15" i="134"/>
  <c r="I15" i="134" s="1"/>
  <c r="H30" i="134"/>
  <c r="I30" i="134" s="1"/>
  <c r="D29" i="133"/>
  <c r="D34" i="133" s="1"/>
  <c r="D28" i="133"/>
  <c r="D33" i="133" s="1"/>
  <c r="D46" i="133"/>
  <c r="D49" i="133" s="1"/>
  <c r="D41" i="133"/>
  <c r="D44" i="133" s="1"/>
  <c r="H14" i="133"/>
  <c r="I14" i="133" s="1"/>
  <c r="H39" i="133"/>
  <c r="I39" i="133" s="1"/>
  <c r="H32" i="133"/>
  <c r="I32" i="133" s="1"/>
  <c r="H14" i="131"/>
  <c r="I14" i="131" s="1"/>
  <c r="H39" i="131"/>
  <c r="I39" i="131" s="1"/>
  <c r="D46" i="131"/>
  <c r="D49" i="131" s="1"/>
  <c r="D41" i="130"/>
  <c r="H32" i="130"/>
  <c r="I32" i="130" s="1"/>
  <c r="H14" i="130"/>
  <c r="I14" i="130" s="1"/>
  <c r="H39" i="130"/>
  <c r="I39" i="130" s="1"/>
  <c r="D29" i="130"/>
  <c r="D34" i="130" s="1"/>
  <c r="D28" i="130"/>
  <c r="D33" i="130" s="1"/>
  <c r="D46" i="130"/>
  <c r="D49" i="130" s="1"/>
  <c r="D41" i="128"/>
  <c r="D33" i="128"/>
  <c r="H32" i="128"/>
  <c r="I32" i="128" s="1"/>
  <c r="H14" i="128"/>
  <c r="I14" i="128" s="1"/>
  <c r="H39" i="128"/>
  <c r="I39" i="128" s="1"/>
  <c r="H14" i="127"/>
  <c r="I14" i="127" s="1"/>
  <c r="H14" i="126"/>
  <c r="I14" i="126" s="1"/>
  <c r="H14" i="125"/>
  <c r="I14" i="125" s="1"/>
  <c r="H14" i="124"/>
  <c r="I14" i="124" s="1"/>
  <c r="H39" i="124"/>
  <c r="I39" i="124" s="1"/>
  <c r="H14" i="123"/>
  <c r="I14" i="123" s="1"/>
  <c r="H32" i="123"/>
  <c r="I32" i="123" s="1"/>
  <c r="H39" i="123"/>
  <c r="I39" i="123" s="1"/>
  <c r="H39" i="122"/>
  <c r="I39" i="122" s="1"/>
  <c r="H32" i="122"/>
  <c r="I32" i="122" s="1"/>
  <c r="H14" i="122"/>
  <c r="I14" i="122" s="1"/>
  <c r="H23" i="119"/>
  <c r="I23" i="119" s="1"/>
  <c r="H23" i="121"/>
  <c r="I23" i="121" s="1"/>
  <c r="H29" i="121"/>
  <c r="I29" i="121" s="1"/>
  <c r="H15" i="121"/>
  <c r="I15" i="121" s="1"/>
  <c r="H29" i="119"/>
  <c r="I29" i="119" s="1"/>
  <c r="H15" i="119"/>
  <c r="I15" i="119" s="1"/>
  <c r="H14" i="118"/>
  <c r="I14" i="118" s="1"/>
  <c r="H39" i="118"/>
  <c r="I39" i="118" s="1"/>
  <c r="H14" i="116"/>
  <c r="I14" i="116" s="1"/>
  <c r="H39" i="116"/>
  <c r="I39" i="116" s="1"/>
  <c r="H14" i="115"/>
  <c r="I14" i="115" s="1"/>
  <c r="D45" i="189" l="1"/>
  <c r="D50" i="189"/>
  <c r="E25" i="179" s="1"/>
  <c r="D33" i="136"/>
  <c r="D34" i="136" s="1"/>
  <c r="D35" i="136"/>
  <c r="D33" i="137"/>
  <c r="D34" i="137" s="1"/>
  <c r="D35" i="137"/>
  <c r="D42" i="187"/>
  <c r="D43" i="187" s="1"/>
  <c r="D44" i="187"/>
  <c r="D45" i="190"/>
  <c r="D47" i="128"/>
  <c r="D48" i="128" s="1"/>
  <c r="D49" i="128"/>
  <c r="D47" i="187"/>
  <c r="D48" i="187" s="1"/>
  <c r="D49" i="187"/>
  <c r="D42" i="128"/>
  <c r="D43" i="128" s="1"/>
  <c r="D44" i="128"/>
  <c r="D42" i="131"/>
  <c r="D43" i="131" s="1"/>
  <c r="D44" i="131"/>
  <c r="D33" i="134"/>
  <c r="D34" i="134" s="1"/>
  <c r="D35" i="134"/>
  <c r="D42" i="130"/>
  <c r="D43" i="130" s="1"/>
  <c r="D44" i="130"/>
  <c r="D50" i="190"/>
  <c r="E40" i="179" s="1"/>
  <c r="H32" i="124"/>
  <c r="I32" i="124" s="1"/>
  <c r="H32" i="131"/>
  <c r="I32" i="131" s="1"/>
  <c r="H32" i="118"/>
  <c r="I32" i="118" s="1"/>
  <c r="D42" i="133"/>
  <c r="D43" i="133" s="1"/>
  <c r="D47" i="133"/>
  <c r="D48" i="133" s="1"/>
  <c r="D47" i="131"/>
  <c r="D47" i="130"/>
  <c r="D48" i="130" s="1"/>
  <c r="D36" i="136" l="1"/>
  <c r="E30" i="179" s="1"/>
  <c r="D45" i="131"/>
  <c r="D45" i="130"/>
  <c r="D50" i="187"/>
  <c r="E21" i="179" s="1"/>
  <c r="D36" i="134"/>
  <c r="E28" i="179" s="1"/>
  <c r="D50" i="128"/>
  <c r="E24" i="179" s="1"/>
  <c r="D45" i="187"/>
  <c r="D45" i="128"/>
  <c r="D36" i="137"/>
  <c r="E43" i="179" s="1"/>
  <c r="D45" i="133"/>
  <c r="D50" i="133"/>
  <c r="E42" i="179" s="1"/>
  <c r="D48" i="131"/>
  <c r="C6" i="112" l="1"/>
  <c r="C8" i="112" s="1"/>
  <c r="C6" i="185"/>
  <c r="C8" i="185" s="1"/>
  <c r="C6" i="115"/>
  <c r="C8" i="115" s="1"/>
  <c r="C6" i="113"/>
  <c r="C8" i="113" s="1"/>
  <c r="C6" i="126"/>
  <c r="C8" i="126" s="1"/>
  <c r="C6" i="188"/>
  <c r="C8" i="188" s="1"/>
  <c r="C6" i="125"/>
  <c r="C8" i="125" s="1"/>
  <c r="C6" i="127"/>
  <c r="C8" i="127" s="1"/>
  <c r="D50" i="131"/>
  <c r="E39" i="179" s="1"/>
  <c r="D50" i="130"/>
  <c r="E27" i="179" s="1"/>
  <c r="B35" i="113" l="1"/>
  <c r="B29" i="113"/>
  <c r="B36" i="113"/>
  <c r="B34" i="113"/>
  <c r="B26" i="113"/>
  <c r="B30" i="113"/>
  <c r="B25" i="113"/>
  <c r="B29" i="115"/>
  <c r="D29" i="115" s="1"/>
  <c r="B30" i="115"/>
  <c r="D30" i="115" s="1"/>
  <c r="H30" i="115" s="1"/>
  <c r="I30" i="115" s="1"/>
  <c r="B35" i="115"/>
  <c r="D35" i="115" s="1"/>
  <c r="H35" i="115" s="1"/>
  <c r="I35" i="115" s="1"/>
  <c r="B26" i="115"/>
  <c r="D26" i="115" s="1"/>
  <c r="B36" i="115"/>
  <c r="D36" i="115" s="1"/>
  <c r="H36" i="115" s="1"/>
  <c r="I36" i="115" s="1"/>
  <c r="B25" i="115"/>
  <c r="D25" i="115" s="1"/>
  <c r="B34" i="115"/>
  <c r="D34" i="115" s="1"/>
  <c r="B25" i="185"/>
  <c r="B26" i="185"/>
  <c r="B30" i="185"/>
  <c r="B35" i="185"/>
  <c r="B29" i="185"/>
  <c r="B34" i="185"/>
  <c r="B36" i="185"/>
  <c r="B29" i="112"/>
  <c r="D29" i="112" s="1"/>
  <c r="B35" i="112"/>
  <c r="D35" i="112" s="1"/>
  <c r="H35" i="112" s="1"/>
  <c r="I35" i="112" s="1"/>
  <c r="B36" i="112"/>
  <c r="D36" i="112" s="1"/>
  <c r="H36" i="112" s="1"/>
  <c r="I36" i="112" s="1"/>
  <c r="B25" i="112"/>
  <c r="D25" i="112" s="1"/>
  <c r="B26" i="112"/>
  <c r="D26" i="112" s="1"/>
  <c r="B34" i="112"/>
  <c r="D34" i="112" s="1"/>
  <c r="B30" i="112"/>
  <c r="D30" i="112" s="1"/>
  <c r="H30" i="112" s="1"/>
  <c r="I30" i="112" s="1"/>
  <c r="B31" i="125"/>
  <c r="D31" i="125" s="1"/>
  <c r="H31" i="125" s="1"/>
  <c r="I31" i="125" s="1"/>
  <c r="B30" i="125"/>
  <c r="D30" i="125" s="1"/>
  <c r="B26" i="125"/>
  <c r="D26" i="125" s="1"/>
  <c r="H26" i="125" s="1"/>
  <c r="I26" i="125" s="1"/>
  <c r="B27" i="125"/>
  <c r="D27" i="125" s="1"/>
  <c r="H27" i="125" s="1"/>
  <c r="I27" i="125" s="1"/>
  <c r="B37" i="125"/>
  <c r="D37" i="125" s="1"/>
  <c r="H37" i="125" s="1"/>
  <c r="I37" i="125" s="1"/>
  <c r="B36" i="125"/>
  <c r="D36" i="125" s="1"/>
  <c r="H36" i="125" s="1"/>
  <c r="I36" i="125" s="1"/>
  <c r="B35" i="125"/>
  <c r="D35" i="125" s="1"/>
  <c r="B26" i="188"/>
  <c r="D26" i="188" s="1"/>
  <c r="B27" i="188"/>
  <c r="D27" i="188" s="1"/>
  <c r="B36" i="188"/>
  <c r="D36" i="188" s="1"/>
  <c r="H36" i="188" s="1"/>
  <c r="I36" i="188" s="1"/>
  <c r="B30" i="188"/>
  <c r="D30" i="188" s="1"/>
  <c r="H30" i="188" s="1"/>
  <c r="I30" i="188" s="1"/>
  <c r="B37" i="188"/>
  <c r="D37" i="188" s="1"/>
  <c r="H37" i="188" s="1"/>
  <c r="I37" i="188" s="1"/>
  <c r="B35" i="188"/>
  <c r="D35" i="188" s="1"/>
  <c r="B31" i="188"/>
  <c r="D31" i="188" s="1"/>
  <c r="B30" i="127"/>
  <c r="D30" i="127" s="1"/>
  <c r="B31" i="127"/>
  <c r="D31" i="127" s="1"/>
  <c r="H31" i="127" s="1"/>
  <c r="I31" i="127" s="1"/>
  <c r="B37" i="127"/>
  <c r="D37" i="127" s="1"/>
  <c r="H37" i="127" s="1"/>
  <c r="I37" i="127" s="1"/>
  <c r="B26" i="127"/>
  <c r="D26" i="127" s="1"/>
  <c r="H26" i="127" s="1"/>
  <c r="I26" i="127" s="1"/>
  <c r="B36" i="127"/>
  <c r="D36" i="127" s="1"/>
  <c r="H36" i="127" s="1"/>
  <c r="I36" i="127" s="1"/>
  <c r="B35" i="127"/>
  <c r="D35" i="127" s="1"/>
  <c r="B27" i="127"/>
  <c r="D27" i="127" s="1"/>
  <c r="H27" i="127" s="1"/>
  <c r="I27" i="127" s="1"/>
  <c r="B30" i="126"/>
  <c r="D30" i="126" s="1"/>
  <c r="B26" i="126"/>
  <c r="D26" i="126" s="1"/>
  <c r="H26" i="126" s="1"/>
  <c r="I26" i="126" s="1"/>
  <c r="B31" i="126"/>
  <c r="D31" i="126" s="1"/>
  <c r="H31" i="126" s="1"/>
  <c r="I31" i="126" s="1"/>
  <c r="B27" i="126"/>
  <c r="D27" i="126" s="1"/>
  <c r="H27" i="126" s="1"/>
  <c r="I27" i="126" s="1"/>
  <c r="B37" i="126"/>
  <c r="D37" i="126" s="1"/>
  <c r="H37" i="126" s="1"/>
  <c r="I37" i="126" s="1"/>
  <c r="B36" i="126"/>
  <c r="D36" i="126" s="1"/>
  <c r="H36" i="126" s="1"/>
  <c r="I36" i="126" s="1"/>
  <c r="B35" i="126"/>
  <c r="D35" i="126" s="1"/>
  <c r="H25" i="115" l="1"/>
  <c r="I25" i="115" s="1"/>
  <c r="D27" i="115"/>
  <c r="D38" i="112"/>
  <c r="H38" i="112" s="1"/>
  <c r="I38" i="112" s="1"/>
  <c r="H34" i="112"/>
  <c r="I34" i="112" s="1"/>
  <c r="H26" i="112"/>
  <c r="I26" i="112" s="1"/>
  <c r="D28" i="112"/>
  <c r="H26" i="115"/>
  <c r="I26" i="115" s="1"/>
  <c r="D28" i="115"/>
  <c r="D31" i="115"/>
  <c r="H31" i="115" s="1"/>
  <c r="I31" i="115" s="1"/>
  <c r="H29" i="115"/>
  <c r="I29" i="115" s="1"/>
  <c r="D31" i="112"/>
  <c r="H31" i="112" s="1"/>
  <c r="I31" i="112" s="1"/>
  <c r="H29" i="112"/>
  <c r="I29" i="112" s="1"/>
  <c r="H34" i="115"/>
  <c r="I34" i="115" s="1"/>
  <c r="D38" i="115"/>
  <c r="H38" i="115" s="1"/>
  <c r="I38" i="115" s="1"/>
  <c r="D27" i="112"/>
  <c r="H25" i="112"/>
  <c r="I25" i="112" s="1"/>
  <c r="H26" i="188"/>
  <c r="I26" i="188" s="1"/>
  <c r="D28" i="188"/>
  <c r="D32" i="127"/>
  <c r="H32" i="127" s="1"/>
  <c r="I32" i="127" s="1"/>
  <c r="H30" i="127"/>
  <c r="I30" i="127" s="1"/>
  <c r="H35" i="188"/>
  <c r="I35" i="188" s="1"/>
  <c r="D39" i="188"/>
  <c r="H39" i="188" s="1"/>
  <c r="I39" i="188" s="1"/>
  <c r="D39" i="125"/>
  <c r="H39" i="125" s="1"/>
  <c r="I39" i="125" s="1"/>
  <c r="H35" i="125"/>
  <c r="I35" i="125" s="1"/>
  <c r="D32" i="126"/>
  <c r="H32" i="126" s="1"/>
  <c r="I32" i="126" s="1"/>
  <c r="H30" i="126"/>
  <c r="I30" i="126" s="1"/>
  <c r="D32" i="188"/>
  <c r="H32" i="188" s="1"/>
  <c r="I32" i="188" s="1"/>
  <c r="H31" i="188"/>
  <c r="I31" i="188" s="1"/>
  <c r="H35" i="127"/>
  <c r="I35" i="127" s="1"/>
  <c r="D39" i="127"/>
  <c r="H39" i="127" s="1"/>
  <c r="I39" i="127" s="1"/>
  <c r="D32" i="125"/>
  <c r="H32" i="125" s="1"/>
  <c r="I32" i="125" s="1"/>
  <c r="H30" i="125"/>
  <c r="I30" i="125" s="1"/>
  <c r="D39" i="126"/>
  <c r="H39" i="126" s="1"/>
  <c r="I39" i="126" s="1"/>
  <c r="H35" i="126"/>
  <c r="I35" i="126" s="1"/>
  <c r="H27" i="188"/>
  <c r="I27" i="188" s="1"/>
  <c r="D29" i="188"/>
  <c r="D32" i="112" l="1"/>
  <c r="D33" i="112"/>
  <c r="D40" i="112"/>
  <c r="D45" i="115"/>
  <c r="D40" i="115"/>
  <c r="D33" i="115"/>
  <c r="D32" i="115"/>
  <c r="D45" i="112"/>
  <c r="D34" i="188"/>
  <c r="D46" i="188"/>
  <c r="D41" i="188"/>
  <c r="D33" i="188"/>
  <c r="D41" i="115" l="1"/>
  <c r="D42" i="115" s="1"/>
  <c r="D43" i="115"/>
  <c r="D41" i="112"/>
  <c r="D42" i="112" s="1"/>
  <c r="D43" i="112"/>
  <c r="D46" i="112"/>
  <c r="D47" i="112" s="1"/>
  <c r="D48" i="112"/>
  <c r="D42" i="188"/>
  <c r="D43" i="188" s="1"/>
  <c r="D44" i="188"/>
  <c r="D47" i="188"/>
  <c r="D48" i="188" s="1"/>
  <c r="D49" i="188"/>
  <c r="D46" i="115"/>
  <c r="D47" i="115" s="1"/>
  <c r="D48" i="115"/>
  <c r="D49" i="115" l="1"/>
  <c r="E6" i="179" s="1"/>
  <c r="D44" i="112"/>
  <c r="D49" i="112"/>
  <c r="E3" i="179" s="1"/>
  <c r="D50" i="188"/>
  <c r="E36" i="179" s="1"/>
  <c r="D44" i="115"/>
  <c r="D45" i="188"/>
  <c r="F38" i="175"/>
  <c r="F36" i="175"/>
  <c r="F34" i="175"/>
  <c r="F32" i="175"/>
  <c r="E32" i="175"/>
  <c r="G32" i="175" s="1"/>
  <c r="D32" i="175"/>
  <c r="E18" i="175"/>
  <c r="E17" i="175"/>
  <c r="D17" i="175"/>
  <c r="E16" i="175"/>
  <c r="G16" i="175" s="1"/>
  <c r="D16" i="175"/>
  <c r="E15" i="175"/>
  <c r="F13" i="175"/>
  <c r="F12" i="175"/>
  <c r="B9" i="175"/>
  <c r="B7" i="175"/>
  <c r="B6" i="175"/>
  <c r="B5" i="175"/>
  <c r="F38" i="174"/>
  <c r="F36" i="174"/>
  <c r="F34" i="174"/>
  <c r="F32" i="174"/>
  <c r="E32" i="174"/>
  <c r="D32" i="174"/>
  <c r="E18" i="174"/>
  <c r="E17" i="174"/>
  <c r="D17" i="174"/>
  <c r="E16" i="174"/>
  <c r="G16" i="174" s="1"/>
  <c r="D16" i="174"/>
  <c r="E15" i="174"/>
  <c r="F13" i="174"/>
  <c r="F12" i="174"/>
  <c r="B9" i="174"/>
  <c r="B7" i="174"/>
  <c r="B6" i="174"/>
  <c r="B5" i="174"/>
  <c r="F37" i="173"/>
  <c r="F35" i="173"/>
  <c r="F33" i="173"/>
  <c r="F31" i="173"/>
  <c r="E31" i="173"/>
  <c r="G31" i="173" s="1"/>
  <c r="D31" i="173"/>
  <c r="B25" i="173"/>
  <c r="B24" i="173"/>
  <c r="E24" i="173" s="1"/>
  <c r="B21" i="173"/>
  <c r="E21" i="173" s="1"/>
  <c r="B20" i="173"/>
  <c r="E20" i="173" s="1"/>
  <c r="E19" i="173"/>
  <c r="E18" i="173"/>
  <c r="D18" i="173"/>
  <c r="E17" i="173"/>
  <c r="G17" i="173" s="1"/>
  <c r="D17" i="173"/>
  <c r="E16" i="173"/>
  <c r="F14" i="173"/>
  <c r="E14" i="173"/>
  <c r="G14" i="173" s="1"/>
  <c r="D14" i="173"/>
  <c r="F13" i="173"/>
  <c r="B8" i="173"/>
  <c r="B6" i="173"/>
  <c r="F37" i="172"/>
  <c r="F35" i="172"/>
  <c r="F33" i="172"/>
  <c r="F31" i="172"/>
  <c r="E31" i="172"/>
  <c r="D31" i="172"/>
  <c r="E25" i="172"/>
  <c r="B25" i="172"/>
  <c r="B24" i="172"/>
  <c r="E24" i="172" s="1"/>
  <c r="B21" i="172"/>
  <c r="E21" i="172" s="1"/>
  <c r="B20" i="172"/>
  <c r="E20" i="172" s="1"/>
  <c r="E19" i="172"/>
  <c r="E18" i="172"/>
  <c r="D18" i="172"/>
  <c r="E17" i="172"/>
  <c r="G17" i="172" s="1"/>
  <c r="D17" i="172"/>
  <c r="E16" i="172"/>
  <c r="F14" i="172"/>
  <c r="E14" i="172"/>
  <c r="D14" i="172"/>
  <c r="F13" i="172"/>
  <c r="B8" i="172"/>
  <c r="B6" i="172"/>
  <c r="F35" i="171"/>
  <c r="F33" i="171"/>
  <c r="F31" i="171"/>
  <c r="E31" i="171"/>
  <c r="D31" i="171"/>
  <c r="B25" i="171"/>
  <c r="E25" i="171" s="1"/>
  <c r="B24" i="171"/>
  <c r="B21" i="171"/>
  <c r="B20" i="171"/>
  <c r="E19" i="171"/>
  <c r="E18" i="171"/>
  <c r="D18" i="171"/>
  <c r="E17" i="171"/>
  <c r="G17" i="171" s="1"/>
  <c r="D17" i="171"/>
  <c r="E16" i="171"/>
  <c r="F14" i="171"/>
  <c r="E14" i="171"/>
  <c r="D14" i="171"/>
  <c r="F13" i="171"/>
  <c r="B8" i="171"/>
  <c r="B6" i="171"/>
  <c r="F31" i="170"/>
  <c r="E31" i="170"/>
  <c r="G31" i="170" s="1"/>
  <c r="D31" i="170"/>
  <c r="B25" i="170"/>
  <c r="B24" i="170"/>
  <c r="E24" i="170" s="1"/>
  <c r="B21" i="170"/>
  <c r="E21" i="170" s="1"/>
  <c r="B20" i="170"/>
  <c r="E20" i="170" s="1"/>
  <c r="E19" i="170"/>
  <c r="E18" i="170"/>
  <c r="D18" i="170"/>
  <c r="E17" i="170"/>
  <c r="G17" i="170" s="1"/>
  <c r="D17" i="170"/>
  <c r="E16" i="170"/>
  <c r="F14" i="170"/>
  <c r="E14" i="170"/>
  <c r="G14" i="170" s="1"/>
  <c r="D14" i="170"/>
  <c r="F13" i="170"/>
  <c r="B8" i="170"/>
  <c r="B6" i="170"/>
  <c r="F38" i="169"/>
  <c r="F36" i="169"/>
  <c r="F34" i="169"/>
  <c r="F32" i="169"/>
  <c r="E32" i="169"/>
  <c r="D32" i="169"/>
  <c r="E18" i="169"/>
  <c r="D18" i="169"/>
  <c r="E17" i="169"/>
  <c r="D17" i="169"/>
  <c r="E16" i="169"/>
  <c r="G16" i="169" s="1"/>
  <c r="D16" i="169"/>
  <c r="E15" i="169"/>
  <c r="F13" i="169"/>
  <c r="F12" i="169"/>
  <c r="B9" i="169"/>
  <c r="B7" i="169"/>
  <c r="B6" i="169"/>
  <c r="B5" i="169"/>
  <c r="F50" i="168"/>
  <c r="F48" i="168"/>
  <c r="F45" i="168"/>
  <c r="F43" i="168"/>
  <c r="F41" i="168"/>
  <c r="F39" i="168"/>
  <c r="E39" i="168"/>
  <c r="G39" i="168" s="1"/>
  <c r="D39" i="168"/>
  <c r="C28" i="168"/>
  <c r="F28" i="168" s="1"/>
  <c r="F26" i="168"/>
  <c r="G26" i="168" s="1"/>
  <c r="C26" i="168"/>
  <c r="D26" i="168" s="1"/>
  <c r="E22" i="168"/>
  <c r="E21" i="168"/>
  <c r="D21" i="168"/>
  <c r="E20" i="168"/>
  <c r="G20" i="168" s="1"/>
  <c r="D20" i="168"/>
  <c r="E19" i="168"/>
  <c r="F17" i="168"/>
  <c r="F16" i="168"/>
  <c r="F15" i="168"/>
  <c r="F13" i="168"/>
  <c r="F12" i="168"/>
  <c r="B9" i="168"/>
  <c r="B7" i="168"/>
  <c r="B6" i="168"/>
  <c r="B5" i="168"/>
  <c r="G32" i="169" l="1"/>
  <c r="G32" i="174"/>
  <c r="H32" i="174" s="1"/>
  <c r="G18" i="173"/>
  <c r="H18" i="173" s="1"/>
  <c r="G31" i="172"/>
  <c r="G14" i="172"/>
  <c r="H14" i="172" s="1"/>
  <c r="I14" i="172" s="1"/>
  <c r="G18" i="171"/>
  <c r="H18" i="171" s="1"/>
  <c r="G14" i="171"/>
  <c r="H14" i="171" s="1"/>
  <c r="I14" i="171" s="1"/>
  <c r="G31" i="171"/>
  <c r="H31" i="171" s="1"/>
  <c r="G18" i="170"/>
  <c r="H18" i="170" s="1"/>
  <c r="G18" i="172"/>
  <c r="H18" i="172" s="1"/>
  <c r="H16" i="175"/>
  <c r="G17" i="169"/>
  <c r="H17" i="169" s="1"/>
  <c r="G21" i="168"/>
  <c r="H21" i="168" s="1"/>
  <c r="I21" i="168" s="1"/>
  <c r="G17" i="174"/>
  <c r="H17" i="174" s="1"/>
  <c r="G17" i="175"/>
  <c r="H17" i="175" s="1"/>
  <c r="H32" i="175"/>
  <c r="H16" i="174"/>
  <c r="E21" i="171"/>
  <c r="E25" i="170"/>
  <c r="E25" i="173"/>
  <c r="H14" i="173"/>
  <c r="I14" i="173" s="1"/>
  <c r="H17" i="173"/>
  <c r="H31" i="173"/>
  <c r="H17" i="172"/>
  <c r="H31" i="172"/>
  <c r="H17" i="171"/>
  <c r="E24" i="171"/>
  <c r="E20" i="171"/>
  <c r="H14" i="170"/>
  <c r="I14" i="170" s="1"/>
  <c r="H31" i="170"/>
  <c r="H17" i="170"/>
  <c r="H16" i="169"/>
  <c r="H32" i="169"/>
  <c r="H39" i="168"/>
  <c r="H20" i="168"/>
  <c r="I20" i="168" s="1"/>
  <c r="H26" i="168"/>
  <c r="I26" i="168" s="1"/>
  <c r="C24" i="182"/>
  <c r="C24" i="181"/>
  <c r="C24" i="168"/>
  <c r="C24" i="184"/>
  <c r="C24" i="183"/>
  <c r="C20" i="169"/>
  <c r="C20" i="174"/>
  <c r="C21" i="171"/>
  <c r="D21" i="171" s="1"/>
  <c r="C21" i="170"/>
  <c r="D21" i="170" s="1"/>
  <c r="C21" i="172"/>
  <c r="D21" i="172" s="1"/>
  <c r="C24" i="180"/>
  <c r="F25" i="172"/>
  <c r="G25" i="172" s="1"/>
  <c r="F24" i="172"/>
  <c r="G24" i="172" s="1"/>
  <c r="F21" i="172"/>
  <c r="G21" i="172" s="1"/>
  <c r="C19" i="172"/>
  <c r="D19" i="172" s="1"/>
  <c r="F25" i="170"/>
  <c r="F24" i="170"/>
  <c r="G24" i="170" s="1"/>
  <c r="F21" i="170"/>
  <c r="G21" i="170" s="1"/>
  <c r="C19" i="170"/>
  <c r="D19" i="170" s="1"/>
  <c r="F25" i="171"/>
  <c r="G25" i="171" s="1"/>
  <c r="F24" i="171"/>
  <c r="F21" i="171"/>
  <c r="C19" i="171"/>
  <c r="D19" i="171" s="1"/>
  <c r="C18" i="175"/>
  <c r="D18" i="175" s="1"/>
  <c r="C18" i="174"/>
  <c r="D18" i="174" s="1"/>
  <c r="F32" i="183"/>
  <c r="F31" i="183"/>
  <c r="C22" i="183"/>
  <c r="D22" i="183" s="1"/>
  <c r="F32" i="184"/>
  <c r="F31" i="184"/>
  <c r="C22" i="184"/>
  <c r="D22" i="184" s="1"/>
  <c r="F32" i="168"/>
  <c r="F31" i="168"/>
  <c r="C22" i="168"/>
  <c r="D22" i="168" s="1"/>
  <c r="F32" i="181"/>
  <c r="F31" i="181"/>
  <c r="C22" i="181"/>
  <c r="D22" i="181" s="1"/>
  <c r="F32" i="182"/>
  <c r="F31" i="182"/>
  <c r="C22" i="182"/>
  <c r="D22" i="182" s="1"/>
  <c r="F32" i="180"/>
  <c r="F31" i="180"/>
  <c r="C22" i="180"/>
  <c r="D22" i="180" s="1"/>
  <c r="D23" i="141" l="1"/>
  <c r="G24" i="144"/>
  <c r="G25" i="157"/>
  <c r="G25" i="154"/>
  <c r="G24" i="141"/>
  <c r="F24" i="146"/>
  <c r="G24" i="146" s="1"/>
  <c r="F24" i="199"/>
  <c r="F24" i="148"/>
  <c r="G24" i="148" s="1"/>
  <c r="D17" i="157"/>
  <c r="D17" i="144"/>
  <c r="D21" i="144" s="1"/>
  <c r="D23" i="144" s="1"/>
  <c r="G25" i="144"/>
  <c r="G26" i="157"/>
  <c r="G26" i="154"/>
  <c r="G25" i="141"/>
  <c r="F25" i="199"/>
  <c r="F25" i="148"/>
  <c r="G25" i="148" s="1"/>
  <c r="F25" i="146"/>
  <c r="G25" i="146" s="1"/>
  <c r="F21" i="199"/>
  <c r="F21" i="146"/>
  <c r="G21" i="146" s="1"/>
  <c r="H21" i="146" s="1"/>
  <c r="I21" i="146" s="1"/>
  <c r="F21" i="148"/>
  <c r="G21" i="148" s="1"/>
  <c r="H21" i="148" s="1"/>
  <c r="I21" i="148" s="1"/>
  <c r="D17" i="160"/>
  <c r="D22" i="160" s="1"/>
  <c r="F25" i="175"/>
  <c r="F26" i="175"/>
  <c r="C20" i="175"/>
  <c r="F24" i="173"/>
  <c r="G24" i="173" s="1"/>
  <c r="C19" i="173"/>
  <c r="D19" i="173" s="1"/>
  <c r="F25" i="173"/>
  <c r="G25" i="173" s="1"/>
  <c r="F21" i="173"/>
  <c r="G21" i="173" s="1"/>
  <c r="C21" i="173"/>
  <c r="D21" i="173" s="1"/>
  <c r="G26" i="172"/>
  <c r="H21" i="172"/>
  <c r="I21" i="172" s="1"/>
  <c r="H21" i="170"/>
  <c r="I21" i="170" s="1"/>
  <c r="X10" i="3"/>
  <c r="F25" i="169"/>
  <c r="Y10" i="3"/>
  <c r="F26" i="169"/>
  <c r="G21" i="171"/>
  <c r="H21" i="171" s="1"/>
  <c r="I21" i="171" s="1"/>
  <c r="G24" i="171"/>
  <c r="G26" i="171" s="1"/>
  <c r="G25" i="170"/>
  <c r="D22" i="157" l="1"/>
  <c r="D24" i="157" s="1"/>
  <c r="F26" i="197"/>
  <c r="G26" i="197" s="1"/>
  <c r="F26" i="198"/>
  <c r="G26" i="198" s="1"/>
  <c r="F25" i="197"/>
  <c r="G25" i="197" s="1"/>
  <c r="F25" i="198"/>
  <c r="G25" i="198" s="1"/>
  <c r="G26" i="173"/>
  <c r="G26" i="146"/>
  <c r="G27" i="154"/>
  <c r="G26" i="144"/>
  <c r="G26" i="148"/>
  <c r="G26" i="141"/>
  <c r="G27" i="157"/>
  <c r="F26" i="174"/>
  <c r="F25" i="174"/>
  <c r="H21" i="173"/>
  <c r="I21" i="173" s="1"/>
  <c r="G26" i="170"/>
  <c r="G27" i="198" l="1"/>
  <c r="G27" i="197"/>
  <c r="F43" i="60" l="1"/>
  <c r="F45" i="60"/>
  <c r="F48" i="60"/>
  <c r="C28" i="59" l="1"/>
  <c r="C28" i="58"/>
  <c r="C28" i="57"/>
  <c r="C28" i="62"/>
  <c r="C28" i="61"/>
  <c r="C28" i="60"/>
  <c r="C28" i="56"/>
  <c r="C28" i="54"/>
  <c r="C28" i="53"/>
  <c r="C28" i="52"/>
  <c r="C28" i="51"/>
  <c r="C28" i="50"/>
  <c r="C28" i="49"/>
  <c r="C28" i="48"/>
  <c r="C28" i="47"/>
  <c r="C28" i="46"/>
  <c r="C28" i="4"/>
  <c r="B16" i="59" l="1"/>
  <c r="B15" i="59"/>
  <c r="B16" i="58"/>
  <c r="B15" i="58"/>
  <c r="B16" i="57"/>
  <c r="B15" i="57"/>
  <c r="B16" i="62"/>
  <c r="B15" i="62"/>
  <c r="B16" i="61"/>
  <c r="B15" i="61"/>
  <c r="B16" i="60"/>
  <c r="B15" i="60"/>
  <c r="B16" i="56"/>
  <c r="B15" i="56"/>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54"/>
  <c r="F50" i="53"/>
  <c r="F50" i="52"/>
  <c r="F50" i="51"/>
  <c r="F50" i="50"/>
  <c r="F50" i="49"/>
  <c r="F50" i="48"/>
  <c r="F50" i="47"/>
  <c r="F50" i="46"/>
  <c r="B17" i="62" l="1"/>
  <c r="B17" i="61"/>
  <c r="B17" i="60"/>
  <c r="B17" i="59"/>
  <c r="B17" i="58"/>
  <c r="B17" i="57"/>
  <c r="B17" i="56"/>
  <c r="B17" i="54"/>
  <c r="B17" i="53"/>
  <c r="B17" i="52"/>
  <c r="B17" i="51"/>
  <c r="B17" i="50"/>
  <c r="B17" i="49"/>
  <c r="B17" i="48"/>
  <c r="B17" i="47"/>
  <c r="B17" i="46"/>
  <c r="B17" i="4"/>
  <c r="D45" i="7" l="1"/>
  <c r="D43" i="7"/>
  <c r="C45" i="7"/>
  <c r="C43" i="7"/>
  <c r="D42" i="7"/>
  <c r="D40" i="7"/>
  <c r="C42" i="7"/>
  <c r="C40" i="7"/>
  <c r="C39" i="7"/>
  <c r="C37" i="7"/>
  <c r="C36" i="7"/>
  <c r="C34" i="7"/>
  <c r="C33" i="7"/>
  <c r="C31" i="7"/>
  <c r="D30" i="7"/>
  <c r="D28" i="7"/>
  <c r="C30" i="7"/>
  <c r="C28" i="7"/>
  <c r="D27" i="7"/>
  <c r="C27" i="7"/>
  <c r="D25" i="7"/>
  <c r="C25" i="7"/>
  <c r="C24" i="7"/>
  <c r="C21" i="7"/>
  <c r="C20" i="7"/>
  <c r="C18" i="7"/>
  <c r="C17" i="7"/>
  <c r="C16" i="7"/>
  <c r="C14" i="7"/>
  <c r="C13" i="7"/>
  <c r="C11" i="7"/>
  <c r="C10" i="7"/>
  <c r="C9" i="7"/>
  <c r="C7" i="7"/>
  <c r="C6" i="7"/>
  <c r="C5" i="7"/>
  <c r="C3" i="7"/>
  <c r="C2" i="7"/>
  <c r="F33" i="81" l="1"/>
  <c r="F31" i="81"/>
  <c r="E31" i="81"/>
  <c r="G31" i="81" s="1"/>
  <c r="D31" i="81"/>
  <c r="E19" i="81"/>
  <c r="E18" i="81"/>
  <c r="E17" i="81"/>
  <c r="G17" i="81" s="1"/>
  <c r="D17" i="81"/>
  <c r="E16" i="81"/>
  <c r="F33" i="79"/>
  <c r="F31" i="79"/>
  <c r="E31" i="79"/>
  <c r="D31" i="79"/>
  <c r="E19" i="79"/>
  <c r="E18" i="79"/>
  <c r="E17" i="79"/>
  <c r="G17" i="79" s="1"/>
  <c r="D17" i="79"/>
  <c r="E16" i="79"/>
  <c r="F33" i="78"/>
  <c r="F31" i="78"/>
  <c r="E31" i="78"/>
  <c r="G31" i="78" s="1"/>
  <c r="D31" i="78"/>
  <c r="E19" i="78"/>
  <c r="E18" i="78"/>
  <c r="E17" i="78"/>
  <c r="G17" i="78" s="1"/>
  <c r="D17" i="78"/>
  <c r="E16" i="78"/>
  <c r="F33" i="76"/>
  <c r="F31" i="76"/>
  <c r="E31" i="76"/>
  <c r="G31" i="76" s="1"/>
  <c r="D31" i="76"/>
  <c r="E19" i="76"/>
  <c r="E18" i="76"/>
  <c r="E17" i="76"/>
  <c r="G17" i="76" s="1"/>
  <c r="D17" i="76"/>
  <c r="E16" i="76"/>
  <c r="F31" i="75"/>
  <c r="E31" i="75"/>
  <c r="D31" i="75"/>
  <c r="E19" i="75"/>
  <c r="E18" i="75"/>
  <c r="E17" i="75"/>
  <c r="G17" i="75" s="1"/>
  <c r="D17" i="75"/>
  <c r="E16" i="75"/>
  <c r="F33" i="73"/>
  <c r="F31" i="73"/>
  <c r="E31" i="73"/>
  <c r="D31" i="73"/>
  <c r="E19" i="73"/>
  <c r="E18" i="73"/>
  <c r="E17" i="73"/>
  <c r="G17" i="73" s="1"/>
  <c r="D17" i="73"/>
  <c r="E16" i="73"/>
  <c r="F31" i="72"/>
  <c r="E31" i="72"/>
  <c r="D31" i="72"/>
  <c r="E19" i="72"/>
  <c r="E18" i="72"/>
  <c r="E17" i="72"/>
  <c r="G17" i="72" s="1"/>
  <c r="D17" i="72"/>
  <c r="E16" i="72"/>
  <c r="F33" i="5"/>
  <c r="F31" i="5"/>
  <c r="E31" i="5"/>
  <c r="G31" i="5" s="1"/>
  <c r="D31" i="5"/>
  <c r="E19" i="5"/>
  <c r="E18" i="5"/>
  <c r="E17" i="5"/>
  <c r="G17" i="5" s="1"/>
  <c r="D17" i="5"/>
  <c r="E16" i="5"/>
  <c r="F34" i="70"/>
  <c r="F32" i="70"/>
  <c r="E32" i="70"/>
  <c r="G32" i="70" s="1"/>
  <c r="D32" i="70"/>
  <c r="E18" i="70"/>
  <c r="E17" i="70"/>
  <c r="E16" i="70"/>
  <c r="G16" i="70" s="1"/>
  <c r="D16" i="70"/>
  <c r="E15" i="70"/>
  <c r="F34" i="68"/>
  <c r="F32" i="68"/>
  <c r="E32" i="68"/>
  <c r="G32" i="68" s="1"/>
  <c r="D32" i="68"/>
  <c r="E18" i="68"/>
  <c r="E17" i="68"/>
  <c r="E16" i="68"/>
  <c r="G16" i="68" s="1"/>
  <c r="D16" i="68"/>
  <c r="E15" i="68"/>
  <c r="F34" i="67"/>
  <c r="F32" i="67"/>
  <c r="E32" i="67"/>
  <c r="G32" i="67" s="1"/>
  <c r="D32" i="67"/>
  <c r="E18" i="67"/>
  <c r="E17" i="67"/>
  <c r="E16" i="67"/>
  <c r="G16" i="67" s="1"/>
  <c r="D16" i="67"/>
  <c r="E15" i="67"/>
  <c r="F34" i="65"/>
  <c r="F32" i="65"/>
  <c r="E32" i="65"/>
  <c r="D32" i="65"/>
  <c r="E18" i="65"/>
  <c r="E17" i="65"/>
  <c r="E16" i="65"/>
  <c r="G16" i="65" s="1"/>
  <c r="D16" i="65"/>
  <c r="E15" i="65"/>
  <c r="F34" i="64"/>
  <c r="F32" i="64"/>
  <c r="E32" i="64"/>
  <c r="D32" i="64"/>
  <c r="E18" i="64"/>
  <c r="E17" i="64"/>
  <c r="E16" i="64"/>
  <c r="G16" i="64" s="1"/>
  <c r="D16" i="64"/>
  <c r="E15" i="64"/>
  <c r="F41" i="62"/>
  <c r="F39" i="62"/>
  <c r="E39" i="62"/>
  <c r="G39" i="62" s="1"/>
  <c r="D39" i="62"/>
  <c r="F28" i="62"/>
  <c r="F26" i="62"/>
  <c r="G26" i="62" s="1"/>
  <c r="C26" i="62"/>
  <c r="D26" i="62" s="1"/>
  <c r="E22" i="62"/>
  <c r="E21" i="62"/>
  <c r="E20" i="62"/>
  <c r="G20" i="62" s="1"/>
  <c r="D20" i="62"/>
  <c r="E19" i="62"/>
  <c r="F41" i="61"/>
  <c r="F39" i="61"/>
  <c r="E39" i="61"/>
  <c r="G39" i="61" s="1"/>
  <c r="D39" i="61"/>
  <c r="F28" i="61"/>
  <c r="F26" i="61"/>
  <c r="G26" i="61" s="1"/>
  <c r="C26" i="61"/>
  <c r="D26" i="61" s="1"/>
  <c r="E22" i="61"/>
  <c r="E21" i="61"/>
  <c r="E20" i="61"/>
  <c r="G20" i="61" s="1"/>
  <c r="D20" i="61"/>
  <c r="E19" i="61"/>
  <c r="F41" i="60"/>
  <c r="F39" i="60"/>
  <c r="E39" i="60"/>
  <c r="G39" i="60" s="1"/>
  <c r="D39" i="60"/>
  <c r="F28" i="60"/>
  <c r="F26" i="60"/>
  <c r="G26" i="60" s="1"/>
  <c r="C26" i="60"/>
  <c r="D26" i="60" s="1"/>
  <c r="E22" i="60"/>
  <c r="E21" i="60"/>
  <c r="E20" i="60"/>
  <c r="G20" i="60" s="1"/>
  <c r="D20" i="60"/>
  <c r="E19" i="60"/>
  <c r="F41" i="59"/>
  <c r="F39" i="59"/>
  <c r="E39" i="59"/>
  <c r="G39" i="59" s="1"/>
  <c r="D39" i="59"/>
  <c r="F28" i="59"/>
  <c r="F26" i="59"/>
  <c r="G26" i="59" s="1"/>
  <c r="C26" i="59"/>
  <c r="D26" i="59" s="1"/>
  <c r="E22" i="59"/>
  <c r="E21" i="59"/>
  <c r="E20" i="59"/>
  <c r="G20" i="59" s="1"/>
  <c r="D20" i="59"/>
  <c r="E19" i="59"/>
  <c r="F41" i="58"/>
  <c r="F39" i="58"/>
  <c r="E39" i="58"/>
  <c r="G39" i="58" s="1"/>
  <c r="D39" i="58"/>
  <c r="F28" i="58"/>
  <c r="F26" i="58"/>
  <c r="G26" i="58" s="1"/>
  <c r="C26" i="58"/>
  <c r="D26" i="58" s="1"/>
  <c r="E22" i="58"/>
  <c r="E21" i="58"/>
  <c r="E20" i="58"/>
  <c r="G20" i="58" s="1"/>
  <c r="D20" i="58"/>
  <c r="E19" i="58"/>
  <c r="F41" i="57"/>
  <c r="F39" i="57"/>
  <c r="E39" i="57"/>
  <c r="D39" i="57"/>
  <c r="F28" i="57"/>
  <c r="F26" i="57"/>
  <c r="G26" i="57" s="1"/>
  <c r="C26" i="57"/>
  <c r="D26" i="57" s="1"/>
  <c r="E22" i="57"/>
  <c r="E21" i="57"/>
  <c r="E20" i="57"/>
  <c r="G20" i="57" s="1"/>
  <c r="D20" i="57"/>
  <c r="E19" i="57"/>
  <c r="F41" i="56"/>
  <c r="F39" i="56"/>
  <c r="E39" i="56"/>
  <c r="G39" i="56" s="1"/>
  <c r="D39" i="56"/>
  <c r="F28" i="56"/>
  <c r="F26" i="56"/>
  <c r="G26" i="56" s="1"/>
  <c r="C26" i="56"/>
  <c r="D26" i="56" s="1"/>
  <c r="E22" i="56"/>
  <c r="E21" i="56"/>
  <c r="E20" i="56"/>
  <c r="G20" i="56" s="1"/>
  <c r="D20" i="56"/>
  <c r="E19" i="56"/>
  <c r="F41" i="54"/>
  <c r="F39" i="54"/>
  <c r="E39" i="54"/>
  <c r="D39" i="54"/>
  <c r="F28" i="54"/>
  <c r="F26" i="54"/>
  <c r="G26" i="54" s="1"/>
  <c r="C26" i="54"/>
  <c r="D26" i="54" s="1"/>
  <c r="E22" i="54"/>
  <c r="E21" i="54"/>
  <c r="E20" i="54"/>
  <c r="G20" i="54" s="1"/>
  <c r="D20" i="54"/>
  <c r="E19" i="54"/>
  <c r="F41" i="53"/>
  <c r="F39" i="53"/>
  <c r="E39" i="53"/>
  <c r="G39" i="53" s="1"/>
  <c r="D39" i="53"/>
  <c r="F28" i="53"/>
  <c r="F26" i="53"/>
  <c r="G26" i="53" s="1"/>
  <c r="C26" i="53"/>
  <c r="D26" i="53" s="1"/>
  <c r="E22" i="53"/>
  <c r="E21" i="53"/>
  <c r="E20" i="53"/>
  <c r="G20" i="53" s="1"/>
  <c r="D20" i="53"/>
  <c r="E19" i="53"/>
  <c r="F41" i="52"/>
  <c r="F39" i="52"/>
  <c r="E39" i="52"/>
  <c r="D39" i="52"/>
  <c r="F28" i="52"/>
  <c r="F26" i="52"/>
  <c r="G26" i="52" s="1"/>
  <c r="C26" i="52"/>
  <c r="D26" i="52" s="1"/>
  <c r="E22" i="52"/>
  <c r="E21" i="52"/>
  <c r="E20" i="52"/>
  <c r="G20" i="52" s="1"/>
  <c r="D20" i="52"/>
  <c r="E19" i="52"/>
  <c r="F41" i="51"/>
  <c r="F39" i="51"/>
  <c r="E39" i="51"/>
  <c r="D39" i="51"/>
  <c r="F28" i="51"/>
  <c r="F26" i="51"/>
  <c r="G26" i="51" s="1"/>
  <c r="C26" i="51"/>
  <c r="D26" i="51" s="1"/>
  <c r="E22" i="51"/>
  <c r="E21" i="51"/>
  <c r="E20" i="51"/>
  <c r="G20" i="51" s="1"/>
  <c r="D20" i="51"/>
  <c r="E19" i="51"/>
  <c r="F41" i="50"/>
  <c r="F39" i="50"/>
  <c r="E39" i="50"/>
  <c r="D39" i="50"/>
  <c r="F28" i="50"/>
  <c r="F26" i="50"/>
  <c r="G26" i="50" s="1"/>
  <c r="C26" i="50"/>
  <c r="D26" i="50" s="1"/>
  <c r="E22" i="50"/>
  <c r="E21" i="50"/>
  <c r="E20" i="50"/>
  <c r="G20" i="50" s="1"/>
  <c r="D20" i="50"/>
  <c r="E19" i="50"/>
  <c r="F41" i="49"/>
  <c r="F39" i="49"/>
  <c r="E39" i="49"/>
  <c r="G39" i="49" s="1"/>
  <c r="D39" i="49"/>
  <c r="F28" i="49"/>
  <c r="F26" i="49"/>
  <c r="G26" i="49" s="1"/>
  <c r="C26" i="49"/>
  <c r="D26" i="49" s="1"/>
  <c r="E22" i="49"/>
  <c r="E21" i="49"/>
  <c r="E20" i="49"/>
  <c r="G20" i="49" s="1"/>
  <c r="D20" i="49"/>
  <c r="E19" i="49"/>
  <c r="F41" i="48"/>
  <c r="F39" i="48"/>
  <c r="E39" i="48"/>
  <c r="D39" i="48"/>
  <c r="F28" i="48"/>
  <c r="F26" i="48"/>
  <c r="G26" i="48" s="1"/>
  <c r="C26" i="48"/>
  <c r="D26" i="48" s="1"/>
  <c r="E22" i="48"/>
  <c r="E21" i="48"/>
  <c r="E20" i="48"/>
  <c r="G20" i="48" s="1"/>
  <c r="D20" i="48"/>
  <c r="E19" i="48"/>
  <c r="F41" i="47"/>
  <c r="F39" i="47"/>
  <c r="E39" i="47"/>
  <c r="G39" i="47" s="1"/>
  <c r="D39" i="47"/>
  <c r="F28" i="47"/>
  <c r="F26" i="47"/>
  <c r="G26" i="47" s="1"/>
  <c r="C26" i="47"/>
  <c r="D26" i="47" s="1"/>
  <c r="E22" i="47"/>
  <c r="E21" i="47"/>
  <c r="E20" i="47"/>
  <c r="G20" i="47" s="1"/>
  <c r="D20" i="47"/>
  <c r="E19" i="47"/>
  <c r="F41" i="46"/>
  <c r="F39" i="46"/>
  <c r="E39" i="46"/>
  <c r="D39" i="46"/>
  <c r="F28" i="46"/>
  <c r="F26" i="46"/>
  <c r="G26" i="46" s="1"/>
  <c r="C26" i="46"/>
  <c r="D26" i="46" s="1"/>
  <c r="E22" i="46"/>
  <c r="E21" i="46"/>
  <c r="E20" i="46"/>
  <c r="G20" i="46" s="1"/>
  <c r="D20" i="46"/>
  <c r="E19" i="46"/>
  <c r="F26" i="4"/>
  <c r="F32" i="46"/>
  <c r="F31" i="46"/>
  <c r="G32" i="65" l="1"/>
  <c r="G32" i="64"/>
  <c r="G31" i="79"/>
  <c r="G31" i="72"/>
  <c r="G39" i="57"/>
  <c r="G39" i="46"/>
  <c r="G39" i="48"/>
  <c r="G39" i="50"/>
  <c r="G39" i="52"/>
  <c r="G39" i="54"/>
  <c r="G39" i="51"/>
  <c r="G31" i="75"/>
  <c r="G31" i="73"/>
  <c r="F32" i="4"/>
  <c r="F31" i="47"/>
  <c r="F32" i="47"/>
  <c r="F31" i="4"/>
  <c r="F25" i="81" l="1"/>
  <c r="F25" i="79"/>
  <c r="F25" i="75"/>
  <c r="F25" i="73"/>
  <c r="F26" i="70"/>
  <c r="F26" i="68"/>
  <c r="F26" i="64"/>
  <c r="F26" i="25"/>
  <c r="F32" i="58"/>
  <c r="F32" i="59"/>
  <c r="F32" i="57"/>
  <c r="F32" i="52"/>
  <c r="F32" i="53"/>
  <c r="F32" i="51"/>
  <c r="F24" i="78"/>
  <c r="F24" i="76"/>
  <c r="F24" i="72"/>
  <c r="F24" i="5"/>
  <c r="F25" i="67"/>
  <c r="F25" i="65"/>
  <c r="F31" i="62"/>
  <c r="F31" i="60"/>
  <c r="F31" i="61"/>
  <c r="F31" i="56"/>
  <c r="F31" i="54"/>
  <c r="F31" i="50"/>
  <c r="F31" i="48"/>
  <c r="F31" i="49"/>
  <c r="F25" i="78"/>
  <c r="F25" i="76"/>
  <c r="F25" i="72"/>
  <c r="F25" i="5"/>
  <c r="F26" i="67"/>
  <c r="F26" i="65"/>
  <c r="F32" i="62"/>
  <c r="F32" i="60"/>
  <c r="F32" i="61"/>
  <c r="F32" i="56"/>
  <c r="F32" i="54"/>
  <c r="F32" i="50"/>
  <c r="F32" i="48"/>
  <c r="F32" i="49"/>
  <c r="F24" i="81"/>
  <c r="F24" i="79"/>
  <c r="F24" i="75"/>
  <c r="F24" i="73"/>
  <c r="F25" i="70"/>
  <c r="F25" i="68"/>
  <c r="F25" i="64"/>
  <c r="F25" i="25"/>
  <c r="F31" i="58"/>
  <c r="F31" i="59"/>
  <c r="F31" i="57"/>
  <c r="F31" i="52"/>
  <c r="F31" i="53"/>
  <c r="F31" i="51"/>
  <c r="F37" i="81" l="1"/>
  <c r="F35" i="81"/>
  <c r="B33" i="81"/>
  <c r="B25" i="81"/>
  <c r="B24" i="81"/>
  <c r="B21" i="81"/>
  <c r="B20" i="81"/>
  <c r="F14" i="81"/>
  <c r="E14" i="81"/>
  <c r="D14" i="81"/>
  <c r="F13" i="81"/>
  <c r="B8" i="81"/>
  <c r="B7" i="81"/>
  <c r="B6" i="81"/>
  <c r="B9" i="81" s="1"/>
  <c r="B22" i="81" s="1"/>
  <c r="F37" i="79"/>
  <c r="F35" i="79"/>
  <c r="B33" i="79"/>
  <c r="B25" i="79"/>
  <c r="B24" i="79"/>
  <c r="B21" i="79"/>
  <c r="B20" i="79"/>
  <c r="F14" i="79"/>
  <c r="E14" i="79"/>
  <c r="D14" i="79"/>
  <c r="F13" i="79"/>
  <c r="B8" i="79"/>
  <c r="B7" i="79"/>
  <c r="B6" i="79"/>
  <c r="B9" i="79" s="1"/>
  <c r="B22" i="79" s="1"/>
  <c r="F37" i="78"/>
  <c r="F35" i="78"/>
  <c r="B33" i="78"/>
  <c r="B25" i="78"/>
  <c r="B24" i="78"/>
  <c r="B21" i="78"/>
  <c r="B20" i="78"/>
  <c r="F14" i="78"/>
  <c r="E14" i="78"/>
  <c r="D14" i="78"/>
  <c r="F13" i="78"/>
  <c r="B8" i="78"/>
  <c r="B7" i="78"/>
  <c r="B6" i="78"/>
  <c r="B9" i="78" s="1"/>
  <c r="B22" i="78" s="1"/>
  <c r="F35" i="76"/>
  <c r="B33" i="76"/>
  <c r="B25" i="76"/>
  <c r="B24" i="76"/>
  <c r="B21" i="76"/>
  <c r="B20" i="76"/>
  <c r="F14" i="76"/>
  <c r="E14" i="76"/>
  <c r="D14" i="76"/>
  <c r="F13" i="76"/>
  <c r="B8" i="76"/>
  <c r="B7" i="76"/>
  <c r="B6" i="76"/>
  <c r="B9" i="76" s="1"/>
  <c r="B22" i="76" s="1"/>
  <c r="E22" i="76" s="1"/>
  <c r="B25" i="75"/>
  <c r="B24" i="75"/>
  <c r="B22" i="75"/>
  <c r="B20" i="75"/>
  <c r="F14" i="75"/>
  <c r="E14" i="75"/>
  <c r="D14" i="75"/>
  <c r="F13" i="75"/>
  <c r="B8" i="75"/>
  <c r="B7" i="75"/>
  <c r="B6" i="75"/>
  <c r="B9" i="75" s="1"/>
  <c r="B21" i="75" s="1"/>
  <c r="F37" i="73"/>
  <c r="F35" i="73"/>
  <c r="B33" i="73"/>
  <c r="B25" i="73"/>
  <c r="B24" i="73"/>
  <c r="B21" i="73"/>
  <c r="B20" i="73"/>
  <c r="F14" i="73"/>
  <c r="E14" i="73"/>
  <c r="D14" i="73"/>
  <c r="F13" i="73"/>
  <c r="B8" i="73"/>
  <c r="B7" i="73"/>
  <c r="B6" i="73"/>
  <c r="B9" i="73" s="1"/>
  <c r="B22" i="73" s="1"/>
  <c r="E22" i="73" s="1"/>
  <c r="B7" i="72"/>
  <c r="B7" i="5"/>
  <c r="B25" i="72"/>
  <c r="B24" i="72"/>
  <c r="B21" i="72"/>
  <c r="B20" i="72"/>
  <c r="F14" i="72"/>
  <c r="E14" i="72"/>
  <c r="D14" i="72"/>
  <c r="F13" i="72"/>
  <c r="B8" i="72"/>
  <c r="B6" i="72"/>
  <c r="F38" i="70"/>
  <c r="F36" i="70"/>
  <c r="B34" i="70"/>
  <c r="H16" i="70"/>
  <c r="F13" i="70"/>
  <c r="F12" i="70"/>
  <c r="B9" i="70"/>
  <c r="B20" i="70" s="1"/>
  <c r="B7" i="70"/>
  <c r="B6" i="70"/>
  <c r="B8" i="70" s="1"/>
  <c r="B31" i="70" s="1"/>
  <c r="B5" i="70"/>
  <c r="F38" i="68"/>
  <c r="F36" i="68"/>
  <c r="B34" i="68"/>
  <c r="H16" i="68"/>
  <c r="F13" i="68"/>
  <c r="F12" i="68"/>
  <c r="B9" i="68"/>
  <c r="B20" i="68" s="1"/>
  <c r="B7" i="68"/>
  <c r="B6" i="68"/>
  <c r="B8" i="68" s="1"/>
  <c r="B31" i="68" s="1"/>
  <c r="B5" i="68"/>
  <c r="F38" i="67"/>
  <c r="F36" i="67"/>
  <c r="B34" i="67"/>
  <c r="H16" i="67"/>
  <c r="F13" i="67"/>
  <c r="F12" i="67"/>
  <c r="B9" i="67"/>
  <c r="B20" i="67" s="1"/>
  <c r="B7" i="67"/>
  <c r="B6" i="67"/>
  <c r="B8" i="67" s="1"/>
  <c r="B31" i="67" s="1"/>
  <c r="B5" i="67"/>
  <c r="F38" i="65"/>
  <c r="F36" i="65"/>
  <c r="B34" i="65"/>
  <c r="H16" i="65"/>
  <c r="F13" i="65"/>
  <c r="F12" i="65"/>
  <c r="B9" i="65"/>
  <c r="B20" i="65" s="1"/>
  <c r="B7" i="65"/>
  <c r="B6" i="65"/>
  <c r="B8" i="65" s="1"/>
  <c r="B31" i="65" s="1"/>
  <c r="B5" i="65"/>
  <c r="F38" i="64"/>
  <c r="F36" i="64"/>
  <c r="B34" i="64"/>
  <c r="H16" i="64"/>
  <c r="F13" i="64"/>
  <c r="F12" i="64"/>
  <c r="B9" i="64"/>
  <c r="B20" i="64" s="1"/>
  <c r="B7" i="64"/>
  <c r="B6" i="64"/>
  <c r="B8" i="64" s="1"/>
  <c r="B31" i="64" s="1"/>
  <c r="B5" i="64"/>
  <c r="E17" i="25"/>
  <c r="E18"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D34" i="70" l="1"/>
  <c r="E34" i="70"/>
  <c r="G34" i="70" s="1"/>
  <c r="H34" i="70" s="1"/>
  <c r="D34" i="64"/>
  <c r="E34" i="64"/>
  <c r="G34" i="64" s="1"/>
  <c r="H34" i="64" s="1"/>
  <c r="E34" i="68"/>
  <c r="G34" i="68" s="1"/>
  <c r="D34" i="68"/>
  <c r="H34" i="68" s="1"/>
  <c r="E34" i="67"/>
  <c r="G34" i="67" s="1"/>
  <c r="D34" i="67"/>
  <c r="H34" i="67" s="1"/>
  <c r="D34" i="65"/>
  <c r="E34" i="65"/>
  <c r="G34" i="65" s="1"/>
  <c r="D41" i="57"/>
  <c r="E41" i="57"/>
  <c r="G41" i="57" s="1"/>
  <c r="E41" i="61"/>
  <c r="G41" i="61" s="1"/>
  <c r="D41" i="61"/>
  <c r="H41" i="61" s="1"/>
  <c r="E41" i="58"/>
  <c r="G41" i="58" s="1"/>
  <c r="H41" i="58" s="1"/>
  <c r="D41" i="58"/>
  <c r="D41" i="60"/>
  <c r="H41" i="60" s="1"/>
  <c r="E41" i="60"/>
  <c r="G41" i="60" s="1"/>
  <c r="D41" i="54"/>
  <c r="E41" i="54"/>
  <c r="G41" i="54" s="1"/>
  <c r="E41" i="52"/>
  <c r="G41" i="52" s="1"/>
  <c r="D41" i="52"/>
  <c r="H41" i="52" s="1"/>
  <c r="D41" i="49"/>
  <c r="E41" i="49"/>
  <c r="G41" i="49" s="1"/>
  <c r="H41" i="49" s="1"/>
  <c r="E41" i="46"/>
  <c r="G41" i="46" s="1"/>
  <c r="D41" i="46"/>
  <c r="G14" i="76"/>
  <c r="H14" i="76" s="1"/>
  <c r="I14" i="76" s="1"/>
  <c r="E31" i="67"/>
  <c r="G31" i="67" s="1"/>
  <c r="D31" i="67"/>
  <c r="B13" i="75"/>
  <c r="B30" i="75"/>
  <c r="B13" i="79"/>
  <c r="B30" i="79"/>
  <c r="B13" i="78"/>
  <c r="B30" i="78"/>
  <c r="E31" i="64"/>
  <c r="G31" i="64" s="1"/>
  <c r="D31" i="64"/>
  <c r="E31" i="68"/>
  <c r="G31" i="68" s="1"/>
  <c r="D31" i="68"/>
  <c r="E31" i="70"/>
  <c r="G31" i="70" s="1"/>
  <c r="D31" i="70"/>
  <c r="B13" i="73"/>
  <c r="B30" i="73"/>
  <c r="B13" i="81"/>
  <c r="B30" i="81"/>
  <c r="D31" i="65"/>
  <c r="E31" i="65"/>
  <c r="G31" i="65" s="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8"/>
  <c r="H14" i="78" s="1"/>
  <c r="I14" i="78" s="1"/>
  <c r="E24" i="76"/>
  <c r="G24" i="76" s="1"/>
  <c r="D33" i="76"/>
  <c r="E33" i="76"/>
  <c r="G33" i="76" s="1"/>
  <c r="E20" i="76"/>
  <c r="E21" i="76"/>
  <c r="E25" i="76"/>
  <c r="G25" i="76" s="1"/>
  <c r="E20" i="73"/>
  <c r="E21" i="73"/>
  <c r="E25" i="73"/>
  <c r="G25" i="73" s="1"/>
  <c r="E24" i="73"/>
  <c r="G24" i="73" s="1"/>
  <c r="E33" i="73"/>
  <c r="G33" i="73" s="1"/>
  <c r="D33" i="73"/>
  <c r="G14" i="81"/>
  <c r="H14" i="81" s="1"/>
  <c r="I14" i="81" s="1"/>
  <c r="G14" i="79"/>
  <c r="H14" i="79" s="1"/>
  <c r="I14" i="79"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3" i="64"/>
  <c r="F23" i="64" s="1"/>
  <c r="B13" i="64"/>
  <c r="D13" i="64" s="1"/>
  <c r="B12" i="64"/>
  <c r="C23" i="65"/>
  <c r="F23" i="65" s="1"/>
  <c r="B13" i="65"/>
  <c r="D13" i="65" s="1"/>
  <c r="B12" i="65"/>
  <c r="B13" i="67"/>
  <c r="E13" i="67" s="1"/>
  <c r="G13" i="67" s="1"/>
  <c r="B12" i="67"/>
  <c r="B13" i="68"/>
  <c r="E13" i="68" s="1"/>
  <c r="G13" i="68" s="1"/>
  <c r="B12" i="68"/>
  <c r="C23" i="70"/>
  <c r="F23" i="70" s="1"/>
  <c r="B13" i="70"/>
  <c r="D13" i="70" s="1"/>
  <c r="B12" i="70"/>
  <c r="E41" i="62"/>
  <c r="G41" i="62" s="1"/>
  <c r="H41" i="62" s="1"/>
  <c r="D41" i="62"/>
  <c r="D41" i="59"/>
  <c r="E41" i="59"/>
  <c r="G41" i="59" s="1"/>
  <c r="D33" i="81"/>
  <c r="E33" i="81"/>
  <c r="G33" i="81" s="1"/>
  <c r="E20" i="81"/>
  <c r="E21" i="81"/>
  <c r="E25" i="81"/>
  <c r="G25" i="81" s="1"/>
  <c r="E22" i="81"/>
  <c r="E24" i="81"/>
  <c r="G24" i="81" s="1"/>
  <c r="D33" i="79"/>
  <c r="E33" i="79"/>
  <c r="G33" i="79" s="1"/>
  <c r="E20" i="79"/>
  <c r="E21" i="79"/>
  <c r="E25" i="79"/>
  <c r="G25" i="79" s="1"/>
  <c r="E22" i="79"/>
  <c r="E24" i="79"/>
  <c r="G24" i="79" s="1"/>
  <c r="E33" i="78"/>
  <c r="G33" i="78" s="1"/>
  <c r="H33" i="78" s="1"/>
  <c r="D33" i="78"/>
  <c r="E20" i="78"/>
  <c r="E21" i="78"/>
  <c r="E25" i="78"/>
  <c r="G25" i="78" s="1"/>
  <c r="E22" i="78"/>
  <c r="E24" i="78"/>
  <c r="G24" i="78" s="1"/>
  <c r="E21" i="75"/>
  <c r="E22" i="75"/>
  <c r="E25" i="75"/>
  <c r="G25" i="75" s="1"/>
  <c r="E20" i="75"/>
  <c r="E24" i="75"/>
  <c r="G24" i="75" s="1"/>
  <c r="E20" i="72"/>
  <c r="E24" i="72"/>
  <c r="G24" i="72" s="1"/>
  <c r="E21" i="72"/>
  <c r="E25" i="72"/>
  <c r="G25" i="72" s="1"/>
  <c r="E20" i="64"/>
  <c r="E20" i="65"/>
  <c r="E20" i="67"/>
  <c r="E20" i="68"/>
  <c r="E20" i="70"/>
  <c r="E24" i="46"/>
  <c r="E24" i="48"/>
  <c r="E24" i="49"/>
  <c r="E24" i="50"/>
  <c r="E24" i="52"/>
  <c r="E24" i="53"/>
  <c r="E24" i="54"/>
  <c r="E24" i="56"/>
  <c r="E24" i="57"/>
  <c r="E24" i="58"/>
  <c r="E24" i="59"/>
  <c r="E24" i="60"/>
  <c r="E24" i="61"/>
  <c r="E24" i="62"/>
  <c r="C23" i="67"/>
  <c r="F23" i="67" s="1"/>
  <c r="C23" i="68"/>
  <c r="F23" i="68" s="1"/>
  <c r="B28" i="81"/>
  <c r="B29" i="81"/>
  <c r="H31" i="81"/>
  <c r="H17" i="81"/>
  <c r="H33" i="81"/>
  <c r="H17" i="79"/>
  <c r="B28" i="79"/>
  <c r="B29" i="79"/>
  <c r="H31" i="79"/>
  <c r="H33" i="79"/>
  <c r="E15" i="53"/>
  <c r="G15" i="53" s="1"/>
  <c r="E16" i="53"/>
  <c r="G16" i="53" s="1"/>
  <c r="E17" i="53"/>
  <c r="G17" i="53" s="1"/>
  <c r="D15" i="47"/>
  <c r="B23" i="49"/>
  <c r="E15" i="61"/>
  <c r="G15" i="61" s="1"/>
  <c r="E15" i="62"/>
  <c r="G15" i="62" s="1"/>
  <c r="E16" i="62"/>
  <c r="G16" i="62" s="1"/>
  <c r="E17" i="62"/>
  <c r="G17" i="62" s="1"/>
  <c r="B28" i="78"/>
  <c r="B29" i="78"/>
  <c r="H31" i="78"/>
  <c r="H17" i="78"/>
  <c r="H17" i="76"/>
  <c r="B28" i="76"/>
  <c r="B29" i="76"/>
  <c r="H31" i="76"/>
  <c r="H33" i="76"/>
  <c r="B28" i="75"/>
  <c r="B29" i="75"/>
  <c r="H31" i="75"/>
  <c r="H17" i="75"/>
  <c r="H31" i="73"/>
  <c r="B28" i="73"/>
  <c r="B29" i="73"/>
  <c r="H33" i="73"/>
  <c r="H17" i="73"/>
  <c r="H17" i="72"/>
  <c r="H31" i="72"/>
  <c r="B9" i="72"/>
  <c r="B22" i="72" s="1"/>
  <c r="E22" i="72" s="1"/>
  <c r="B29" i="70"/>
  <c r="B25" i="70"/>
  <c r="B23" i="70"/>
  <c r="B30" i="70"/>
  <c r="B26" i="70"/>
  <c r="H32" i="70"/>
  <c r="B19" i="70"/>
  <c r="B21" i="70"/>
  <c r="B29" i="68"/>
  <c r="B25" i="68"/>
  <c r="B23" i="68"/>
  <c r="B30" i="68"/>
  <c r="B26" i="68"/>
  <c r="H32" i="68"/>
  <c r="B19" i="68"/>
  <c r="B21" i="68"/>
  <c r="B29" i="67"/>
  <c r="B25" i="67"/>
  <c r="B23" i="67"/>
  <c r="B30" i="67"/>
  <c r="B26" i="67"/>
  <c r="H32" i="67"/>
  <c r="B19" i="67"/>
  <c r="B21" i="67"/>
  <c r="B29" i="65"/>
  <c r="B25" i="65"/>
  <c r="B23" i="65"/>
  <c r="B30" i="65"/>
  <c r="B26" i="65"/>
  <c r="H32" i="65"/>
  <c r="B19" i="65"/>
  <c r="H34" i="65"/>
  <c r="B21" i="65"/>
  <c r="B29" i="64"/>
  <c r="B25" i="64"/>
  <c r="B23" i="64"/>
  <c r="B30" i="64"/>
  <c r="B26" i="64"/>
  <c r="H32" i="64"/>
  <c r="B19" i="64"/>
  <c r="B21" i="64"/>
  <c r="B37" i="62"/>
  <c r="B36" i="62"/>
  <c r="B32" i="62"/>
  <c r="B31" i="62"/>
  <c r="B28" i="62"/>
  <c r="B27" i="62"/>
  <c r="H20" i="62"/>
  <c r="I20" i="62" s="1"/>
  <c r="B23" i="62"/>
  <c r="H39" i="62"/>
  <c r="H26" i="62"/>
  <c r="I26" i="62" s="1"/>
  <c r="E17" i="61"/>
  <c r="G17" i="61" s="1"/>
  <c r="D17" i="61"/>
  <c r="B8" i="61"/>
  <c r="B38" i="61" s="1"/>
  <c r="H20" i="61"/>
  <c r="I20" i="61" s="1"/>
  <c r="B23" i="61"/>
  <c r="H39" i="61"/>
  <c r="H26" i="61"/>
  <c r="I26" i="61" s="1"/>
  <c r="E17" i="60"/>
  <c r="G17" i="60" s="1"/>
  <c r="D17" i="60"/>
  <c r="H20" i="60"/>
  <c r="I20" i="60" s="1"/>
  <c r="B8" i="60"/>
  <c r="B38" i="60" s="1"/>
  <c r="B23" i="60"/>
  <c r="H39" i="60"/>
  <c r="H26" i="60"/>
  <c r="I26" i="60" s="1"/>
  <c r="H20" i="59"/>
  <c r="I20" i="59" s="1"/>
  <c r="B37" i="59"/>
  <c r="B36" i="59"/>
  <c r="B32" i="59"/>
  <c r="B31" i="59"/>
  <c r="B28" i="59"/>
  <c r="B27" i="59"/>
  <c r="H39" i="59"/>
  <c r="B23" i="59"/>
  <c r="H26" i="59"/>
  <c r="I26" i="59" s="1"/>
  <c r="E17" i="58"/>
  <c r="G17" i="58" s="1"/>
  <c r="D17" i="58"/>
  <c r="B8" i="58"/>
  <c r="B38" i="58" s="1"/>
  <c r="H20" i="58"/>
  <c r="I20" i="58" s="1"/>
  <c r="B23" i="58"/>
  <c r="H39" i="58"/>
  <c r="H26" i="58"/>
  <c r="I26" i="58" s="1"/>
  <c r="E15" i="57"/>
  <c r="G15" i="57" s="1"/>
  <c r="E16" i="57"/>
  <c r="G16" i="57" s="1"/>
  <c r="E17" i="57"/>
  <c r="G17" i="57" s="1"/>
  <c r="B37" i="57"/>
  <c r="B36" i="57"/>
  <c r="B32" i="57"/>
  <c r="B31" i="57"/>
  <c r="B28" i="57"/>
  <c r="B27" i="57"/>
  <c r="H20" i="57"/>
  <c r="I20" i="57" s="1"/>
  <c r="B23" i="57"/>
  <c r="H39" i="57"/>
  <c r="H26" i="57"/>
  <c r="I26" i="57" s="1"/>
  <c r="H41" i="57"/>
  <c r="E17" i="56"/>
  <c r="G17" i="56" s="1"/>
  <c r="D17" i="56"/>
  <c r="H20" i="56"/>
  <c r="I20" i="56" s="1"/>
  <c r="B8" i="56"/>
  <c r="B38" i="56" s="1"/>
  <c r="B23" i="56"/>
  <c r="H26" i="56"/>
  <c r="I26" i="56" s="1"/>
  <c r="H39" i="56"/>
  <c r="B23" i="54"/>
  <c r="E17" i="54"/>
  <c r="G17" i="54" s="1"/>
  <c r="D17" i="54"/>
  <c r="H20" i="54"/>
  <c r="I20" i="54" s="1"/>
  <c r="B8" i="54"/>
  <c r="B38" i="54" s="1"/>
  <c r="H39" i="54"/>
  <c r="H26" i="54"/>
  <c r="I26" i="54" s="1"/>
  <c r="H41" i="54"/>
  <c r="B37" i="53"/>
  <c r="B36" i="53"/>
  <c r="B32" i="53"/>
  <c r="B31" i="53"/>
  <c r="B28" i="53"/>
  <c r="B27" i="53"/>
  <c r="H20" i="53"/>
  <c r="I20" i="53" s="1"/>
  <c r="B23" i="53"/>
  <c r="H39" i="53"/>
  <c r="H26" i="53"/>
  <c r="I26" i="53" s="1"/>
  <c r="E17" i="52"/>
  <c r="G17" i="52" s="1"/>
  <c r="D17" i="52"/>
  <c r="H20" i="52"/>
  <c r="I20" i="52" s="1"/>
  <c r="B8" i="52"/>
  <c r="B38" i="52" s="1"/>
  <c r="B23" i="52"/>
  <c r="H39" i="52"/>
  <c r="H26" i="52"/>
  <c r="I26" i="52" s="1"/>
  <c r="D15" i="51"/>
  <c r="D16" i="51"/>
  <c r="D17" i="51"/>
  <c r="B37" i="51"/>
  <c r="B36" i="51"/>
  <c r="B32" i="51"/>
  <c r="B31" i="51"/>
  <c r="B28" i="51"/>
  <c r="B27" i="51"/>
  <c r="B24" i="51"/>
  <c r="H39" i="51"/>
  <c r="H20" i="51"/>
  <c r="I20" i="51" s="1"/>
  <c r="B23" i="51"/>
  <c r="H26" i="51"/>
  <c r="I26" i="51" s="1"/>
  <c r="E17" i="50"/>
  <c r="G17" i="50" s="1"/>
  <c r="D17" i="50"/>
  <c r="H20" i="50"/>
  <c r="I20" i="50" s="1"/>
  <c r="B8" i="50"/>
  <c r="B38" i="50" s="1"/>
  <c r="B23" i="50"/>
  <c r="H39" i="50"/>
  <c r="H26" i="50"/>
  <c r="I26" i="50" s="1"/>
  <c r="E17" i="49"/>
  <c r="G17" i="49" s="1"/>
  <c r="D17" i="49"/>
  <c r="H20" i="49"/>
  <c r="I20" i="49" s="1"/>
  <c r="B8" i="49"/>
  <c r="B38" i="49" s="1"/>
  <c r="H39" i="49"/>
  <c r="H26" i="49"/>
  <c r="I26" i="49" s="1"/>
  <c r="E15" i="48"/>
  <c r="G15" i="48" s="1"/>
  <c r="E16" i="48"/>
  <c r="G16" i="48" s="1"/>
  <c r="E17" i="48"/>
  <c r="G17" i="48" s="1"/>
  <c r="B37" i="48"/>
  <c r="B36" i="48"/>
  <c r="B32" i="48"/>
  <c r="B31" i="48"/>
  <c r="B28" i="48"/>
  <c r="B27" i="48"/>
  <c r="H20" i="48"/>
  <c r="I20" i="48" s="1"/>
  <c r="B23" i="48"/>
  <c r="H39" i="48"/>
  <c r="H26" i="48"/>
  <c r="I26" i="48" s="1"/>
  <c r="B37" i="47"/>
  <c r="B36" i="47"/>
  <c r="B32" i="47"/>
  <c r="B31" i="47"/>
  <c r="B28" i="47"/>
  <c r="B27" i="47"/>
  <c r="B24" i="47"/>
  <c r="H20" i="47"/>
  <c r="I20" i="47" s="1"/>
  <c r="B23" i="47"/>
  <c r="H39" i="47"/>
  <c r="H26" i="47"/>
  <c r="I26" i="47" s="1"/>
  <c r="E17" i="46"/>
  <c r="G17" i="46" s="1"/>
  <c r="D17" i="46"/>
  <c r="H20" i="46"/>
  <c r="I20" i="46" s="1"/>
  <c r="B8" i="46"/>
  <c r="B38" i="46" s="1"/>
  <c r="B23" i="46"/>
  <c r="H39" i="46"/>
  <c r="H26" i="46"/>
  <c r="I26" i="46" s="1"/>
  <c r="H41" i="46" l="1"/>
  <c r="H41" i="50"/>
  <c r="H41" i="51"/>
  <c r="H41" i="53"/>
  <c r="H31" i="70"/>
  <c r="I31" i="70" s="1"/>
  <c r="H31" i="67"/>
  <c r="I31" i="67" s="1"/>
  <c r="E30" i="76"/>
  <c r="G30" i="76" s="1"/>
  <c r="D30" i="76"/>
  <c r="E30" i="73"/>
  <c r="G30" i="73" s="1"/>
  <c r="D30" i="73"/>
  <c r="H38" i="53"/>
  <c r="I38" i="53" s="1"/>
  <c r="H38" i="48"/>
  <c r="I38" i="48" s="1"/>
  <c r="H31" i="68"/>
  <c r="I31" i="68" s="1"/>
  <c r="H31" i="64"/>
  <c r="I31" i="64" s="1"/>
  <c r="E30" i="81"/>
  <c r="G30" i="81" s="1"/>
  <c r="D30" i="81"/>
  <c r="E30" i="79"/>
  <c r="G30" i="79" s="1"/>
  <c r="D30" i="79"/>
  <c r="B13" i="72"/>
  <c r="B30" i="72"/>
  <c r="H31" i="65"/>
  <c r="I31" i="65" s="1"/>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H41" i="56"/>
  <c r="H41" i="47"/>
  <c r="H41" i="59"/>
  <c r="D13" i="68"/>
  <c r="H13" i="68" s="1"/>
  <c r="I13" i="68" s="1"/>
  <c r="G26" i="73"/>
  <c r="D13" i="67"/>
  <c r="H13" i="67" s="1"/>
  <c r="I13" i="67" s="1"/>
  <c r="G26" i="76"/>
  <c r="E13" i="56"/>
  <c r="G13" i="56" s="1"/>
  <c r="H13" i="56" s="1"/>
  <c r="I13" i="56" s="1"/>
  <c r="E13" i="70"/>
  <c r="G13" i="70" s="1"/>
  <c r="H13" i="70" s="1"/>
  <c r="I13" i="70" s="1"/>
  <c r="G26" i="75"/>
  <c r="G26" i="79"/>
  <c r="G26"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9" i="64"/>
  <c r="E30" i="64"/>
  <c r="G30" i="64" s="1"/>
  <c r="D30" i="64"/>
  <c r="E25" i="64"/>
  <c r="G25" i="64" s="1"/>
  <c r="E21" i="65"/>
  <c r="D30" i="65"/>
  <c r="E30" i="65"/>
  <c r="G30" i="65" s="1"/>
  <c r="E25" i="65"/>
  <c r="G25" i="65" s="1"/>
  <c r="E26" i="67"/>
  <c r="G26" i="67" s="1"/>
  <c r="E23" i="67"/>
  <c r="G23" i="67" s="1"/>
  <c r="D23" i="67"/>
  <c r="D29" i="67"/>
  <c r="E29" i="67"/>
  <c r="G29" i="67" s="1"/>
  <c r="E19" i="68"/>
  <c r="E26" i="68"/>
  <c r="G26" i="68" s="1"/>
  <c r="E23" i="68"/>
  <c r="G23" i="68" s="1"/>
  <c r="D23" i="68"/>
  <c r="E29" i="68"/>
  <c r="G29" i="68" s="1"/>
  <c r="D29" i="68"/>
  <c r="E19" i="70"/>
  <c r="D30" i="70"/>
  <c r="E30" i="70"/>
  <c r="G30" i="70" s="1"/>
  <c r="E25" i="70"/>
  <c r="G25" i="70" s="1"/>
  <c r="E29" i="73"/>
  <c r="G29" i="73" s="1"/>
  <c r="D29" i="73"/>
  <c r="E29" i="75"/>
  <c r="G29" i="75" s="1"/>
  <c r="D29" i="75"/>
  <c r="D29" i="76"/>
  <c r="E29" i="76"/>
  <c r="G29" i="76" s="1"/>
  <c r="D29" i="78"/>
  <c r="E29" i="78"/>
  <c r="G29" i="78" s="1"/>
  <c r="E29" i="79"/>
  <c r="G29" i="79" s="1"/>
  <c r="D29" i="79"/>
  <c r="D28" i="81"/>
  <c r="E28" i="81"/>
  <c r="G28"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21" i="64"/>
  <c r="E26" i="64"/>
  <c r="G26" i="64" s="1"/>
  <c r="E23" i="64"/>
  <c r="G23" i="64" s="1"/>
  <c r="D23" i="64"/>
  <c r="E29" i="64"/>
  <c r="G29" i="64" s="1"/>
  <c r="D29" i="64"/>
  <c r="E19" i="65"/>
  <c r="E26" i="65"/>
  <c r="G26" i="65" s="1"/>
  <c r="E23" i="65"/>
  <c r="G23" i="65" s="1"/>
  <c r="D23" i="65"/>
  <c r="D29" i="65"/>
  <c r="E29" i="65"/>
  <c r="G29" i="65" s="1"/>
  <c r="E21" i="67"/>
  <c r="E19" i="67"/>
  <c r="D30" i="67"/>
  <c r="E30" i="67"/>
  <c r="G30" i="67" s="1"/>
  <c r="E25" i="67"/>
  <c r="G25" i="67" s="1"/>
  <c r="E21" i="68"/>
  <c r="E30" i="68"/>
  <c r="G30" i="68" s="1"/>
  <c r="D30" i="68"/>
  <c r="E25" i="68"/>
  <c r="G25" i="68" s="1"/>
  <c r="E21" i="70"/>
  <c r="E26" i="70"/>
  <c r="G26" i="70" s="1"/>
  <c r="E23" i="70"/>
  <c r="G23" i="70" s="1"/>
  <c r="D23" i="70"/>
  <c r="D29" i="70"/>
  <c r="E29" i="70"/>
  <c r="G29" i="70" s="1"/>
  <c r="E28" i="73"/>
  <c r="G28" i="73" s="1"/>
  <c r="D28" i="73"/>
  <c r="E28" i="75"/>
  <c r="G28" i="75" s="1"/>
  <c r="D28" i="75"/>
  <c r="D28" i="76"/>
  <c r="E28" i="76"/>
  <c r="G28" i="76" s="1"/>
  <c r="D28" i="78"/>
  <c r="E28" i="78"/>
  <c r="G28" i="78" s="1"/>
  <c r="E23" i="49"/>
  <c r="E28" i="79"/>
  <c r="G28" i="79" s="1"/>
  <c r="D28" i="79"/>
  <c r="D29" i="81"/>
  <c r="E29" i="81"/>
  <c r="G29"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2" i="79"/>
  <c r="H38" i="60"/>
  <c r="I38" i="60" s="1"/>
  <c r="H38" i="52"/>
  <c r="I38" i="52" s="1"/>
  <c r="H38" i="49"/>
  <c r="I38" i="49" s="1"/>
  <c r="H30" i="76"/>
  <c r="I30" i="76" s="1"/>
  <c r="D32" i="79"/>
  <c r="H30" i="75"/>
  <c r="I30" i="75" s="1"/>
  <c r="H30" i="79"/>
  <c r="I30" i="79" s="1"/>
  <c r="H30" i="81"/>
  <c r="I30"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7" i="67"/>
  <c r="D33" i="65"/>
  <c r="G33" i="53"/>
  <c r="G33" i="65"/>
  <c r="G40" i="53"/>
  <c r="D14" i="59"/>
  <c r="D40" i="53"/>
  <c r="G32" i="78"/>
  <c r="D32" i="75"/>
  <c r="D32" i="73"/>
  <c r="G33" i="70"/>
  <c r="G33" i="64"/>
  <c r="G32" i="76"/>
  <c r="D32" i="78"/>
  <c r="D32" i="76"/>
  <c r="G32" i="75"/>
  <c r="G32" i="73"/>
  <c r="D33" i="70"/>
  <c r="D33" i="64"/>
  <c r="G27"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2" i="81"/>
  <c r="D33" i="68"/>
  <c r="G33"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2" i="81"/>
  <c r="G27" i="70"/>
  <c r="G33" i="68"/>
  <c r="D33" i="67"/>
  <c r="G27" i="65"/>
  <c r="G27"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8" i="81"/>
  <c r="I28" i="81" s="1"/>
  <c r="G15" i="81"/>
  <c r="H13" i="81"/>
  <c r="I13" i="81" s="1"/>
  <c r="H29" i="81"/>
  <c r="I29" i="81" s="1"/>
  <c r="H28" i="79"/>
  <c r="I28" i="79" s="1"/>
  <c r="G15" i="79"/>
  <c r="H13" i="79"/>
  <c r="I13" i="79" s="1"/>
  <c r="H29" i="79"/>
  <c r="I29"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3" i="70"/>
  <c r="I23" i="70" s="1"/>
  <c r="H30" i="70"/>
  <c r="I30" i="70" s="1"/>
  <c r="H29" i="70"/>
  <c r="I29" i="70" s="1"/>
  <c r="G14" i="70"/>
  <c r="H12" i="70"/>
  <c r="I12" i="70" s="1"/>
  <c r="H23" i="68"/>
  <c r="I23" i="68" s="1"/>
  <c r="H30" i="68"/>
  <c r="I30" i="68" s="1"/>
  <c r="H29" i="68"/>
  <c r="I29" i="68" s="1"/>
  <c r="G14" i="68"/>
  <c r="H12" i="68"/>
  <c r="I12" i="68" s="1"/>
  <c r="H30" i="67"/>
  <c r="I30" i="67" s="1"/>
  <c r="H23" i="67"/>
  <c r="I23" i="67" s="1"/>
  <c r="H29" i="67"/>
  <c r="I29" i="67" s="1"/>
  <c r="G14" i="67"/>
  <c r="H12" i="67"/>
  <c r="I12" i="67" s="1"/>
  <c r="H23" i="65"/>
  <c r="I23" i="65" s="1"/>
  <c r="H30" i="65"/>
  <c r="I30" i="65" s="1"/>
  <c r="H29" i="65"/>
  <c r="I29" i="65" s="1"/>
  <c r="G14" i="65"/>
  <c r="H12" i="65"/>
  <c r="I12" i="65" s="1"/>
  <c r="H23" i="64"/>
  <c r="I23" i="64" s="1"/>
  <c r="H30" i="64"/>
  <c r="I30" i="64" s="1"/>
  <c r="H29" i="64"/>
  <c r="I29"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H13" i="72" s="1"/>
  <c r="I13"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2" i="81"/>
  <c r="I32" i="81" s="1"/>
  <c r="H15" i="81"/>
  <c r="I15" i="81" s="1"/>
  <c r="H32" i="79"/>
  <c r="I32"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3" i="70"/>
  <c r="I33" i="70" s="1"/>
  <c r="H14" i="70"/>
  <c r="I14" i="70" s="1"/>
  <c r="H14" i="68"/>
  <c r="I14" i="68" s="1"/>
  <c r="H33" i="68"/>
  <c r="I33" i="68" s="1"/>
  <c r="H14" i="67"/>
  <c r="I14" i="67" s="1"/>
  <c r="H33" i="67"/>
  <c r="I33" i="67" s="1"/>
  <c r="H33" i="65"/>
  <c r="I33" i="65" s="1"/>
  <c r="H14" i="65"/>
  <c r="I14" i="65" s="1"/>
  <c r="H33" i="64"/>
  <c r="I33"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G15" i="72" l="1"/>
  <c r="H32" i="72"/>
  <c r="I32" i="72" s="1"/>
  <c r="H40" i="61"/>
  <c r="I40" i="61" s="1"/>
  <c r="H40" i="60"/>
  <c r="I40" i="60" s="1"/>
  <c r="H40" i="58"/>
  <c r="I40" i="58" s="1"/>
  <c r="H40" i="56"/>
  <c r="I40" i="56" s="1"/>
  <c r="H40" i="54"/>
  <c r="I40" i="54" s="1"/>
  <c r="H40" i="52"/>
  <c r="I40" i="52" s="1"/>
  <c r="H40" i="50"/>
  <c r="I40" i="50" s="1"/>
  <c r="H40" i="49"/>
  <c r="I40" i="49" s="1"/>
  <c r="H40" i="46"/>
  <c r="I40" i="46" s="1"/>
  <c r="H15" i="72" l="1"/>
  <c r="I15" i="72" s="1"/>
  <c r="F37" i="5"/>
  <c r="F35" i="5"/>
  <c r="B25" i="5" l="1"/>
  <c r="B24" i="5"/>
  <c r="H17" i="5"/>
  <c r="F14" i="5"/>
  <c r="F13" i="5"/>
  <c r="F38" i="25"/>
  <c r="F36" i="25"/>
  <c r="F34" i="25"/>
  <c r="B34" i="25"/>
  <c r="E34" i="25" s="1"/>
  <c r="F32" i="25"/>
  <c r="E32" i="25"/>
  <c r="D32" i="25"/>
  <c r="E16" i="25"/>
  <c r="G16" i="25" s="1"/>
  <c r="D16" i="25"/>
  <c r="E15" i="25"/>
  <c r="F13" i="25"/>
  <c r="F12" i="25"/>
  <c r="H16" i="25" l="1"/>
  <c r="G32" i="25"/>
  <c r="G34" i="25"/>
  <c r="E25" i="5"/>
  <c r="G25" i="5" s="1"/>
  <c r="E24" i="5"/>
  <c r="G24" i="5" s="1"/>
  <c r="H31" i="5"/>
  <c r="H32" i="25"/>
  <c r="D34" i="25"/>
  <c r="H34" i="25" s="1"/>
  <c r="B9" i="4"/>
  <c r="C26" i="4"/>
  <c r="D26" i="4" s="1"/>
  <c r="G26" i="5" l="1"/>
  <c r="B23" i="4"/>
  <c r="B24" i="4"/>
  <c r="B9" i="25" l="1"/>
  <c r="B7" i="25"/>
  <c r="B6" i="25"/>
  <c r="B5" i="25"/>
  <c r="B13" i="25" l="1"/>
  <c r="B12" i="25"/>
  <c r="B20" i="25"/>
  <c r="B19" i="25"/>
  <c r="B21" i="25"/>
  <c r="C23" i="25"/>
  <c r="F23" i="25" s="1"/>
  <c r="B8" i="25"/>
  <c r="B31" i="25" s="1"/>
  <c r="E31" i="25" l="1"/>
  <c r="G31" i="25" s="1"/>
  <c r="D31" i="25"/>
  <c r="E13" i="25"/>
  <c r="G13" i="25" s="1"/>
  <c r="D13" i="25"/>
  <c r="E19" i="25"/>
  <c r="B30" i="25"/>
  <c r="B26" i="25"/>
  <c r="B29" i="25"/>
  <c r="B25" i="25"/>
  <c r="B23" i="25"/>
  <c r="E12" i="25"/>
  <c r="G12" i="25" s="1"/>
  <c r="D12" i="25"/>
  <c r="E21" i="25"/>
  <c r="E20" i="25"/>
  <c r="H31" i="25" l="1"/>
  <c r="I31" i="25" s="1"/>
  <c r="D14" i="25"/>
  <c r="D23" i="25"/>
  <c r="E23" i="25"/>
  <c r="G23" i="25" s="1"/>
  <c r="E25" i="25"/>
  <c r="E26" i="25"/>
  <c r="H12" i="25"/>
  <c r="I12" i="25" s="1"/>
  <c r="G14" i="25"/>
  <c r="E29" i="25"/>
  <c r="G29" i="25" s="1"/>
  <c r="D29" i="25"/>
  <c r="E30" i="25"/>
  <c r="G30" i="25" s="1"/>
  <c r="D30" i="25"/>
  <c r="H13" i="25"/>
  <c r="I13" i="25" s="1"/>
  <c r="B33" i="5"/>
  <c r="D33" i="5" l="1"/>
  <c r="E33" i="5"/>
  <c r="G33" i="5" s="1"/>
  <c r="H23" i="25"/>
  <c r="I23" i="25" s="1"/>
  <c r="G33" i="25"/>
  <c r="H29" i="25"/>
  <c r="I29" i="25" s="1"/>
  <c r="H30" i="25"/>
  <c r="I30" i="25" s="1"/>
  <c r="D33" i="25"/>
  <c r="H14" i="25"/>
  <c r="I14" i="25" s="1"/>
  <c r="H33" i="25" l="1"/>
  <c r="I33" i="25" s="1"/>
  <c r="H33" i="5"/>
  <c r="B8" i="5" l="1"/>
  <c r="B6" i="5"/>
  <c r="B7" i="4"/>
  <c r="B6" i="4"/>
  <c r="B5" i="4"/>
  <c r="B13" i="4" l="1"/>
  <c r="B12" i="4"/>
  <c r="B21" i="5"/>
  <c r="B20" i="5"/>
  <c r="E14" i="5"/>
  <c r="G14" i="5" s="1"/>
  <c r="D14" i="5"/>
  <c r="F28" i="4"/>
  <c r="C27" i="4"/>
  <c r="F27" i="4" s="1"/>
  <c r="E24" i="4"/>
  <c r="E21" i="5" l="1"/>
  <c r="E20" i="5"/>
  <c r="H14" i="5"/>
  <c r="I14" i="5" s="1"/>
  <c r="B9" i="5"/>
  <c r="B22" i="5" s="1"/>
  <c r="E22" i="5" s="1"/>
  <c r="B13" i="5" l="1"/>
  <c r="E13" i="5" s="1"/>
  <c r="G13" i="5" s="1"/>
  <c r="B30" i="5"/>
  <c r="B28" i="5"/>
  <c r="B29" i="5"/>
  <c r="F48" i="4"/>
  <c r="F45" i="4"/>
  <c r="F43" i="4"/>
  <c r="F41" i="4"/>
  <c r="F39" i="4"/>
  <c r="E39" i="4"/>
  <c r="D39" i="4"/>
  <c r="E20" i="4"/>
  <c r="G20" i="4" s="1"/>
  <c r="D20" i="4"/>
  <c r="E19" i="4"/>
  <c r="F17" i="4"/>
  <c r="F16" i="4"/>
  <c r="F15" i="4"/>
  <c r="F13" i="4"/>
  <c r="F12" i="4"/>
  <c r="D13" i="5" l="1"/>
  <c r="D15" i="5" s="1"/>
  <c r="E30" i="5"/>
  <c r="G30" i="5" s="1"/>
  <c r="D30" i="5"/>
  <c r="D28" i="5"/>
  <c r="E28" i="5"/>
  <c r="G28" i="5" s="1"/>
  <c r="D29" i="5"/>
  <c r="E29" i="5"/>
  <c r="G29" i="5" s="1"/>
  <c r="G39" i="4"/>
  <c r="H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H16" i="4"/>
  <c r="I16" i="4" s="1"/>
  <c r="H27" i="4" l="1"/>
  <c r="I27" i="4" s="1"/>
  <c r="H28" i="4"/>
  <c r="I28" i="4" s="1"/>
  <c r="D40" i="4"/>
  <c r="H37" i="4"/>
  <c r="I37" i="4" s="1"/>
  <c r="H14" i="4"/>
  <c r="I14" i="4" s="1"/>
  <c r="H36" i="4"/>
  <c r="I36" i="4" s="1"/>
  <c r="G40" i="4"/>
  <c r="H18" i="4"/>
  <c r="I18" i="4" s="1"/>
  <c r="H40" i="4" l="1"/>
  <c r="I40" i="4" s="1"/>
  <c r="G26" i="4" l="1"/>
  <c r="H26" i="4" s="1"/>
  <c r="I26" i="4" s="1"/>
  <c r="G26" i="25" l="1"/>
  <c r="G32" i="4"/>
  <c r="G25" i="25"/>
  <c r="G31" i="4"/>
  <c r="G33" i="4" l="1"/>
  <c r="G27" i="25"/>
  <c r="G21" i="59" l="1"/>
  <c r="G21" i="58"/>
  <c r="G21" i="57"/>
  <c r="G21" i="60"/>
  <c r="G21" i="62"/>
  <c r="G21" i="61"/>
  <c r="G18" i="81"/>
  <c r="G18" i="79"/>
  <c r="G22" i="73"/>
  <c r="G22" i="76"/>
  <c r="G22" i="78"/>
  <c r="G22" i="81"/>
  <c r="G22" i="79"/>
  <c r="G21" i="70"/>
  <c r="G21" i="68"/>
  <c r="G21" i="46"/>
  <c r="G21" i="47"/>
  <c r="G21" i="4"/>
  <c r="G22" i="5"/>
  <c r="G21" i="67"/>
  <c r="G21" i="65"/>
  <c r="G21" i="25"/>
  <c r="G21" i="64"/>
  <c r="G21" i="53"/>
  <c r="G21" i="52"/>
  <c r="G21" i="51"/>
  <c r="G17" i="70"/>
  <c r="G17" i="68"/>
  <c r="G17" i="64"/>
  <c r="G17" i="25"/>
  <c r="G17" i="67" l="1"/>
  <c r="G17" i="65"/>
  <c r="G21" i="50"/>
  <c r="G21" i="49"/>
  <c r="G21" i="48"/>
  <c r="G18" i="5"/>
  <c r="G18" i="72"/>
  <c r="G18" i="78"/>
  <c r="G18" i="76"/>
  <c r="G18" i="75"/>
  <c r="G18" i="73"/>
  <c r="G21" i="56"/>
  <c r="G21" i="54"/>
  <c r="D21" i="47" l="1"/>
  <c r="D21" i="4"/>
  <c r="D21" i="46"/>
  <c r="D21" i="50"/>
  <c r="D21" i="48"/>
  <c r="D21" i="49"/>
  <c r="D21" i="51"/>
  <c r="D21" i="53"/>
  <c r="D21" i="52"/>
  <c r="D21" i="54"/>
  <c r="D21" i="56"/>
  <c r="D21" i="57"/>
  <c r="D21" i="59"/>
  <c r="D21" i="58"/>
  <c r="D21" i="61"/>
  <c r="D21" i="60"/>
  <c r="D21" i="62"/>
  <c r="D17" i="64"/>
  <c r="D17" i="25"/>
  <c r="H17" i="25" s="1"/>
  <c r="D17" i="67"/>
  <c r="D17" i="65"/>
  <c r="D17" i="70"/>
  <c r="D17" i="68"/>
  <c r="D18" i="72"/>
  <c r="D18" i="5"/>
  <c r="D18" i="75"/>
  <c r="D18" i="73"/>
  <c r="D18" i="78"/>
  <c r="D18" i="76"/>
  <c r="D18" i="81"/>
  <c r="D18" i="79"/>
  <c r="D21" i="64"/>
  <c r="D21" i="25"/>
  <c r="D21" i="67"/>
  <c r="D21" i="65"/>
  <c r="D21" i="70"/>
  <c r="D21" i="68"/>
  <c r="D22" i="5"/>
  <c r="H22" i="5" s="1"/>
  <c r="I22" i="5" s="1"/>
  <c r="D22" i="73"/>
  <c r="H22" i="73" s="1"/>
  <c r="I22" i="73" s="1"/>
  <c r="D22" i="76"/>
  <c r="H22" i="76" s="1"/>
  <c r="I22" i="76" s="1"/>
  <c r="D22" i="78"/>
  <c r="H22" i="78" s="1"/>
  <c r="I22" i="78" s="1"/>
  <c r="D22" i="79"/>
  <c r="H22" i="79" s="1"/>
  <c r="I22" i="79" s="1"/>
  <c r="D22" i="81"/>
  <c r="H22" i="81" s="1"/>
  <c r="I22" i="81" s="1"/>
  <c r="H21" i="70" l="1"/>
  <c r="I21" i="70" s="1"/>
  <c r="H21" i="65"/>
  <c r="I21" i="65" s="1"/>
  <c r="H21" i="67"/>
  <c r="I21" i="67" s="1"/>
  <c r="H21" i="68"/>
  <c r="I21" i="68" s="1"/>
  <c r="H21" i="64"/>
  <c r="I21" i="64" s="1"/>
  <c r="H18" i="76"/>
  <c r="H18" i="78"/>
  <c r="H18" i="5"/>
  <c r="H18" i="72"/>
  <c r="H17" i="70"/>
  <c r="H17" i="67"/>
  <c r="H17" i="64"/>
  <c r="H21" i="62"/>
  <c r="I21" i="62" s="1"/>
  <c r="H21" i="61"/>
  <c r="I21" i="61" s="1"/>
  <c r="H21" i="59"/>
  <c r="I21" i="59" s="1"/>
  <c r="H21" i="56"/>
  <c r="I21" i="56" s="1"/>
  <c r="H21" i="53"/>
  <c r="I21" i="53" s="1"/>
  <c r="H21" i="49"/>
  <c r="I21" i="49" s="1"/>
  <c r="H21" i="50"/>
  <c r="I21" i="50" s="1"/>
  <c r="H21" i="4"/>
  <c r="I21" i="4" s="1"/>
  <c r="H21" i="25"/>
  <c r="I21" i="25" s="1"/>
  <c r="H18" i="79"/>
  <c r="H18" i="81"/>
  <c r="H18" i="73"/>
  <c r="H18" i="75"/>
  <c r="H17" i="68"/>
  <c r="H17" i="65"/>
  <c r="H21" i="60"/>
  <c r="I21" i="60" s="1"/>
  <c r="H21" i="58"/>
  <c r="I21" i="58" s="1"/>
  <c r="H21" i="57"/>
  <c r="I21" i="57" s="1"/>
  <c r="H21" i="54"/>
  <c r="I21" i="54" s="1"/>
  <c r="H21" i="52"/>
  <c r="I21" i="52" s="1"/>
  <c r="H21" i="51"/>
  <c r="I21" i="51" s="1"/>
  <c r="H21" i="48"/>
  <c r="I21" i="48" s="1"/>
  <c r="H21" i="46"/>
  <c r="I21" i="46" s="1"/>
  <c r="H21" i="47"/>
  <c r="I21" i="47" s="1"/>
  <c r="D18" i="64" l="1"/>
  <c r="C18" i="25" l="1"/>
  <c r="D18" i="25" s="1"/>
  <c r="C22" i="50" l="1"/>
  <c r="D22" i="50" s="1"/>
  <c r="C22" i="48"/>
  <c r="D22" i="48" s="1"/>
  <c r="C22" i="49"/>
  <c r="D22" i="49" s="1"/>
  <c r="C22" i="54"/>
  <c r="D22" i="54" s="1"/>
  <c r="C22" i="56"/>
  <c r="D22" i="56" s="1"/>
  <c r="C22" i="62"/>
  <c r="D22" i="62" s="1"/>
  <c r="C22" i="61"/>
  <c r="D22" i="61" s="1"/>
  <c r="C22" i="60"/>
  <c r="D22" i="60" s="1"/>
  <c r="C18" i="67"/>
  <c r="D18" i="67" s="1"/>
  <c r="C18" i="65"/>
  <c r="D18" i="65" s="1"/>
  <c r="C19" i="5"/>
  <c r="D19" i="5" s="1"/>
  <c r="C19" i="72"/>
  <c r="D19" i="72" s="1"/>
  <c r="C19" i="76"/>
  <c r="D19" i="76" s="1"/>
  <c r="C19" i="78"/>
  <c r="D19" i="78" s="1"/>
  <c r="C24" i="49"/>
  <c r="D24" i="49" s="1"/>
  <c r="C24" i="50"/>
  <c r="D24" i="50" s="1"/>
  <c r="C24" i="48"/>
  <c r="D24" i="48" s="1"/>
  <c r="C24" i="54"/>
  <c r="D24" i="54" s="1"/>
  <c r="C24" i="56"/>
  <c r="D24" i="56" s="1"/>
  <c r="C24" i="61"/>
  <c r="D24" i="61" s="1"/>
  <c r="C24" i="60"/>
  <c r="D24" i="60" s="1"/>
  <c r="C24" i="62"/>
  <c r="D24" i="62" s="1"/>
  <c r="C20" i="65"/>
  <c r="D20" i="65" s="1"/>
  <c r="C20" i="67"/>
  <c r="D20" i="67" s="1"/>
  <c r="C21" i="5"/>
  <c r="D21" i="5" s="1"/>
  <c r="C21" i="72"/>
  <c r="D21" i="72" s="1"/>
  <c r="C21" i="76"/>
  <c r="D21" i="76" s="1"/>
  <c r="C21" i="78"/>
  <c r="D21" i="78" s="1"/>
  <c r="C22" i="46"/>
  <c r="D22" i="46" s="1"/>
  <c r="C22" i="47"/>
  <c r="D22" i="47" s="1"/>
  <c r="C22" i="4"/>
  <c r="D22" i="4" s="1"/>
  <c r="C22" i="53"/>
  <c r="D22" i="53" s="1"/>
  <c r="C22" i="52"/>
  <c r="D22" i="52" s="1"/>
  <c r="C22" i="51"/>
  <c r="D22" i="51" s="1"/>
  <c r="C22" i="57"/>
  <c r="D22" i="57" s="1"/>
  <c r="C22" i="58"/>
  <c r="D22" i="58" s="1"/>
  <c r="C22" i="59"/>
  <c r="D22" i="59" s="1"/>
  <c r="C18" i="70"/>
  <c r="D18" i="70" s="1"/>
  <c r="C18" i="68"/>
  <c r="D18" i="68" s="1"/>
  <c r="C19" i="73"/>
  <c r="D19" i="73" s="1"/>
  <c r="C19" i="75"/>
  <c r="D19" i="75" s="1"/>
  <c r="C19" i="81"/>
  <c r="D19" i="81" s="1"/>
  <c r="C19" i="79"/>
  <c r="D19" i="79" s="1"/>
  <c r="C24" i="46"/>
  <c r="D24" i="46" s="1"/>
  <c r="C24" i="47"/>
  <c r="D24" i="47" s="1"/>
  <c r="C24" i="4"/>
  <c r="D24" i="4" s="1"/>
  <c r="C24" i="53"/>
  <c r="D24" i="53" s="1"/>
  <c r="C24" i="51"/>
  <c r="D24" i="51" s="1"/>
  <c r="C24" i="52"/>
  <c r="D24" i="52" s="1"/>
  <c r="C24" i="57"/>
  <c r="D24" i="57" s="1"/>
  <c r="C24" i="58"/>
  <c r="D24" i="58" s="1"/>
  <c r="C24" i="59"/>
  <c r="D24" i="59" s="1"/>
  <c r="C20" i="64"/>
  <c r="D20" i="64" s="1"/>
  <c r="C20" i="25"/>
  <c r="D20" i="25" s="1"/>
  <c r="C20" i="68"/>
  <c r="D20" i="68" s="1"/>
  <c r="C20" i="70"/>
  <c r="D20" i="70" s="1"/>
  <c r="C21" i="73"/>
  <c r="D21" i="73" s="1"/>
  <c r="C22" i="75"/>
  <c r="D22" i="75" s="1"/>
  <c r="C21" i="81"/>
  <c r="D21" i="81" s="1"/>
  <c r="C21" i="79"/>
  <c r="D21" i="79" s="1"/>
  <c r="F21" i="5" l="1"/>
  <c r="G21" i="5" s="1"/>
  <c r="F21" i="72"/>
  <c r="G21" i="72" s="1"/>
  <c r="F21" i="73"/>
  <c r="G21" i="73" s="1"/>
  <c r="F22" i="75"/>
  <c r="G22" i="75" s="1"/>
  <c r="F21" i="78" l="1"/>
  <c r="G21" i="78" s="1"/>
  <c r="H21" i="78" s="1"/>
  <c r="I21" i="78" s="1"/>
  <c r="F21" i="76"/>
  <c r="G21" i="76" s="1"/>
  <c r="H21" i="76" s="1"/>
  <c r="I21" i="76" s="1"/>
  <c r="H22" i="75"/>
  <c r="I22" i="75" s="1"/>
  <c r="H21" i="5"/>
  <c r="I21" i="5" s="1"/>
  <c r="H21" i="73"/>
  <c r="I21" i="73" s="1"/>
  <c r="H21" i="72"/>
  <c r="I21" i="72" s="1"/>
  <c r="F21" i="81" l="1"/>
  <c r="G21" i="81" s="1"/>
  <c r="F21" i="79"/>
  <c r="G21" i="79" s="1"/>
  <c r="H21" i="81" l="1"/>
  <c r="I21" i="81" s="1"/>
  <c r="H21" i="79"/>
  <c r="I21" i="79" s="1"/>
  <c r="D19" i="122" l="1"/>
  <c r="D24" i="122" s="1"/>
  <c r="D19" i="126"/>
  <c r="D24" i="126" s="1"/>
  <c r="D19" i="125"/>
  <c r="D24" i="125" s="1"/>
  <c r="D19" i="123"/>
  <c r="D24" i="123" s="1"/>
  <c r="D19" i="124"/>
  <c r="D24" i="124" s="1"/>
  <c r="D19" i="127"/>
  <c r="D24" i="127" s="1"/>
  <c r="D46" i="124" l="1"/>
  <c r="D41" i="124"/>
  <c r="D29" i="124"/>
  <c r="D34" i="124" s="1"/>
  <c r="D28" i="124"/>
  <c r="D33" i="124" s="1"/>
  <c r="D29" i="126"/>
  <c r="D34" i="126" s="1"/>
  <c r="D28" i="126"/>
  <c r="D33" i="126" s="1"/>
  <c r="D46" i="126"/>
  <c r="D41" i="126"/>
  <c r="D28" i="123"/>
  <c r="D33" i="123" s="1"/>
  <c r="D29" i="123"/>
  <c r="D34" i="123" s="1"/>
  <c r="D41" i="123"/>
  <c r="D46" i="123"/>
  <c r="D29" i="122"/>
  <c r="D34" i="122" s="1"/>
  <c r="D46" i="122"/>
  <c r="D41" i="122"/>
  <c r="D28" i="122"/>
  <c r="D33" i="122" s="1"/>
  <c r="D46" i="127"/>
  <c r="D49" i="127" s="1"/>
  <c r="D41" i="127"/>
  <c r="D29" i="127"/>
  <c r="D34" i="127" s="1"/>
  <c r="D28" i="127"/>
  <c r="D33" i="127" s="1"/>
  <c r="D28" i="125"/>
  <c r="D33" i="125" s="1"/>
  <c r="D41" i="125"/>
  <c r="D46" i="125"/>
  <c r="D29" i="125"/>
  <c r="D34" i="125" s="1"/>
  <c r="D47" i="123" l="1"/>
  <c r="D48" i="123" s="1"/>
  <c r="D49" i="123"/>
  <c r="D42" i="122"/>
  <c r="D43" i="122" s="1"/>
  <c r="D44" i="122"/>
  <c r="D47" i="126"/>
  <c r="D48" i="126" s="1"/>
  <c r="D49" i="126"/>
  <c r="D42" i="125"/>
  <c r="D43" i="125" s="1"/>
  <c r="D44" i="125"/>
  <c r="D42" i="127"/>
  <c r="D43" i="127" s="1"/>
  <c r="D44" i="127"/>
  <c r="D47" i="122"/>
  <c r="D48" i="122" s="1"/>
  <c r="D49" i="122"/>
  <c r="D42" i="124"/>
  <c r="D43" i="124" s="1"/>
  <c r="D44" i="124"/>
  <c r="D42" i="126"/>
  <c r="D43" i="126" s="1"/>
  <c r="D44" i="126"/>
  <c r="D47" i="125"/>
  <c r="D48" i="125" s="1"/>
  <c r="D49" i="125"/>
  <c r="D42" i="123"/>
  <c r="D43" i="123" s="1"/>
  <c r="D44" i="123"/>
  <c r="D47" i="124"/>
  <c r="D48" i="124" s="1"/>
  <c r="D49" i="124"/>
  <c r="D47" i="127"/>
  <c r="D48" i="127" s="1"/>
  <c r="D50" i="124" l="1"/>
  <c r="E23" i="179" s="1"/>
  <c r="D50" i="125"/>
  <c r="E35" i="179" s="1"/>
  <c r="D50" i="123"/>
  <c r="E22" i="179" s="1"/>
  <c r="D50" i="126"/>
  <c r="E37" i="179" s="1"/>
  <c r="D45" i="124"/>
  <c r="D50" i="122"/>
  <c r="E20" i="179" s="1"/>
  <c r="D45" i="127"/>
  <c r="D45" i="126"/>
  <c r="D45" i="125"/>
  <c r="D45" i="122"/>
  <c r="D45" i="123"/>
  <c r="D50" i="127"/>
  <c r="E38" i="179" s="1"/>
  <c r="E25" i="199" l="1"/>
  <c r="G25" i="199" s="1"/>
  <c r="E19" i="199"/>
  <c r="E21" i="199"/>
  <c r="G21" i="199" s="1"/>
  <c r="E24" i="199"/>
  <c r="G24" i="199" s="1"/>
  <c r="B19" i="199" l="1"/>
  <c r="D19" i="199" s="1"/>
  <c r="B25" i="199"/>
  <c r="B24" i="199"/>
  <c r="B21" i="199"/>
  <c r="D21" i="199" s="1"/>
  <c r="H21" i="199" s="1"/>
  <c r="I21" i="199" s="1"/>
  <c r="G26" i="199"/>
  <c r="C31" i="179" l="1"/>
  <c r="E21" i="132" l="1"/>
  <c r="F26" i="132"/>
  <c r="E21" i="129"/>
  <c r="F26" i="129"/>
  <c r="C44" i="179"/>
  <c r="C29" i="179"/>
  <c r="C26" i="179"/>
  <c r="B33" i="199"/>
  <c r="E22" i="199"/>
  <c r="G22" i="199" s="1"/>
  <c r="B7" i="199"/>
  <c r="C41" i="179"/>
  <c r="B15" i="132"/>
  <c r="B40" i="132"/>
  <c r="B12" i="132"/>
  <c r="B8" i="132"/>
  <c r="E27" i="132" s="1"/>
  <c r="B16" i="132"/>
  <c r="B23" i="132"/>
  <c r="B17" i="132"/>
  <c r="B13" i="132"/>
  <c r="B13" i="160"/>
  <c r="E21" i="160"/>
  <c r="E18" i="160"/>
  <c r="C8" i="160"/>
  <c r="C23" i="160"/>
  <c r="F23" i="160" s="1"/>
  <c r="B34" i="160"/>
  <c r="B8" i="160"/>
  <c r="E19" i="160"/>
  <c r="G19" i="160" s="1"/>
  <c r="B16" i="129"/>
  <c r="B13" i="129"/>
  <c r="B12" i="129"/>
  <c r="B40" i="129"/>
  <c r="B17" i="129"/>
  <c r="B15" i="129"/>
  <c r="B23" i="129"/>
  <c r="B8" i="129"/>
  <c r="B7" i="138"/>
  <c r="B9" i="138"/>
  <c r="B31" i="138"/>
  <c r="B7" i="135"/>
  <c r="B9" i="135"/>
  <c r="B31" i="135"/>
  <c r="C25" i="185"/>
  <c r="F25" i="185" s="1"/>
  <c r="B8" i="185"/>
  <c r="E26" i="129" l="1"/>
  <c r="E27" i="129"/>
  <c r="E29" i="185"/>
  <c r="E25" i="185"/>
  <c r="E36" i="185"/>
  <c r="E26" i="185"/>
  <c r="E34" i="185"/>
  <c r="E35" i="185"/>
  <c r="E30" i="185"/>
  <c r="C8" i="129"/>
  <c r="B21" i="129"/>
  <c r="C26" i="129"/>
  <c r="C8" i="132"/>
  <c r="B21" i="132"/>
  <c r="D21" i="132" s="1"/>
  <c r="C26" i="132"/>
  <c r="E13" i="138"/>
  <c r="E26" i="138"/>
  <c r="E27" i="138"/>
  <c r="E28" i="138"/>
  <c r="E13" i="135"/>
  <c r="E26" i="135"/>
  <c r="E28" i="135"/>
  <c r="E27" i="135"/>
  <c r="C7" i="135"/>
  <c r="C9" i="135"/>
  <c r="C7" i="138"/>
  <c r="C9" i="138"/>
  <c r="E26" i="132"/>
  <c r="E30" i="132"/>
  <c r="E37" i="132"/>
  <c r="E36" i="132"/>
  <c r="E35" i="132"/>
  <c r="E31" i="132"/>
  <c r="E37" i="129"/>
  <c r="E36" i="129"/>
  <c r="E35" i="129"/>
  <c r="E31" i="129"/>
  <c r="E30" i="129"/>
  <c r="G16" i="185"/>
  <c r="G12" i="185"/>
  <c r="E31" i="138"/>
  <c r="G31" i="138" s="1"/>
  <c r="D31" i="138"/>
  <c r="E23" i="129"/>
  <c r="D23" i="129"/>
  <c r="E40" i="129"/>
  <c r="G40" i="129" s="1"/>
  <c r="D40" i="129"/>
  <c r="E13" i="129"/>
  <c r="G13" i="129" s="1"/>
  <c r="D13" i="129"/>
  <c r="E25" i="160"/>
  <c r="G25" i="160" s="1"/>
  <c r="E30" i="160"/>
  <c r="G30" i="160" s="1"/>
  <c r="E26" i="160"/>
  <c r="G26" i="160" s="1"/>
  <c r="E23" i="160"/>
  <c r="G23" i="160" s="1"/>
  <c r="E31" i="160"/>
  <c r="G31" i="160" s="1"/>
  <c r="E29" i="160"/>
  <c r="G29" i="160" s="1"/>
  <c r="D13" i="132"/>
  <c r="E13" i="132"/>
  <c r="G13" i="132" s="1"/>
  <c r="D16" i="132"/>
  <c r="E16" i="132"/>
  <c r="G16" i="132" s="1"/>
  <c r="C9" i="199"/>
  <c r="C7" i="199"/>
  <c r="D21" i="185"/>
  <c r="G15" i="185"/>
  <c r="E15" i="129"/>
  <c r="G15" i="129" s="1"/>
  <c r="D15" i="129"/>
  <c r="E16" i="129"/>
  <c r="G16" i="129" s="1"/>
  <c r="D16" i="129"/>
  <c r="E34" i="160"/>
  <c r="G34" i="160" s="1"/>
  <c r="D34" i="160"/>
  <c r="D15" i="132"/>
  <c r="E15" i="132"/>
  <c r="G15" i="132" s="1"/>
  <c r="D33" i="199"/>
  <c r="E33" i="199"/>
  <c r="G33" i="199" s="1"/>
  <c r="G13" i="185"/>
  <c r="E31" i="135"/>
  <c r="G31" i="135" s="1"/>
  <c r="D31" i="135"/>
  <c r="E17" i="129"/>
  <c r="G17" i="129" s="1"/>
  <c r="D17" i="129"/>
  <c r="E12" i="129"/>
  <c r="G12" i="129" s="1"/>
  <c r="D12" i="129"/>
  <c r="D12" i="160"/>
  <c r="E12" i="160"/>
  <c r="G12" i="160" s="1"/>
  <c r="D13" i="160"/>
  <c r="E13" i="160"/>
  <c r="G13" i="160" s="1"/>
  <c r="D17" i="132"/>
  <c r="E17" i="132"/>
  <c r="G17" i="132" s="1"/>
  <c r="E12" i="132"/>
  <c r="G12" i="132" s="1"/>
  <c r="D12" i="132"/>
  <c r="D39" i="185"/>
  <c r="G39" i="185"/>
  <c r="G17" i="185"/>
  <c r="D21" i="129"/>
  <c r="H19" i="160"/>
  <c r="I19" i="160" s="1"/>
  <c r="B23" i="160"/>
  <c r="D23" i="160" s="1"/>
  <c r="D24" i="160" s="1"/>
  <c r="B29" i="160"/>
  <c r="D29" i="160" s="1"/>
  <c r="B30" i="160"/>
  <c r="D30" i="160" s="1"/>
  <c r="B31" i="160"/>
  <c r="D31" i="160" s="1"/>
  <c r="E23" i="132"/>
  <c r="D23" i="132"/>
  <c r="E40" i="132"/>
  <c r="G40" i="132" s="1"/>
  <c r="D40" i="132"/>
  <c r="E29" i="199"/>
  <c r="G29" i="199" s="1"/>
  <c r="E30" i="199"/>
  <c r="G30" i="199" s="1"/>
  <c r="E28" i="199"/>
  <c r="G28" i="199" s="1"/>
  <c r="B36" i="132" l="1"/>
  <c r="D36" i="132" s="1"/>
  <c r="B27" i="132"/>
  <c r="D27" i="132" s="1"/>
  <c r="B37" i="129"/>
  <c r="D37" i="129" s="1"/>
  <c r="B27" i="129"/>
  <c r="D27" i="129" s="1"/>
  <c r="B13" i="199"/>
  <c r="D13" i="199" s="1"/>
  <c r="D15" i="199" s="1"/>
  <c r="B22" i="199"/>
  <c r="D22" i="199" s="1"/>
  <c r="D23" i="185"/>
  <c r="B30" i="129"/>
  <c r="D30" i="129" s="1"/>
  <c r="B31" i="129"/>
  <c r="D31" i="129" s="1"/>
  <c r="B35" i="129"/>
  <c r="D35" i="129" s="1"/>
  <c r="B26" i="129"/>
  <c r="D26" i="129" s="1"/>
  <c r="B36" i="129"/>
  <c r="D36" i="129" s="1"/>
  <c r="B26" i="132"/>
  <c r="D26" i="132" s="1"/>
  <c r="B30" i="132"/>
  <c r="D30" i="132" s="1"/>
  <c r="B37" i="132"/>
  <c r="D37" i="132" s="1"/>
  <c r="B31" i="132"/>
  <c r="D31" i="132" s="1"/>
  <c r="B35" i="132"/>
  <c r="D35" i="132" s="1"/>
  <c r="B13" i="135"/>
  <c r="D13" i="135" s="1"/>
  <c r="D15" i="135" s="1"/>
  <c r="B28" i="135"/>
  <c r="D28" i="135" s="1"/>
  <c r="B26" i="135"/>
  <c r="D26" i="135" s="1"/>
  <c r="B27" i="135"/>
  <c r="D27" i="135" s="1"/>
  <c r="B13" i="138"/>
  <c r="D13" i="138" s="1"/>
  <c r="D15" i="138" s="1"/>
  <c r="B28" i="138"/>
  <c r="D28" i="138" s="1"/>
  <c r="B27" i="138"/>
  <c r="D27" i="138" s="1"/>
  <c r="B26" i="138"/>
  <c r="D26" i="138" s="1"/>
  <c r="D18" i="185"/>
  <c r="D14" i="132"/>
  <c r="D24" i="132"/>
  <c r="D14" i="160"/>
  <c r="D24" i="129"/>
  <c r="D14" i="129"/>
  <c r="D14" i="185"/>
  <c r="G26" i="129"/>
  <c r="G28" i="135"/>
  <c r="G29" i="185"/>
  <c r="D29" i="185"/>
  <c r="D18" i="129"/>
  <c r="H31" i="160"/>
  <c r="I31" i="160" s="1"/>
  <c r="H40" i="132"/>
  <c r="I40" i="132" s="1"/>
  <c r="D25" i="185"/>
  <c r="G25" i="185"/>
  <c r="H17" i="132"/>
  <c r="I17" i="132" s="1"/>
  <c r="G32" i="199"/>
  <c r="D33" i="160"/>
  <c r="G36" i="129"/>
  <c r="G30" i="129"/>
  <c r="G26" i="135"/>
  <c r="D34" i="185"/>
  <c r="G34" i="185"/>
  <c r="G36" i="185"/>
  <c r="D36" i="185"/>
  <c r="H39" i="185"/>
  <c r="G14" i="129"/>
  <c r="H12" i="129"/>
  <c r="I12" i="129" s="1"/>
  <c r="D18" i="132"/>
  <c r="G36" i="132"/>
  <c r="H16" i="129"/>
  <c r="I16" i="129" s="1"/>
  <c r="G26" i="138"/>
  <c r="G18" i="185"/>
  <c r="H15" i="185"/>
  <c r="I15" i="185" s="1"/>
  <c r="H29" i="160"/>
  <c r="I29" i="160" s="1"/>
  <c r="G33" i="160"/>
  <c r="H30" i="160"/>
  <c r="I30" i="160" s="1"/>
  <c r="H16" i="185"/>
  <c r="I16" i="185" s="1"/>
  <c r="G35" i="185"/>
  <c r="D35" i="185"/>
  <c r="G26" i="132"/>
  <c r="G27" i="160"/>
  <c r="G27" i="135"/>
  <c r="H17" i="129"/>
  <c r="I17" i="129" s="1"/>
  <c r="H31" i="135"/>
  <c r="I31" i="135" s="1"/>
  <c r="H13" i="185"/>
  <c r="I13" i="185" s="1"/>
  <c r="H33" i="199"/>
  <c r="I33" i="199" s="1"/>
  <c r="G37" i="132"/>
  <c r="G31" i="132"/>
  <c r="H34" i="160"/>
  <c r="I34" i="160" s="1"/>
  <c r="H15" i="129"/>
  <c r="I15" i="129" s="1"/>
  <c r="G18" i="129"/>
  <c r="G28" i="138"/>
  <c r="H23" i="160"/>
  <c r="I23" i="160" s="1"/>
  <c r="H31" i="138"/>
  <c r="I31" i="138" s="1"/>
  <c r="G14" i="185"/>
  <c r="H12" i="185"/>
  <c r="I12" i="185" s="1"/>
  <c r="H12" i="132"/>
  <c r="I12" i="132" s="1"/>
  <c r="G14" i="132"/>
  <c r="G14" i="160"/>
  <c r="H12" i="160"/>
  <c r="I12" i="160" s="1"/>
  <c r="G30" i="132"/>
  <c r="G13" i="138"/>
  <c r="H16" i="132"/>
  <c r="I16" i="132" s="1"/>
  <c r="H40" i="129"/>
  <c r="I40" i="129" s="1"/>
  <c r="G37" i="129"/>
  <c r="G31" i="129"/>
  <c r="H17" i="185"/>
  <c r="I17" i="185" s="1"/>
  <c r="G13" i="199"/>
  <c r="G35" i="129"/>
  <c r="G27" i="129"/>
  <c r="G13" i="135"/>
  <c r="D30" i="185"/>
  <c r="G30" i="185"/>
  <c r="G26" i="185"/>
  <c r="D26" i="185"/>
  <c r="H13" i="160"/>
  <c r="I13" i="160" s="1"/>
  <c r="G18" i="132"/>
  <c r="H15" i="132"/>
  <c r="I15" i="132" s="1"/>
  <c r="G35" i="132"/>
  <c r="G27" i="132"/>
  <c r="G27" i="138"/>
  <c r="B28" i="199"/>
  <c r="D28" i="199" s="1"/>
  <c r="H28" i="199" s="1"/>
  <c r="I28" i="199" s="1"/>
  <c r="B30" i="199"/>
  <c r="D30" i="199" s="1"/>
  <c r="H30" i="199" s="1"/>
  <c r="I30" i="199" s="1"/>
  <c r="B29" i="199"/>
  <c r="D29" i="199" s="1"/>
  <c r="H29" i="199" s="1"/>
  <c r="I29" i="199" s="1"/>
  <c r="H13" i="132"/>
  <c r="I13" i="132" s="1"/>
  <c r="H13" i="129"/>
  <c r="I13" i="129" s="1"/>
  <c r="D23" i="199" l="1"/>
  <c r="H22" i="199"/>
  <c r="I22" i="199" s="1"/>
  <c r="D29" i="132"/>
  <c r="D28" i="132"/>
  <c r="D28" i="129"/>
  <c r="D29" i="129"/>
  <c r="D32" i="132"/>
  <c r="D30" i="138"/>
  <c r="D32" i="138" s="1"/>
  <c r="D39" i="132"/>
  <c r="D39" i="129"/>
  <c r="H26" i="138"/>
  <c r="I26" i="138" s="1"/>
  <c r="G30" i="138"/>
  <c r="D32" i="129"/>
  <c r="H37" i="129"/>
  <c r="I37" i="129" s="1"/>
  <c r="H28" i="135"/>
  <c r="I28" i="135" s="1"/>
  <c r="H33" i="160"/>
  <c r="I33" i="160" s="1"/>
  <c r="H14" i="160"/>
  <c r="I14" i="160" s="1"/>
  <c r="H31" i="132"/>
  <c r="I31" i="132" s="1"/>
  <c r="H35" i="185"/>
  <c r="I35" i="185" s="1"/>
  <c r="H36" i="185"/>
  <c r="I36" i="185" s="1"/>
  <c r="G32" i="129"/>
  <c r="H30" i="129"/>
  <c r="I30" i="129" s="1"/>
  <c r="H18" i="132"/>
  <c r="I18" i="132" s="1"/>
  <c r="G39" i="129"/>
  <c r="H35" i="129"/>
  <c r="I35" i="129" s="1"/>
  <c r="H30" i="132"/>
  <c r="I30" i="132" s="1"/>
  <c r="G32" i="132"/>
  <c r="H14" i="185"/>
  <c r="I14" i="185" s="1"/>
  <c r="H37" i="132"/>
  <c r="I37" i="132" s="1"/>
  <c r="H26" i="132"/>
  <c r="I26" i="132" s="1"/>
  <c r="H25" i="185"/>
  <c r="I25" i="185" s="1"/>
  <c r="G31" i="185"/>
  <c r="H29" i="185"/>
  <c r="I29" i="185" s="1"/>
  <c r="H26" i="129"/>
  <c r="I26" i="129" s="1"/>
  <c r="D32" i="199"/>
  <c r="H27" i="138"/>
  <c r="I27" i="138" s="1"/>
  <c r="H35" i="132"/>
  <c r="I35" i="132" s="1"/>
  <c r="G39" i="132"/>
  <c r="H26" i="185"/>
  <c r="I26" i="185" s="1"/>
  <c r="H13" i="135"/>
  <c r="I13" i="135" s="1"/>
  <c r="G15" i="135"/>
  <c r="H27" i="129"/>
  <c r="I27" i="129" s="1"/>
  <c r="H31" i="129"/>
  <c r="I31" i="129" s="1"/>
  <c r="H14" i="132"/>
  <c r="I14" i="132" s="1"/>
  <c r="H28" i="138"/>
  <c r="I28" i="138" s="1"/>
  <c r="H18" i="129"/>
  <c r="I18" i="129" s="1"/>
  <c r="H18" i="185"/>
  <c r="I18" i="185" s="1"/>
  <c r="H36" i="132"/>
  <c r="I36" i="132" s="1"/>
  <c r="G38" i="185"/>
  <c r="H34" i="185"/>
  <c r="I34" i="185" s="1"/>
  <c r="H26" i="135"/>
  <c r="I26" i="135" s="1"/>
  <c r="G30" i="135"/>
  <c r="D28" i="185"/>
  <c r="D27" i="185"/>
  <c r="H27" i="132"/>
  <c r="I27" i="132" s="1"/>
  <c r="H30" i="185"/>
  <c r="I30" i="185" s="1"/>
  <c r="H13" i="199"/>
  <c r="I13" i="199" s="1"/>
  <c r="G15" i="199"/>
  <c r="G15" i="138"/>
  <c r="H13" i="138"/>
  <c r="I13" i="138" s="1"/>
  <c r="H27" i="135"/>
  <c r="I27" i="135" s="1"/>
  <c r="H14" i="129"/>
  <c r="I14" i="129" s="1"/>
  <c r="D38" i="185"/>
  <c r="D30" i="135"/>
  <c r="D32" i="135" s="1"/>
  <c r="H36" i="129"/>
  <c r="I36" i="129" s="1"/>
  <c r="D31" i="185"/>
  <c r="D33" i="135" l="1"/>
  <c r="D34" i="135" s="1"/>
  <c r="D35" i="135"/>
  <c r="D33" i="138"/>
  <c r="D34" i="138" s="1"/>
  <c r="D35" i="138"/>
  <c r="D34" i="132"/>
  <c r="D33" i="129"/>
  <c r="D34" i="129"/>
  <c r="D33" i="132"/>
  <c r="D46" i="129"/>
  <c r="D41" i="132"/>
  <c r="D46" i="132"/>
  <c r="D32" i="185"/>
  <c r="H15" i="138"/>
  <c r="I15" i="138" s="1"/>
  <c r="H15" i="199"/>
  <c r="I15" i="199" s="1"/>
  <c r="D33" i="185"/>
  <c r="H30" i="135"/>
  <c r="I30" i="135" s="1"/>
  <c r="H38" i="185"/>
  <c r="I38" i="185" s="1"/>
  <c r="D40" i="185"/>
  <c r="H39" i="129"/>
  <c r="I39" i="129" s="1"/>
  <c r="D45" i="185"/>
  <c r="H32" i="199"/>
  <c r="I32" i="199" s="1"/>
  <c r="H32" i="129"/>
  <c r="I32" i="129" s="1"/>
  <c r="D41" i="129"/>
  <c r="H30" i="138"/>
  <c r="I30" i="138" s="1"/>
  <c r="H32" i="132"/>
  <c r="I32" i="132" s="1"/>
  <c r="H15" i="135"/>
  <c r="I15" i="135" s="1"/>
  <c r="H39" i="132"/>
  <c r="I39" i="132" s="1"/>
  <c r="H31" i="185"/>
  <c r="I31" i="185" s="1"/>
  <c r="D36" i="135" l="1"/>
  <c r="E29" i="179" s="1"/>
  <c r="D41" i="185"/>
  <c r="D42" i="185" s="1"/>
  <c r="D43" i="185"/>
  <c r="D46" i="185"/>
  <c r="D47" i="185" s="1"/>
  <c r="D48" i="185"/>
  <c r="D47" i="129"/>
  <c r="D48" i="129" s="1"/>
  <c r="D49" i="129"/>
  <c r="D42" i="129"/>
  <c r="D43" i="129" s="1"/>
  <c r="D44" i="129"/>
  <c r="D47" i="132"/>
  <c r="D48" i="132" s="1"/>
  <c r="D49" i="132"/>
  <c r="D36" i="138"/>
  <c r="E44" i="179" s="1"/>
  <c r="D42" i="132"/>
  <c r="D43" i="132" s="1"/>
  <c r="D44" i="132"/>
  <c r="D45" i="132" l="1"/>
  <c r="D49" i="185"/>
  <c r="E4" i="179" s="1"/>
  <c r="D50" i="132"/>
  <c r="E41" i="179" s="1"/>
  <c r="D44" i="185"/>
  <c r="D45" i="129"/>
  <c r="D50" i="129"/>
  <c r="E26" i="179" s="1"/>
  <c r="G20" i="186"/>
  <c r="G20" i="117"/>
  <c r="G20" i="118"/>
  <c r="G20" i="116"/>
  <c r="G23" i="186"/>
  <c r="F23" i="117"/>
  <c r="F23" i="118"/>
  <c r="G23" i="118" s="1"/>
  <c r="H23" i="118" s="1"/>
  <c r="I23" i="118" s="1"/>
  <c r="F23" i="116"/>
  <c r="G23" i="116" s="1"/>
  <c r="H23" i="116" s="1"/>
  <c r="I23" i="116" s="1"/>
  <c r="G23" i="188"/>
  <c r="H23" i="188" s="1"/>
  <c r="I23" i="188" s="1"/>
  <c r="G23" i="126"/>
  <c r="H23" i="126" s="1"/>
  <c r="I23" i="126" s="1"/>
  <c r="G23" i="127"/>
  <c r="H23" i="127" s="1"/>
  <c r="I23" i="127" s="1"/>
  <c r="G23" i="125"/>
  <c r="H23" i="125" s="1"/>
  <c r="I23" i="125" s="1"/>
  <c r="G23" i="190"/>
  <c r="H23" i="190" s="1"/>
  <c r="I23" i="190" s="1"/>
  <c r="G23" i="189"/>
  <c r="H23" i="189" s="1"/>
  <c r="I23" i="189" s="1"/>
  <c r="G23" i="131"/>
  <c r="H23" i="131" s="1"/>
  <c r="I23" i="131" s="1"/>
  <c r="G23" i="130"/>
  <c r="H23" i="130" s="1"/>
  <c r="I23" i="130" s="1"/>
  <c r="G23" i="132"/>
  <c r="H23" i="132" s="1"/>
  <c r="I23" i="132" s="1"/>
  <c r="G23" i="129"/>
  <c r="H23" i="129" s="1"/>
  <c r="I23" i="129" s="1"/>
  <c r="G23" i="128"/>
  <c r="H23" i="128" s="1"/>
  <c r="I23" i="128" s="1"/>
  <c r="G23" i="133"/>
  <c r="H23" i="133" s="1"/>
  <c r="I23" i="133" s="1"/>
  <c r="G20" i="185"/>
  <c r="G20" i="115"/>
  <c r="G20" i="113"/>
  <c r="G20" i="112"/>
  <c r="H20" i="113" l="1"/>
  <c r="I20" i="113" s="1"/>
  <c r="H20" i="186"/>
  <c r="I20" i="186" s="1"/>
  <c r="H20" i="112"/>
  <c r="I20" i="112" s="1"/>
  <c r="F24" i="182"/>
  <c r="F24" i="50"/>
  <c r="G24" i="50" s="1"/>
  <c r="H24" i="50" s="1"/>
  <c r="I24" i="50" s="1"/>
  <c r="F24" i="49"/>
  <c r="G24" i="49" s="1"/>
  <c r="H24" i="49" s="1"/>
  <c r="I24" i="49" s="1"/>
  <c r="F24" i="48"/>
  <c r="G24" i="48" s="1"/>
  <c r="H24" i="48" s="1"/>
  <c r="I24" i="48" s="1"/>
  <c r="F24" i="184"/>
  <c r="F24" i="58"/>
  <c r="G24" i="58" s="1"/>
  <c r="H24" i="58" s="1"/>
  <c r="I24" i="58" s="1"/>
  <c r="F24" i="57"/>
  <c r="G24" i="57" s="1"/>
  <c r="H24" i="57" s="1"/>
  <c r="I24" i="57" s="1"/>
  <c r="F24" i="59"/>
  <c r="G24" i="59" s="1"/>
  <c r="H24" i="59" s="1"/>
  <c r="I24" i="59" s="1"/>
  <c r="F24" i="183"/>
  <c r="F24" i="60"/>
  <c r="G24" i="60" s="1"/>
  <c r="H24" i="60" s="1"/>
  <c r="I24" i="60" s="1"/>
  <c r="F24" i="62"/>
  <c r="G24" i="62" s="1"/>
  <c r="H24" i="62" s="1"/>
  <c r="I24" i="62" s="1"/>
  <c r="F24" i="61"/>
  <c r="G24" i="61" s="1"/>
  <c r="H24" i="61" s="1"/>
  <c r="I24" i="61" s="1"/>
  <c r="G21" i="197"/>
  <c r="H21" i="197" s="1"/>
  <c r="I21" i="197" s="1"/>
  <c r="F20" i="174"/>
  <c r="G21" i="198"/>
  <c r="H21" i="198" s="1"/>
  <c r="I21" i="198" s="1"/>
  <c r="F20" i="67"/>
  <c r="G20" i="67" s="1"/>
  <c r="H20" i="67" s="1"/>
  <c r="I20" i="67" s="1"/>
  <c r="F20" i="65"/>
  <c r="G20" i="65" s="1"/>
  <c r="H20" i="65" s="1"/>
  <c r="I20" i="65" s="1"/>
  <c r="H20" i="117"/>
  <c r="I20" i="117" s="1"/>
  <c r="H20" i="115"/>
  <c r="I20" i="115" s="1"/>
  <c r="G21" i="154"/>
  <c r="H21" i="154" s="1"/>
  <c r="I21" i="154" s="1"/>
  <c r="F20" i="175"/>
  <c r="F20" i="68"/>
  <c r="G20" i="68" s="1"/>
  <c r="H20" i="68" s="1"/>
  <c r="I20" i="68" s="1"/>
  <c r="F20" i="70"/>
  <c r="G20" i="70" s="1"/>
  <c r="H20" i="70" s="1"/>
  <c r="I20" i="70" s="1"/>
  <c r="G20" i="144"/>
  <c r="H20" i="144" s="1"/>
  <c r="I20" i="144" s="1"/>
  <c r="G21" i="160"/>
  <c r="H21" i="160" s="1"/>
  <c r="I21" i="160" s="1"/>
  <c r="F20" i="169"/>
  <c r="G21" i="157"/>
  <c r="H21" i="157" s="1"/>
  <c r="I21" i="157" s="1"/>
  <c r="F20" i="25"/>
  <c r="G20" i="25" s="1"/>
  <c r="H20" i="25" s="1"/>
  <c r="I20" i="25" s="1"/>
  <c r="F20" i="64"/>
  <c r="G20" i="64" s="1"/>
  <c r="H20" i="64" s="1"/>
  <c r="I20" i="64" s="1"/>
  <c r="F24" i="168"/>
  <c r="F24" i="54"/>
  <c r="G24" i="54" s="1"/>
  <c r="H24" i="54" s="1"/>
  <c r="I24" i="54" s="1"/>
  <c r="F24" i="56"/>
  <c r="G24" i="56" s="1"/>
  <c r="H24" i="56" s="1"/>
  <c r="I24" i="56" s="1"/>
  <c r="H20" i="116"/>
  <c r="I20" i="116" s="1"/>
  <c r="F24" i="181"/>
  <c r="F24" i="53"/>
  <c r="G24" i="53" s="1"/>
  <c r="H24" i="53" s="1"/>
  <c r="I24" i="53" s="1"/>
  <c r="F24" i="51"/>
  <c r="G24" i="51" s="1"/>
  <c r="H24" i="51" s="1"/>
  <c r="I24" i="51" s="1"/>
  <c r="F24" i="52"/>
  <c r="G24" i="52" s="1"/>
  <c r="H24" i="52" s="1"/>
  <c r="I24" i="52" s="1"/>
  <c r="H20" i="185"/>
  <c r="I20" i="185" s="1"/>
  <c r="H23" i="186"/>
  <c r="I23" i="186" s="1"/>
  <c r="H20" i="118"/>
  <c r="I20" i="118" s="1"/>
  <c r="G19" i="170"/>
  <c r="G19" i="75"/>
  <c r="G19" i="73"/>
  <c r="F18" i="169"/>
  <c r="G18" i="169" s="1"/>
  <c r="G17" i="157"/>
  <c r="G17" i="144"/>
  <c r="F18" i="64"/>
  <c r="G18" i="64" s="1"/>
  <c r="F18" i="25"/>
  <c r="G18" i="25" s="1"/>
  <c r="F22" i="183"/>
  <c r="G22" i="183" s="1"/>
  <c r="F22" i="60"/>
  <c r="G22" i="60" s="1"/>
  <c r="F22" i="61"/>
  <c r="G22" i="61" s="1"/>
  <c r="F22" i="62"/>
  <c r="G22" i="62" s="1"/>
  <c r="G16" i="141"/>
  <c r="F18" i="175"/>
  <c r="G18" i="175" s="1"/>
  <c r="F18" i="68"/>
  <c r="G18" i="68" s="1"/>
  <c r="F18" i="70"/>
  <c r="G18" i="70" s="1"/>
  <c r="F22" i="184"/>
  <c r="G22" i="184" s="1"/>
  <c r="F22" i="57"/>
  <c r="G22" i="57" s="1"/>
  <c r="F22" i="58"/>
  <c r="G22" i="58" s="1"/>
  <c r="F22" i="59"/>
  <c r="G22" i="59" s="1"/>
  <c r="G17" i="198"/>
  <c r="G17" i="197"/>
  <c r="F18" i="174"/>
  <c r="G18" i="174" s="1"/>
  <c r="F18" i="67"/>
  <c r="G18" i="67" s="1"/>
  <c r="F18" i="65"/>
  <c r="G18" i="65" s="1"/>
  <c r="F22" i="181"/>
  <c r="G22" i="181" s="1"/>
  <c r="F22" i="51"/>
  <c r="G22" i="51" s="1"/>
  <c r="F22" i="53"/>
  <c r="G22" i="53" s="1"/>
  <c r="F22" i="52"/>
  <c r="G22" i="52" s="1"/>
  <c r="F22" i="168"/>
  <c r="G22" i="168" s="1"/>
  <c r="F22" i="54"/>
  <c r="G22" i="54" s="1"/>
  <c r="F22" i="56"/>
  <c r="G22" i="56" s="1"/>
  <c r="F18" i="148"/>
  <c r="G18" i="148" s="1"/>
  <c r="G19" i="173"/>
  <c r="F18" i="199"/>
  <c r="G18" i="199" s="1"/>
  <c r="F18" i="146"/>
  <c r="G18" i="146" s="1"/>
  <c r="G19" i="79"/>
  <c r="G19" i="81"/>
  <c r="F22" i="182"/>
  <c r="G22" i="182" s="1"/>
  <c r="F22" i="50"/>
  <c r="G22" i="50" s="1"/>
  <c r="F22" i="49"/>
  <c r="G22" i="49" s="1"/>
  <c r="F22" i="48"/>
  <c r="G22" i="48" s="1"/>
  <c r="G19" i="171"/>
  <c r="G19" i="72"/>
  <c r="G19" i="5"/>
  <c r="H18" i="148" l="1"/>
  <c r="I18" i="148" s="1"/>
  <c r="H22" i="51"/>
  <c r="I22" i="51" s="1"/>
  <c r="H22" i="184"/>
  <c r="I22" i="184" s="1"/>
  <c r="H18" i="64"/>
  <c r="I18" i="64" s="1"/>
  <c r="H19" i="171"/>
  <c r="I19" i="171" s="1"/>
  <c r="H22" i="48"/>
  <c r="I22" i="48" s="1"/>
  <c r="H22" i="182"/>
  <c r="I22" i="182" s="1"/>
  <c r="H19" i="81"/>
  <c r="I19" i="81" s="1"/>
  <c r="H18" i="199"/>
  <c r="I18" i="199" s="1"/>
  <c r="H22" i="56"/>
  <c r="I22" i="56" s="1"/>
  <c r="H22" i="181"/>
  <c r="I22" i="181" s="1"/>
  <c r="H18" i="67"/>
  <c r="I18" i="67" s="1"/>
  <c r="H18" i="174"/>
  <c r="I18" i="174" s="1"/>
  <c r="H17" i="198"/>
  <c r="I17" i="198" s="1"/>
  <c r="H18" i="68"/>
  <c r="I18" i="68" s="1"/>
  <c r="H18" i="175"/>
  <c r="I18" i="175" s="1"/>
  <c r="H22" i="60"/>
  <c r="I22" i="60" s="1"/>
  <c r="H17" i="160"/>
  <c r="I17" i="160" s="1"/>
  <c r="H19" i="73"/>
  <c r="I19" i="73" s="1"/>
  <c r="H18" i="65"/>
  <c r="I18" i="65" s="1"/>
  <c r="H22" i="58"/>
  <c r="I22" i="58" s="1"/>
  <c r="H19" i="170"/>
  <c r="I19" i="170" s="1"/>
  <c r="H19" i="5"/>
  <c r="I19" i="5" s="1"/>
  <c r="H19" i="173"/>
  <c r="I19" i="173" s="1"/>
  <c r="H22" i="52"/>
  <c r="I22" i="52" s="1"/>
  <c r="H22" i="57"/>
  <c r="I22" i="57" s="1"/>
  <c r="H22" i="62"/>
  <c r="I22" i="62" s="1"/>
  <c r="H17" i="157"/>
  <c r="I17" i="157" s="1"/>
  <c r="H19" i="75"/>
  <c r="I19" i="75" s="1"/>
  <c r="H22" i="50"/>
  <c r="I22" i="50" s="1"/>
  <c r="H18" i="146"/>
  <c r="I18" i="146" s="1"/>
  <c r="H22" i="168"/>
  <c r="I22" i="168" s="1"/>
  <c r="H17" i="197"/>
  <c r="I17" i="197" s="1"/>
  <c r="H16" i="141"/>
  <c r="I16" i="141" s="1"/>
  <c r="H19" i="72"/>
  <c r="I19" i="72" s="1"/>
  <c r="H22" i="49"/>
  <c r="I22" i="49" s="1"/>
  <c r="H19" i="79"/>
  <c r="I19" i="79" s="1"/>
  <c r="H22" i="54"/>
  <c r="I22" i="54" s="1"/>
  <c r="H22" i="53"/>
  <c r="I22" i="53" s="1"/>
  <c r="H22" i="59"/>
  <c r="I22" i="59" s="1"/>
  <c r="H18" i="70"/>
  <c r="I18" i="70" s="1"/>
  <c r="H22" i="61"/>
  <c r="I22" i="61" s="1"/>
  <c r="H22" i="183"/>
  <c r="I22" i="183" s="1"/>
  <c r="H18" i="25"/>
  <c r="I18" i="25" s="1"/>
  <c r="H17" i="144"/>
  <c r="I17" i="144" s="1"/>
  <c r="H18" i="169"/>
  <c r="I18" i="169" s="1"/>
  <c r="F24" i="180" l="1"/>
  <c r="F24" i="4"/>
  <c r="G24" i="4" s="1"/>
  <c r="H24" i="4" s="1"/>
  <c r="I24" i="4" s="1"/>
  <c r="F24" i="46"/>
  <c r="G24" i="46" s="1"/>
  <c r="H24" i="46" s="1"/>
  <c r="I24" i="46" s="1"/>
  <c r="F24" i="47"/>
  <c r="G24" i="47" s="1"/>
  <c r="H24" i="47" s="1"/>
  <c r="I24" i="47" s="1"/>
  <c r="F22" i="180"/>
  <c r="G22" i="180" s="1"/>
  <c r="F22" i="4"/>
  <c r="G22" i="4" s="1"/>
  <c r="F22" i="46"/>
  <c r="G22" i="46" s="1"/>
  <c r="F22" i="47"/>
  <c r="G22" i="47" s="1"/>
  <c r="H22" i="4" l="1"/>
  <c r="I22" i="4" s="1"/>
  <c r="H22" i="180"/>
  <c r="I22" i="180" s="1"/>
  <c r="H22" i="47"/>
  <c r="I22" i="47" s="1"/>
  <c r="H22" i="46"/>
  <c r="I22" i="46" s="1"/>
  <c r="G19" i="172" l="1"/>
  <c r="G19" i="78"/>
  <c r="G19" i="76"/>
  <c r="H19" i="172" l="1"/>
  <c r="I19" i="172" s="1"/>
  <c r="H19" i="76"/>
  <c r="I19" i="76" s="1"/>
  <c r="H19" i="78"/>
  <c r="I19" i="78" s="1"/>
  <c r="G21" i="126" l="1"/>
  <c r="G21" i="125"/>
  <c r="G21" i="127"/>
  <c r="G21" i="188"/>
  <c r="G22" i="72"/>
  <c r="G21" i="75"/>
  <c r="H21" i="188" l="1"/>
  <c r="I21" i="188" s="1"/>
  <c r="H21" i="126"/>
  <c r="I21" i="126" s="1"/>
  <c r="H21" i="125"/>
  <c r="I21" i="125" s="1"/>
  <c r="H21" i="127"/>
  <c r="I21" i="127" s="1"/>
  <c r="C16" i="172" l="1"/>
  <c r="D16" i="172" s="1"/>
  <c r="C16" i="78"/>
  <c r="D16" i="78" s="1"/>
  <c r="C16" i="76"/>
  <c r="D16" i="76" s="1"/>
  <c r="C24" i="170" l="1"/>
  <c r="D24" i="170" s="1"/>
  <c r="C24" i="75"/>
  <c r="D24" i="75" s="1"/>
  <c r="C24" i="73"/>
  <c r="D24" i="73" s="1"/>
  <c r="C32" i="181"/>
  <c r="C32" i="53"/>
  <c r="D32" i="53" s="1"/>
  <c r="H32" i="53" s="1"/>
  <c r="I32" i="53" s="1"/>
  <c r="C32" i="51"/>
  <c r="D32" i="51" s="1"/>
  <c r="H32" i="51" s="1"/>
  <c r="I32" i="51" s="1"/>
  <c r="C32" i="52"/>
  <c r="D32" i="52" s="1"/>
  <c r="H32" i="52" s="1"/>
  <c r="I32" i="52" s="1"/>
  <c r="C24" i="171"/>
  <c r="D24" i="171" s="1"/>
  <c r="C24" i="5"/>
  <c r="D24" i="5" s="1"/>
  <c r="C24" i="72"/>
  <c r="D24" i="72" s="1"/>
  <c r="D25" i="141"/>
  <c r="H25" i="141" s="1"/>
  <c r="I25" i="141" s="1"/>
  <c r="D26" i="154"/>
  <c r="H26" i="154" s="1"/>
  <c r="I26" i="154" s="1"/>
  <c r="C26" i="175"/>
  <c r="C26" i="68"/>
  <c r="D26" i="68" s="1"/>
  <c r="H26" i="68" s="1"/>
  <c r="I26" i="68" s="1"/>
  <c r="C26" i="70"/>
  <c r="D26" i="70" s="1"/>
  <c r="H26" i="70" s="1"/>
  <c r="I26" i="70" s="1"/>
  <c r="C32" i="168"/>
  <c r="C32" i="56"/>
  <c r="D32" i="56" s="1"/>
  <c r="H32" i="56" s="1"/>
  <c r="I32" i="56" s="1"/>
  <c r="C32" i="54"/>
  <c r="D32" i="54" s="1"/>
  <c r="H32" i="54" s="1"/>
  <c r="I32" i="54" s="1"/>
  <c r="C25" i="172"/>
  <c r="D25" i="172" s="1"/>
  <c r="H25" i="172" s="1"/>
  <c r="I25" i="172" s="1"/>
  <c r="C25" i="76"/>
  <c r="D25" i="76" s="1"/>
  <c r="H25" i="76" s="1"/>
  <c r="I25" i="76" s="1"/>
  <c r="C25" i="78"/>
  <c r="D25" i="78" s="1"/>
  <c r="H25" i="78" s="1"/>
  <c r="I25" i="78" s="1"/>
  <c r="C31" i="180"/>
  <c r="C31" i="47"/>
  <c r="D31" i="47" s="1"/>
  <c r="C31" i="4"/>
  <c r="D31" i="4" s="1"/>
  <c r="C31" i="46"/>
  <c r="D31" i="46" s="1"/>
  <c r="C31" i="183"/>
  <c r="C31" i="61"/>
  <c r="D31" i="61" s="1"/>
  <c r="C31" i="60"/>
  <c r="D31" i="60" s="1"/>
  <c r="C31" i="62"/>
  <c r="D31" i="62" s="1"/>
  <c r="D26" i="160"/>
  <c r="H26" i="160" s="1"/>
  <c r="I26" i="160" s="1"/>
  <c r="D25" i="144"/>
  <c r="H25" i="144" s="1"/>
  <c r="I25" i="144" s="1"/>
  <c r="C26" i="169"/>
  <c r="D26" i="157"/>
  <c r="H26" i="157" s="1"/>
  <c r="I26" i="157" s="1"/>
  <c r="C26" i="25"/>
  <c r="D26" i="25" s="1"/>
  <c r="H26" i="25" s="1"/>
  <c r="I26" i="25" s="1"/>
  <c r="C26" i="64"/>
  <c r="D26" i="64" s="1"/>
  <c r="H26" i="64" s="1"/>
  <c r="I26" i="64" s="1"/>
  <c r="C25" i="170"/>
  <c r="D25" i="170" s="1"/>
  <c r="H25" i="170" s="1"/>
  <c r="I25" i="170" s="1"/>
  <c r="C25" i="75"/>
  <c r="D25" i="75" s="1"/>
  <c r="H25" i="75" s="1"/>
  <c r="I25" i="75" s="1"/>
  <c r="C25" i="73"/>
  <c r="D25" i="73" s="1"/>
  <c r="H25" i="73" s="1"/>
  <c r="I25" i="73" s="1"/>
  <c r="C32" i="183"/>
  <c r="C32" i="62"/>
  <c r="D32" i="62" s="1"/>
  <c r="H32" i="62" s="1"/>
  <c r="I32" i="62" s="1"/>
  <c r="C32" i="60"/>
  <c r="D32" i="60" s="1"/>
  <c r="H32" i="60" s="1"/>
  <c r="I32" i="60" s="1"/>
  <c r="C32" i="61"/>
  <c r="D32" i="61" s="1"/>
  <c r="H32" i="61" s="1"/>
  <c r="I32" i="61" s="1"/>
  <c r="C32" i="182"/>
  <c r="C32" i="50"/>
  <c r="D32" i="50" s="1"/>
  <c r="H32" i="50" s="1"/>
  <c r="I32" i="50" s="1"/>
  <c r="C32" i="49"/>
  <c r="D32" i="49" s="1"/>
  <c r="H32" i="49" s="1"/>
  <c r="I32" i="49" s="1"/>
  <c r="C32" i="48"/>
  <c r="D32" i="48" s="1"/>
  <c r="H32" i="48" s="1"/>
  <c r="I32" i="48" s="1"/>
  <c r="C25" i="171"/>
  <c r="D25" i="171" s="1"/>
  <c r="H25" i="171" s="1"/>
  <c r="I25" i="171" s="1"/>
  <c r="C25" i="72"/>
  <c r="D25" i="72" s="1"/>
  <c r="H25" i="72" s="1"/>
  <c r="I25" i="72" s="1"/>
  <c r="C25" i="5"/>
  <c r="D25" i="5" s="1"/>
  <c r="H25" i="5" s="1"/>
  <c r="I25" i="5" s="1"/>
  <c r="C32" i="184"/>
  <c r="C32" i="57"/>
  <c r="D32" i="57" s="1"/>
  <c r="H32" i="57" s="1"/>
  <c r="I32" i="57" s="1"/>
  <c r="C32" i="59"/>
  <c r="D32" i="59" s="1"/>
  <c r="H32" i="59" s="1"/>
  <c r="I32" i="59" s="1"/>
  <c r="C32" i="58"/>
  <c r="D32" i="58" s="1"/>
  <c r="H32" i="58" s="1"/>
  <c r="I32" i="58" s="1"/>
  <c r="C32" i="180"/>
  <c r="C32" i="46"/>
  <c r="D32" i="46" s="1"/>
  <c r="H32" i="46" s="1"/>
  <c r="I32" i="46" s="1"/>
  <c r="C32" i="4"/>
  <c r="D32" i="4" s="1"/>
  <c r="H32" i="4" s="1"/>
  <c r="I32" i="4" s="1"/>
  <c r="C32" i="47"/>
  <c r="D32" i="47" s="1"/>
  <c r="H32" i="47" s="1"/>
  <c r="I32" i="47" s="1"/>
  <c r="C31" i="181"/>
  <c r="C31" i="53"/>
  <c r="D31" i="53" s="1"/>
  <c r="C31" i="51"/>
  <c r="D31" i="51" s="1"/>
  <c r="C31" i="52"/>
  <c r="D31" i="52" s="1"/>
  <c r="D24" i="148"/>
  <c r="C24" i="173"/>
  <c r="D24" i="173" s="1"/>
  <c r="D24" i="199"/>
  <c r="D24" i="146"/>
  <c r="C24" i="79"/>
  <c r="D24" i="79" s="1"/>
  <c r="C24" i="81"/>
  <c r="D24" i="81" s="1"/>
  <c r="C31" i="184"/>
  <c r="C31" i="57"/>
  <c r="D31" i="57" s="1"/>
  <c r="C31" i="59"/>
  <c r="D31" i="59" s="1"/>
  <c r="C31" i="58"/>
  <c r="D31" i="58" s="1"/>
  <c r="C31" i="182"/>
  <c r="C31" i="48"/>
  <c r="D31" i="48" s="1"/>
  <c r="C31" i="50"/>
  <c r="D31" i="50" s="1"/>
  <c r="C31" i="49"/>
  <c r="D31" i="49" s="1"/>
  <c r="D25" i="146"/>
  <c r="H25" i="146" s="1"/>
  <c r="I25" i="146" s="1"/>
  <c r="C25" i="173"/>
  <c r="D25" i="173" s="1"/>
  <c r="H25" i="173" s="1"/>
  <c r="I25" i="173" s="1"/>
  <c r="D25" i="199"/>
  <c r="H25" i="199" s="1"/>
  <c r="I25" i="199" s="1"/>
  <c r="D25" i="148"/>
  <c r="H25" i="148" s="1"/>
  <c r="I25" i="148" s="1"/>
  <c r="C25" i="81"/>
  <c r="D25" i="81" s="1"/>
  <c r="H25" i="81" s="1"/>
  <c r="I25" i="81" s="1"/>
  <c r="C25" i="79"/>
  <c r="D25" i="79" s="1"/>
  <c r="H25" i="79" s="1"/>
  <c r="I25" i="79" s="1"/>
  <c r="C25" i="169"/>
  <c r="D25" i="157"/>
  <c r="D24" i="144"/>
  <c r="D25" i="160"/>
  <c r="C25" i="25"/>
  <c r="D25" i="25" s="1"/>
  <c r="C25" i="64"/>
  <c r="D25" i="64" s="1"/>
  <c r="D25" i="154"/>
  <c r="C25" i="175"/>
  <c r="D24" i="141"/>
  <c r="C25" i="68"/>
  <c r="D25" i="68" s="1"/>
  <c r="C25" i="70"/>
  <c r="D25" i="70" s="1"/>
  <c r="C31" i="168"/>
  <c r="C31" i="54"/>
  <c r="D31" i="54" s="1"/>
  <c r="C31" i="56"/>
  <c r="D31" i="56" s="1"/>
  <c r="C24" i="172"/>
  <c r="D24" i="172" s="1"/>
  <c r="C24" i="76"/>
  <c r="D24" i="76" s="1"/>
  <c r="C24" i="78"/>
  <c r="D24" i="78" s="1"/>
  <c r="D26" i="79" l="1"/>
  <c r="H24" i="79"/>
  <c r="I24" i="79" s="1"/>
  <c r="D33" i="53"/>
  <c r="H31" i="53"/>
  <c r="I31" i="53" s="1"/>
  <c r="D26" i="76"/>
  <c r="H24" i="76"/>
  <c r="I24" i="76" s="1"/>
  <c r="H24" i="141"/>
  <c r="I24" i="141" s="1"/>
  <c r="D26" i="141"/>
  <c r="D27" i="64"/>
  <c r="H25" i="64"/>
  <c r="I25" i="64" s="1"/>
  <c r="D26" i="144"/>
  <c r="H24" i="144"/>
  <c r="I24" i="144" s="1"/>
  <c r="D33" i="49"/>
  <c r="H31" i="49"/>
  <c r="I31" i="49" s="1"/>
  <c r="D33" i="58"/>
  <c r="H31" i="58"/>
  <c r="I31" i="58" s="1"/>
  <c r="D26" i="81"/>
  <c r="H24" i="81"/>
  <c r="I24" i="81" s="1"/>
  <c r="D26" i="199"/>
  <c r="H24" i="199"/>
  <c r="I24" i="199" s="1"/>
  <c r="D33" i="52"/>
  <c r="H31" i="52"/>
  <c r="I31" i="52" s="1"/>
  <c r="D33" i="62"/>
  <c r="H31" i="62"/>
  <c r="I31" i="62" s="1"/>
  <c r="H31" i="47"/>
  <c r="I31" i="47" s="1"/>
  <c r="D33" i="47"/>
  <c r="D26" i="171"/>
  <c r="H24" i="171"/>
  <c r="I24" i="171" s="1"/>
  <c r="D33" i="48"/>
  <c r="H31" i="48"/>
  <c r="I31" i="48" s="1"/>
  <c r="D26" i="173"/>
  <c r="H24" i="173"/>
  <c r="I24" i="173" s="1"/>
  <c r="D33" i="60"/>
  <c r="H31" i="60"/>
  <c r="I31" i="60" s="1"/>
  <c r="H25" i="70"/>
  <c r="I25" i="70" s="1"/>
  <c r="D27" i="70"/>
  <c r="H24" i="172"/>
  <c r="I24" i="172" s="1"/>
  <c r="D26" i="172"/>
  <c r="D33" i="54"/>
  <c r="H31" i="54"/>
  <c r="I31" i="54" s="1"/>
  <c r="D27" i="68"/>
  <c r="H25" i="68"/>
  <c r="I25" i="68" s="1"/>
  <c r="H25" i="157"/>
  <c r="I25" i="157" s="1"/>
  <c r="D27" i="157"/>
  <c r="D33" i="50"/>
  <c r="H31" i="50"/>
  <c r="I31" i="50" s="1"/>
  <c r="D33" i="59"/>
  <c r="H31" i="59"/>
  <c r="I31" i="59" s="1"/>
  <c r="D33" i="51"/>
  <c r="H31" i="51"/>
  <c r="I31" i="51" s="1"/>
  <c r="H24" i="72"/>
  <c r="I24" i="72" s="1"/>
  <c r="D26" i="72"/>
  <c r="D26" i="75"/>
  <c r="H24" i="75"/>
  <c r="I24" i="75" s="1"/>
  <c r="D33" i="46"/>
  <c r="H31" i="46"/>
  <c r="I31" i="46" s="1"/>
  <c r="D26" i="78"/>
  <c r="H24" i="78"/>
  <c r="I24" i="78" s="1"/>
  <c r="D33" i="56"/>
  <c r="H31" i="56"/>
  <c r="I31" i="56" s="1"/>
  <c r="D27" i="154"/>
  <c r="H25" i="154"/>
  <c r="I25" i="154" s="1"/>
  <c r="D27" i="25"/>
  <c r="H25" i="25"/>
  <c r="I25" i="25" s="1"/>
  <c r="D27" i="160"/>
  <c r="H25" i="160"/>
  <c r="I25" i="160" s="1"/>
  <c r="D33" i="57"/>
  <c r="H31" i="57"/>
  <c r="I31" i="57" s="1"/>
  <c r="H24" i="146"/>
  <c r="I24" i="146" s="1"/>
  <c r="D26" i="146"/>
  <c r="D26" i="148"/>
  <c r="H24" i="148"/>
  <c r="I24" i="148" s="1"/>
  <c r="D33" i="61"/>
  <c r="H31" i="61"/>
  <c r="I31" i="61" s="1"/>
  <c r="D33" i="4"/>
  <c r="H31" i="4"/>
  <c r="I31" i="4" s="1"/>
  <c r="D26" i="5"/>
  <c r="H24" i="5"/>
  <c r="I24" i="5" s="1"/>
  <c r="H24" i="73"/>
  <c r="I24" i="73" s="1"/>
  <c r="D26" i="73"/>
  <c r="H24" i="170"/>
  <c r="I24" i="170" s="1"/>
  <c r="D26" i="170"/>
  <c r="H26" i="170" l="1"/>
  <c r="I26" i="170" s="1"/>
  <c r="D35" i="157"/>
  <c r="D38" i="157" s="1"/>
  <c r="H27" i="157"/>
  <c r="I27" i="157" s="1"/>
  <c r="D28" i="157"/>
  <c r="H27" i="70"/>
  <c r="I27" i="70" s="1"/>
  <c r="H26" i="5"/>
  <c r="I26" i="5" s="1"/>
  <c r="H33" i="4"/>
  <c r="I33" i="4" s="1"/>
  <c r="H33" i="57"/>
  <c r="I33" i="57" s="1"/>
  <c r="D28" i="160"/>
  <c r="H27" i="160"/>
  <c r="I27" i="160" s="1"/>
  <c r="D35" i="160"/>
  <c r="D38" i="160" s="1"/>
  <c r="H27" i="25"/>
  <c r="I27" i="25" s="1"/>
  <c r="H33" i="56"/>
  <c r="I33" i="56" s="1"/>
  <c r="H33" i="46"/>
  <c r="I33" i="46" s="1"/>
  <c r="H26" i="75"/>
  <c r="I26" i="75" s="1"/>
  <c r="H33" i="59"/>
  <c r="I33" i="59" s="1"/>
  <c r="H33" i="54"/>
  <c r="I33" i="54" s="1"/>
  <c r="H26" i="173"/>
  <c r="I26" i="173" s="1"/>
  <c r="H33" i="48"/>
  <c r="I33" i="48" s="1"/>
  <c r="H26" i="199"/>
  <c r="I26" i="199" s="1"/>
  <c r="D27" i="199"/>
  <c r="D34" i="199"/>
  <c r="D37" i="199" s="1"/>
  <c r="H33" i="49"/>
  <c r="I33" i="49" s="1"/>
  <c r="D27" i="144"/>
  <c r="D34" i="144"/>
  <c r="D37" i="144" s="1"/>
  <c r="H26" i="144"/>
  <c r="I26" i="144" s="1"/>
  <c r="H26" i="76"/>
  <c r="I26" i="76" s="1"/>
  <c r="H26" i="79"/>
  <c r="I26" i="79" s="1"/>
  <c r="D27" i="146"/>
  <c r="D34" i="146"/>
  <c r="D37" i="146" s="1"/>
  <c r="H26" i="146"/>
  <c r="I26" i="146" s="1"/>
  <c r="H26" i="73"/>
  <c r="I26" i="73" s="1"/>
  <c r="H26" i="72"/>
  <c r="I26" i="72" s="1"/>
  <c r="H26" i="172"/>
  <c r="I26" i="172" s="1"/>
  <c r="H33" i="47"/>
  <c r="I33" i="47" s="1"/>
  <c r="D27" i="141"/>
  <c r="D34" i="141"/>
  <c r="D37" i="141" s="1"/>
  <c r="H26" i="141"/>
  <c r="I26" i="141" s="1"/>
  <c r="H33" i="61"/>
  <c r="I33" i="61" s="1"/>
  <c r="D34" i="148"/>
  <c r="D37" i="148" s="1"/>
  <c r="D27" i="148"/>
  <c r="H26" i="148"/>
  <c r="I26" i="148" s="1"/>
  <c r="H27" i="154"/>
  <c r="I27" i="154" s="1"/>
  <c r="D28" i="154"/>
  <c r="D35" i="154"/>
  <c r="D38" i="154" s="1"/>
  <c r="H26" i="78"/>
  <c r="I26" i="78" s="1"/>
  <c r="H33" i="51"/>
  <c r="I33" i="51" s="1"/>
  <c r="H33" i="50"/>
  <c r="I33" i="50" s="1"/>
  <c r="H27" i="68"/>
  <c r="I27" i="68" s="1"/>
  <c r="H33" i="60"/>
  <c r="I33" i="60" s="1"/>
  <c r="H26" i="171"/>
  <c r="I26" i="171" s="1"/>
  <c r="H33" i="62"/>
  <c r="I33" i="62" s="1"/>
  <c r="H33" i="52"/>
  <c r="I33" i="52" s="1"/>
  <c r="H26" i="81"/>
  <c r="I26" i="81" s="1"/>
  <c r="H33" i="58"/>
  <c r="I33" i="58" s="1"/>
  <c r="H27" i="64"/>
  <c r="I27" i="64" s="1"/>
  <c r="H33" i="53"/>
  <c r="I33" i="53" s="1"/>
  <c r="D35" i="148" l="1"/>
  <c r="D35" i="146"/>
  <c r="D35" i="144"/>
  <c r="D35" i="141"/>
  <c r="D36" i="154"/>
  <c r="D36" i="160"/>
  <c r="D36" i="157"/>
  <c r="D35" i="199"/>
  <c r="D36" i="141" l="1"/>
  <c r="D37" i="157"/>
  <c r="D37" i="154"/>
  <c r="D36" i="199"/>
  <c r="D37" i="160"/>
  <c r="D36" i="144"/>
  <c r="D36" i="146"/>
  <c r="D36" i="148"/>
  <c r="D38" i="144" l="1"/>
  <c r="E14" i="179" s="1"/>
  <c r="D39" i="157"/>
  <c r="E46" i="179" s="1"/>
  <c r="D38" i="199"/>
  <c r="E17" i="179" s="1"/>
  <c r="D39" i="154"/>
  <c r="E48" i="179" s="1"/>
  <c r="D38" i="146"/>
  <c r="E16" i="179" s="1"/>
  <c r="D38" i="141"/>
  <c r="E15" i="179" s="1"/>
  <c r="D38" i="148"/>
  <c r="E18" i="179" s="1"/>
  <c r="D39" i="160"/>
  <c r="E31" i="179" s="1"/>
  <c r="D26" i="198" l="1"/>
  <c r="H26" i="198" s="1"/>
  <c r="I26" i="198" s="1"/>
  <c r="D26" i="197"/>
  <c r="H26" i="197" s="1"/>
  <c r="I26" i="197" s="1"/>
  <c r="C26" i="174"/>
  <c r="C26" i="67"/>
  <c r="D26" i="67" s="1"/>
  <c r="H26" i="67" s="1"/>
  <c r="I26" i="67" s="1"/>
  <c r="C26" i="65"/>
  <c r="D26" i="65" s="1"/>
  <c r="H26" i="65" s="1"/>
  <c r="I26" i="65" s="1"/>
  <c r="C25" i="174"/>
  <c r="D25" i="198"/>
  <c r="D25" i="197"/>
  <c r="C25" i="65"/>
  <c r="D25" i="65" s="1"/>
  <c r="C25" i="67"/>
  <c r="D25" i="67" s="1"/>
  <c r="D27" i="197" l="1"/>
  <c r="H25" i="197"/>
  <c r="I25" i="197" s="1"/>
  <c r="D27" i="67"/>
  <c r="H25" i="67"/>
  <c r="I25" i="67" s="1"/>
  <c r="D27" i="198"/>
  <c r="H25" i="198"/>
  <c r="I25" i="198" s="1"/>
  <c r="D27" i="65"/>
  <c r="H25" i="65"/>
  <c r="I25" i="65" s="1"/>
  <c r="H27" i="65" l="1"/>
  <c r="I27" i="65" s="1"/>
  <c r="H27" i="67"/>
  <c r="I27" i="67" s="1"/>
  <c r="D28" i="198"/>
  <c r="D35" i="198"/>
  <c r="D38" i="198" s="1"/>
  <c r="H27" i="198"/>
  <c r="I27" i="198" s="1"/>
  <c r="D28" i="197"/>
  <c r="D35" i="197"/>
  <c r="D38" i="197" s="1"/>
  <c r="H27" i="197"/>
  <c r="I27" i="197" s="1"/>
  <c r="D36" i="198" l="1"/>
  <c r="D36" i="197"/>
  <c r="D37" i="197" l="1"/>
  <c r="D37" i="198"/>
  <c r="D39" i="198" l="1"/>
  <c r="E47" i="179" s="1"/>
  <c r="D39" i="197"/>
  <c r="E32" i="179" s="1"/>
  <c r="C19" i="184" l="1"/>
  <c r="D19" i="184" s="1"/>
  <c r="C19" i="57"/>
  <c r="D19" i="57" s="1"/>
  <c r="C19" i="58"/>
  <c r="D19" i="58" s="1"/>
  <c r="C19" i="59"/>
  <c r="D19" i="59" s="1"/>
  <c r="C15" i="175"/>
  <c r="D15" i="175" s="1"/>
  <c r="C15" i="70"/>
  <c r="D15" i="70" s="1"/>
  <c r="C15" i="68"/>
  <c r="D15" i="68" s="1"/>
  <c r="C19" i="175"/>
  <c r="C19" i="68"/>
  <c r="D19" i="68" s="1"/>
  <c r="C19" i="70"/>
  <c r="D19" i="70" s="1"/>
  <c r="D22" i="70" l="1"/>
  <c r="D22" i="68"/>
  <c r="C15" i="169"/>
  <c r="D15" i="169" s="1"/>
  <c r="C15" i="25"/>
  <c r="D15" i="25" s="1"/>
  <c r="C15" i="64"/>
  <c r="D15" i="64" s="1"/>
  <c r="D22" i="72"/>
  <c r="H22" i="72" s="1"/>
  <c r="I22" i="72" s="1"/>
  <c r="C23" i="183"/>
  <c r="C23" i="62"/>
  <c r="D23" i="62" s="1"/>
  <c r="C23" i="60"/>
  <c r="D23" i="60" s="1"/>
  <c r="C23" i="61"/>
  <c r="D23" i="61" s="1"/>
  <c r="C16" i="171"/>
  <c r="D16" i="171" s="1"/>
  <c r="C16" i="5"/>
  <c r="D16" i="5" s="1"/>
  <c r="C16" i="72"/>
  <c r="D16" i="72" s="1"/>
  <c r="C23" i="184"/>
  <c r="C23" i="58"/>
  <c r="D23" i="58" s="1"/>
  <c r="C23" i="57"/>
  <c r="D23" i="57" s="1"/>
  <c r="C23" i="59"/>
  <c r="D23" i="59" s="1"/>
  <c r="C19" i="182"/>
  <c r="D19" i="182" s="1"/>
  <c r="C19" i="48"/>
  <c r="D19" i="48" s="1"/>
  <c r="C19" i="50"/>
  <c r="D19" i="50" s="1"/>
  <c r="C19" i="49"/>
  <c r="D19" i="49" s="1"/>
  <c r="C19" i="180"/>
  <c r="D19" i="180" s="1"/>
  <c r="C19" i="47"/>
  <c r="D19" i="47" s="1"/>
  <c r="C19" i="46"/>
  <c r="D19" i="46" s="1"/>
  <c r="C19" i="4"/>
  <c r="D19" i="4" s="1"/>
  <c r="C15" i="174"/>
  <c r="D15" i="174" s="1"/>
  <c r="C15" i="67"/>
  <c r="D15" i="67" s="1"/>
  <c r="C15" i="65"/>
  <c r="D15" i="65" s="1"/>
  <c r="C19" i="183"/>
  <c r="D19" i="183" s="1"/>
  <c r="C19" i="60"/>
  <c r="D19" i="60" s="1"/>
  <c r="C19" i="61"/>
  <c r="D19" i="61" s="1"/>
  <c r="C19" i="62"/>
  <c r="D19" i="62" s="1"/>
  <c r="D21" i="75"/>
  <c r="H21" i="75" s="1"/>
  <c r="I21" i="75" s="1"/>
  <c r="C16" i="170"/>
  <c r="D16" i="170" s="1"/>
  <c r="C16" i="73"/>
  <c r="D16" i="73" s="1"/>
  <c r="C16" i="75"/>
  <c r="D16" i="75" s="1"/>
  <c r="D25" i="59" l="1"/>
  <c r="D42" i="59" s="1"/>
  <c r="D45" i="59" s="1"/>
  <c r="D25" i="57"/>
  <c r="D47" i="57" s="1"/>
  <c r="D50" i="57" s="1"/>
  <c r="D25" i="60"/>
  <c r="D24" i="70"/>
  <c r="C19" i="169"/>
  <c r="C19" i="25"/>
  <c r="D19" i="25" s="1"/>
  <c r="C19" i="64"/>
  <c r="D19" i="64" s="1"/>
  <c r="C19" i="174"/>
  <c r="C19" i="65"/>
  <c r="D19" i="65" s="1"/>
  <c r="C19" i="67"/>
  <c r="D19" i="67" s="1"/>
  <c r="C23" i="168"/>
  <c r="C23" i="56"/>
  <c r="D23" i="56" s="1"/>
  <c r="C23" i="54"/>
  <c r="D23" i="54" s="1"/>
  <c r="C20" i="173"/>
  <c r="D20" i="173" s="1"/>
  <c r="C20" i="81"/>
  <c r="D20" i="81" s="1"/>
  <c r="C20" i="79"/>
  <c r="D20" i="79" s="1"/>
  <c r="D25" i="62"/>
  <c r="C19" i="168"/>
  <c r="D19" i="168" s="1"/>
  <c r="C19" i="56"/>
  <c r="D19" i="56" s="1"/>
  <c r="C19" i="54"/>
  <c r="D19" i="54" s="1"/>
  <c r="C23" i="181"/>
  <c r="C23" i="52"/>
  <c r="D23" i="52" s="1"/>
  <c r="C23" i="51"/>
  <c r="D23" i="51" s="1"/>
  <c r="C23" i="53"/>
  <c r="D23" i="53" s="1"/>
  <c r="D24" i="68"/>
  <c r="D25" i="61"/>
  <c r="D25" i="58"/>
  <c r="D22" i="64" l="1"/>
  <c r="D22" i="65"/>
  <c r="D22" i="25"/>
  <c r="D24" i="25" s="1"/>
  <c r="D22" i="67"/>
  <c r="D47" i="59"/>
  <c r="D29" i="59"/>
  <c r="D34" i="59" s="1"/>
  <c r="D30" i="59"/>
  <c r="D25" i="56"/>
  <c r="D30" i="56" s="1"/>
  <c r="D35" i="56" s="1"/>
  <c r="D30" i="57"/>
  <c r="D35" i="57" s="1"/>
  <c r="D42" i="57"/>
  <c r="D29" i="57"/>
  <c r="D30" i="61"/>
  <c r="D29" i="61"/>
  <c r="D42" i="61"/>
  <c r="D45" i="61" s="1"/>
  <c r="D47" i="61"/>
  <c r="D50" i="61" s="1"/>
  <c r="C23" i="182"/>
  <c r="C23" i="49"/>
  <c r="D23" i="49" s="1"/>
  <c r="D25" i="49" s="1"/>
  <c r="C23" i="50"/>
  <c r="D23" i="50" s="1"/>
  <c r="D25" i="50" s="1"/>
  <c r="C23" i="48"/>
  <c r="D23" i="48" s="1"/>
  <c r="D25" i="48" s="1"/>
  <c r="D48" i="57"/>
  <c r="D29" i="58"/>
  <c r="D30" i="58"/>
  <c r="D47" i="58"/>
  <c r="D50" i="58" s="1"/>
  <c r="D42" i="58"/>
  <c r="D45" i="58" s="1"/>
  <c r="D25" i="54"/>
  <c r="D29" i="62"/>
  <c r="D30" i="62"/>
  <c r="D42" i="62"/>
  <c r="D45" i="62" s="1"/>
  <c r="D47" i="62"/>
  <c r="D50" i="62" s="1"/>
  <c r="C23" i="180"/>
  <c r="C23" i="4"/>
  <c r="D23" i="4" s="1"/>
  <c r="C23" i="47"/>
  <c r="D23" i="47" s="1"/>
  <c r="C23" i="46"/>
  <c r="D23" i="46" s="1"/>
  <c r="D28" i="70"/>
  <c r="D35" i="70"/>
  <c r="D38" i="70" s="1"/>
  <c r="D35" i="68"/>
  <c r="D38" i="68" s="1"/>
  <c r="D28" i="68"/>
  <c r="D30" i="60"/>
  <c r="D29" i="60"/>
  <c r="D42" i="60"/>
  <c r="D45" i="60" s="1"/>
  <c r="D47" i="60"/>
  <c r="D50" i="60" s="1"/>
  <c r="D43" i="59"/>
  <c r="D48" i="59" l="1"/>
  <c r="D49" i="59" s="1"/>
  <c r="D50" i="59"/>
  <c r="D43" i="57"/>
  <c r="D44" i="57" s="1"/>
  <c r="D45" i="57"/>
  <c r="D24" i="65"/>
  <c r="D35" i="65" s="1"/>
  <c r="D38" i="65" s="1"/>
  <c r="D47" i="56"/>
  <c r="D35" i="59"/>
  <c r="D42" i="56"/>
  <c r="D29" i="56"/>
  <c r="D34" i="56" s="1"/>
  <c r="D34" i="57"/>
  <c r="D36" i="70"/>
  <c r="D35" i="58"/>
  <c r="D29" i="48"/>
  <c r="D34" i="48" s="1"/>
  <c r="D30" i="48"/>
  <c r="D35" i="48" s="1"/>
  <c r="D47" i="48"/>
  <c r="D50" i="48" s="1"/>
  <c r="D42" i="48"/>
  <c r="D45" i="48" s="1"/>
  <c r="D44" i="59"/>
  <c r="D35" i="25"/>
  <c r="D38" i="25" s="1"/>
  <c r="D28" i="25"/>
  <c r="D34" i="60"/>
  <c r="D35" i="62"/>
  <c r="D34" i="58"/>
  <c r="D24" i="64"/>
  <c r="D43" i="60"/>
  <c r="D25" i="4"/>
  <c r="D43" i="62"/>
  <c r="D30" i="54"/>
  <c r="D35" i="54" s="1"/>
  <c r="D29" i="54"/>
  <c r="D34" i="54" s="1"/>
  <c r="D42" i="54"/>
  <c r="D45" i="54" s="1"/>
  <c r="D47" i="54"/>
  <c r="D50" i="54" s="1"/>
  <c r="D29" i="49"/>
  <c r="D34" i="49" s="1"/>
  <c r="D30" i="49"/>
  <c r="D35" i="49" s="1"/>
  <c r="D47" i="49"/>
  <c r="D50" i="49" s="1"/>
  <c r="D42" i="49"/>
  <c r="D45" i="49" s="1"/>
  <c r="D48" i="61"/>
  <c r="D35" i="61"/>
  <c r="D43" i="61"/>
  <c r="D36" i="68"/>
  <c r="D25" i="46"/>
  <c r="D43" i="58"/>
  <c r="D49" i="57"/>
  <c r="D48" i="60"/>
  <c r="D35" i="60"/>
  <c r="D25" i="47"/>
  <c r="D24" i="67"/>
  <c r="D48" i="62"/>
  <c r="D34" i="62"/>
  <c r="D48" i="58"/>
  <c r="D30" i="50"/>
  <c r="D35" i="50" s="1"/>
  <c r="D29" i="50"/>
  <c r="D34" i="50" s="1"/>
  <c r="D42" i="50"/>
  <c r="D45" i="50" s="1"/>
  <c r="D47" i="50"/>
  <c r="D50" i="50" s="1"/>
  <c r="D34" i="61"/>
  <c r="D48" i="56" l="1"/>
  <c r="D49" i="56" s="1"/>
  <c r="D50" i="56"/>
  <c r="D43" i="56"/>
  <c r="D44" i="56" s="1"/>
  <c r="D45" i="56"/>
  <c r="D28" i="65"/>
  <c r="D49" i="61"/>
  <c r="D44" i="58"/>
  <c r="D44" i="60"/>
  <c r="D37" i="70"/>
  <c r="D43" i="54"/>
  <c r="D44" i="54" s="1"/>
  <c r="D35" i="64"/>
  <c r="D38" i="64" s="1"/>
  <c r="D28" i="64"/>
  <c r="D48" i="50"/>
  <c r="D49" i="50" s="1"/>
  <c r="D30" i="47"/>
  <c r="D29" i="47"/>
  <c r="D42" i="47"/>
  <c r="D45" i="47" s="1"/>
  <c r="D47" i="47"/>
  <c r="D50" i="47" s="1"/>
  <c r="D49" i="58"/>
  <c r="D49" i="62"/>
  <c r="D49" i="60"/>
  <c r="D29" i="46"/>
  <c r="D30" i="46"/>
  <c r="D42" i="46"/>
  <c r="D45" i="46" s="1"/>
  <c r="D47" i="46"/>
  <c r="D50" i="46" s="1"/>
  <c r="D37" i="68"/>
  <c r="D48" i="54"/>
  <c r="D44" i="62"/>
  <c r="D48" i="48"/>
  <c r="D49" i="48" s="1"/>
  <c r="D35" i="67"/>
  <c r="D38" i="67" s="1"/>
  <c r="D28" i="67"/>
  <c r="D43" i="49"/>
  <c r="D44" i="61"/>
  <c r="D48" i="49"/>
  <c r="D36" i="25"/>
  <c r="D43" i="50"/>
  <c r="D44" i="50" s="1"/>
  <c r="D30" i="4"/>
  <c r="D29" i="4"/>
  <c r="D47" i="4"/>
  <c r="D50" i="4" s="1"/>
  <c r="D42" i="4"/>
  <c r="D45" i="4" s="1"/>
  <c r="D43" i="48"/>
  <c r="D36" i="65"/>
  <c r="D37" i="25" l="1"/>
  <c r="D37" i="65"/>
  <c r="D51" i="57"/>
  <c r="D51" i="61"/>
  <c r="E22" i="7" s="1"/>
  <c r="D51" i="48"/>
  <c r="E6" i="7" s="1"/>
  <c r="D43" i="4"/>
  <c r="D35" i="46"/>
  <c r="D34" i="47"/>
  <c r="D36" i="64"/>
  <c r="D46" i="54"/>
  <c r="D46" i="56"/>
  <c r="D51" i="56"/>
  <c r="E16" i="7" s="1"/>
  <c r="D44" i="49"/>
  <c r="D46" i="57"/>
  <c r="D49" i="54"/>
  <c r="D43" i="46"/>
  <c r="D43" i="47"/>
  <c r="D39" i="70"/>
  <c r="D34" i="4"/>
  <c r="D36" i="67"/>
  <c r="D35" i="4"/>
  <c r="D44" i="48"/>
  <c r="D48" i="4"/>
  <c r="D49" i="49"/>
  <c r="D46" i="60"/>
  <c r="D48" i="46"/>
  <c r="D34" i="46"/>
  <c r="D48" i="47"/>
  <c r="D35" i="47"/>
  <c r="E17" i="7" l="1"/>
  <c r="D49" i="46"/>
  <c r="D46" i="58"/>
  <c r="D49" i="4"/>
  <c r="D51" i="4" s="1"/>
  <c r="D51" i="58"/>
  <c r="D44" i="47"/>
  <c r="D51" i="60"/>
  <c r="E21" i="7" s="1"/>
  <c r="D37" i="64"/>
  <c r="D39" i="68"/>
  <c r="E37" i="7" s="1"/>
  <c r="D51" i="59"/>
  <c r="E39" i="7"/>
  <c r="D46" i="49"/>
  <c r="D46" i="48"/>
  <c r="D51" i="50"/>
  <c r="E9" i="7" s="1"/>
  <c r="D39" i="65"/>
  <c r="D44" i="46"/>
  <c r="D46" i="50"/>
  <c r="D44" i="4"/>
  <c r="D51" i="54"/>
  <c r="E14" i="7" s="1"/>
  <c r="D49" i="47"/>
  <c r="D51" i="49"/>
  <c r="E7" i="7" s="1"/>
  <c r="D46" i="61"/>
  <c r="D37" i="67"/>
  <c r="D39" i="25" l="1"/>
  <c r="E31" i="7" s="1"/>
  <c r="E18" i="7"/>
  <c r="E20" i="7"/>
  <c r="D46" i="59"/>
  <c r="D51" i="62"/>
  <c r="D39" i="64"/>
  <c r="E34" i="7"/>
  <c r="D46" i="47"/>
  <c r="D46" i="62"/>
  <c r="D39" i="67" l="1"/>
  <c r="E36" i="7" s="1"/>
  <c r="D51" i="46"/>
  <c r="E3" i="7" s="1"/>
  <c r="D46" i="4"/>
  <c r="E33" i="7"/>
  <c r="E24" i="7"/>
  <c r="D51" i="47"/>
  <c r="D46" i="46"/>
  <c r="E2" i="7" l="1"/>
  <c r="E5" i="7"/>
  <c r="B4" i="181" l="1"/>
  <c r="B4" i="168"/>
  <c r="B4" i="172"/>
  <c r="C12" i="7" l="1"/>
  <c r="B13" i="181"/>
  <c r="B8" i="181"/>
  <c r="B17" i="181"/>
  <c r="B24" i="181"/>
  <c r="B41" i="181"/>
  <c r="C27" i="181"/>
  <c r="F27" i="181" s="1"/>
  <c r="B12" i="181"/>
  <c r="B23" i="181"/>
  <c r="B16" i="181"/>
  <c r="B15" i="181"/>
  <c r="B4" i="170"/>
  <c r="B4" i="169"/>
  <c r="B4" i="182"/>
  <c r="C41" i="7"/>
  <c r="B33" i="172"/>
  <c r="B9" i="172"/>
  <c r="B7" i="172"/>
  <c r="C15" i="7"/>
  <c r="B41" i="168"/>
  <c r="C27" i="168"/>
  <c r="F27" i="168" s="1"/>
  <c r="B24" i="168"/>
  <c r="B12" i="168"/>
  <c r="B8" i="168"/>
  <c r="B13" i="168"/>
  <c r="B23" i="168"/>
  <c r="B16" i="168"/>
  <c r="B15" i="168"/>
  <c r="B17" i="168"/>
  <c r="B20" i="151"/>
  <c r="D20" i="151" s="1"/>
  <c r="B4" i="175"/>
  <c r="B4" i="174"/>
  <c r="B4" i="183"/>
  <c r="B4" i="180"/>
  <c r="B4" i="171"/>
  <c r="B4" i="173"/>
  <c r="B4" i="184"/>
  <c r="E23" i="181" l="1"/>
  <c r="D23" i="181"/>
  <c r="E12" i="181"/>
  <c r="G12" i="181" s="1"/>
  <c r="D12" i="181"/>
  <c r="C8" i="7"/>
  <c r="B13" i="182"/>
  <c r="C27" i="182"/>
  <c r="F27" i="182" s="1"/>
  <c r="B17" i="182"/>
  <c r="B24" i="182"/>
  <c r="B15" i="182"/>
  <c r="B8" i="182"/>
  <c r="B41" i="182"/>
  <c r="B23" i="182"/>
  <c r="B12" i="182"/>
  <c r="B16" i="182"/>
  <c r="B19" i="151"/>
  <c r="C33" i="179"/>
  <c r="C4" i="151"/>
  <c r="B12" i="151"/>
  <c r="B8" i="151"/>
  <c r="B21" i="151"/>
  <c r="B13" i="151"/>
  <c r="B18" i="151"/>
  <c r="D18" i="151" s="1"/>
  <c r="E24" i="168"/>
  <c r="G24" i="168" s="1"/>
  <c r="D24" i="168"/>
  <c r="E24" i="181"/>
  <c r="G24" i="181" s="1"/>
  <c r="D24" i="181"/>
  <c r="E23" i="168"/>
  <c r="D23" i="168"/>
  <c r="B22" i="172"/>
  <c r="B28" i="172"/>
  <c r="B30" i="172"/>
  <c r="B13" i="172"/>
  <c r="B29" i="172"/>
  <c r="D12" i="168"/>
  <c r="E12" i="168"/>
  <c r="G12" i="168" s="1"/>
  <c r="C23" i="7"/>
  <c r="B23" i="183"/>
  <c r="B8" i="183"/>
  <c r="B24" i="183"/>
  <c r="B15" i="183"/>
  <c r="B41" i="183"/>
  <c r="B12" i="183"/>
  <c r="B16" i="183"/>
  <c r="B13" i="183"/>
  <c r="C27" i="183"/>
  <c r="F27" i="183" s="1"/>
  <c r="B17" i="183"/>
  <c r="E17" i="168"/>
  <c r="G17" i="168" s="1"/>
  <c r="D17" i="168"/>
  <c r="C29" i="7"/>
  <c r="B33" i="170"/>
  <c r="B9" i="170"/>
  <c r="B7" i="170"/>
  <c r="E17" i="181"/>
  <c r="G17" i="181" s="1"/>
  <c r="D17" i="181"/>
  <c r="D13" i="168"/>
  <c r="E13" i="168"/>
  <c r="G13" i="168" s="1"/>
  <c r="C26" i="7"/>
  <c r="B7" i="171"/>
  <c r="B33" i="171"/>
  <c r="B9" i="171"/>
  <c r="B28" i="168"/>
  <c r="B36" i="168"/>
  <c r="B38" i="168"/>
  <c r="B37" i="168"/>
  <c r="B27" i="168"/>
  <c r="B31" i="168"/>
  <c r="B32" i="168"/>
  <c r="C32" i="7"/>
  <c r="B12" i="169"/>
  <c r="B13" i="169"/>
  <c r="B21" i="169"/>
  <c r="B34" i="169"/>
  <c r="B19" i="169"/>
  <c r="C23" i="169"/>
  <c r="F23" i="169" s="1"/>
  <c r="B8" i="169"/>
  <c r="B20" i="169"/>
  <c r="D41" i="181"/>
  <c r="E41" i="181"/>
  <c r="G41" i="181" s="1"/>
  <c r="E15" i="168"/>
  <c r="G15" i="168" s="1"/>
  <c r="D15" i="168"/>
  <c r="D41" i="168"/>
  <c r="E41" i="168"/>
  <c r="G41" i="168" s="1"/>
  <c r="D15" i="181"/>
  <c r="E15" i="181"/>
  <c r="G15" i="181" s="1"/>
  <c r="B27" i="181"/>
  <c r="B31" i="181"/>
  <c r="B28" i="181"/>
  <c r="B32" i="181"/>
  <c r="B38" i="181"/>
  <c r="B36" i="181"/>
  <c r="B37" i="181"/>
  <c r="C19" i="7"/>
  <c r="B13" i="184"/>
  <c r="B8" i="184"/>
  <c r="B23" i="184"/>
  <c r="B12" i="184"/>
  <c r="C27" i="184"/>
  <c r="F27" i="184" s="1"/>
  <c r="B15" i="184"/>
  <c r="B17" i="184"/>
  <c r="B24" i="184"/>
  <c r="B41" i="184"/>
  <c r="B16" i="184"/>
  <c r="C44" i="7"/>
  <c r="B9" i="173"/>
  <c r="B33" i="173"/>
  <c r="B7" i="173"/>
  <c r="E33" i="172"/>
  <c r="G33" i="172" s="1"/>
  <c r="D33" i="172"/>
  <c r="C35" i="7"/>
  <c r="B21" i="174"/>
  <c r="B34" i="174"/>
  <c r="B19" i="174"/>
  <c r="B13" i="174"/>
  <c r="B20" i="174"/>
  <c r="B8" i="174"/>
  <c r="C23" i="174"/>
  <c r="F23" i="174" s="1"/>
  <c r="B12" i="174"/>
  <c r="B23" i="180"/>
  <c r="B24" i="180"/>
  <c r="B17" i="180"/>
  <c r="B13" i="180"/>
  <c r="C27" i="180"/>
  <c r="F27" i="180" s="1"/>
  <c r="C4" i="7"/>
  <c r="B41" i="180"/>
  <c r="B16" i="180"/>
  <c r="B15" i="180"/>
  <c r="B12" i="180"/>
  <c r="B8" i="180"/>
  <c r="C38" i="7"/>
  <c r="B21" i="175"/>
  <c r="B13" i="175"/>
  <c r="B20" i="175"/>
  <c r="B8" i="175"/>
  <c r="B19" i="175"/>
  <c r="C23" i="175"/>
  <c r="F23" i="175" s="1"/>
  <c r="B34" i="175"/>
  <c r="B12" i="175"/>
  <c r="E16" i="168"/>
  <c r="G16" i="168" s="1"/>
  <c r="D16" i="168"/>
  <c r="D16" i="181"/>
  <c r="E16" i="181"/>
  <c r="G16" i="181" s="1"/>
  <c r="D13" i="181"/>
  <c r="E13" i="181"/>
  <c r="G13" i="181" s="1"/>
  <c r="D19" i="151" l="1"/>
  <c r="E20" i="151"/>
  <c r="G20" i="151" s="1"/>
  <c r="D18" i="168"/>
  <c r="D18" i="181"/>
  <c r="D14" i="168"/>
  <c r="E20" i="175"/>
  <c r="G20" i="175" s="1"/>
  <c r="D20" i="175"/>
  <c r="E19" i="174"/>
  <c r="D19" i="174"/>
  <c r="D37" i="181"/>
  <c r="E37" i="181"/>
  <c r="G37" i="181" s="1"/>
  <c r="H17" i="181"/>
  <c r="I17" i="181" s="1"/>
  <c r="E17" i="183"/>
  <c r="G17" i="183" s="1"/>
  <c r="D17" i="183"/>
  <c r="C8" i="151"/>
  <c r="B34" i="151"/>
  <c r="C23" i="151"/>
  <c r="F23" i="151" s="1"/>
  <c r="H13" i="181"/>
  <c r="I13" i="181" s="1"/>
  <c r="E33" i="173"/>
  <c r="G33" i="173" s="1"/>
  <c r="D33" i="173"/>
  <c r="B25" i="169"/>
  <c r="B23" i="169"/>
  <c r="B30" i="169"/>
  <c r="B31" i="169"/>
  <c r="B26" i="169"/>
  <c r="B29" i="169"/>
  <c r="E13" i="183"/>
  <c r="G13" i="183" s="1"/>
  <c r="D13" i="183"/>
  <c r="H24" i="168"/>
  <c r="I24" i="168" s="1"/>
  <c r="D13" i="180"/>
  <c r="E13" i="180"/>
  <c r="G13" i="180" s="1"/>
  <c r="B22" i="173"/>
  <c r="B29" i="173"/>
  <c r="B13" i="173"/>
  <c r="B30" i="173"/>
  <c r="B28" i="173"/>
  <c r="E32" i="181"/>
  <c r="G32" i="181" s="1"/>
  <c r="D32" i="181"/>
  <c r="E31" i="168"/>
  <c r="G31" i="168" s="1"/>
  <c r="D31" i="168"/>
  <c r="E34" i="175"/>
  <c r="G34" i="175" s="1"/>
  <c r="D34" i="175"/>
  <c r="B32" i="180"/>
  <c r="B36" i="180"/>
  <c r="B37" i="180"/>
  <c r="B31" i="180"/>
  <c r="B28" i="180"/>
  <c r="B27" i="180"/>
  <c r="B38" i="180"/>
  <c r="E17" i="180"/>
  <c r="G17" i="180" s="1"/>
  <c r="D17" i="180"/>
  <c r="E23" i="184"/>
  <c r="D23" i="184"/>
  <c r="D28" i="181"/>
  <c r="E28" i="181"/>
  <c r="G28" i="181" s="1"/>
  <c r="E19" i="169"/>
  <c r="D19" i="169"/>
  <c r="D27" i="168"/>
  <c r="E27" i="168"/>
  <c r="G27" i="168" s="1"/>
  <c r="D12" i="183"/>
  <c r="E12" i="183"/>
  <c r="G12" i="183" s="1"/>
  <c r="D30" i="172"/>
  <c r="E30" i="172"/>
  <c r="G30" i="172" s="1"/>
  <c r="D13" i="151"/>
  <c r="E13" i="151"/>
  <c r="G13" i="151" s="1"/>
  <c r="E16" i="182"/>
  <c r="G16" i="182" s="1"/>
  <c r="D16" i="182"/>
  <c r="D41" i="180"/>
  <c r="E41" i="180"/>
  <c r="G41" i="180" s="1"/>
  <c r="E17" i="184"/>
  <c r="G17" i="184" s="1"/>
  <c r="D17" i="184"/>
  <c r="E12" i="169"/>
  <c r="G12" i="169" s="1"/>
  <c r="D12" i="169"/>
  <c r="B32" i="183"/>
  <c r="B36" i="183"/>
  <c r="B38" i="183"/>
  <c r="B28" i="183"/>
  <c r="B31" i="183"/>
  <c r="B37" i="183"/>
  <c r="B27" i="183"/>
  <c r="H12" i="181"/>
  <c r="I12" i="181" s="1"/>
  <c r="G14" i="181"/>
  <c r="E13" i="175"/>
  <c r="G13" i="175" s="1"/>
  <c r="D13" i="175"/>
  <c r="E34" i="174"/>
  <c r="G34" i="174" s="1"/>
  <c r="D34" i="174"/>
  <c r="D36" i="181"/>
  <c r="E36" i="181"/>
  <c r="G36" i="181" s="1"/>
  <c r="B22" i="171"/>
  <c r="B29" i="171"/>
  <c r="B28" i="171"/>
  <c r="B30" i="171"/>
  <c r="B13" i="171"/>
  <c r="E23" i="183"/>
  <c r="D23" i="183"/>
  <c r="D38" i="181"/>
  <c r="E38" i="181"/>
  <c r="G38" i="181" s="1"/>
  <c r="E32" i="168"/>
  <c r="G32" i="168" s="1"/>
  <c r="D32" i="168"/>
  <c r="E12" i="175"/>
  <c r="G12" i="175" s="1"/>
  <c r="D12" i="175"/>
  <c r="E33" i="170"/>
  <c r="G33" i="170" s="1"/>
  <c r="D33" i="170"/>
  <c r="D12" i="180"/>
  <c r="E12" i="180"/>
  <c r="G12" i="180" s="1"/>
  <c r="D24" i="180"/>
  <c r="E24" i="180"/>
  <c r="G24" i="180" s="1"/>
  <c r="B25" i="174"/>
  <c r="B29" i="174"/>
  <c r="B26" i="174"/>
  <c r="B31" i="174"/>
  <c r="B23" i="174"/>
  <c r="B30" i="174"/>
  <c r="H33" i="172"/>
  <c r="I33" i="172" s="1"/>
  <c r="D16" i="184"/>
  <c r="E16" i="184"/>
  <c r="G16" i="184" s="1"/>
  <c r="B31" i="184"/>
  <c r="B28" i="184"/>
  <c r="B36" i="184"/>
  <c r="B37" i="184"/>
  <c r="B27" i="184"/>
  <c r="B38" i="184"/>
  <c r="B32" i="184"/>
  <c r="E31" i="181"/>
  <c r="G31" i="181" s="1"/>
  <c r="D31" i="181"/>
  <c r="D34" i="169"/>
  <c r="E34" i="169"/>
  <c r="G34" i="169" s="1"/>
  <c r="D37" i="168"/>
  <c r="E37" i="168"/>
  <c r="G37" i="168" s="1"/>
  <c r="H13" i="168"/>
  <c r="I13" i="168" s="1"/>
  <c r="D41" i="183"/>
  <c r="E41" i="183"/>
  <c r="G41" i="183" s="1"/>
  <c r="D28" i="172"/>
  <c r="E28" i="172"/>
  <c r="G28" i="172" s="1"/>
  <c r="D21" i="151"/>
  <c r="E21" i="151"/>
  <c r="G21" i="151" s="1"/>
  <c r="E12" i="182"/>
  <c r="G12" i="182" s="1"/>
  <c r="D12" i="182"/>
  <c r="D13" i="182"/>
  <c r="E13" i="182"/>
  <c r="G13" i="182" s="1"/>
  <c r="D28" i="168"/>
  <c r="E28" i="168"/>
  <c r="G28" i="168" s="1"/>
  <c r="G14" i="168"/>
  <c r="H12" i="168"/>
  <c r="I12" i="168" s="1"/>
  <c r="D15" i="184"/>
  <c r="E15" i="184"/>
  <c r="G15" i="184" s="1"/>
  <c r="E20" i="169"/>
  <c r="G20" i="169" s="1"/>
  <c r="D20" i="169"/>
  <c r="D15" i="182"/>
  <c r="E15" i="182"/>
  <c r="G15" i="182" s="1"/>
  <c r="D21" i="175"/>
  <c r="E21" i="175"/>
  <c r="G21" i="175" s="1"/>
  <c r="D21" i="174"/>
  <c r="E21" i="174"/>
  <c r="G21" i="174" s="1"/>
  <c r="D29" i="172"/>
  <c r="E29" i="172"/>
  <c r="G29" i="172" s="1"/>
  <c r="E19" i="151"/>
  <c r="G19" i="151" s="1"/>
  <c r="E12" i="184"/>
  <c r="G12" i="184" s="1"/>
  <c r="D12" i="184"/>
  <c r="H41" i="181"/>
  <c r="I41" i="181" s="1"/>
  <c r="E18" i="151"/>
  <c r="D17" i="182"/>
  <c r="E17" i="182"/>
  <c r="G17" i="182" s="1"/>
  <c r="E19" i="175"/>
  <c r="D19" i="175"/>
  <c r="E15" i="180"/>
  <c r="G15" i="180" s="1"/>
  <c r="D15" i="180"/>
  <c r="E23" i="180"/>
  <c r="D23" i="180"/>
  <c r="E20" i="174"/>
  <c r="G20" i="174" s="1"/>
  <c r="D20" i="174"/>
  <c r="E41" i="184"/>
  <c r="G41" i="184" s="1"/>
  <c r="D41" i="184"/>
  <c r="E13" i="184"/>
  <c r="G13" i="184" s="1"/>
  <c r="D13" i="184"/>
  <c r="D27" i="181"/>
  <c r="E27" i="181"/>
  <c r="G27" i="181" s="1"/>
  <c r="D21" i="169"/>
  <c r="E21" i="169"/>
  <c r="G21" i="169" s="1"/>
  <c r="D38" i="168"/>
  <c r="E38" i="168"/>
  <c r="G38" i="168" s="1"/>
  <c r="E15" i="183"/>
  <c r="G15" i="183" s="1"/>
  <c r="D15" i="183"/>
  <c r="E22" i="172"/>
  <c r="G22" i="172" s="1"/>
  <c r="D22" i="172"/>
  <c r="E23" i="151"/>
  <c r="E25" i="151"/>
  <c r="G25" i="151" s="1"/>
  <c r="E26" i="151"/>
  <c r="G26" i="151" s="1"/>
  <c r="E29" i="151"/>
  <c r="G29" i="151" s="1"/>
  <c r="E31" i="151"/>
  <c r="G31" i="151" s="1"/>
  <c r="E30" i="151"/>
  <c r="G30" i="151" s="1"/>
  <c r="E23" i="182"/>
  <c r="D23" i="182"/>
  <c r="H16" i="168"/>
  <c r="I16" i="168" s="1"/>
  <c r="B31" i="182"/>
  <c r="B36" i="182"/>
  <c r="B32" i="182"/>
  <c r="B37" i="182"/>
  <c r="B38" i="182"/>
  <c r="B27" i="182"/>
  <c r="B28" i="182"/>
  <c r="G18" i="168"/>
  <c r="H15" i="168"/>
  <c r="I15" i="168" s="1"/>
  <c r="E33" i="171"/>
  <c r="G33" i="171" s="1"/>
  <c r="D33" i="171"/>
  <c r="B22" i="170"/>
  <c r="B28" i="170"/>
  <c r="B13" i="170"/>
  <c r="B29" i="170"/>
  <c r="B30" i="170"/>
  <c r="H24" i="181"/>
  <c r="I24" i="181" s="1"/>
  <c r="D24" i="182"/>
  <c r="E24" i="182"/>
  <c r="G24" i="182" s="1"/>
  <c r="H16" i="181"/>
  <c r="I16" i="181" s="1"/>
  <c r="D12" i="174"/>
  <c r="E12" i="174"/>
  <c r="G12" i="174" s="1"/>
  <c r="D16" i="183"/>
  <c r="E16" i="183"/>
  <c r="G16" i="183" s="1"/>
  <c r="E13" i="172"/>
  <c r="G13" i="172" s="1"/>
  <c r="D13" i="172"/>
  <c r="D15" i="172" s="1"/>
  <c r="B30" i="175"/>
  <c r="B26" i="175"/>
  <c r="B23" i="175"/>
  <c r="B25" i="175"/>
  <c r="B29" i="175"/>
  <c r="B31" i="175"/>
  <c r="E16" i="180"/>
  <c r="G16" i="180" s="1"/>
  <c r="D16" i="180"/>
  <c r="E13" i="174"/>
  <c r="G13" i="174" s="1"/>
  <c r="D13" i="174"/>
  <c r="D24" i="184"/>
  <c r="E24" i="184"/>
  <c r="G24" i="184" s="1"/>
  <c r="G18" i="181"/>
  <c r="H15" i="181"/>
  <c r="I15" i="181" s="1"/>
  <c r="H41" i="168"/>
  <c r="I41" i="168" s="1"/>
  <c r="E13" i="169"/>
  <c r="G13" i="169" s="1"/>
  <c r="D13" i="169"/>
  <c r="E36" i="168"/>
  <c r="G36" i="168" s="1"/>
  <c r="D36" i="168"/>
  <c r="H17" i="168"/>
  <c r="I17" i="168" s="1"/>
  <c r="E24" i="183"/>
  <c r="G24" i="183" s="1"/>
  <c r="D24" i="183"/>
  <c r="D25" i="168"/>
  <c r="D12" i="151"/>
  <c r="E12" i="151"/>
  <c r="G12" i="151" s="1"/>
  <c r="D41" i="182"/>
  <c r="E41" i="182"/>
  <c r="G41" i="182" s="1"/>
  <c r="D14" i="181"/>
  <c r="D22" i="151" l="1"/>
  <c r="H19" i="151"/>
  <c r="I19" i="151" s="1"/>
  <c r="H20" i="151"/>
  <c r="I20" i="151" s="1"/>
  <c r="H32" i="181"/>
  <c r="I32" i="181" s="1"/>
  <c r="D25" i="180"/>
  <c r="D14" i="180"/>
  <c r="H32" i="168"/>
  <c r="I32" i="168" s="1"/>
  <c r="D18" i="183"/>
  <c r="D33" i="181"/>
  <c r="D40" i="168"/>
  <c r="D14" i="174"/>
  <c r="D14" i="184"/>
  <c r="D40" i="181"/>
  <c r="D32" i="172"/>
  <c r="D14" i="175"/>
  <c r="H33" i="170"/>
  <c r="I33" i="170" s="1"/>
  <c r="H14" i="181"/>
  <c r="I14" i="181" s="1"/>
  <c r="E25" i="169"/>
  <c r="G25" i="169" s="1"/>
  <c r="D25" i="169"/>
  <c r="H41" i="182"/>
  <c r="I41" i="182" s="1"/>
  <c r="G15" i="172"/>
  <c r="H13" i="172"/>
  <c r="I13" i="172" s="1"/>
  <c r="E22" i="170"/>
  <c r="G22" i="170" s="1"/>
  <c r="D22" i="170"/>
  <c r="D18" i="184"/>
  <c r="H28" i="172"/>
  <c r="I28" i="172" s="1"/>
  <c r="G32" i="172"/>
  <c r="E38" i="183"/>
  <c r="G38" i="183" s="1"/>
  <c r="D38" i="183"/>
  <c r="H28" i="181"/>
  <c r="I28" i="181" s="1"/>
  <c r="E13" i="173"/>
  <c r="G13" i="173" s="1"/>
  <c r="D13" i="173"/>
  <c r="D15" i="173" s="1"/>
  <c r="H21" i="175"/>
  <c r="I21" i="175" s="1"/>
  <c r="D29" i="173"/>
  <c r="E29" i="173"/>
  <c r="G29" i="173" s="1"/>
  <c r="H18" i="181"/>
  <c r="I18" i="181" s="1"/>
  <c r="D27" i="182"/>
  <c r="E27" i="182"/>
  <c r="G27" i="182" s="1"/>
  <c r="H12" i="180"/>
  <c r="I12" i="180" s="1"/>
  <c r="G14" i="180"/>
  <c r="G14" i="183"/>
  <c r="H12" i="183"/>
  <c r="I12" i="183" s="1"/>
  <c r="D25" i="184"/>
  <c r="E37" i="180"/>
  <c r="G37" i="180" s="1"/>
  <c r="D37" i="180"/>
  <c r="D33" i="168"/>
  <c r="E22" i="173"/>
  <c r="G22" i="173" s="1"/>
  <c r="D22" i="173"/>
  <c r="E29" i="169"/>
  <c r="G29" i="169" s="1"/>
  <c r="D29" i="169"/>
  <c r="D14" i="151"/>
  <c r="H24" i="184"/>
  <c r="I24" i="184" s="1"/>
  <c r="E25" i="175"/>
  <c r="G25" i="175" s="1"/>
  <c r="D25" i="175"/>
  <c r="H12" i="174"/>
  <c r="I12" i="174" s="1"/>
  <c r="G14" i="174"/>
  <c r="D38" i="182"/>
  <c r="E38" i="182"/>
  <c r="G38" i="182" s="1"/>
  <c r="H13" i="184"/>
  <c r="I13" i="184" s="1"/>
  <c r="G18" i="180"/>
  <c r="H15" i="180"/>
  <c r="I15" i="180" s="1"/>
  <c r="H15" i="182"/>
  <c r="I15" i="182" s="1"/>
  <c r="G18" i="182"/>
  <c r="H14" i="168"/>
  <c r="I14" i="168" s="1"/>
  <c r="H34" i="169"/>
  <c r="I34" i="169" s="1"/>
  <c r="D36" i="184"/>
  <c r="E36" i="184"/>
  <c r="G36" i="184" s="1"/>
  <c r="E23" i="174"/>
  <c r="G23" i="174" s="1"/>
  <c r="D23" i="174"/>
  <c r="D13" i="171"/>
  <c r="D15" i="171" s="1"/>
  <c r="E13" i="171"/>
  <c r="G13" i="171" s="1"/>
  <c r="H34" i="174"/>
  <c r="I34" i="174" s="1"/>
  <c r="D14" i="169"/>
  <c r="D14" i="183"/>
  <c r="D36" i="180"/>
  <c r="E36" i="180"/>
  <c r="G36" i="180" s="1"/>
  <c r="G33" i="168"/>
  <c r="H31" i="168"/>
  <c r="I31" i="168" s="1"/>
  <c r="H13" i="180"/>
  <c r="I13" i="180" s="1"/>
  <c r="E26" i="169"/>
  <c r="G26" i="169" s="1"/>
  <c r="D26" i="169"/>
  <c r="D22" i="174"/>
  <c r="H21" i="174"/>
  <c r="I21" i="174" s="1"/>
  <c r="E32" i="184"/>
  <c r="G32" i="184" s="1"/>
  <c r="D32" i="184"/>
  <c r="H41" i="180"/>
  <c r="I41" i="180" s="1"/>
  <c r="H24" i="180"/>
  <c r="I24" i="180" s="1"/>
  <c r="H36" i="181"/>
  <c r="I36" i="181" s="1"/>
  <c r="G40" i="181"/>
  <c r="H30" i="172"/>
  <c r="I30" i="172" s="1"/>
  <c r="G14" i="175"/>
  <c r="H12" i="175"/>
  <c r="I12" i="175" s="1"/>
  <c r="E36" i="183"/>
  <c r="G36" i="183" s="1"/>
  <c r="D36" i="183"/>
  <c r="E31" i="180"/>
  <c r="G31" i="180" s="1"/>
  <c r="D31" i="180"/>
  <c r="H37" i="181"/>
  <c r="I37" i="181" s="1"/>
  <c r="E29" i="175"/>
  <c r="G29" i="175" s="1"/>
  <c r="D29" i="175"/>
  <c r="D18" i="180"/>
  <c r="H13" i="182"/>
  <c r="I13" i="182" s="1"/>
  <c r="D30" i="174"/>
  <c r="E30" i="174"/>
  <c r="G30" i="174" s="1"/>
  <c r="D30" i="168"/>
  <c r="D29" i="168"/>
  <c r="H13" i="169"/>
  <c r="I13" i="169" s="1"/>
  <c r="E23" i="175"/>
  <c r="G23" i="175" s="1"/>
  <c r="D23" i="175"/>
  <c r="E30" i="170"/>
  <c r="G30" i="170" s="1"/>
  <c r="D30" i="170"/>
  <c r="D37" i="182"/>
  <c r="E37" i="182"/>
  <c r="G37" i="182" s="1"/>
  <c r="G27" i="151"/>
  <c r="H21" i="169"/>
  <c r="I21" i="169" s="1"/>
  <c r="D22" i="175"/>
  <c r="D18" i="182"/>
  <c r="H28" i="168"/>
  <c r="I28" i="168" s="1"/>
  <c r="D14" i="182"/>
  <c r="E28" i="184"/>
  <c r="G28" i="184" s="1"/>
  <c r="D28" i="184"/>
  <c r="D31" i="174"/>
  <c r="E31" i="174"/>
  <c r="G31" i="174" s="1"/>
  <c r="H38" i="181"/>
  <c r="I38" i="181" s="1"/>
  <c r="E30" i="171"/>
  <c r="G30" i="171" s="1"/>
  <c r="D30" i="171"/>
  <c r="E27" i="183"/>
  <c r="G27" i="183" s="1"/>
  <c r="D27" i="183"/>
  <c r="H12" i="169"/>
  <c r="I12" i="169" s="1"/>
  <c r="G14" i="169"/>
  <c r="H27" i="168"/>
  <c r="I27" i="168" s="1"/>
  <c r="E32" i="180"/>
  <c r="G32" i="180" s="1"/>
  <c r="D32" i="180"/>
  <c r="E31" i="169"/>
  <c r="G31" i="169" s="1"/>
  <c r="D31" i="169"/>
  <c r="E28" i="170"/>
  <c r="G28" i="170" s="1"/>
  <c r="D28" i="170"/>
  <c r="H22" i="172"/>
  <c r="I22" i="172" s="1"/>
  <c r="E25" i="174"/>
  <c r="G25" i="174" s="1"/>
  <c r="D25" i="174"/>
  <c r="D28" i="183"/>
  <c r="E28" i="183"/>
  <c r="G28" i="183" s="1"/>
  <c r="D27" i="180"/>
  <c r="E27" i="180"/>
  <c r="G27" i="180" s="1"/>
  <c r="D38" i="184"/>
  <c r="E38" i="184"/>
  <c r="G38" i="184" s="1"/>
  <c r="D28" i="180"/>
  <c r="E28" i="180"/>
  <c r="G28" i="180" s="1"/>
  <c r="B29" i="151"/>
  <c r="D29" i="151" s="1"/>
  <c r="B30" i="151"/>
  <c r="D30" i="151" s="1"/>
  <c r="H30" i="151" s="1"/>
  <c r="I30" i="151" s="1"/>
  <c r="B31" i="151"/>
  <c r="D31" i="151" s="1"/>
  <c r="H31" i="151" s="1"/>
  <c r="I31" i="151" s="1"/>
  <c r="B26" i="151"/>
  <c r="D26" i="151" s="1"/>
  <c r="H26" i="151" s="1"/>
  <c r="I26" i="151" s="1"/>
  <c r="B25" i="151"/>
  <c r="D25" i="151" s="1"/>
  <c r="B23" i="151"/>
  <c r="D23" i="151" s="1"/>
  <c r="E31" i="175"/>
  <c r="G31" i="175" s="1"/>
  <c r="D31" i="175"/>
  <c r="E28" i="182"/>
  <c r="G28" i="182" s="1"/>
  <c r="D28" i="182"/>
  <c r="G18" i="183"/>
  <c r="H15" i="183"/>
  <c r="I15" i="183" s="1"/>
  <c r="H37" i="168"/>
  <c r="I37" i="168" s="1"/>
  <c r="D25" i="183"/>
  <c r="H13" i="183"/>
  <c r="I13" i="183" s="1"/>
  <c r="H12" i="151"/>
  <c r="I12" i="151" s="1"/>
  <c r="G14" i="151"/>
  <c r="G33" i="151"/>
  <c r="G14" i="184"/>
  <c r="H12" i="184"/>
  <c r="I12" i="184" s="1"/>
  <c r="E32" i="183"/>
  <c r="G32" i="183" s="1"/>
  <c r="D32" i="183"/>
  <c r="E26" i="175"/>
  <c r="G26" i="175" s="1"/>
  <c r="D26" i="175"/>
  <c r="E29" i="170"/>
  <c r="G29" i="170" s="1"/>
  <c r="D29" i="170"/>
  <c r="H18" i="168"/>
  <c r="I18" i="168" s="1"/>
  <c r="E32" i="182"/>
  <c r="G32" i="182" s="1"/>
  <c r="D32" i="182"/>
  <c r="H41" i="184"/>
  <c r="I41" i="184" s="1"/>
  <c r="H29" i="172"/>
  <c r="I29" i="172" s="1"/>
  <c r="G14" i="182"/>
  <c r="H12" i="182"/>
  <c r="I12" i="182" s="1"/>
  <c r="H41" i="183"/>
  <c r="I41" i="183" s="1"/>
  <c r="E31" i="184"/>
  <c r="G31" i="184" s="1"/>
  <c r="D31" i="184"/>
  <c r="E26" i="174"/>
  <c r="G26" i="174" s="1"/>
  <c r="D26" i="174"/>
  <c r="D28" i="171"/>
  <c r="E28" i="171"/>
  <c r="G28" i="171" s="1"/>
  <c r="H13" i="175"/>
  <c r="I13" i="175" s="1"/>
  <c r="D37" i="183"/>
  <c r="E37" i="183"/>
  <c r="G37" i="183" s="1"/>
  <c r="H16" i="182"/>
  <c r="I16" i="182" s="1"/>
  <c r="H17" i="180"/>
  <c r="I17" i="180" s="1"/>
  <c r="D30" i="169"/>
  <c r="E30" i="169"/>
  <c r="G30" i="169" s="1"/>
  <c r="H24" i="182"/>
  <c r="I24" i="182" s="1"/>
  <c r="E31" i="182"/>
  <c r="G31" i="182" s="1"/>
  <c r="D31" i="182"/>
  <c r="H20" i="174"/>
  <c r="I20" i="174" s="1"/>
  <c r="G18" i="184"/>
  <c r="H15" i="184"/>
  <c r="I15" i="184" s="1"/>
  <c r="E22" i="171"/>
  <c r="G22" i="171" s="1"/>
  <c r="D22" i="171"/>
  <c r="D30" i="173"/>
  <c r="E30" i="173"/>
  <c r="G30" i="173" s="1"/>
  <c r="E34" i="151"/>
  <c r="G34" i="151" s="1"/>
  <c r="D34" i="151"/>
  <c r="H16" i="180"/>
  <c r="I16" i="180" s="1"/>
  <c r="H27" i="181"/>
  <c r="I27" i="181" s="1"/>
  <c r="H16" i="183"/>
  <c r="I16" i="183" s="1"/>
  <c r="E27" i="184"/>
  <c r="G27" i="184" s="1"/>
  <c r="D27" i="184"/>
  <c r="H33" i="173"/>
  <c r="I33" i="173" s="1"/>
  <c r="H36" i="168"/>
  <c r="I36" i="168" s="1"/>
  <c r="G40" i="168"/>
  <c r="H33" i="171"/>
  <c r="I33" i="171" s="1"/>
  <c r="H38" i="168"/>
  <c r="I38" i="168" s="1"/>
  <c r="H17" i="182"/>
  <c r="I17" i="182" s="1"/>
  <c r="D37" i="184"/>
  <c r="E37" i="184"/>
  <c r="G37" i="184" s="1"/>
  <c r="H24" i="183"/>
  <c r="I24" i="183" s="1"/>
  <c r="H13" i="174"/>
  <c r="I13" i="174" s="1"/>
  <c r="D30" i="175"/>
  <c r="E30" i="175"/>
  <c r="G30" i="175" s="1"/>
  <c r="D13" i="170"/>
  <c r="D15" i="170" s="1"/>
  <c r="E13" i="170"/>
  <c r="G13" i="170" s="1"/>
  <c r="E36" i="182"/>
  <c r="G36" i="182" s="1"/>
  <c r="D36" i="182"/>
  <c r="D25" i="182"/>
  <c r="H20" i="169"/>
  <c r="I20" i="169" s="1"/>
  <c r="H21" i="151"/>
  <c r="I21" i="151" s="1"/>
  <c r="G33" i="181"/>
  <c r="H31" i="181"/>
  <c r="I31" i="181" s="1"/>
  <c r="H16" i="184"/>
  <c r="I16" i="184" s="1"/>
  <c r="E29" i="174"/>
  <c r="G29" i="174" s="1"/>
  <c r="D29" i="174"/>
  <c r="D29" i="171"/>
  <c r="E29" i="171"/>
  <c r="G29" i="171" s="1"/>
  <c r="E31" i="183"/>
  <c r="G31" i="183" s="1"/>
  <c r="D31" i="183"/>
  <c r="H17" i="184"/>
  <c r="I17" i="184" s="1"/>
  <c r="H13" i="151"/>
  <c r="I13" i="151" s="1"/>
  <c r="D22" i="169"/>
  <c r="E38" i="180"/>
  <c r="G38" i="180" s="1"/>
  <c r="D38" i="180"/>
  <c r="H34" i="175"/>
  <c r="I34" i="175" s="1"/>
  <c r="D28" i="173"/>
  <c r="E28" i="173"/>
  <c r="G28" i="173" s="1"/>
  <c r="D23" i="169"/>
  <c r="E23" i="169"/>
  <c r="G23" i="169" s="1"/>
  <c r="G23" i="151"/>
  <c r="H17" i="183"/>
  <c r="I17" i="183" s="1"/>
  <c r="H20" i="175"/>
  <c r="I20" i="175" s="1"/>
  <c r="D30" i="180" l="1"/>
  <c r="D29" i="180"/>
  <c r="H26" i="169"/>
  <c r="I26" i="169" s="1"/>
  <c r="H26" i="175"/>
  <c r="I26" i="175" s="1"/>
  <c r="H32" i="182"/>
  <c r="I32" i="182" s="1"/>
  <c r="D42" i="168"/>
  <c r="D27" i="151"/>
  <c r="H27" i="151" s="1"/>
  <c r="I27" i="151" s="1"/>
  <c r="D32" i="173"/>
  <c r="H25" i="151"/>
  <c r="I25" i="151" s="1"/>
  <c r="H26" i="174"/>
  <c r="I26" i="174" s="1"/>
  <c r="H32" i="180"/>
  <c r="I32" i="180" s="1"/>
  <c r="D24" i="174"/>
  <c r="H23" i="151"/>
  <c r="I23" i="151" s="1"/>
  <c r="D33" i="180"/>
  <c r="D27" i="169"/>
  <c r="D32" i="171"/>
  <c r="D33" i="151"/>
  <c r="H33" i="151" s="1"/>
  <c r="I33" i="151" s="1"/>
  <c r="H32" i="183"/>
  <c r="I32" i="183" s="1"/>
  <c r="H32" i="184"/>
  <c r="I32" i="184" s="1"/>
  <c r="H40" i="181"/>
  <c r="I40" i="181" s="1"/>
  <c r="G27" i="175"/>
  <c r="H25" i="175"/>
  <c r="I25" i="175" s="1"/>
  <c r="H22" i="171"/>
  <c r="I22" i="171" s="1"/>
  <c r="H22" i="170"/>
  <c r="I22" i="170" s="1"/>
  <c r="H38" i="182"/>
  <c r="I38" i="182" s="1"/>
  <c r="H37" i="180"/>
  <c r="I37" i="180" s="1"/>
  <c r="G33" i="183"/>
  <c r="H31" i="183"/>
  <c r="I31" i="183" s="1"/>
  <c r="H40" i="168"/>
  <c r="I40" i="168" s="1"/>
  <c r="H30" i="173"/>
  <c r="I30" i="173" s="1"/>
  <c r="H18" i="184"/>
  <c r="I18" i="184" s="1"/>
  <c r="H30" i="169"/>
  <c r="I30" i="169" s="1"/>
  <c r="H37" i="183"/>
  <c r="I37" i="183" s="1"/>
  <c r="D33" i="184"/>
  <c r="H14" i="184"/>
  <c r="I14" i="184" s="1"/>
  <c r="G27" i="174"/>
  <c r="H25" i="174"/>
  <c r="I25" i="174" s="1"/>
  <c r="D32" i="170"/>
  <c r="H28" i="184"/>
  <c r="I28" i="184" s="1"/>
  <c r="D24" i="151"/>
  <c r="H37" i="182"/>
  <c r="I37" i="182" s="1"/>
  <c r="D33" i="175"/>
  <c r="H36" i="183"/>
  <c r="I36" i="183" s="1"/>
  <c r="G40" i="183"/>
  <c r="D29" i="184"/>
  <c r="D30" i="184"/>
  <c r="H13" i="173"/>
  <c r="I13" i="173" s="1"/>
  <c r="G15" i="173"/>
  <c r="H15" i="172"/>
  <c r="I15" i="172" s="1"/>
  <c r="G33" i="174"/>
  <c r="H29" i="174"/>
  <c r="I29" i="174" s="1"/>
  <c r="H29" i="170"/>
  <c r="I29" i="170" s="1"/>
  <c r="H14" i="169"/>
  <c r="I14" i="169" s="1"/>
  <c r="H27" i="184"/>
  <c r="I27" i="184" s="1"/>
  <c r="H28" i="180"/>
  <c r="I28" i="180" s="1"/>
  <c r="G27" i="169"/>
  <c r="H25" i="169"/>
  <c r="I25" i="169" s="1"/>
  <c r="H30" i="175"/>
  <c r="I30" i="175" s="1"/>
  <c r="G33" i="180"/>
  <c r="H31" i="180"/>
  <c r="I31" i="180" s="1"/>
  <c r="D33" i="183"/>
  <c r="H14" i="182"/>
  <c r="I14" i="182" s="1"/>
  <c r="D40" i="180"/>
  <c r="H38" i="180"/>
  <c r="I38" i="180" s="1"/>
  <c r="H23" i="169"/>
  <c r="I23" i="169" s="1"/>
  <c r="D24" i="169"/>
  <c r="H29" i="171"/>
  <c r="I29" i="171" s="1"/>
  <c r="D29" i="182"/>
  <c r="D30" i="182"/>
  <c r="G33" i="184"/>
  <c r="H31" i="184"/>
  <c r="I31" i="184" s="1"/>
  <c r="D30" i="183"/>
  <c r="D29" i="183"/>
  <c r="H28" i="170"/>
  <c r="I28" i="170" s="1"/>
  <c r="G32" i="170"/>
  <c r="H30" i="171"/>
  <c r="I30" i="171" s="1"/>
  <c r="D24" i="175"/>
  <c r="D34" i="168"/>
  <c r="G33" i="175"/>
  <c r="H29" i="175"/>
  <c r="I29" i="175" s="1"/>
  <c r="H23" i="174"/>
  <c r="I23" i="174" s="1"/>
  <c r="H14" i="174"/>
  <c r="I14" i="174" s="1"/>
  <c r="D33" i="169"/>
  <c r="H14" i="180"/>
  <c r="I14" i="180" s="1"/>
  <c r="H29" i="173"/>
  <c r="I29" i="173" s="1"/>
  <c r="H13" i="170"/>
  <c r="I13" i="170" s="1"/>
  <c r="G15" i="170"/>
  <c r="G32" i="171"/>
  <c r="H28" i="171"/>
  <c r="I28" i="171" s="1"/>
  <c r="H22" i="173"/>
  <c r="I22" i="173" s="1"/>
  <c r="H37" i="184"/>
  <c r="I37" i="184" s="1"/>
  <c r="H14" i="151"/>
  <c r="I14" i="151" s="1"/>
  <c r="H28" i="183"/>
  <c r="I28" i="183" s="1"/>
  <c r="H31" i="169"/>
  <c r="I31" i="169" s="1"/>
  <c r="H38" i="183"/>
  <c r="I38" i="183" s="1"/>
  <c r="H31" i="175"/>
  <c r="I31" i="175" s="1"/>
  <c r="H23" i="175"/>
  <c r="I23" i="175" s="1"/>
  <c r="H34" i="151"/>
  <c r="I34" i="151" s="1"/>
  <c r="H38" i="184"/>
  <c r="I38" i="184" s="1"/>
  <c r="H27" i="183"/>
  <c r="I27" i="183" s="1"/>
  <c r="D40" i="183"/>
  <c r="H32" i="172"/>
  <c r="I32" i="172" s="1"/>
  <c r="H33" i="181"/>
  <c r="I33" i="181" s="1"/>
  <c r="D40" i="182"/>
  <c r="H29" i="151"/>
  <c r="I29" i="151" s="1"/>
  <c r="H18" i="183"/>
  <c r="I18" i="183" s="1"/>
  <c r="D35" i="168"/>
  <c r="H36" i="184"/>
  <c r="I36" i="184" s="1"/>
  <c r="G40" i="184"/>
  <c r="H18" i="180"/>
  <c r="I18" i="180" s="1"/>
  <c r="G33" i="169"/>
  <c r="H29" i="169"/>
  <c r="I29" i="169" s="1"/>
  <c r="G33" i="182"/>
  <c r="H31" i="182"/>
  <c r="I31" i="182" s="1"/>
  <c r="H28" i="182"/>
  <c r="I28" i="182" s="1"/>
  <c r="H14" i="183"/>
  <c r="I14" i="183" s="1"/>
  <c r="H31" i="174"/>
  <c r="I31" i="174" s="1"/>
  <c r="H33" i="168"/>
  <c r="I33" i="168" s="1"/>
  <c r="G40" i="180"/>
  <c r="H36" i="180"/>
  <c r="I36" i="180" s="1"/>
  <c r="H18" i="182"/>
  <c r="I18" i="182" s="1"/>
  <c r="D27" i="174"/>
  <c r="G32" i="173"/>
  <c r="H28" i="173"/>
  <c r="I28" i="173" s="1"/>
  <c r="D33" i="174"/>
  <c r="G40" i="182"/>
  <c r="H36" i="182"/>
  <c r="I36" i="182" s="1"/>
  <c r="D33" i="182"/>
  <c r="H27" i="180"/>
  <c r="I27" i="180" s="1"/>
  <c r="H30" i="170"/>
  <c r="I30" i="170" s="1"/>
  <c r="H30" i="174"/>
  <c r="I30" i="174" s="1"/>
  <c r="H14" i="175"/>
  <c r="I14" i="175" s="1"/>
  <c r="H13" i="171"/>
  <c r="I13" i="171" s="1"/>
  <c r="G15" i="171"/>
  <c r="D40" i="184"/>
  <c r="D27" i="175"/>
  <c r="H27" i="182"/>
  <c r="I27" i="182" s="1"/>
  <c r="D47" i="168"/>
  <c r="D48" i="168" l="1"/>
  <c r="D49" i="168" s="1"/>
  <c r="D50" i="168"/>
  <c r="D43" i="168"/>
  <c r="D44" i="168" s="1"/>
  <c r="D45" i="168"/>
  <c r="D35" i="180"/>
  <c r="D28" i="151"/>
  <c r="D42" i="180"/>
  <c r="D35" i="183"/>
  <c r="D42" i="183"/>
  <c r="D34" i="180"/>
  <c r="D28" i="174"/>
  <c r="D35" i="182"/>
  <c r="D47" i="182"/>
  <c r="D35" i="151"/>
  <c r="D47" i="184"/>
  <c r="D47" i="180"/>
  <c r="D50" i="180" s="1"/>
  <c r="D47" i="183"/>
  <c r="D42" i="182"/>
  <c r="D34" i="184"/>
  <c r="D28" i="175"/>
  <c r="D35" i="175"/>
  <c r="D38" i="175" s="1"/>
  <c r="H15" i="171"/>
  <c r="I15" i="171" s="1"/>
  <c r="H33" i="174"/>
  <c r="I33" i="174" s="1"/>
  <c r="H33" i="180"/>
  <c r="I33" i="180" s="1"/>
  <c r="H33" i="183"/>
  <c r="I33" i="183" s="1"/>
  <c r="H32" i="173"/>
  <c r="I32" i="173" s="1"/>
  <c r="H33" i="184"/>
  <c r="I33" i="184" s="1"/>
  <c r="H33" i="182"/>
  <c r="I33" i="182" s="1"/>
  <c r="H15" i="170"/>
  <c r="I15" i="170" s="1"/>
  <c r="H32" i="170"/>
  <c r="I32" i="170" s="1"/>
  <c r="D28" i="169"/>
  <c r="D35" i="169"/>
  <c r="D38" i="169" s="1"/>
  <c r="H27" i="174"/>
  <c r="I27" i="174" s="1"/>
  <c r="D42" i="184"/>
  <c r="D45" i="184" s="1"/>
  <c r="H40" i="182"/>
  <c r="I40" i="182" s="1"/>
  <c r="H33" i="169"/>
  <c r="I33" i="169" s="1"/>
  <c r="H40" i="183"/>
  <c r="I40" i="183" s="1"/>
  <c r="H27" i="175"/>
  <c r="I27" i="175" s="1"/>
  <c r="D34" i="182"/>
  <c r="H33" i="175"/>
  <c r="I33" i="175" s="1"/>
  <c r="H15" i="173"/>
  <c r="I15" i="173" s="1"/>
  <c r="H40" i="180"/>
  <c r="I40" i="180" s="1"/>
  <c r="D35" i="184"/>
  <c r="H32" i="171"/>
  <c r="I32" i="171" s="1"/>
  <c r="D35" i="174"/>
  <c r="D38" i="174" s="1"/>
  <c r="H40" i="184"/>
  <c r="I40" i="184" s="1"/>
  <c r="D34" i="183"/>
  <c r="H27" i="169"/>
  <c r="I27" i="169" s="1"/>
  <c r="D51" i="168" l="1"/>
  <c r="E15" i="7" s="1"/>
  <c r="D43" i="182"/>
  <c r="D44" i="182" s="1"/>
  <c r="D45" i="182"/>
  <c r="D36" i="151"/>
  <c r="D37" i="151" s="1"/>
  <c r="D38" i="151"/>
  <c r="D48" i="183"/>
  <c r="D49" i="183" s="1"/>
  <c r="D50" i="183"/>
  <c r="D48" i="182"/>
  <c r="D49" i="182" s="1"/>
  <c r="D50" i="182"/>
  <c r="D43" i="180"/>
  <c r="D44" i="180" s="1"/>
  <c r="D45" i="180"/>
  <c r="D46" i="168"/>
  <c r="D48" i="184"/>
  <c r="D49" i="184" s="1"/>
  <c r="D50" i="184"/>
  <c r="D43" i="183"/>
  <c r="D44" i="183" s="1"/>
  <c r="D45" i="183"/>
  <c r="D48" i="180"/>
  <c r="D49" i="180" s="1"/>
  <c r="D43" i="184"/>
  <c r="D44" i="184" s="1"/>
  <c r="D36" i="169"/>
  <c r="D37" i="169" s="1"/>
  <c r="D36" i="175"/>
  <c r="D37" i="175" s="1"/>
  <c r="D36" i="174"/>
  <c r="D37" i="174" s="1"/>
  <c r="D46" i="180" l="1"/>
  <c r="D51" i="184"/>
  <c r="E19" i="7" s="1"/>
  <c r="D46" i="182"/>
  <c r="D51" i="182"/>
  <c r="E8" i="7" s="1"/>
  <c r="D51" i="180"/>
  <c r="D39" i="151"/>
  <c r="E33" i="179" s="1"/>
  <c r="D46" i="183"/>
  <c r="D46" i="184"/>
  <c r="D39" i="174"/>
  <c r="E35" i="7" s="1"/>
  <c r="D39" i="175"/>
  <c r="E38" i="7" s="1"/>
  <c r="D39" i="169" l="1"/>
  <c r="E32" i="7" s="1"/>
  <c r="D51" i="183"/>
  <c r="E23" i="7" s="1"/>
  <c r="C4" i="117" l="1"/>
  <c r="B40" i="117" l="1"/>
  <c r="B17" i="117"/>
  <c r="B15" i="117"/>
  <c r="B4" i="117"/>
  <c r="B23" i="117" s="1"/>
  <c r="C8" i="117"/>
  <c r="B12" i="117"/>
  <c r="B16" i="117"/>
  <c r="B13" i="117"/>
  <c r="B22" i="117"/>
  <c r="D22" i="117" s="1"/>
  <c r="B21" i="117"/>
  <c r="E12" i="113"/>
  <c r="E15" i="113"/>
  <c r="E16" i="113"/>
  <c r="E39" i="113"/>
  <c r="E17" i="113"/>
  <c r="D13" i="113"/>
  <c r="E13" i="113"/>
  <c r="E21" i="113"/>
  <c r="E22" i="113"/>
  <c r="G22" i="113" s="1"/>
  <c r="D22" i="113"/>
  <c r="C5" i="179"/>
  <c r="B8" i="113"/>
  <c r="C25" i="113"/>
  <c r="F25" i="113" s="1"/>
  <c r="C4" i="120"/>
  <c r="C5" i="120"/>
  <c r="C9" i="179" l="1"/>
  <c r="C26" i="117"/>
  <c r="F26" i="117" s="1"/>
  <c r="B8" i="117"/>
  <c r="B22" i="120"/>
  <c r="D22" i="120" s="1"/>
  <c r="B21" i="120"/>
  <c r="D21" i="120" s="1"/>
  <c r="B5" i="120"/>
  <c r="B18" i="120"/>
  <c r="B19" i="120"/>
  <c r="D19" i="120" s="1"/>
  <c r="E15" i="117"/>
  <c r="G15" i="117" s="1"/>
  <c r="E13" i="117"/>
  <c r="G13" i="117" s="1"/>
  <c r="E40" i="117"/>
  <c r="G40" i="117" s="1"/>
  <c r="E12" i="117"/>
  <c r="G12" i="117" s="1"/>
  <c r="E17" i="117"/>
  <c r="G17" i="117" s="1"/>
  <c r="E16" i="117"/>
  <c r="G16" i="117" s="1"/>
  <c r="E21" i="117"/>
  <c r="E22" i="117"/>
  <c r="G22" i="117" s="1"/>
  <c r="H22" i="117" s="1"/>
  <c r="I22" i="117" s="1"/>
  <c r="B30" i="117"/>
  <c r="B31" i="117"/>
  <c r="B35" i="117"/>
  <c r="B36" i="117"/>
  <c r="B37" i="117"/>
  <c r="B27" i="117"/>
  <c r="B26" i="117"/>
  <c r="C7" i="120"/>
  <c r="B4" i="120"/>
  <c r="E30" i="120" s="1"/>
  <c r="B30" i="120"/>
  <c r="C9" i="120"/>
  <c r="E34" i="113"/>
  <c r="E26" i="113"/>
  <c r="E36" i="113"/>
  <c r="E29" i="113"/>
  <c r="E30" i="113"/>
  <c r="E25" i="113"/>
  <c r="E35" i="113"/>
  <c r="H22" i="113"/>
  <c r="I22" i="113" s="1"/>
  <c r="D15" i="117"/>
  <c r="G16" i="113"/>
  <c r="D40" i="117"/>
  <c r="D23" i="117"/>
  <c r="E23" i="117"/>
  <c r="G23" i="117" s="1"/>
  <c r="G15" i="113"/>
  <c r="G17" i="113"/>
  <c r="D21" i="113"/>
  <c r="D23" i="113" s="1"/>
  <c r="D16" i="117"/>
  <c r="G39" i="113"/>
  <c r="D39" i="113"/>
  <c r="D17" i="117"/>
  <c r="D13" i="117"/>
  <c r="G13" i="113"/>
  <c r="D12" i="117"/>
  <c r="G12" i="113"/>
  <c r="E18" i="120" l="1"/>
  <c r="E22" i="120"/>
  <c r="G22" i="120" s="1"/>
  <c r="H22" i="120" s="1"/>
  <c r="I22" i="120" s="1"/>
  <c r="E19" i="120"/>
  <c r="G19" i="120" s="1"/>
  <c r="H19" i="120" s="1"/>
  <c r="I19" i="120" s="1"/>
  <c r="E21" i="120"/>
  <c r="G21" i="120" s="1"/>
  <c r="D12" i="179"/>
  <c r="B9" i="120"/>
  <c r="E25" i="120" s="1"/>
  <c r="D23" i="120"/>
  <c r="B7" i="120"/>
  <c r="C12" i="179"/>
  <c r="B26" i="120"/>
  <c r="B25" i="120"/>
  <c r="B13" i="120"/>
  <c r="B27" i="120"/>
  <c r="E27" i="117"/>
  <c r="G27" i="117" s="1"/>
  <c r="E26" i="117"/>
  <c r="G26" i="117" s="1"/>
  <c r="E35" i="117"/>
  <c r="G35" i="117" s="1"/>
  <c r="E31" i="117"/>
  <c r="G31" i="117" s="1"/>
  <c r="E30" i="117"/>
  <c r="G30" i="117" s="1"/>
  <c r="E37" i="117"/>
  <c r="G37" i="117" s="1"/>
  <c r="E36" i="117"/>
  <c r="G36" i="117" s="1"/>
  <c r="D18" i="113"/>
  <c r="D14" i="113"/>
  <c r="D14" i="117"/>
  <c r="D29" i="113"/>
  <c r="G29" i="113"/>
  <c r="H23" i="117"/>
  <c r="I23" i="117" s="1"/>
  <c r="H17" i="117"/>
  <c r="I17" i="117" s="1"/>
  <c r="H12" i="117"/>
  <c r="I12" i="117" s="1"/>
  <c r="G14" i="117"/>
  <c r="G25" i="113"/>
  <c r="D25" i="113"/>
  <c r="D37" i="117"/>
  <c r="H17" i="113"/>
  <c r="I17" i="113" s="1"/>
  <c r="D30" i="117"/>
  <c r="H40" i="117"/>
  <c r="I40" i="117" s="1"/>
  <c r="D36" i="117"/>
  <c r="D35" i="117"/>
  <c r="G26" i="113"/>
  <c r="D26" i="113"/>
  <c r="H13" i="113"/>
  <c r="I13" i="113" s="1"/>
  <c r="H39" i="113"/>
  <c r="I39" i="113" s="1"/>
  <c r="D34" i="113"/>
  <c r="G34" i="113"/>
  <c r="D27" i="117"/>
  <c r="H16" i="113"/>
  <c r="I16" i="113" s="1"/>
  <c r="D30" i="113"/>
  <c r="G30" i="113"/>
  <c r="G36" i="113"/>
  <c r="D36" i="113"/>
  <c r="H13" i="117"/>
  <c r="I13" i="117" s="1"/>
  <c r="D31" i="117"/>
  <c r="D30" i="120"/>
  <c r="G30" i="120"/>
  <c r="D18" i="117"/>
  <c r="H12" i="113"/>
  <c r="I12" i="113" s="1"/>
  <c r="G14" i="113"/>
  <c r="D35" i="113"/>
  <c r="G35" i="113"/>
  <c r="D26" i="117"/>
  <c r="H16" i="117"/>
  <c r="I16" i="117" s="1"/>
  <c r="G18" i="113"/>
  <c r="H15" i="113"/>
  <c r="I15" i="113" s="1"/>
  <c r="G18" i="117"/>
  <c r="H15" i="117"/>
  <c r="I15" i="117" s="1"/>
  <c r="E27" i="120" l="1"/>
  <c r="G27" i="120" s="1"/>
  <c r="E26" i="120"/>
  <c r="G26" i="120" s="1"/>
  <c r="E13" i="120"/>
  <c r="G13" i="120" s="1"/>
  <c r="H21" i="120"/>
  <c r="I21" i="120" s="1"/>
  <c r="G23" i="120"/>
  <c r="H23" i="120" s="1"/>
  <c r="I23" i="120" s="1"/>
  <c r="D32" i="117"/>
  <c r="H36" i="113"/>
  <c r="I36" i="113" s="1"/>
  <c r="H37" i="117"/>
  <c r="I37" i="117" s="1"/>
  <c r="D26" i="120"/>
  <c r="G38" i="113"/>
  <c r="H34" i="113"/>
  <c r="I34" i="113" s="1"/>
  <c r="H26" i="113"/>
  <c r="I26" i="113" s="1"/>
  <c r="H30" i="117"/>
  <c r="I30" i="117" s="1"/>
  <c r="G32" i="117"/>
  <c r="H25" i="113"/>
  <c r="I25" i="113" s="1"/>
  <c r="H18" i="113"/>
  <c r="I18" i="113" s="1"/>
  <c r="D27" i="113"/>
  <c r="D28" i="113"/>
  <c r="H27" i="117"/>
  <c r="I27" i="117" s="1"/>
  <c r="H36" i="117"/>
  <c r="I36" i="117" s="1"/>
  <c r="H30" i="113"/>
  <c r="I30" i="113" s="1"/>
  <c r="H18" i="117"/>
  <c r="I18" i="117" s="1"/>
  <c r="H14" i="113"/>
  <c r="I14" i="113" s="1"/>
  <c r="G25" i="120"/>
  <c r="D25" i="120"/>
  <c r="D38" i="113"/>
  <c r="H35" i="117"/>
  <c r="I35" i="117" s="1"/>
  <c r="G39" i="117"/>
  <c r="G31" i="113"/>
  <c r="H29" i="113"/>
  <c r="I29" i="113" s="1"/>
  <c r="H30" i="120"/>
  <c r="I30" i="120" s="1"/>
  <c r="H35" i="113"/>
  <c r="I35" i="113" s="1"/>
  <c r="H31" i="117"/>
  <c r="I31" i="117" s="1"/>
  <c r="D27" i="120"/>
  <c r="H26" i="117"/>
  <c r="I26" i="117" s="1"/>
  <c r="D13" i="120"/>
  <c r="D15" i="120" s="1"/>
  <c r="D39" i="117"/>
  <c r="H14" i="117"/>
  <c r="I14" i="117" s="1"/>
  <c r="D31" i="113"/>
  <c r="D32" i="113" l="1"/>
  <c r="D33" i="113"/>
  <c r="H31" i="113"/>
  <c r="I31" i="113" s="1"/>
  <c r="H26" i="120"/>
  <c r="I26" i="120" s="1"/>
  <c r="G15" i="120"/>
  <c r="H13" i="120"/>
  <c r="I13" i="120" s="1"/>
  <c r="D29" i="120"/>
  <c r="D40" i="113"/>
  <c r="D45" i="113"/>
  <c r="H39" i="117"/>
  <c r="I39" i="117" s="1"/>
  <c r="H27" i="120"/>
  <c r="I27" i="120" s="1"/>
  <c r="G29" i="120"/>
  <c r="H25" i="120"/>
  <c r="I25" i="120" s="1"/>
  <c r="H32" i="117"/>
  <c r="I32" i="117" s="1"/>
  <c r="H38" i="113"/>
  <c r="I38" i="113" s="1"/>
  <c r="D41" i="113" l="1"/>
  <c r="D42" i="113" s="1"/>
  <c r="D43" i="113"/>
  <c r="D46" i="113"/>
  <c r="D47" i="113" s="1"/>
  <c r="D48" i="113"/>
  <c r="H29" i="120"/>
  <c r="I29" i="120" s="1"/>
  <c r="H15" i="120"/>
  <c r="I15" i="120" s="1"/>
  <c r="D49" i="113" l="1"/>
  <c r="E5" i="179" s="1"/>
  <c r="D44" i="113"/>
  <c r="F16" i="81" l="1"/>
  <c r="G16" i="81" s="1"/>
  <c r="F16" i="79"/>
  <c r="G16" i="79" s="1"/>
  <c r="F16" i="173"/>
  <c r="G16" i="173" s="1"/>
  <c r="F16" i="199"/>
  <c r="G16" i="199" s="1"/>
  <c r="F16" i="148"/>
  <c r="G16" i="148" s="1"/>
  <c r="F16" i="146"/>
  <c r="G16" i="146" s="1"/>
  <c r="H16" i="148" l="1"/>
  <c r="I16" i="148" s="1"/>
  <c r="H16" i="199"/>
  <c r="I16" i="199" s="1"/>
  <c r="H16" i="146"/>
  <c r="I16" i="146" s="1"/>
  <c r="F16" i="172" l="1"/>
  <c r="G16" i="172" s="1"/>
  <c r="F16" i="78"/>
  <c r="G16" i="78" s="1"/>
  <c r="F16" i="76"/>
  <c r="G16" i="76" s="1"/>
  <c r="H16" i="172" l="1"/>
  <c r="I16" i="172" s="1"/>
  <c r="H16" i="76"/>
  <c r="I16" i="76" s="1"/>
  <c r="H16" i="78"/>
  <c r="I16" i="78" s="1"/>
  <c r="F16" i="75" l="1"/>
  <c r="G16" i="75" s="1"/>
  <c r="F16" i="73"/>
  <c r="G16" i="73" s="1"/>
  <c r="F16" i="170"/>
  <c r="G16" i="170" s="1"/>
  <c r="F19" i="183"/>
  <c r="G19" i="183" s="1"/>
  <c r="F19" i="62"/>
  <c r="G19" i="62" s="1"/>
  <c r="F19" i="61"/>
  <c r="G19" i="61" s="1"/>
  <c r="F19" i="60"/>
  <c r="G19" i="60" s="1"/>
  <c r="F15" i="25"/>
  <c r="G15" i="25" s="1"/>
  <c r="F15" i="160"/>
  <c r="G15" i="160" s="1"/>
  <c r="F15" i="169"/>
  <c r="G15" i="169" s="1"/>
  <c r="F15" i="64"/>
  <c r="G15" i="64" s="1"/>
  <c r="F15" i="157"/>
  <c r="G15" i="157" s="1"/>
  <c r="F15" i="144"/>
  <c r="G15" i="144" s="1"/>
  <c r="F19" i="53"/>
  <c r="G19" i="53" s="1"/>
  <c r="F19" i="181"/>
  <c r="G19" i="181" s="1"/>
  <c r="F19" i="51"/>
  <c r="G19" i="51" s="1"/>
  <c r="F19" i="52"/>
  <c r="G19" i="52" s="1"/>
  <c r="F16" i="171"/>
  <c r="G16" i="171" s="1"/>
  <c r="F16" i="72"/>
  <c r="G16" i="72" s="1"/>
  <c r="F16" i="5"/>
  <c r="G16" i="5" s="1"/>
  <c r="F15" i="198"/>
  <c r="G15" i="198" s="1"/>
  <c r="F15" i="67"/>
  <c r="G15" i="67" s="1"/>
  <c r="F15" i="65"/>
  <c r="G15" i="65" s="1"/>
  <c r="F15" i="174"/>
  <c r="G15" i="174" s="1"/>
  <c r="F15" i="197"/>
  <c r="G15" i="197" s="1"/>
  <c r="F19" i="59"/>
  <c r="G19" i="59" s="1"/>
  <c r="F19" i="184"/>
  <c r="G19" i="184" s="1"/>
  <c r="F19" i="58"/>
  <c r="G19" i="58" s="1"/>
  <c r="F19" i="57"/>
  <c r="G19" i="57" s="1"/>
  <c r="F19" i="187" l="1"/>
  <c r="G19" i="187" s="1"/>
  <c r="F19" i="124"/>
  <c r="G19" i="124" s="1"/>
  <c r="F19" i="125"/>
  <c r="G19" i="125" s="1"/>
  <c r="F19" i="126"/>
  <c r="G19" i="126" s="1"/>
  <c r="F19" i="123"/>
  <c r="G19" i="123" s="1"/>
  <c r="F19" i="127"/>
  <c r="G19" i="127" s="1"/>
  <c r="F19" i="188"/>
  <c r="G19" i="188" s="1"/>
  <c r="F19" i="122"/>
  <c r="G19" i="122" s="1"/>
  <c r="H19" i="184"/>
  <c r="I19" i="184" s="1"/>
  <c r="H15" i="174"/>
  <c r="I15" i="174" s="1"/>
  <c r="H15" i="198"/>
  <c r="I15" i="198" s="1"/>
  <c r="H16" i="5"/>
  <c r="I16" i="5" s="1"/>
  <c r="H15" i="144"/>
  <c r="I15" i="144" s="1"/>
  <c r="H15" i="169"/>
  <c r="I15" i="169" s="1"/>
  <c r="H19" i="60"/>
  <c r="I19" i="60" s="1"/>
  <c r="H16" i="170"/>
  <c r="I16" i="170" s="1"/>
  <c r="H19" i="59"/>
  <c r="I19" i="59" s="1"/>
  <c r="H16" i="72"/>
  <c r="I16" i="72" s="1"/>
  <c r="H15" i="157"/>
  <c r="I15" i="157" s="1"/>
  <c r="H15" i="64"/>
  <c r="I15" i="64" s="1"/>
  <c r="H19" i="61"/>
  <c r="I19" i="61" s="1"/>
  <c r="H16" i="73"/>
  <c r="I16" i="73" s="1"/>
  <c r="H19" i="57"/>
  <c r="I19" i="57" s="1"/>
  <c r="H15" i="65"/>
  <c r="I15" i="65" s="1"/>
  <c r="H16" i="171"/>
  <c r="I16" i="171" s="1"/>
  <c r="H19" i="62"/>
  <c r="I19" i="62" s="1"/>
  <c r="H16" i="75"/>
  <c r="I16" i="75" s="1"/>
  <c r="F19" i="113"/>
  <c r="G19" i="113" s="1"/>
  <c r="F19" i="115"/>
  <c r="G19" i="115" s="1"/>
  <c r="F19" i="185"/>
  <c r="G19" i="185" s="1"/>
  <c r="F19" i="112"/>
  <c r="G19" i="112" s="1"/>
  <c r="H19" i="58"/>
  <c r="I19" i="58" s="1"/>
  <c r="H15" i="197"/>
  <c r="I15" i="197" s="1"/>
  <c r="H15" i="67"/>
  <c r="I15" i="67" s="1"/>
  <c r="H15" i="160"/>
  <c r="I15" i="160" s="1"/>
  <c r="H15" i="25"/>
  <c r="I15" i="25" s="1"/>
  <c r="H19" i="183"/>
  <c r="I19" i="183" s="1"/>
  <c r="H19" i="112" l="1"/>
  <c r="I19" i="112" s="1"/>
  <c r="G24" i="127"/>
  <c r="H19" i="127"/>
  <c r="I19" i="127" s="1"/>
  <c r="H19" i="124"/>
  <c r="I19" i="124" s="1"/>
  <c r="H19" i="185"/>
  <c r="I19" i="185" s="1"/>
  <c r="H19" i="123"/>
  <c r="I19" i="123" s="1"/>
  <c r="H19" i="187"/>
  <c r="I19" i="187" s="1"/>
  <c r="H19" i="115"/>
  <c r="I19" i="115" s="1"/>
  <c r="H19" i="122"/>
  <c r="I19" i="122" s="1"/>
  <c r="H19" i="126"/>
  <c r="I19" i="126" s="1"/>
  <c r="G24" i="126"/>
  <c r="H19" i="113"/>
  <c r="I19" i="113" s="1"/>
  <c r="G24" i="188"/>
  <c r="H19" i="188"/>
  <c r="I19" i="188" s="1"/>
  <c r="H19" i="125"/>
  <c r="I19" i="125" s="1"/>
  <c r="G24" i="125"/>
  <c r="G29" i="127" l="1"/>
  <c r="G41" i="127"/>
  <c r="G44" i="127" s="1"/>
  <c r="H24" i="127"/>
  <c r="I24" i="127" s="1"/>
  <c r="G28" i="127"/>
  <c r="G46" i="127"/>
  <c r="G49" i="127" s="1"/>
  <c r="G29" i="125"/>
  <c r="H24" i="125"/>
  <c r="I24" i="125" s="1"/>
  <c r="G46" i="125"/>
  <c r="G49" i="125" s="1"/>
  <c r="G28" i="125"/>
  <c r="G41" i="125"/>
  <c r="G44" i="125" s="1"/>
  <c r="G29" i="126"/>
  <c r="G28" i="126"/>
  <c r="G41" i="126"/>
  <c r="G44" i="126" s="1"/>
  <c r="G46" i="126"/>
  <c r="G49" i="126" s="1"/>
  <c r="H24" i="126"/>
  <c r="I24" i="126" s="1"/>
  <c r="G28" i="188"/>
  <c r="G29" i="188"/>
  <c r="G46" i="188"/>
  <c r="G49" i="188" s="1"/>
  <c r="G41" i="188"/>
  <c r="G44" i="188" s="1"/>
  <c r="H24" i="188"/>
  <c r="I24" i="188" s="1"/>
  <c r="H41" i="188" l="1"/>
  <c r="I41" i="188" s="1"/>
  <c r="G42" i="188"/>
  <c r="H46" i="126"/>
  <c r="I46" i="126" s="1"/>
  <c r="G47" i="126"/>
  <c r="G48" i="126" s="1"/>
  <c r="H28" i="125"/>
  <c r="I28" i="125" s="1"/>
  <c r="G33" i="125"/>
  <c r="H46" i="127"/>
  <c r="I46" i="127" s="1"/>
  <c r="G47" i="127"/>
  <c r="H29" i="127"/>
  <c r="I29" i="127" s="1"/>
  <c r="G34" i="127"/>
  <c r="G47" i="188"/>
  <c r="H46" i="188"/>
  <c r="I46" i="188" s="1"/>
  <c r="H41" i="126"/>
  <c r="I41" i="126" s="1"/>
  <c r="G42" i="126"/>
  <c r="G43" i="126" s="1"/>
  <c r="H46" i="125"/>
  <c r="I46" i="125" s="1"/>
  <c r="G47" i="125"/>
  <c r="G48" i="125" s="1"/>
  <c r="H28" i="127"/>
  <c r="I28" i="127" s="1"/>
  <c r="G33" i="127"/>
  <c r="H29" i="188"/>
  <c r="I29" i="188" s="1"/>
  <c r="G34" i="188"/>
  <c r="H28" i="126"/>
  <c r="I28" i="126" s="1"/>
  <c r="G33" i="126"/>
  <c r="F35" i="179"/>
  <c r="G35" i="179"/>
  <c r="G38" i="179"/>
  <c r="F38" i="179"/>
  <c r="F36" i="179"/>
  <c r="G36" i="179"/>
  <c r="G33" i="188"/>
  <c r="H28" i="188"/>
  <c r="I28" i="188" s="1"/>
  <c r="G37" i="179"/>
  <c r="F37" i="179"/>
  <c r="G34" i="126"/>
  <c r="H29" i="126"/>
  <c r="I29" i="126" s="1"/>
  <c r="H41" i="125"/>
  <c r="I41" i="125" s="1"/>
  <c r="G42" i="125"/>
  <c r="G43" i="125" s="1"/>
  <c r="G34" i="125"/>
  <c r="H29" i="125"/>
  <c r="I29" i="125" s="1"/>
  <c r="H41" i="127"/>
  <c r="I41" i="127" s="1"/>
  <c r="G42" i="127"/>
  <c r="G43" i="127" s="1"/>
  <c r="H43" i="127" l="1"/>
  <c r="I43" i="127" s="1"/>
  <c r="H48" i="125"/>
  <c r="I48" i="125" s="1"/>
  <c r="H43" i="125"/>
  <c r="I43" i="125" s="1"/>
  <c r="H42" i="127"/>
  <c r="I42" i="127" s="1"/>
  <c r="H34" i="125"/>
  <c r="I34" i="125" s="1"/>
  <c r="H34" i="126"/>
  <c r="I34" i="126" s="1"/>
  <c r="H33" i="126"/>
  <c r="I33" i="126" s="1"/>
  <c r="H34" i="127"/>
  <c r="I34" i="127" s="1"/>
  <c r="H47" i="127"/>
  <c r="I47" i="127" s="1"/>
  <c r="H33" i="188"/>
  <c r="I33" i="188" s="1"/>
  <c r="G48" i="188"/>
  <c r="H47" i="188"/>
  <c r="I47" i="188" s="1"/>
  <c r="H33" i="125"/>
  <c r="I33" i="125" s="1"/>
  <c r="G43" i="188"/>
  <c r="H42" i="188"/>
  <c r="I42" i="188" s="1"/>
  <c r="H34" i="188"/>
  <c r="I34" i="188" s="1"/>
  <c r="H33" i="127"/>
  <c r="I33" i="127" s="1"/>
  <c r="H47" i="125"/>
  <c r="I47" i="125" s="1"/>
  <c r="G45" i="126"/>
  <c r="J42" i="126" s="1"/>
  <c r="H43" i="126"/>
  <c r="I43" i="126" s="1"/>
  <c r="H48" i="126"/>
  <c r="I48" i="126" s="1"/>
  <c r="H42" i="125"/>
  <c r="I42" i="125" s="1"/>
  <c r="H42" i="126"/>
  <c r="I42" i="126" s="1"/>
  <c r="G48" i="127"/>
  <c r="H47" i="126"/>
  <c r="I47" i="126" s="1"/>
  <c r="H48" i="127" l="1"/>
  <c r="I48" i="127" s="1"/>
  <c r="J43" i="126"/>
  <c r="J37" i="126"/>
  <c r="J38" i="126"/>
  <c r="J14" i="126"/>
  <c r="J12" i="126"/>
  <c r="J35" i="126"/>
  <c r="J30" i="126"/>
  <c r="J23" i="126"/>
  <c r="J26" i="126"/>
  <c r="J36" i="126"/>
  <c r="J20" i="126"/>
  <c r="J25" i="126"/>
  <c r="H45" i="126"/>
  <c r="I45" i="126" s="1"/>
  <c r="J40" i="126"/>
  <c r="J45" i="126"/>
  <c r="J31" i="126"/>
  <c r="J39" i="126"/>
  <c r="J32" i="126"/>
  <c r="J27" i="126"/>
  <c r="J13" i="126"/>
  <c r="J21" i="126"/>
  <c r="J18" i="126"/>
  <c r="J22" i="126"/>
  <c r="J19" i="126"/>
  <c r="J24" i="126"/>
  <c r="J28" i="126"/>
  <c r="J41" i="126"/>
  <c r="J29" i="126"/>
  <c r="G45" i="125"/>
  <c r="H44" i="125"/>
  <c r="I44" i="125" s="1"/>
  <c r="G45" i="127"/>
  <c r="J44" i="127" s="1"/>
  <c r="H44" i="127"/>
  <c r="I44" i="127" s="1"/>
  <c r="G50" i="126"/>
  <c r="K49" i="126" s="1"/>
  <c r="H49" i="126"/>
  <c r="I49" i="126" s="1"/>
  <c r="H43" i="188"/>
  <c r="I43" i="188" s="1"/>
  <c r="G45" i="188"/>
  <c r="J43" i="188" s="1"/>
  <c r="H48" i="188"/>
  <c r="I48" i="188" s="1"/>
  <c r="J33" i="126"/>
  <c r="J34" i="126"/>
  <c r="G50" i="125"/>
  <c r="H49" i="125"/>
  <c r="I49" i="125" s="1"/>
  <c r="H44" i="126"/>
  <c r="I44" i="126" s="1"/>
  <c r="J44" i="126"/>
  <c r="G50" i="188" l="1"/>
  <c r="K49" i="188" s="1"/>
  <c r="H49" i="188"/>
  <c r="I49" i="188" s="1"/>
  <c r="H44" i="188"/>
  <c r="I44" i="188" s="1"/>
  <c r="J44" i="188"/>
  <c r="J43" i="125"/>
  <c r="J40" i="125"/>
  <c r="J26" i="125"/>
  <c r="J30" i="125"/>
  <c r="J25" i="125"/>
  <c r="J39" i="125"/>
  <c r="J37" i="125"/>
  <c r="J14" i="125"/>
  <c r="J35" i="125"/>
  <c r="J21" i="125"/>
  <c r="J18" i="125"/>
  <c r="J38" i="125"/>
  <c r="J23" i="125"/>
  <c r="H45" i="125"/>
  <c r="I45" i="125" s="1"/>
  <c r="J27" i="125"/>
  <c r="J13" i="125"/>
  <c r="J20" i="125"/>
  <c r="J36" i="125"/>
  <c r="J45" i="125"/>
  <c r="J22" i="125"/>
  <c r="J32" i="125"/>
  <c r="J31" i="125"/>
  <c r="J12" i="125"/>
  <c r="J19" i="125"/>
  <c r="J24" i="125"/>
  <c r="J29" i="125"/>
  <c r="J41" i="125"/>
  <c r="J28" i="125"/>
  <c r="J34" i="125"/>
  <c r="J33" i="125"/>
  <c r="J42" i="125"/>
  <c r="K48" i="125"/>
  <c r="K21" i="125"/>
  <c r="K20" i="125"/>
  <c r="K38" i="125"/>
  <c r="K17" i="125"/>
  <c r="K23" i="125"/>
  <c r="K22" i="125"/>
  <c r="K50" i="125"/>
  <c r="K40" i="125"/>
  <c r="K36" i="125"/>
  <c r="K18" i="125"/>
  <c r="K35" i="125"/>
  <c r="K39" i="125"/>
  <c r="K25" i="125"/>
  <c r="K37" i="125"/>
  <c r="K27" i="125"/>
  <c r="K32" i="125"/>
  <c r="K26" i="125"/>
  <c r="K30" i="125"/>
  <c r="K31" i="125"/>
  <c r="K15" i="125"/>
  <c r="H50" i="125"/>
  <c r="I50" i="125" s="1"/>
  <c r="K16" i="125"/>
  <c r="K19" i="125"/>
  <c r="K24" i="125"/>
  <c r="K28" i="125"/>
  <c r="K29" i="125"/>
  <c r="K46" i="125"/>
  <c r="K47" i="125"/>
  <c r="K34" i="125"/>
  <c r="K33" i="125"/>
  <c r="K48" i="126"/>
  <c r="K32" i="126"/>
  <c r="K39" i="126"/>
  <c r="K16" i="126"/>
  <c r="K40" i="126"/>
  <c r="K26" i="126"/>
  <c r="K23" i="126"/>
  <c r="K38" i="126"/>
  <c r="K18" i="126"/>
  <c r="H50" i="126"/>
  <c r="I50" i="126" s="1"/>
  <c r="K17" i="126"/>
  <c r="K37" i="126"/>
  <c r="K22" i="126"/>
  <c r="K25" i="126"/>
  <c r="K21" i="126"/>
  <c r="K50" i="126"/>
  <c r="K27" i="126"/>
  <c r="K15" i="126"/>
  <c r="K35" i="126"/>
  <c r="K36" i="126"/>
  <c r="K31" i="126"/>
  <c r="K30" i="126"/>
  <c r="K20" i="126"/>
  <c r="K19" i="126"/>
  <c r="K24" i="126"/>
  <c r="K28" i="126"/>
  <c r="K29" i="126"/>
  <c r="K46" i="126"/>
  <c r="K34" i="126"/>
  <c r="K33" i="126"/>
  <c r="K47" i="126"/>
  <c r="J44" i="125"/>
  <c r="G50" i="127"/>
  <c r="K49" i="127" s="1"/>
  <c r="H49" i="127"/>
  <c r="I49" i="127" s="1"/>
  <c r="K49" i="125"/>
  <c r="J21" i="188"/>
  <c r="J39" i="188"/>
  <c r="J30" i="188"/>
  <c r="J35" i="188"/>
  <c r="J23" i="188"/>
  <c r="J25" i="188"/>
  <c r="J37" i="188"/>
  <c r="J12" i="188"/>
  <c r="J14" i="188"/>
  <c r="J32" i="188"/>
  <c r="H45" i="188"/>
  <c r="I45" i="188" s="1"/>
  <c r="J31" i="188"/>
  <c r="J38" i="188"/>
  <c r="J36" i="188"/>
  <c r="J27" i="188"/>
  <c r="J40" i="188"/>
  <c r="J18" i="188"/>
  <c r="J26" i="188"/>
  <c r="J22" i="188"/>
  <c r="J13" i="188"/>
  <c r="J45" i="188"/>
  <c r="J20" i="188"/>
  <c r="J19" i="188"/>
  <c r="J24" i="188"/>
  <c r="J28" i="188"/>
  <c r="J41" i="188"/>
  <c r="J29" i="188"/>
  <c r="J33" i="188"/>
  <c r="J42" i="188"/>
  <c r="J34" i="188"/>
  <c r="J43" i="127"/>
  <c r="J27" i="127"/>
  <c r="J14" i="127"/>
  <c r="J20" i="127"/>
  <c r="J45" i="127"/>
  <c r="J13" i="127"/>
  <c r="J31" i="127"/>
  <c r="H45" i="127"/>
  <c r="I45" i="127" s="1"/>
  <c r="J37" i="127"/>
  <c r="J35" i="127"/>
  <c r="J23" i="127"/>
  <c r="J26" i="127"/>
  <c r="J22" i="127"/>
  <c r="J39" i="127"/>
  <c r="J25" i="127"/>
  <c r="J32" i="127"/>
  <c r="J38" i="127"/>
  <c r="J18" i="127"/>
  <c r="J12" i="127"/>
  <c r="J30" i="127"/>
  <c r="J40" i="127"/>
  <c r="J21" i="127"/>
  <c r="J36" i="127"/>
  <c r="J19" i="127"/>
  <c r="J24" i="127"/>
  <c r="J29" i="127"/>
  <c r="J41" i="127"/>
  <c r="J28" i="127"/>
  <c r="J42" i="127"/>
  <c r="J34" i="127"/>
  <c r="J33" i="127"/>
  <c r="I37" i="179" l="1"/>
  <c r="H37" i="179"/>
  <c r="I35" i="179"/>
  <c r="H35" i="179"/>
  <c r="K15" i="188"/>
  <c r="K16" i="188"/>
  <c r="K30" i="188"/>
  <c r="K21" i="188"/>
  <c r="K36" i="188"/>
  <c r="K22" i="188"/>
  <c r="K17" i="188"/>
  <c r="K20" i="188"/>
  <c r="K25" i="188"/>
  <c r="K38" i="188"/>
  <c r="K50" i="188"/>
  <c r="H50" i="188"/>
  <c r="I50" i="188" s="1"/>
  <c r="K23" i="188"/>
  <c r="K18" i="188"/>
  <c r="K26" i="188"/>
  <c r="K40" i="188"/>
  <c r="K32" i="188"/>
  <c r="K35" i="188"/>
  <c r="K31" i="188"/>
  <c r="K27" i="188"/>
  <c r="K39" i="188"/>
  <c r="K37" i="188"/>
  <c r="K19" i="188"/>
  <c r="K24" i="188"/>
  <c r="K46" i="188"/>
  <c r="K28" i="188"/>
  <c r="K29" i="188"/>
  <c r="K33" i="188"/>
  <c r="K34" i="188"/>
  <c r="K47" i="188"/>
  <c r="K48" i="188"/>
  <c r="K22" i="127"/>
  <c r="H50" i="127"/>
  <c r="I50" i="127" s="1"/>
  <c r="K20" i="127"/>
  <c r="K26" i="127"/>
  <c r="K31" i="127"/>
  <c r="K17" i="127"/>
  <c r="K23" i="127"/>
  <c r="K35" i="127"/>
  <c r="K27" i="127"/>
  <c r="K25" i="127"/>
  <c r="K21" i="127"/>
  <c r="K32" i="127"/>
  <c r="K39" i="127"/>
  <c r="K30" i="127"/>
  <c r="K37" i="127"/>
  <c r="K40" i="127"/>
  <c r="K38" i="127"/>
  <c r="K50" i="127"/>
  <c r="K36" i="127"/>
  <c r="K15" i="127"/>
  <c r="K16" i="127"/>
  <c r="K18" i="127"/>
  <c r="K19" i="127"/>
  <c r="K24" i="127"/>
  <c r="K29" i="127"/>
  <c r="K46" i="127"/>
  <c r="K28" i="127"/>
  <c r="K47" i="127"/>
  <c r="K34" i="127"/>
  <c r="K33" i="127"/>
  <c r="K48" i="127"/>
  <c r="I38" i="179" l="1"/>
  <c r="H38" i="179"/>
  <c r="I36" i="179"/>
  <c r="H36" i="179"/>
  <c r="F20" i="81" l="1"/>
  <c r="G20" i="81" s="1"/>
  <c r="F19" i="146"/>
  <c r="G19" i="146" s="1"/>
  <c r="F19" i="148"/>
  <c r="G19" i="148" s="1"/>
  <c r="F19" i="199"/>
  <c r="G19" i="199" s="1"/>
  <c r="F20" i="173"/>
  <c r="G20" i="173" s="1"/>
  <c r="F20" i="79"/>
  <c r="G20" i="79" s="1"/>
  <c r="G23" i="173" l="1"/>
  <c r="H20" i="173"/>
  <c r="I20" i="173" s="1"/>
  <c r="H20" i="79"/>
  <c r="I20" i="79" s="1"/>
  <c r="G23" i="79"/>
  <c r="G23" i="199"/>
  <c r="H19" i="199"/>
  <c r="I19" i="199" s="1"/>
  <c r="G23" i="146"/>
  <c r="H19" i="146"/>
  <c r="I19" i="146" s="1"/>
  <c r="G23" i="81"/>
  <c r="H20" i="81"/>
  <c r="I20" i="81" s="1"/>
  <c r="H19" i="148"/>
  <c r="I19" i="148" s="1"/>
  <c r="G23" i="148"/>
  <c r="G27" i="146" l="1"/>
  <c r="G34" i="146"/>
  <c r="G37" i="146" s="1"/>
  <c r="H23" i="146"/>
  <c r="G27" i="81"/>
  <c r="G34" i="81"/>
  <c r="G37" i="81" s="1"/>
  <c r="G27" i="79"/>
  <c r="G34" i="79"/>
  <c r="G37" i="79" s="1"/>
  <c r="G34" i="173"/>
  <c r="G37" i="173" s="1"/>
  <c r="G27" i="173"/>
  <c r="G34" i="199"/>
  <c r="G37" i="199" s="1"/>
  <c r="G27" i="199"/>
  <c r="H23" i="199"/>
  <c r="H23" i="148"/>
  <c r="G27" i="148"/>
  <c r="G34" i="148"/>
  <c r="G37" i="148" s="1"/>
  <c r="I23" i="148" l="1"/>
  <c r="G18" i="179" s="1"/>
  <c r="F18" i="179"/>
  <c r="I23" i="146"/>
  <c r="G16" i="179" s="1"/>
  <c r="F16" i="179"/>
  <c r="I23" i="199"/>
  <c r="G17" i="179" s="1"/>
  <c r="F17" i="179"/>
  <c r="H27" i="199"/>
  <c r="I27" i="199" s="1"/>
  <c r="G35" i="173"/>
  <c r="H27" i="146"/>
  <c r="I27" i="146" s="1"/>
  <c r="H27" i="148"/>
  <c r="I27" i="148" s="1"/>
  <c r="G35" i="81"/>
  <c r="G35" i="146"/>
  <c r="G36" i="146" s="1"/>
  <c r="H34" i="146"/>
  <c r="I34" i="146" s="1"/>
  <c r="G35" i="199"/>
  <c r="G36" i="199" s="1"/>
  <c r="H34" i="199"/>
  <c r="I34" i="199" s="1"/>
  <c r="H34" i="148"/>
  <c r="I34" i="148" s="1"/>
  <c r="G35" i="148"/>
  <c r="G36" i="148" s="1"/>
  <c r="G35" i="79"/>
  <c r="G36" i="79" s="1"/>
  <c r="H37" i="199" l="1"/>
  <c r="I37" i="199" s="1"/>
  <c r="H36" i="199"/>
  <c r="I36" i="199" s="1"/>
  <c r="H37" i="148"/>
  <c r="I37" i="148" s="1"/>
  <c r="H36" i="148"/>
  <c r="I36" i="148" s="1"/>
  <c r="H36" i="146"/>
  <c r="I36" i="146" s="1"/>
  <c r="H37" i="146"/>
  <c r="I37" i="146" s="1"/>
  <c r="H35" i="146"/>
  <c r="I35" i="146" s="1"/>
  <c r="H35" i="199"/>
  <c r="I35" i="199" s="1"/>
  <c r="G36" i="81"/>
  <c r="G36" i="173"/>
  <c r="H35" i="148"/>
  <c r="I35" i="148" s="1"/>
  <c r="G38" i="146" l="1"/>
  <c r="G38" i="148"/>
  <c r="G38" i="79"/>
  <c r="G38" i="199"/>
  <c r="G38" i="81" l="1"/>
  <c r="J36" i="81" s="1"/>
  <c r="J37" i="199"/>
  <c r="J21" i="199"/>
  <c r="J30" i="199"/>
  <c r="J28" i="199"/>
  <c r="J14" i="199"/>
  <c r="J16" i="199"/>
  <c r="J18" i="199"/>
  <c r="J24" i="199"/>
  <c r="J32" i="199"/>
  <c r="J38" i="199"/>
  <c r="H38" i="199"/>
  <c r="J20" i="199"/>
  <c r="J31" i="199"/>
  <c r="J29" i="199"/>
  <c r="J26" i="199"/>
  <c r="J25" i="199"/>
  <c r="J33" i="199"/>
  <c r="J15" i="199"/>
  <c r="J17" i="199"/>
  <c r="J22" i="199"/>
  <c r="J13" i="199"/>
  <c r="J19" i="199"/>
  <c r="J23" i="199"/>
  <c r="J34" i="199"/>
  <c r="J27" i="199"/>
  <c r="J35" i="199"/>
  <c r="J36" i="199"/>
  <c r="J37" i="148"/>
  <c r="J18" i="148"/>
  <c r="J32" i="148"/>
  <c r="J30" i="148"/>
  <c r="J38" i="148"/>
  <c r="H38" i="148"/>
  <c r="J13" i="148"/>
  <c r="J15" i="148"/>
  <c r="J17" i="148"/>
  <c r="J33" i="148"/>
  <c r="J29" i="148"/>
  <c r="J26" i="148"/>
  <c r="J22" i="148"/>
  <c r="J20" i="148"/>
  <c r="J21" i="148"/>
  <c r="J16" i="148"/>
  <c r="J28" i="148"/>
  <c r="J31" i="148"/>
  <c r="J14" i="148"/>
  <c r="J24" i="148"/>
  <c r="J25" i="148"/>
  <c r="J19" i="148"/>
  <c r="J23" i="148"/>
  <c r="J34" i="148"/>
  <c r="J27" i="148"/>
  <c r="J36" i="148"/>
  <c r="J35" i="148"/>
  <c r="J37" i="79"/>
  <c r="J32" i="79"/>
  <c r="J18" i="79"/>
  <c r="J24" i="79"/>
  <c r="J17" i="79"/>
  <c r="J31" i="79"/>
  <c r="J29" i="79"/>
  <c r="J16" i="79"/>
  <c r="J21" i="79"/>
  <c r="J38" i="79"/>
  <c r="J25" i="79"/>
  <c r="J14" i="79"/>
  <c r="J30" i="79"/>
  <c r="J19" i="79"/>
  <c r="J22" i="79"/>
  <c r="J15" i="79"/>
  <c r="J26" i="79"/>
  <c r="J13" i="79"/>
  <c r="J28" i="79"/>
  <c r="J33" i="79"/>
  <c r="J20" i="79"/>
  <c r="J23" i="79"/>
  <c r="J34" i="79"/>
  <c r="J27" i="79"/>
  <c r="J35" i="79"/>
  <c r="J36" i="79"/>
  <c r="J37" i="146"/>
  <c r="J18" i="146"/>
  <c r="J20" i="146"/>
  <c r="J22" i="146"/>
  <c r="J14" i="146"/>
  <c r="J24" i="146"/>
  <c r="J17" i="146"/>
  <c r="J25" i="146"/>
  <c r="J16" i="146"/>
  <c r="J29" i="146"/>
  <c r="J15" i="146"/>
  <c r="J21" i="146"/>
  <c r="J32" i="146"/>
  <c r="J31" i="146"/>
  <c r="J33" i="146"/>
  <c r="J30" i="146"/>
  <c r="H38" i="146"/>
  <c r="J38" i="146"/>
  <c r="J26" i="146"/>
  <c r="J28" i="146"/>
  <c r="J13" i="146"/>
  <c r="J19" i="146"/>
  <c r="J23" i="146"/>
  <c r="J34" i="146"/>
  <c r="J27" i="146"/>
  <c r="J36" i="146"/>
  <c r="J35" i="146"/>
  <c r="G38" i="173"/>
  <c r="J37" i="173" s="1"/>
  <c r="I38" i="146" l="1"/>
  <c r="I16" i="179" s="1"/>
  <c r="H16" i="179"/>
  <c r="I38" i="199"/>
  <c r="I17" i="179" s="1"/>
  <c r="H17" i="179"/>
  <c r="I38" i="148"/>
  <c r="I18" i="179" s="1"/>
  <c r="H18" i="179"/>
  <c r="J20" i="81"/>
  <c r="J17" i="81"/>
  <c r="J38" i="81"/>
  <c r="J19" i="81"/>
  <c r="J13" i="81"/>
  <c r="J33" i="81"/>
  <c r="J34" i="81"/>
  <c r="J26" i="81"/>
  <c r="J22" i="81"/>
  <c r="J35" i="81"/>
  <c r="J18" i="81"/>
  <c r="J30" i="81"/>
  <c r="J32" i="81"/>
  <c r="J24" i="81"/>
  <c r="J23" i="81"/>
  <c r="J29" i="81"/>
  <c r="J31" i="81"/>
  <c r="J15" i="81"/>
  <c r="J14" i="81"/>
  <c r="J27" i="81"/>
  <c r="J25" i="81"/>
  <c r="J21" i="81"/>
  <c r="J16" i="81"/>
  <c r="J28" i="81"/>
  <c r="J37" i="81"/>
  <c r="J35" i="173"/>
  <c r="J24" i="173"/>
  <c r="J26" i="173"/>
  <c r="J30" i="173"/>
  <c r="J22" i="173"/>
  <c r="J15" i="173"/>
  <c r="J25" i="173"/>
  <c r="J29" i="173"/>
  <c r="J21" i="173"/>
  <c r="J19" i="173"/>
  <c r="J13" i="173"/>
  <c r="J33" i="173"/>
  <c r="J14" i="173"/>
  <c r="J28" i="173"/>
  <c r="J17" i="173"/>
  <c r="J16" i="173"/>
  <c r="J31" i="173"/>
  <c r="J32" i="173"/>
  <c r="J38" i="173"/>
  <c r="J18" i="173"/>
  <c r="J20" i="173"/>
  <c r="J23" i="173"/>
  <c r="J34" i="173"/>
  <c r="J27" i="173"/>
  <c r="J36" i="173"/>
  <c r="C16" i="120" l="1"/>
  <c r="D16" i="120" s="1"/>
  <c r="C16" i="119"/>
  <c r="D16" i="119" s="1"/>
  <c r="C16" i="121"/>
  <c r="D16" i="121" s="1"/>
  <c r="C18" i="119"/>
  <c r="D18" i="119" s="1"/>
  <c r="C18" i="120"/>
  <c r="D18" i="120" s="1"/>
  <c r="C18" i="121"/>
  <c r="D18" i="121" s="1"/>
  <c r="C21" i="116"/>
  <c r="D21" i="116" s="1"/>
  <c r="D24" i="116" s="1"/>
  <c r="C21" i="186"/>
  <c r="D21" i="186" s="1"/>
  <c r="D24" i="186" s="1"/>
  <c r="C21" i="118"/>
  <c r="D21" i="118" s="1"/>
  <c r="D24" i="118" s="1"/>
  <c r="C21" i="117"/>
  <c r="D21" i="117" s="1"/>
  <c r="D24" i="117" s="1"/>
  <c r="D20" i="120" l="1"/>
  <c r="D24" i="120" s="1"/>
  <c r="D46" i="116"/>
  <c r="D29" i="116"/>
  <c r="D34" i="116" s="1"/>
  <c r="D28" i="116"/>
  <c r="D33" i="116" s="1"/>
  <c r="D41" i="116"/>
  <c r="D41" i="117"/>
  <c r="D28" i="117"/>
  <c r="D33" i="117" s="1"/>
  <c r="D46" i="117"/>
  <c r="D29" i="117"/>
  <c r="D34" i="117" s="1"/>
  <c r="D46" i="118"/>
  <c r="D28" i="118"/>
  <c r="D33" i="118" s="1"/>
  <c r="D29" i="118"/>
  <c r="D34" i="118" s="1"/>
  <c r="D41" i="118"/>
  <c r="D20" i="121"/>
  <c r="D29" i="186"/>
  <c r="D34" i="186" s="1"/>
  <c r="D28" i="186"/>
  <c r="D33" i="186" s="1"/>
  <c r="D41" i="186"/>
  <c r="D46" i="186"/>
  <c r="D20" i="119"/>
  <c r="D31" i="120" l="1"/>
  <c r="D32" i="120" s="1"/>
  <c r="D33" i="120" s="1"/>
  <c r="D47" i="117"/>
  <c r="D48" i="117" s="1"/>
  <c r="D49" i="117"/>
  <c r="D47" i="118"/>
  <c r="D48" i="118" s="1"/>
  <c r="D49" i="118"/>
  <c r="D42" i="186"/>
  <c r="D43" i="186" s="1"/>
  <c r="D44" i="186"/>
  <c r="D42" i="118"/>
  <c r="D43" i="118" s="1"/>
  <c r="D44" i="118"/>
  <c r="D42" i="117"/>
  <c r="D43" i="117" s="1"/>
  <c r="D44" i="117"/>
  <c r="D47" i="116"/>
  <c r="D48" i="116" s="1"/>
  <c r="D49" i="116"/>
  <c r="D47" i="186"/>
  <c r="D48" i="186" s="1"/>
  <c r="D49" i="186"/>
  <c r="D42" i="116"/>
  <c r="D43" i="116" s="1"/>
  <c r="D44" i="116"/>
  <c r="D24" i="119"/>
  <c r="D31" i="119"/>
  <c r="D24" i="121"/>
  <c r="D31" i="121"/>
  <c r="D34" i="120" l="1"/>
  <c r="D35" i="120" s="1"/>
  <c r="E12" i="179" s="1"/>
  <c r="D50" i="186"/>
  <c r="E8" i="179" s="1"/>
  <c r="D45" i="186"/>
  <c r="D45" i="116"/>
  <c r="D45" i="117"/>
  <c r="D50" i="117"/>
  <c r="E9" i="179" s="1"/>
  <c r="D32" i="119"/>
  <c r="D33" i="119" s="1"/>
  <c r="D34" i="119"/>
  <c r="D50" i="116"/>
  <c r="E7" i="179" s="1"/>
  <c r="D45" i="118"/>
  <c r="D50" i="118"/>
  <c r="E10" i="179" s="1"/>
  <c r="D32" i="121"/>
  <c r="D33" i="121" s="1"/>
  <c r="D34" i="121"/>
  <c r="D35" i="119" l="1"/>
  <c r="E11" i="179" s="1"/>
  <c r="D35" i="121"/>
  <c r="E13" i="179" s="1"/>
  <c r="F21" i="122" l="1"/>
  <c r="G21" i="122" s="1"/>
  <c r="F21" i="187"/>
  <c r="G21" i="187" s="1"/>
  <c r="F21" i="124"/>
  <c r="G21" i="124" s="1"/>
  <c r="F21" i="123"/>
  <c r="G21" i="123" s="1"/>
  <c r="F21" i="112"/>
  <c r="G21" i="112" s="1"/>
  <c r="F21" i="115"/>
  <c r="G21" i="115" s="1"/>
  <c r="F21" i="185"/>
  <c r="G21" i="185" s="1"/>
  <c r="F21" i="113"/>
  <c r="G21" i="113" s="1"/>
  <c r="H21" i="185" l="1"/>
  <c r="I21" i="185" s="1"/>
  <c r="G23" i="185"/>
  <c r="H21" i="124"/>
  <c r="I21" i="124" s="1"/>
  <c r="G24" i="124"/>
  <c r="H21" i="123"/>
  <c r="I21" i="123" s="1"/>
  <c r="G24" i="123"/>
  <c r="H21" i="115"/>
  <c r="I21" i="115" s="1"/>
  <c r="G23" i="115"/>
  <c r="H21" i="187"/>
  <c r="I21" i="187" s="1"/>
  <c r="G24" i="187"/>
  <c r="H21" i="113"/>
  <c r="I21" i="113" s="1"/>
  <c r="G23" i="113"/>
  <c r="H21" i="112"/>
  <c r="I21" i="112" s="1"/>
  <c r="G23" i="112"/>
  <c r="H21" i="122"/>
  <c r="I21" i="122" s="1"/>
  <c r="G24" i="122"/>
  <c r="G41" i="123" l="1"/>
  <c r="G44" i="123" s="1"/>
  <c r="G29" i="123"/>
  <c r="H24" i="123"/>
  <c r="I24" i="123" s="1"/>
  <c r="G46" i="123"/>
  <c r="G49" i="123" s="1"/>
  <c r="G28" i="123"/>
  <c r="G45" i="185"/>
  <c r="G48" i="185" s="1"/>
  <c r="G27" i="185"/>
  <c r="H23" i="185"/>
  <c r="I23" i="185" s="1"/>
  <c r="G28" i="185"/>
  <c r="G40" i="185"/>
  <c r="G43" i="185" s="1"/>
  <c r="H24" i="122"/>
  <c r="I24" i="122" s="1"/>
  <c r="G28" i="122"/>
  <c r="G41" i="122"/>
  <c r="G44" i="122" s="1"/>
  <c r="G46" i="122"/>
  <c r="G49" i="122" s="1"/>
  <c r="G29" i="122"/>
  <c r="G45" i="112"/>
  <c r="G48" i="112" s="1"/>
  <c r="G28" i="112"/>
  <c r="H23" i="112"/>
  <c r="I23" i="112" s="1"/>
  <c r="G27" i="112"/>
  <c r="G40" i="112"/>
  <c r="G43" i="112" s="1"/>
  <c r="G40" i="113"/>
  <c r="G43" i="113" s="1"/>
  <c r="G28" i="113"/>
  <c r="H23" i="113"/>
  <c r="I23" i="113" s="1"/>
  <c r="G27" i="113"/>
  <c r="G45" i="113"/>
  <c r="G48" i="113" s="1"/>
  <c r="G28" i="187"/>
  <c r="G41" i="187"/>
  <c r="G44" i="187" s="1"/>
  <c r="G46" i="187"/>
  <c r="G49" i="187" s="1"/>
  <c r="G29" i="187"/>
  <c r="H24" i="187"/>
  <c r="I24" i="187" s="1"/>
  <c r="G40" i="115"/>
  <c r="G43" i="115" s="1"/>
  <c r="H23" i="115"/>
  <c r="I23" i="115" s="1"/>
  <c r="G45" i="115"/>
  <c r="G48" i="115" s="1"/>
  <c r="G27" i="115"/>
  <c r="G28" i="115"/>
  <c r="G46" i="124"/>
  <c r="G49" i="124" s="1"/>
  <c r="H24" i="124"/>
  <c r="I24" i="124" s="1"/>
  <c r="G28" i="124"/>
  <c r="G29" i="124"/>
  <c r="G41" i="124"/>
  <c r="G44" i="124" s="1"/>
  <c r="G23" i="179" l="1"/>
  <c r="F23" i="179"/>
  <c r="G41" i="113"/>
  <c r="G42" i="113" s="1"/>
  <c r="H40" i="113"/>
  <c r="I40" i="113" s="1"/>
  <c r="G22" i="179"/>
  <c r="F22" i="179"/>
  <c r="G33" i="124"/>
  <c r="H28" i="124"/>
  <c r="I28" i="124" s="1"/>
  <c r="H27" i="115"/>
  <c r="I27" i="115" s="1"/>
  <c r="G32" i="115"/>
  <c r="H46" i="187"/>
  <c r="I46" i="187" s="1"/>
  <c r="G47" i="187"/>
  <c r="G48" i="187" s="1"/>
  <c r="G33" i="113"/>
  <c r="H28" i="113"/>
  <c r="I28" i="113" s="1"/>
  <c r="G41" i="112"/>
  <c r="H40" i="112"/>
  <c r="I40" i="112" s="1"/>
  <c r="G46" i="112"/>
  <c r="H45" i="112"/>
  <c r="I45" i="112" s="1"/>
  <c r="H46" i="122"/>
  <c r="I46" i="122" s="1"/>
  <c r="G47" i="122"/>
  <c r="G48" i="122" s="1"/>
  <c r="H40" i="185"/>
  <c r="I40" i="185" s="1"/>
  <c r="G41" i="185"/>
  <c r="G46" i="185"/>
  <c r="H45" i="185"/>
  <c r="I45" i="185" s="1"/>
  <c r="H46" i="123"/>
  <c r="I46" i="123" s="1"/>
  <c r="G47" i="123"/>
  <c r="H45" i="115"/>
  <c r="I45" i="115" s="1"/>
  <c r="G46" i="115"/>
  <c r="H45" i="113"/>
  <c r="I45" i="113" s="1"/>
  <c r="G46" i="113"/>
  <c r="H27" i="112"/>
  <c r="I27" i="112" s="1"/>
  <c r="G32" i="112"/>
  <c r="G42" i="124"/>
  <c r="G43" i="124" s="1"/>
  <c r="H41" i="124"/>
  <c r="I41" i="124" s="1"/>
  <c r="G47" i="124"/>
  <c r="H46" i="124"/>
  <c r="I46" i="124" s="1"/>
  <c r="G6" i="179"/>
  <c r="F6" i="179"/>
  <c r="G21" i="179"/>
  <c r="F21" i="179"/>
  <c r="H28" i="187"/>
  <c r="I28" i="187" s="1"/>
  <c r="G33" i="187"/>
  <c r="H27" i="113"/>
  <c r="I27" i="113" s="1"/>
  <c r="G32" i="113"/>
  <c r="G3" i="179"/>
  <c r="F3" i="179"/>
  <c r="G33" i="122"/>
  <c r="H28" i="122"/>
  <c r="I28" i="122" s="1"/>
  <c r="F4" i="179"/>
  <c r="G4" i="179"/>
  <c r="G34" i="123"/>
  <c r="H29" i="123"/>
  <c r="I29" i="123" s="1"/>
  <c r="G42" i="187"/>
  <c r="H41" i="187"/>
  <c r="I41" i="187" s="1"/>
  <c r="G42" i="122"/>
  <c r="G43" i="122" s="1"/>
  <c r="H41" i="122"/>
  <c r="I41" i="122" s="1"/>
  <c r="G33" i="185"/>
  <c r="H28" i="185"/>
  <c r="I28" i="185" s="1"/>
  <c r="H29" i="124"/>
  <c r="I29" i="124" s="1"/>
  <c r="G34" i="124"/>
  <c r="G33" i="115"/>
  <c r="H28" i="115"/>
  <c r="I28" i="115" s="1"/>
  <c r="G41" i="115"/>
  <c r="H40" i="115"/>
  <c r="I40" i="115" s="1"/>
  <c r="H29" i="187"/>
  <c r="I29" i="187" s="1"/>
  <c r="G34" i="187"/>
  <c r="F5" i="179"/>
  <c r="G5" i="179"/>
  <c r="G33" i="112"/>
  <c r="H28" i="112"/>
  <c r="I28" i="112" s="1"/>
  <c r="G34" i="122"/>
  <c r="H29" i="122"/>
  <c r="I29" i="122" s="1"/>
  <c r="F20" i="179"/>
  <c r="G20" i="179"/>
  <c r="G32" i="185"/>
  <c r="H27" i="185"/>
  <c r="I27" i="185" s="1"/>
  <c r="G33" i="123"/>
  <c r="H28" i="123"/>
  <c r="I28" i="123" s="1"/>
  <c r="H41" i="123"/>
  <c r="I41" i="123" s="1"/>
  <c r="G42" i="123"/>
  <c r="G45" i="122" l="1"/>
  <c r="H43" i="122"/>
  <c r="I43" i="122" s="1"/>
  <c r="H48" i="187"/>
  <c r="I48" i="187" s="1"/>
  <c r="H42" i="123"/>
  <c r="I42" i="123" s="1"/>
  <c r="H34" i="187"/>
  <c r="I34" i="187" s="1"/>
  <c r="H46" i="115"/>
  <c r="I46" i="115" s="1"/>
  <c r="H33" i="123"/>
  <c r="I33" i="123" s="1"/>
  <c r="H32" i="185"/>
  <c r="I32" i="185" s="1"/>
  <c r="H33" i="122"/>
  <c r="I33" i="122" s="1"/>
  <c r="H32" i="112"/>
  <c r="I32" i="112" s="1"/>
  <c r="G42" i="185"/>
  <c r="H41" i="185"/>
  <c r="I41" i="185" s="1"/>
  <c r="H47" i="122"/>
  <c r="I47" i="122" s="1"/>
  <c r="G47" i="112"/>
  <c r="H46" i="112"/>
  <c r="I46" i="112" s="1"/>
  <c r="H41" i="113"/>
  <c r="I41" i="113" s="1"/>
  <c r="G47" i="113"/>
  <c r="H46" i="113"/>
  <c r="I46" i="113" s="1"/>
  <c r="H48" i="122"/>
  <c r="I48" i="122" s="1"/>
  <c r="G43" i="187"/>
  <c r="H42" i="187"/>
  <c r="I42" i="187" s="1"/>
  <c r="H32" i="113"/>
  <c r="I32" i="113" s="1"/>
  <c r="H33" i="187"/>
  <c r="I33" i="187" s="1"/>
  <c r="G48" i="124"/>
  <c r="H47" i="124"/>
  <c r="I47" i="124" s="1"/>
  <c r="H42" i="124"/>
  <c r="I42" i="124" s="1"/>
  <c r="G42" i="115"/>
  <c r="H41" i="115"/>
  <c r="I41" i="115" s="1"/>
  <c r="H33" i="115"/>
  <c r="I33" i="115" s="1"/>
  <c r="H43" i="124"/>
  <c r="I43" i="124" s="1"/>
  <c r="G42" i="112"/>
  <c r="H41" i="112"/>
  <c r="I41" i="112" s="1"/>
  <c r="H33" i="113"/>
  <c r="I33" i="113" s="1"/>
  <c r="H33" i="124"/>
  <c r="I33" i="124" s="1"/>
  <c r="G43" i="123"/>
  <c r="H34" i="122"/>
  <c r="I34" i="122" s="1"/>
  <c r="H33" i="112"/>
  <c r="I33" i="112" s="1"/>
  <c r="H34" i="124"/>
  <c r="I34" i="124" s="1"/>
  <c r="H33" i="185"/>
  <c r="I33" i="185" s="1"/>
  <c r="H42" i="122"/>
  <c r="I42" i="122" s="1"/>
  <c r="H34" i="123"/>
  <c r="I34" i="123" s="1"/>
  <c r="G47" i="115"/>
  <c r="G48" i="123"/>
  <c r="H47" i="123"/>
  <c r="I47" i="123" s="1"/>
  <c r="G47" i="185"/>
  <c r="H46" i="185"/>
  <c r="I46" i="185" s="1"/>
  <c r="H47" i="187"/>
  <c r="I47" i="187" s="1"/>
  <c r="H32" i="115"/>
  <c r="I32" i="115" s="1"/>
  <c r="H43" i="113"/>
  <c r="I43" i="113" s="1"/>
  <c r="H42" i="113"/>
  <c r="I42" i="113" s="1"/>
  <c r="J23" i="122" l="1"/>
  <c r="J35" i="122"/>
  <c r="J22" i="122"/>
  <c r="J30" i="122"/>
  <c r="J36" i="122"/>
  <c r="J14" i="122"/>
  <c r="J37" i="122"/>
  <c r="J32" i="122"/>
  <c r="J39" i="122"/>
  <c r="H45" i="122"/>
  <c r="I45" i="122" s="1"/>
  <c r="J26" i="122"/>
  <c r="J45" i="122"/>
  <c r="J27" i="122"/>
  <c r="J31" i="122"/>
  <c r="J20" i="122"/>
  <c r="J13" i="122"/>
  <c r="J25" i="122"/>
  <c r="J40" i="122"/>
  <c r="J38" i="122"/>
  <c r="J18" i="122"/>
  <c r="J19" i="122"/>
  <c r="J12" i="122"/>
  <c r="J21" i="122"/>
  <c r="J24" i="122"/>
  <c r="J41" i="122"/>
  <c r="J28" i="122"/>
  <c r="J29" i="122"/>
  <c r="J42" i="122"/>
  <c r="J33" i="122"/>
  <c r="J34" i="122"/>
  <c r="J43" i="122"/>
  <c r="H48" i="115"/>
  <c r="I48" i="115" s="1"/>
  <c r="H47" i="115"/>
  <c r="I47" i="115" s="1"/>
  <c r="H43" i="187"/>
  <c r="I43" i="187" s="1"/>
  <c r="H44" i="187"/>
  <c r="I44" i="187" s="1"/>
  <c r="H49" i="122"/>
  <c r="I49" i="122" s="1"/>
  <c r="G44" i="113"/>
  <c r="H43" i="123"/>
  <c r="I43" i="123" s="1"/>
  <c r="G45" i="123"/>
  <c r="G45" i="124"/>
  <c r="J44" i="124" s="1"/>
  <c r="H44" i="124"/>
  <c r="I44" i="124" s="1"/>
  <c r="G50" i="122"/>
  <c r="K49" i="122" s="1"/>
  <c r="H47" i="113"/>
  <c r="I47" i="113" s="1"/>
  <c r="G49" i="185"/>
  <c r="H47" i="185"/>
  <c r="I47" i="185" s="1"/>
  <c r="H48" i="124"/>
  <c r="I48" i="124" s="1"/>
  <c r="G44" i="185"/>
  <c r="H42" i="185"/>
  <c r="I42" i="185" s="1"/>
  <c r="H48" i="123"/>
  <c r="I48" i="123" s="1"/>
  <c r="G50" i="123"/>
  <c r="K48" i="123" s="1"/>
  <c r="G44" i="112"/>
  <c r="J42" i="112" s="1"/>
  <c r="H42" i="112"/>
  <c r="I42" i="112" s="1"/>
  <c r="H43" i="115"/>
  <c r="I43" i="115" s="1"/>
  <c r="H42" i="115"/>
  <c r="I42" i="115" s="1"/>
  <c r="H47" i="112"/>
  <c r="I47" i="112" s="1"/>
  <c r="G50" i="187"/>
  <c r="K49" i="187" s="1"/>
  <c r="H49" i="187"/>
  <c r="I49" i="187" s="1"/>
  <c r="H44" i="122"/>
  <c r="I44" i="122" s="1"/>
  <c r="J44" i="122"/>
  <c r="G49" i="115" l="1"/>
  <c r="K47" i="115" s="1"/>
  <c r="G44" i="115"/>
  <c r="J42" i="115" s="1"/>
  <c r="K33" i="185"/>
  <c r="K22" i="185"/>
  <c r="K49" i="185"/>
  <c r="K29" i="185"/>
  <c r="K38" i="185"/>
  <c r="K17" i="185"/>
  <c r="K36" i="185"/>
  <c r="K19" i="185"/>
  <c r="K37" i="185"/>
  <c r="K25" i="185"/>
  <c r="K20" i="185"/>
  <c r="K34" i="185"/>
  <c r="K26" i="185"/>
  <c r="K16" i="185"/>
  <c r="K31" i="185"/>
  <c r="K30" i="185"/>
  <c r="H49" i="185"/>
  <c r="I49" i="185" s="1"/>
  <c r="K15" i="185"/>
  <c r="K39" i="185"/>
  <c r="K35" i="185"/>
  <c r="K24" i="185"/>
  <c r="K18" i="185"/>
  <c r="K21" i="185"/>
  <c r="K23" i="185"/>
  <c r="K27" i="185"/>
  <c r="K28" i="185"/>
  <c r="K45" i="185"/>
  <c r="K46" i="185"/>
  <c r="K32" i="185"/>
  <c r="K47" i="185"/>
  <c r="J18" i="123"/>
  <c r="J38" i="123"/>
  <c r="J27" i="123"/>
  <c r="J25" i="123"/>
  <c r="J14" i="123"/>
  <c r="J13" i="123"/>
  <c r="J45" i="123"/>
  <c r="J40" i="123"/>
  <c r="J36" i="123"/>
  <c r="J39" i="123"/>
  <c r="J26" i="123"/>
  <c r="J35" i="123"/>
  <c r="J31" i="123"/>
  <c r="J37" i="123"/>
  <c r="J32" i="123"/>
  <c r="J30" i="123"/>
  <c r="J19" i="123"/>
  <c r="J12" i="123"/>
  <c r="J20" i="123"/>
  <c r="J22" i="123"/>
  <c r="J23" i="123"/>
  <c r="H45" i="123"/>
  <c r="I45" i="123" s="1"/>
  <c r="J21" i="123"/>
  <c r="J24" i="123"/>
  <c r="J29" i="123"/>
  <c r="J28" i="123"/>
  <c r="J41" i="123"/>
  <c r="J42" i="123"/>
  <c r="J33" i="123"/>
  <c r="J34" i="123"/>
  <c r="J43" i="123"/>
  <c r="G49" i="113"/>
  <c r="K48" i="113" s="1"/>
  <c r="H48" i="113"/>
  <c r="I48" i="113" s="1"/>
  <c r="G49" i="112"/>
  <c r="K48" i="112" s="1"/>
  <c r="H48" i="112"/>
  <c r="I48" i="112" s="1"/>
  <c r="H43" i="112"/>
  <c r="I43" i="112" s="1"/>
  <c r="J43" i="112"/>
  <c r="K26" i="123"/>
  <c r="K39" i="123"/>
  <c r="K23" i="123"/>
  <c r="K18" i="123"/>
  <c r="K20" i="123"/>
  <c r="K19" i="123"/>
  <c r="K16" i="123"/>
  <c r="K30" i="123"/>
  <c r="K50" i="123"/>
  <c r="K36" i="123"/>
  <c r="K35" i="123"/>
  <c r="K22" i="123"/>
  <c r="K27" i="123"/>
  <c r="K32" i="123"/>
  <c r="K40" i="123"/>
  <c r="H50" i="123"/>
  <c r="I50" i="123" s="1"/>
  <c r="K38" i="123"/>
  <c r="K37" i="123"/>
  <c r="K31" i="123"/>
  <c r="K15" i="123"/>
  <c r="K25" i="123"/>
  <c r="K17" i="123"/>
  <c r="K21" i="123"/>
  <c r="K24" i="123"/>
  <c r="K28" i="123"/>
  <c r="K46" i="123"/>
  <c r="K29" i="123"/>
  <c r="K33" i="123"/>
  <c r="K34" i="123"/>
  <c r="K47" i="123"/>
  <c r="K48" i="122"/>
  <c r="K22" i="122"/>
  <c r="K19" i="122"/>
  <c r="K15" i="122"/>
  <c r="K25" i="122"/>
  <c r="K16" i="122"/>
  <c r="K30" i="122"/>
  <c r="K39" i="122"/>
  <c r="K26" i="122"/>
  <c r="K32" i="122"/>
  <c r="K36" i="122"/>
  <c r="K27" i="122"/>
  <c r="H50" i="122"/>
  <c r="I50" i="122" s="1"/>
  <c r="K23" i="122"/>
  <c r="K31" i="122"/>
  <c r="K50" i="122"/>
  <c r="K40" i="122"/>
  <c r="K20" i="122"/>
  <c r="K37" i="122"/>
  <c r="K17" i="122"/>
  <c r="K38" i="122"/>
  <c r="K18" i="122"/>
  <c r="K35" i="122"/>
  <c r="K21" i="122"/>
  <c r="K24" i="122"/>
  <c r="K46" i="122"/>
  <c r="K28" i="122"/>
  <c r="K29" i="122"/>
  <c r="K34" i="122"/>
  <c r="K47" i="122"/>
  <c r="K33" i="122"/>
  <c r="G45" i="187"/>
  <c r="H49" i="123"/>
  <c r="I49" i="123" s="1"/>
  <c r="K49" i="123"/>
  <c r="H43" i="185"/>
  <c r="I43" i="185" s="1"/>
  <c r="J43" i="185"/>
  <c r="H44" i="123"/>
  <c r="I44" i="123" s="1"/>
  <c r="J44" i="123"/>
  <c r="J43" i="113"/>
  <c r="J30" i="113"/>
  <c r="J29" i="113"/>
  <c r="J44" i="113"/>
  <c r="J37" i="113"/>
  <c r="J25" i="113"/>
  <c r="J26" i="113"/>
  <c r="J14" i="113"/>
  <c r="J20" i="113"/>
  <c r="J24" i="113"/>
  <c r="J38" i="113"/>
  <c r="J13" i="113"/>
  <c r="H44" i="113"/>
  <c r="I44" i="113" s="1"/>
  <c r="J19" i="113"/>
  <c r="J35" i="113"/>
  <c r="J22" i="113"/>
  <c r="J39" i="113"/>
  <c r="J18" i="113"/>
  <c r="J31" i="113"/>
  <c r="J36" i="113"/>
  <c r="J34" i="113"/>
  <c r="J12" i="113"/>
  <c r="J21" i="113"/>
  <c r="J23" i="113"/>
  <c r="J27" i="113"/>
  <c r="J40" i="113"/>
  <c r="J28" i="113"/>
  <c r="J41" i="113"/>
  <c r="J33" i="113"/>
  <c r="J32" i="113"/>
  <c r="J42" i="113"/>
  <c r="K17" i="187"/>
  <c r="K30" i="187"/>
  <c r="K36" i="187"/>
  <c r="K37" i="187"/>
  <c r="K26" i="187"/>
  <c r="K32" i="187"/>
  <c r="K31" i="187"/>
  <c r="K16" i="187"/>
  <c r="K23" i="187"/>
  <c r="K38" i="187"/>
  <c r="H50" i="187"/>
  <c r="I50" i="187" s="1"/>
  <c r="K15" i="187"/>
  <c r="K39" i="187"/>
  <c r="K27" i="187"/>
  <c r="K50" i="187"/>
  <c r="K18" i="187"/>
  <c r="K22" i="187"/>
  <c r="K25" i="187"/>
  <c r="K40" i="187"/>
  <c r="K20" i="187"/>
  <c r="K35" i="187"/>
  <c r="K19" i="187"/>
  <c r="K21" i="187"/>
  <c r="K24" i="187"/>
  <c r="K28" i="187"/>
  <c r="K29" i="187"/>
  <c r="K46" i="187"/>
  <c r="K47" i="187"/>
  <c r="K48" i="187"/>
  <c r="K34" i="187"/>
  <c r="K33" i="187"/>
  <c r="J44" i="185"/>
  <c r="J13" i="185"/>
  <c r="J31" i="185"/>
  <c r="J37" i="185"/>
  <c r="J30" i="185"/>
  <c r="J12" i="185"/>
  <c r="H44" i="185"/>
  <c r="I44" i="185" s="1"/>
  <c r="J19" i="185"/>
  <c r="J20" i="185"/>
  <c r="J26" i="185"/>
  <c r="J39" i="185"/>
  <c r="J36" i="185"/>
  <c r="J24" i="185"/>
  <c r="J14" i="185"/>
  <c r="J34" i="185"/>
  <c r="J25" i="185"/>
  <c r="J22" i="185"/>
  <c r="J29" i="185"/>
  <c r="J18" i="185"/>
  <c r="J38" i="185"/>
  <c r="J35" i="185"/>
  <c r="J21" i="185"/>
  <c r="J23" i="185"/>
  <c r="J40" i="185"/>
  <c r="J27" i="185"/>
  <c r="J28" i="185"/>
  <c r="J32" i="185"/>
  <c r="J41" i="185"/>
  <c r="J33" i="185"/>
  <c r="H48" i="185"/>
  <c r="I48" i="185" s="1"/>
  <c r="K48" i="185"/>
  <c r="J29" i="112"/>
  <c r="J26" i="112"/>
  <c r="J38" i="112"/>
  <c r="J30" i="112"/>
  <c r="J18" i="112"/>
  <c r="J19" i="112"/>
  <c r="J24" i="112"/>
  <c r="J35" i="112"/>
  <c r="J34" i="112"/>
  <c r="J14" i="112"/>
  <c r="J39" i="112"/>
  <c r="J37" i="112"/>
  <c r="H44" i="112"/>
  <c r="I44" i="112" s="1"/>
  <c r="J25" i="112"/>
  <c r="J22" i="112"/>
  <c r="J20" i="112"/>
  <c r="J44" i="112"/>
  <c r="J12" i="112"/>
  <c r="J36" i="112"/>
  <c r="J31" i="112"/>
  <c r="J13" i="112"/>
  <c r="J21" i="112"/>
  <c r="J23" i="112"/>
  <c r="J27" i="112"/>
  <c r="J40" i="112"/>
  <c r="J28" i="112"/>
  <c r="J33" i="112"/>
  <c r="J32" i="112"/>
  <c r="J41" i="112"/>
  <c r="J42" i="185"/>
  <c r="G50" i="124"/>
  <c r="K49" i="124" s="1"/>
  <c r="H49" i="124"/>
  <c r="I49" i="124" s="1"/>
  <c r="J39" i="124"/>
  <c r="J18" i="124"/>
  <c r="J32" i="124"/>
  <c r="J36" i="124"/>
  <c r="J38" i="124"/>
  <c r="J26" i="124"/>
  <c r="J40" i="124"/>
  <c r="J45" i="124"/>
  <c r="J20" i="124"/>
  <c r="J13" i="124"/>
  <c r="J37" i="124"/>
  <c r="J35" i="124"/>
  <c r="J25" i="124"/>
  <c r="J12" i="124"/>
  <c r="H45" i="124"/>
  <c r="I45" i="124" s="1"/>
  <c r="J31" i="124"/>
  <c r="J19" i="124"/>
  <c r="J22" i="124"/>
  <c r="J23" i="124"/>
  <c r="J27" i="124"/>
  <c r="J14" i="124"/>
  <c r="J30" i="124"/>
  <c r="J21" i="124"/>
  <c r="J24" i="124"/>
  <c r="J41" i="124"/>
  <c r="J28" i="124"/>
  <c r="J29" i="124"/>
  <c r="J33" i="124"/>
  <c r="J43" i="124"/>
  <c r="J34" i="124"/>
  <c r="J42" i="124"/>
  <c r="J30" i="115" l="1"/>
  <c r="K22" i="115"/>
  <c r="K21" i="115"/>
  <c r="K19" i="115"/>
  <c r="K32" i="115"/>
  <c r="K25" i="115"/>
  <c r="K28" i="115"/>
  <c r="K35" i="115"/>
  <c r="K39" i="115"/>
  <c r="K36" i="115"/>
  <c r="K37" i="115"/>
  <c r="K29" i="115"/>
  <c r="K27" i="115"/>
  <c r="K18" i="115"/>
  <c r="K24" i="115"/>
  <c r="K30" i="115"/>
  <c r="J26" i="115"/>
  <c r="J29" i="115"/>
  <c r="J41" i="115"/>
  <c r="J44" i="115"/>
  <c r="K33" i="115"/>
  <c r="K45" i="115"/>
  <c r="K15" i="115"/>
  <c r="K31" i="115"/>
  <c r="K49" i="115"/>
  <c r="K20" i="115"/>
  <c r="K34" i="115"/>
  <c r="K48" i="115"/>
  <c r="J28" i="115"/>
  <c r="J24" i="115"/>
  <c r="J34" i="115"/>
  <c r="J35" i="115"/>
  <c r="J40" i="115"/>
  <c r="J22" i="115"/>
  <c r="J31" i="115"/>
  <c r="K46" i="115"/>
  <c r="K23" i="115"/>
  <c r="K16" i="115"/>
  <c r="K26" i="115"/>
  <c r="K17" i="115"/>
  <c r="H49" i="115"/>
  <c r="K38" i="115"/>
  <c r="J21" i="115"/>
  <c r="J19" i="115"/>
  <c r="H44" i="115"/>
  <c r="I44" i="115" s="1"/>
  <c r="J33" i="115"/>
  <c r="J23" i="115"/>
  <c r="J12" i="115"/>
  <c r="J18" i="115"/>
  <c r="J13" i="115"/>
  <c r="J37" i="115"/>
  <c r="J25" i="115"/>
  <c r="J32" i="115"/>
  <c r="J27" i="115"/>
  <c r="J20" i="115"/>
  <c r="J36" i="115"/>
  <c r="J39" i="115"/>
  <c r="J14" i="115"/>
  <c r="J38" i="115"/>
  <c r="J43" i="115"/>
  <c r="K34" i="124"/>
  <c r="K18" i="124"/>
  <c r="K36" i="124"/>
  <c r="K17" i="124"/>
  <c r="K35" i="124"/>
  <c r="K32" i="124"/>
  <c r="K40" i="124"/>
  <c r="K25" i="124"/>
  <c r="K31" i="124"/>
  <c r="K26" i="124"/>
  <c r="K30" i="124"/>
  <c r="K27" i="124"/>
  <c r="K20" i="124"/>
  <c r="H50" i="124"/>
  <c r="I50" i="124" s="1"/>
  <c r="K39" i="124"/>
  <c r="K15" i="124"/>
  <c r="K16" i="124"/>
  <c r="K23" i="124"/>
  <c r="K19" i="124"/>
  <c r="K38" i="124"/>
  <c r="K22" i="124"/>
  <c r="K50" i="124"/>
  <c r="K37" i="124"/>
  <c r="K21" i="124"/>
  <c r="K24" i="124"/>
  <c r="K28" i="124"/>
  <c r="K29" i="124"/>
  <c r="K46" i="124"/>
  <c r="K47" i="124"/>
  <c r="K33" i="124"/>
  <c r="K48" i="124"/>
  <c r="I20" i="179"/>
  <c r="H20" i="179"/>
  <c r="H21" i="179"/>
  <c r="I21" i="179"/>
  <c r="J44" i="187"/>
  <c r="J23" i="187"/>
  <c r="J22" i="187"/>
  <c r="J39" i="187"/>
  <c r="H45" i="187"/>
  <c r="I45" i="187" s="1"/>
  <c r="J32" i="187"/>
  <c r="J12" i="187"/>
  <c r="J18" i="187"/>
  <c r="J26" i="187"/>
  <c r="J30" i="187"/>
  <c r="J35" i="187"/>
  <c r="J19" i="187"/>
  <c r="J37" i="187"/>
  <c r="J13" i="187"/>
  <c r="J20" i="187"/>
  <c r="J45" i="187"/>
  <c r="J31" i="187"/>
  <c r="J38" i="187"/>
  <c r="J14" i="187"/>
  <c r="J40" i="187"/>
  <c r="J36" i="187"/>
  <c r="J25" i="187"/>
  <c r="J27" i="187"/>
  <c r="J21" i="187"/>
  <c r="J24" i="187"/>
  <c r="J29" i="187"/>
  <c r="J28" i="187"/>
  <c r="J41" i="187"/>
  <c r="J42" i="187"/>
  <c r="J34" i="187"/>
  <c r="J33" i="187"/>
  <c r="J43" i="187"/>
  <c r="K46" i="113"/>
  <c r="K18" i="113"/>
  <c r="K26" i="113"/>
  <c r="K31" i="113"/>
  <c r="K30" i="113"/>
  <c r="K15" i="113"/>
  <c r="K38" i="113"/>
  <c r="K36" i="113"/>
  <c r="K35" i="113"/>
  <c r="K19" i="113"/>
  <c r="K25" i="113"/>
  <c r="K49" i="113"/>
  <c r="K37" i="113"/>
  <c r="K34" i="113"/>
  <c r="H49" i="113"/>
  <c r="I49" i="113" s="1"/>
  <c r="K24" i="113"/>
  <c r="K20" i="113"/>
  <c r="K39" i="113"/>
  <c r="K17" i="113"/>
  <c r="K16" i="113"/>
  <c r="K22" i="113"/>
  <c r="K29" i="113"/>
  <c r="K21" i="113"/>
  <c r="K23" i="113"/>
  <c r="K45" i="113"/>
  <c r="K28" i="113"/>
  <c r="K27" i="113"/>
  <c r="K33" i="113"/>
  <c r="K32" i="113"/>
  <c r="K47" i="113"/>
  <c r="H22" i="179"/>
  <c r="I22" i="179"/>
  <c r="K26" i="112"/>
  <c r="K36" i="112"/>
  <c r="K34" i="112"/>
  <c r="K22" i="112"/>
  <c r="K30" i="112"/>
  <c r="K31" i="112"/>
  <c r="K39" i="112"/>
  <c r="K15" i="112"/>
  <c r="K49" i="112"/>
  <c r="K20" i="112"/>
  <c r="H49" i="112"/>
  <c r="I49" i="112" s="1"/>
  <c r="K18" i="112"/>
  <c r="K16" i="112"/>
  <c r="K29" i="112"/>
  <c r="K38" i="112"/>
  <c r="K25" i="112"/>
  <c r="K17" i="112"/>
  <c r="K35" i="112"/>
  <c r="K19" i="112"/>
  <c r="K24" i="112"/>
  <c r="K37" i="112"/>
  <c r="K21" i="112"/>
  <c r="K23" i="112"/>
  <c r="K45" i="112"/>
  <c r="K27" i="112"/>
  <c r="K28" i="112"/>
  <c r="K32" i="112"/>
  <c r="K46" i="112"/>
  <c r="K33" i="112"/>
  <c r="K47" i="112"/>
  <c r="I4" i="179"/>
  <c r="H4" i="179"/>
  <c r="H6" i="179" l="1"/>
  <c r="I49" i="115"/>
  <c r="I6" i="179" s="1"/>
  <c r="H3" i="179"/>
  <c r="I3" i="179"/>
  <c r="H23" i="179"/>
  <c r="I23" i="179"/>
  <c r="I5" i="179"/>
  <c r="H5" i="179"/>
  <c r="F23" i="62" l="1"/>
  <c r="G23" i="62" s="1"/>
  <c r="F23" i="60"/>
  <c r="G23" i="60" s="1"/>
  <c r="F23" i="183"/>
  <c r="G23" i="183" s="1"/>
  <c r="F23" i="61"/>
  <c r="G23" i="61" s="1"/>
  <c r="F18" i="197"/>
  <c r="G18" i="197" s="1"/>
  <c r="F18" i="198"/>
  <c r="G18" i="198" s="1"/>
  <c r="F19" i="67"/>
  <c r="G19" i="67" s="1"/>
  <c r="F19" i="65"/>
  <c r="G19" i="65" s="1"/>
  <c r="F19" i="174"/>
  <c r="G19" i="174" s="1"/>
  <c r="F23" i="57"/>
  <c r="G23" i="57" s="1"/>
  <c r="F23" i="59"/>
  <c r="G23" i="59" s="1"/>
  <c r="F23" i="184"/>
  <c r="G23" i="184" s="1"/>
  <c r="F23" i="58"/>
  <c r="G23" i="58" s="1"/>
  <c r="F18" i="144"/>
  <c r="G18" i="144" s="1"/>
  <c r="F19" i="25"/>
  <c r="G19" i="25" s="1"/>
  <c r="F18" i="157"/>
  <c r="G18" i="157" s="1"/>
  <c r="F19" i="64"/>
  <c r="G19" i="64" s="1"/>
  <c r="F18" i="160"/>
  <c r="G18" i="160" s="1"/>
  <c r="F19" i="169"/>
  <c r="G19" i="169" s="1"/>
  <c r="G22" i="160" l="1"/>
  <c r="H18" i="160"/>
  <c r="I18" i="160" s="1"/>
  <c r="G25" i="183"/>
  <c r="H23" i="183"/>
  <c r="I23" i="183" s="1"/>
  <c r="G22" i="25"/>
  <c r="H19" i="25"/>
  <c r="I19" i="25" s="1"/>
  <c r="G25" i="59"/>
  <c r="H23" i="59"/>
  <c r="I23" i="59" s="1"/>
  <c r="G22" i="65"/>
  <c r="H19" i="65"/>
  <c r="I19" i="65" s="1"/>
  <c r="G25" i="61"/>
  <c r="H23" i="61"/>
  <c r="I23" i="61" s="1"/>
  <c r="G22" i="64"/>
  <c r="H19" i="64"/>
  <c r="I19" i="64" s="1"/>
  <c r="H18" i="144"/>
  <c r="I18" i="144" s="1"/>
  <c r="G21" i="144"/>
  <c r="G25" i="58"/>
  <c r="H23" i="58"/>
  <c r="I23" i="58" s="1"/>
  <c r="H23" i="60"/>
  <c r="I23" i="60" s="1"/>
  <c r="G25" i="60"/>
  <c r="G25" i="57"/>
  <c r="H23" i="57"/>
  <c r="I23" i="57" s="1"/>
  <c r="H18" i="198"/>
  <c r="I18" i="198" s="1"/>
  <c r="G22" i="198"/>
  <c r="G22" i="169"/>
  <c r="H19" i="169"/>
  <c r="I19" i="169" s="1"/>
  <c r="G22" i="157"/>
  <c r="H18" i="157"/>
  <c r="I18" i="157" s="1"/>
  <c r="G25" i="184"/>
  <c r="H23" i="184"/>
  <c r="I23" i="184" s="1"/>
  <c r="H19" i="174"/>
  <c r="I19" i="174" s="1"/>
  <c r="G22" i="174"/>
  <c r="H19" i="67"/>
  <c r="I19" i="67" s="1"/>
  <c r="G22" i="67"/>
  <c r="G22" i="197"/>
  <c r="H18" i="197"/>
  <c r="I18" i="197" s="1"/>
  <c r="G25" i="62"/>
  <c r="H23" i="62"/>
  <c r="I23" i="62" s="1"/>
  <c r="H22" i="174" l="1"/>
  <c r="I22" i="174" s="1"/>
  <c r="G24" i="174"/>
  <c r="G47" i="57"/>
  <c r="G50" i="57" s="1"/>
  <c r="G30" i="57"/>
  <c r="H25" i="57"/>
  <c r="I25" i="57" s="1"/>
  <c r="G42" i="57"/>
  <c r="G45" i="57" s="1"/>
  <c r="G29" i="57"/>
  <c r="G42" i="61"/>
  <c r="G45" i="61" s="1"/>
  <c r="H25" i="61"/>
  <c r="I25" i="61" s="1"/>
  <c r="G29" i="61"/>
  <c r="G47" i="61"/>
  <c r="G50" i="61" s="1"/>
  <c r="G30" i="61"/>
  <c r="H22" i="25"/>
  <c r="I22" i="25" s="1"/>
  <c r="G24" i="25"/>
  <c r="H22" i="160"/>
  <c r="I22" i="160" s="1"/>
  <c r="G24" i="160"/>
  <c r="H22" i="67"/>
  <c r="I22" i="67" s="1"/>
  <c r="G24" i="67"/>
  <c r="G30" i="184"/>
  <c r="G29" i="184"/>
  <c r="H25" i="184"/>
  <c r="I25" i="184" s="1"/>
  <c r="G47" i="184"/>
  <c r="G50" i="184" s="1"/>
  <c r="G42" i="184"/>
  <c r="G45" i="184" s="1"/>
  <c r="G47" i="60"/>
  <c r="G50" i="60" s="1"/>
  <c r="H25" i="60"/>
  <c r="I25" i="60" s="1"/>
  <c r="G42" i="60"/>
  <c r="G45" i="60" s="1"/>
  <c r="G29" i="60"/>
  <c r="G30" i="60"/>
  <c r="H21" i="144"/>
  <c r="I21" i="144" s="1"/>
  <c r="G23" i="144"/>
  <c r="G24" i="64"/>
  <c r="H22" i="64"/>
  <c r="I22" i="64" s="1"/>
  <c r="H22" i="169"/>
  <c r="I22" i="169" s="1"/>
  <c r="G32" i="7" s="1"/>
  <c r="G24" i="169"/>
  <c r="G24" i="65"/>
  <c r="H22" i="65"/>
  <c r="I22" i="65" s="1"/>
  <c r="G42" i="59"/>
  <c r="G45" i="59" s="1"/>
  <c r="H25" i="59"/>
  <c r="I25" i="59" s="1"/>
  <c r="G29" i="59"/>
  <c r="G47" i="59"/>
  <c r="G50" i="59" s="1"/>
  <c r="G30" i="59"/>
  <c r="G29" i="183"/>
  <c r="H25" i="183"/>
  <c r="I25" i="183" s="1"/>
  <c r="G47" i="183"/>
  <c r="G50" i="183" s="1"/>
  <c r="G42" i="183"/>
  <c r="G45" i="183" s="1"/>
  <c r="G30" i="183"/>
  <c r="G47" i="62"/>
  <c r="G50" i="62" s="1"/>
  <c r="G30" i="62"/>
  <c r="H25" i="62"/>
  <c r="I25" i="62" s="1"/>
  <c r="G42" i="62"/>
  <c r="G45" i="62" s="1"/>
  <c r="G29" i="62"/>
  <c r="G24" i="197"/>
  <c r="H22" i="197"/>
  <c r="I22" i="197" s="1"/>
  <c r="H22" i="157"/>
  <c r="I22" i="157" s="1"/>
  <c r="G24" i="157"/>
  <c r="H22" i="198"/>
  <c r="I22" i="198" s="1"/>
  <c r="G24" i="198"/>
  <c r="G29" i="58"/>
  <c r="H25" i="58"/>
  <c r="I25" i="58" s="1"/>
  <c r="G30" i="58"/>
  <c r="G47" i="58"/>
  <c r="G50" i="58" s="1"/>
  <c r="G42" i="58"/>
  <c r="G45" i="58" s="1"/>
  <c r="G35" i="58" l="1"/>
  <c r="H30" i="58"/>
  <c r="I30" i="58" s="1"/>
  <c r="H42" i="183"/>
  <c r="I42" i="183" s="1"/>
  <c r="G43" i="183"/>
  <c r="H47" i="57"/>
  <c r="I47" i="57" s="1"/>
  <c r="G48" i="57"/>
  <c r="G49" i="57" s="1"/>
  <c r="G18" i="7"/>
  <c r="F18" i="7"/>
  <c r="G28" i="198"/>
  <c r="G35" i="198"/>
  <c r="G38" i="198" s="1"/>
  <c r="H24" i="198"/>
  <c r="I24" i="198" s="1"/>
  <c r="G32" i="179"/>
  <c r="F32" i="179"/>
  <c r="G34" i="62"/>
  <c r="H29" i="62"/>
  <c r="I29" i="62" s="1"/>
  <c r="H47" i="62"/>
  <c r="I47" i="62" s="1"/>
  <c r="G48" i="62"/>
  <c r="H47" i="183"/>
  <c r="I47" i="183" s="1"/>
  <c r="G48" i="183"/>
  <c r="G48" i="59"/>
  <c r="H47" i="59"/>
  <c r="I47" i="59" s="1"/>
  <c r="F33" i="7"/>
  <c r="G33" i="7"/>
  <c r="G14" i="179"/>
  <c r="F14" i="179"/>
  <c r="G43" i="60"/>
  <c r="G44" i="60" s="1"/>
  <c r="H42" i="60"/>
  <c r="I42" i="60" s="1"/>
  <c r="G34" i="184"/>
  <c r="H29" i="184"/>
  <c r="I29" i="184" s="1"/>
  <c r="G36" i="7"/>
  <c r="F36" i="7"/>
  <c r="G35" i="25"/>
  <c r="G38" i="25" s="1"/>
  <c r="G28" i="25"/>
  <c r="H24" i="25"/>
  <c r="I24" i="25" s="1"/>
  <c r="H30" i="61"/>
  <c r="I30" i="61" s="1"/>
  <c r="G35" i="61"/>
  <c r="H42" i="61"/>
  <c r="I42" i="61" s="1"/>
  <c r="G43" i="61"/>
  <c r="G43" i="57"/>
  <c r="H42" i="57"/>
  <c r="I42" i="57" s="1"/>
  <c r="G35" i="62"/>
  <c r="H30" i="62"/>
  <c r="I30" i="62" s="1"/>
  <c r="G35" i="59"/>
  <c r="H30" i="59"/>
  <c r="I30" i="59" s="1"/>
  <c r="H23" i="144"/>
  <c r="I23" i="144" s="1"/>
  <c r="G27" i="144"/>
  <c r="G34" i="144"/>
  <c r="G37" i="144" s="1"/>
  <c r="G28" i="67"/>
  <c r="G35" i="67"/>
  <c r="G38" i="67" s="1"/>
  <c r="H24" i="67"/>
  <c r="I24" i="67" s="1"/>
  <c r="H29" i="57"/>
  <c r="I29" i="57" s="1"/>
  <c r="G34" i="57"/>
  <c r="G43" i="58"/>
  <c r="G44" i="58" s="1"/>
  <c r="H42" i="58"/>
  <c r="I42" i="58" s="1"/>
  <c r="G34" i="58"/>
  <c r="H29" i="58"/>
  <c r="I29" i="58" s="1"/>
  <c r="F47" i="179"/>
  <c r="G47" i="179"/>
  <c r="G28" i="157"/>
  <c r="H24" i="157"/>
  <c r="I24" i="157" s="1"/>
  <c r="G35" i="157"/>
  <c r="G38" i="157" s="1"/>
  <c r="G35" i="197"/>
  <c r="G38" i="197" s="1"/>
  <c r="H24" i="197"/>
  <c r="I24" i="197" s="1"/>
  <c r="G28" i="197"/>
  <c r="H42" i="62"/>
  <c r="I42" i="62" s="1"/>
  <c r="G43" i="62"/>
  <c r="F23" i="7"/>
  <c r="G23" i="7"/>
  <c r="G34" i="59"/>
  <c r="H29" i="59"/>
  <c r="I29" i="59" s="1"/>
  <c r="F34" i="7"/>
  <c r="G34" i="7"/>
  <c r="G35" i="64"/>
  <c r="G38" i="64" s="1"/>
  <c r="G28" i="64"/>
  <c r="H24" i="64"/>
  <c r="I24" i="64" s="1"/>
  <c r="G21" i="7"/>
  <c r="F21" i="7"/>
  <c r="G43" i="184"/>
  <c r="H42" i="184"/>
  <c r="I42" i="184" s="1"/>
  <c r="H30" i="184"/>
  <c r="I30" i="184" s="1"/>
  <c r="G35" i="184"/>
  <c r="F31" i="7"/>
  <c r="G31" i="7"/>
  <c r="H47" i="61"/>
  <c r="I47" i="61" s="1"/>
  <c r="G48" i="61"/>
  <c r="F17" i="7"/>
  <c r="G17" i="7"/>
  <c r="H24" i="174"/>
  <c r="I24" i="174" s="1"/>
  <c r="G35" i="174"/>
  <c r="G38" i="174" s="1"/>
  <c r="G28" i="174"/>
  <c r="G43" i="59"/>
  <c r="H42" i="59"/>
  <c r="I42" i="59" s="1"/>
  <c r="H29" i="60"/>
  <c r="I29" i="60" s="1"/>
  <c r="G34" i="60"/>
  <c r="G19" i="7"/>
  <c r="F19" i="7"/>
  <c r="F31" i="179"/>
  <c r="G31" i="179"/>
  <c r="G22" i="7"/>
  <c r="F22" i="7"/>
  <c r="G48" i="58"/>
  <c r="G49" i="58" s="1"/>
  <c r="H47" i="58"/>
  <c r="I47" i="58" s="1"/>
  <c r="F46" i="179"/>
  <c r="G46" i="179"/>
  <c r="G24" i="7"/>
  <c r="F24" i="7"/>
  <c r="H30" i="183"/>
  <c r="I30" i="183" s="1"/>
  <c r="G35" i="183"/>
  <c r="H29" i="183"/>
  <c r="I29" i="183" s="1"/>
  <c r="G34" i="183"/>
  <c r="F20" i="7"/>
  <c r="G20" i="7"/>
  <c r="G28" i="65"/>
  <c r="G35" i="65"/>
  <c r="G38" i="65" s="1"/>
  <c r="H24" i="65"/>
  <c r="I24" i="65" s="1"/>
  <c r="G28" i="169"/>
  <c r="H24" i="169"/>
  <c r="I24" i="169" s="1"/>
  <c r="G35" i="169"/>
  <c r="G38" i="169" s="1"/>
  <c r="G35" i="60"/>
  <c r="H30" i="60"/>
  <c r="I30" i="60" s="1"/>
  <c r="G48" i="60"/>
  <c r="H47" i="60"/>
  <c r="I47" i="60" s="1"/>
  <c r="G48" i="184"/>
  <c r="H47" i="184"/>
  <c r="I47" i="184" s="1"/>
  <c r="H24" i="160"/>
  <c r="I24" i="160" s="1"/>
  <c r="G28" i="160"/>
  <c r="G35" i="160"/>
  <c r="G38" i="160" s="1"/>
  <c r="G34" i="61"/>
  <c r="H29" i="61"/>
  <c r="I29" i="61" s="1"/>
  <c r="G35" i="57"/>
  <c r="H30" i="57"/>
  <c r="I30" i="57" s="1"/>
  <c r="G35" i="7"/>
  <c r="F35" i="7"/>
  <c r="G51" i="57" l="1"/>
  <c r="H49" i="57"/>
  <c r="I49" i="57" s="1"/>
  <c r="H35" i="160"/>
  <c r="I35" i="160" s="1"/>
  <c r="G36" i="160"/>
  <c r="H34" i="183"/>
  <c r="I34" i="183" s="1"/>
  <c r="H28" i="174"/>
  <c r="I28" i="174" s="1"/>
  <c r="H34" i="57"/>
  <c r="I34" i="57" s="1"/>
  <c r="H28" i="160"/>
  <c r="I28" i="160" s="1"/>
  <c r="G49" i="184"/>
  <c r="H48" i="184"/>
  <c r="I48" i="184" s="1"/>
  <c r="H48" i="60"/>
  <c r="I48" i="60" s="1"/>
  <c r="H35" i="60"/>
  <c r="I35" i="60" s="1"/>
  <c r="G36" i="169"/>
  <c r="G37" i="169" s="1"/>
  <c r="H35" i="169"/>
  <c r="I35" i="169" s="1"/>
  <c r="H49" i="58"/>
  <c r="I49" i="58" s="1"/>
  <c r="H50" i="58"/>
  <c r="I50" i="58" s="1"/>
  <c r="G36" i="174"/>
  <c r="G37" i="174" s="1"/>
  <c r="H35" i="174"/>
  <c r="I35" i="174" s="1"/>
  <c r="H28" i="64"/>
  <c r="I28" i="64" s="1"/>
  <c r="H28" i="197"/>
  <c r="I28" i="197" s="1"/>
  <c r="G36" i="157"/>
  <c r="H35" i="157"/>
  <c r="I35" i="157" s="1"/>
  <c r="H34" i="58"/>
  <c r="I34" i="58" s="1"/>
  <c r="H43" i="58"/>
  <c r="I43" i="58" s="1"/>
  <c r="H28" i="67"/>
  <c r="I28" i="67" s="1"/>
  <c r="H35" i="59"/>
  <c r="I35" i="59" s="1"/>
  <c r="H35" i="62"/>
  <c r="I35" i="62" s="1"/>
  <c r="H34" i="184"/>
  <c r="I34" i="184" s="1"/>
  <c r="H43" i="60"/>
  <c r="I43" i="60" s="1"/>
  <c r="H35" i="198"/>
  <c r="I35" i="198" s="1"/>
  <c r="G36" i="198"/>
  <c r="H34" i="61"/>
  <c r="I34" i="61" s="1"/>
  <c r="H35" i="183"/>
  <c r="I35" i="183" s="1"/>
  <c r="H27" i="144"/>
  <c r="I27" i="144" s="1"/>
  <c r="F32" i="7"/>
  <c r="H35" i="65"/>
  <c r="I35" i="65" s="1"/>
  <c r="G36" i="65"/>
  <c r="H34" i="60"/>
  <c r="I34" i="60" s="1"/>
  <c r="G44" i="59"/>
  <c r="H43" i="59"/>
  <c r="I43" i="59" s="1"/>
  <c r="G49" i="61"/>
  <c r="H48" i="61"/>
  <c r="I48" i="61" s="1"/>
  <c r="H35" i="64"/>
  <c r="I35" i="64" s="1"/>
  <c r="G36" i="64"/>
  <c r="H34" i="59"/>
  <c r="I34" i="59" s="1"/>
  <c r="G44" i="62"/>
  <c r="H43" i="62"/>
  <c r="I43" i="62" s="1"/>
  <c r="G44" i="61"/>
  <c r="H43" i="61"/>
  <c r="I43" i="61" s="1"/>
  <c r="H35" i="61"/>
  <c r="I35" i="61" s="1"/>
  <c r="H28" i="25"/>
  <c r="I28" i="25" s="1"/>
  <c r="H28" i="198"/>
  <c r="I28" i="198" s="1"/>
  <c r="G44" i="183"/>
  <c r="H43" i="183"/>
  <c r="I43" i="183" s="1"/>
  <c r="H35" i="57"/>
  <c r="I35" i="57" s="1"/>
  <c r="H35" i="184"/>
  <c r="I35" i="184" s="1"/>
  <c r="G44" i="184"/>
  <c r="H43" i="184"/>
  <c r="I43" i="184" s="1"/>
  <c r="H35" i="67"/>
  <c r="I35" i="67" s="1"/>
  <c r="G36" i="67"/>
  <c r="G44" i="57"/>
  <c r="H43" i="57"/>
  <c r="I43" i="57" s="1"/>
  <c r="G49" i="59"/>
  <c r="H48" i="59"/>
  <c r="I48" i="59" s="1"/>
  <c r="G49" i="183"/>
  <c r="H48" i="183"/>
  <c r="I48" i="183" s="1"/>
  <c r="H34" i="62"/>
  <c r="I34" i="62" s="1"/>
  <c r="G49" i="60"/>
  <c r="H28" i="169"/>
  <c r="I28" i="169" s="1"/>
  <c r="H28" i="65"/>
  <c r="I28" i="65" s="1"/>
  <c r="H48" i="58"/>
  <c r="I48" i="58" s="1"/>
  <c r="G36" i="197"/>
  <c r="H35" i="197"/>
  <c r="I35" i="197" s="1"/>
  <c r="H28" i="157"/>
  <c r="I28" i="157" s="1"/>
  <c r="H44" i="58"/>
  <c r="I44" i="58" s="1"/>
  <c r="G46" i="58"/>
  <c r="J35" i="58" s="1"/>
  <c r="G35" i="144"/>
  <c r="G36" i="144" s="1"/>
  <c r="H34" i="144"/>
  <c r="I34" i="144" s="1"/>
  <c r="H35" i="25"/>
  <c r="I35" i="25" s="1"/>
  <c r="G36" i="25"/>
  <c r="G37" i="25" s="1"/>
  <c r="H44" i="60"/>
  <c r="I44" i="60" s="1"/>
  <c r="H45" i="60"/>
  <c r="I45" i="60" s="1"/>
  <c r="G49" i="62"/>
  <c r="H48" i="62"/>
  <c r="I48" i="62" s="1"/>
  <c r="H48" i="57"/>
  <c r="I48" i="57" s="1"/>
  <c r="H35" i="58"/>
  <c r="I35" i="58" s="1"/>
  <c r="H37" i="25" l="1"/>
  <c r="I37" i="25" s="1"/>
  <c r="H51" i="57"/>
  <c r="I51" i="57" s="1"/>
  <c r="K17" i="57"/>
  <c r="K22" i="57"/>
  <c r="K28" i="57"/>
  <c r="K24" i="57"/>
  <c r="K19" i="57"/>
  <c r="K20" i="57"/>
  <c r="K31" i="57"/>
  <c r="K51" i="57"/>
  <c r="K21" i="57"/>
  <c r="K38" i="57"/>
  <c r="K40" i="57"/>
  <c r="K37" i="57"/>
  <c r="K36" i="57"/>
  <c r="K39" i="57"/>
  <c r="K41" i="57"/>
  <c r="K16" i="57"/>
  <c r="K18" i="57"/>
  <c r="K15" i="57"/>
  <c r="K26" i="57"/>
  <c r="K32" i="57"/>
  <c r="K27" i="57"/>
  <c r="K33" i="57"/>
  <c r="K23" i="57"/>
  <c r="K25" i="57"/>
  <c r="K29" i="57"/>
  <c r="K47" i="57"/>
  <c r="K30" i="57"/>
  <c r="K35" i="57"/>
  <c r="K48" i="57"/>
  <c r="K49" i="57"/>
  <c r="K34" i="57"/>
  <c r="J13" i="58"/>
  <c r="J27" i="58"/>
  <c r="J36" i="58"/>
  <c r="J33" i="58"/>
  <c r="J37" i="58"/>
  <c r="J31" i="58"/>
  <c r="J18" i="58"/>
  <c r="J41" i="58"/>
  <c r="J38" i="58"/>
  <c r="J21" i="58"/>
  <c r="J26" i="58"/>
  <c r="J46" i="58"/>
  <c r="J22" i="58"/>
  <c r="J28" i="58"/>
  <c r="J32" i="58"/>
  <c r="J12" i="58"/>
  <c r="J14" i="58"/>
  <c r="J24" i="58"/>
  <c r="J20" i="58"/>
  <c r="H46" i="58"/>
  <c r="I46" i="58" s="1"/>
  <c r="J39" i="58"/>
  <c r="J19" i="58"/>
  <c r="J40" i="58"/>
  <c r="J23" i="58"/>
  <c r="J25" i="58"/>
  <c r="J42" i="58"/>
  <c r="J29" i="58"/>
  <c r="J30" i="58"/>
  <c r="H49" i="183"/>
  <c r="I49" i="183" s="1"/>
  <c r="G51" i="183"/>
  <c r="G46" i="183"/>
  <c r="H44" i="183"/>
  <c r="I44" i="183" s="1"/>
  <c r="H35" i="144"/>
  <c r="I35" i="144" s="1"/>
  <c r="H45" i="58"/>
  <c r="I45" i="58" s="1"/>
  <c r="J45" i="58"/>
  <c r="H44" i="184"/>
  <c r="I44" i="184" s="1"/>
  <c r="G46" i="184"/>
  <c r="G37" i="65"/>
  <c r="H36" i="65"/>
  <c r="I36" i="65" s="1"/>
  <c r="G37" i="198"/>
  <c r="H36" i="198"/>
  <c r="I36" i="198" s="1"/>
  <c r="J34" i="58"/>
  <c r="H36" i="169"/>
  <c r="I36" i="169" s="1"/>
  <c r="H49" i="184"/>
  <c r="I49" i="184" s="1"/>
  <c r="H50" i="184"/>
  <c r="I50" i="184" s="1"/>
  <c r="G39" i="174"/>
  <c r="J36" i="174" s="1"/>
  <c r="H37" i="174"/>
  <c r="I37" i="174" s="1"/>
  <c r="G46" i="60"/>
  <c r="H49" i="60"/>
  <c r="I49" i="60" s="1"/>
  <c r="H44" i="57"/>
  <c r="I44" i="57" s="1"/>
  <c r="G46" i="62"/>
  <c r="H44" i="62"/>
  <c r="I44" i="62" s="1"/>
  <c r="G37" i="64"/>
  <c r="H36" i="64"/>
  <c r="I36" i="64" s="1"/>
  <c r="H44" i="59"/>
  <c r="I44" i="59" s="1"/>
  <c r="G37" i="157"/>
  <c r="H36" i="157"/>
  <c r="I36" i="157" s="1"/>
  <c r="H36" i="174"/>
  <c r="I36" i="174" s="1"/>
  <c r="G37" i="160"/>
  <c r="H36" i="160"/>
  <c r="I36" i="160" s="1"/>
  <c r="G37" i="67"/>
  <c r="H36" i="67"/>
  <c r="I36" i="67" s="1"/>
  <c r="H49" i="62"/>
  <c r="I49" i="62" s="1"/>
  <c r="H36" i="25"/>
  <c r="I36" i="25" s="1"/>
  <c r="H36" i="144"/>
  <c r="I36" i="144" s="1"/>
  <c r="H37" i="144"/>
  <c r="I37" i="144" s="1"/>
  <c r="J44" i="58"/>
  <c r="G37" i="197"/>
  <c r="H36" i="197"/>
  <c r="I36" i="197" s="1"/>
  <c r="H49" i="59"/>
  <c r="I49" i="59" s="1"/>
  <c r="H44" i="61"/>
  <c r="I44" i="61" s="1"/>
  <c r="H45" i="61"/>
  <c r="I45" i="61" s="1"/>
  <c r="H49" i="61"/>
  <c r="I49" i="61" s="1"/>
  <c r="J43" i="58"/>
  <c r="G51" i="58"/>
  <c r="H37" i="169"/>
  <c r="I37" i="169" s="1"/>
  <c r="H50" i="57"/>
  <c r="I50" i="57" s="1"/>
  <c r="K50" i="57"/>
  <c r="G46" i="61" l="1"/>
  <c r="J44" i="61" s="1"/>
  <c r="J41" i="62"/>
  <c r="H46" i="62"/>
  <c r="I46" i="62" s="1"/>
  <c r="J37" i="62"/>
  <c r="J21" i="62"/>
  <c r="J24" i="62"/>
  <c r="J19" i="62"/>
  <c r="J33" i="62"/>
  <c r="J31" i="62"/>
  <c r="J22" i="62"/>
  <c r="J20" i="62"/>
  <c r="J39" i="62"/>
  <c r="J27" i="62"/>
  <c r="J38" i="62"/>
  <c r="J12" i="62"/>
  <c r="J40" i="62"/>
  <c r="J46" i="62"/>
  <c r="J14" i="62"/>
  <c r="J26" i="62"/>
  <c r="J28" i="62"/>
  <c r="J36" i="62"/>
  <c r="J13" i="62"/>
  <c r="J32" i="62"/>
  <c r="J18" i="62"/>
  <c r="J23" i="62"/>
  <c r="J25" i="62"/>
  <c r="J30" i="62"/>
  <c r="J29" i="62"/>
  <c r="J42" i="62"/>
  <c r="J35" i="62"/>
  <c r="J34" i="62"/>
  <c r="J43" i="62"/>
  <c r="J44" i="62"/>
  <c r="K24" i="183"/>
  <c r="K41" i="183"/>
  <c r="K28" i="183"/>
  <c r="K26" i="183"/>
  <c r="K32" i="183"/>
  <c r="K51" i="183"/>
  <c r="K18" i="183"/>
  <c r="K37" i="183"/>
  <c r="K33" i="183"/>
  <c r="K40" i="183"/>
  <c r="K36" i="183"/>
  <c r="K20" i="183"/>
  <c r="H51" i="183"/>
  <c r="I51" i="183" s="1"/>
  <c r="K31" i="183"/>
  <c r="K21" i="183"/>
  <c r="K17" i="183"/>
  <c r="K15" i="183"/>
  <c r="K27" i="183"/>
  <c r="K22" i="183"/>
  <c r="K38" i="183"/>
  <c r="K39" i="183"/>
  <c r="K16" i="183"/>
  <c r="K19" i="183"/>
  <c r="K23" i="183"/>
  <c r="K25" i="183"/>
  <c r="K47" i="183"/>
  <c r="K30" i="183"/>
  <c r="K29" i="183"/>
  <c r="K34" i="183"/>
  <c r="K35" i="183"/>
  <c r="K48" i="183"/>
  <c r="G51" i="62"/>
  <c r="K50" i="62" s="1"/>
  <c r="H50" i="62"/>
  <c r="I50" i="62" s="1"/>
  <c r="H37" i="160"/>
  <c r="I37" i="160" s="1"/>
  <c r="H38" i="160"/>
  <c r="I38" i="160" s="1"/>
  <c r="G39" i="160"/>
  <c r="H38" i="157"/>
  <c r="I38" i="157" s="1"/>
  <c r="H37" i="157"/>
  <c r="I37" i="157" s="1"/>
  <c r="H38" i="174"/>
  <c r="I38" i="174" s="1"/>
  <c r="J38" i="174"/>
  <c r="H45" i="184"/>
  <c r="I45" i="184" s="1"/>
  <c r="J45" i="184"/>
  <c r="H50" i="183"/>
  <c r="I50" i="183" s="1"/>
  <c r="K50" i="183"/>
  <c r="K50" i="58"/>
  <c r="K18" i="58"/>
  <c r="K19" i="58"/>
  <c r="K39" i="58"/>
  <c r="K20" i="58"/>
  <c r="K33" i="58"/>
  <c r="K37" i="58"/>
  <c r="K27" i="58"/>
  <c r="K38" i="58"/>
  <c r="K22" i="58"/>
  <c r="K16" i="58"/>
  <c r="K32" i="58"/>
  <c r="K17" i="58"/>
  <c r="K15" i="58"/>
  <c r="K51" i="58"/>
  <c r="K26" i="58"/>
  <c r="K36" i="58"/>
  <c r="K40" i="58"/>
  <c r="K21" i="58"/>
  <c r="K28" i="58"/>
  <c r="H51" i="58"/>
  <c r="I51" i="58" s="1"/>
  <c r="K31" i="58"/>
  <c r="K24" i="58"/>
  <c r="K41" i="58"/>
  <c r="K23" i="58"/>
  <c r="K25" i="58"/>
  <c r="K29" i="58"/>
  <c r="K47" i="58"/>
  <c r="K30" i="58"/>
  <c r="K49" i="58"/>
  <c r="K34" i="58"/>
  <c r="K48" i="58"/>
  <c r="K35" i="58"/>
  <c r="G51" i="61"/>
  <c r="K50" i="61" s="1"/>
  <c r="H50" i="61"/>
  <c r="I50" i="61" s="1"/>
  <c r="J18" i="183"/>
  <c r="J28" i="183"/>
  <c r="J40" i="183"/>
  <c r="J36" i="183"/>
  <c r="J21" i="183"/>
  <c r="J20" i="183"/>
  <c r="J46" i="183"/>
  <c r="J26" i="183"/>
  <c r="J14" i="183"/>
  <c r="H46" i="183"/>
  <c r="I46" i="183" s="1"/>
  <c r="J33" i="183"/>
  <c r="J22" i="183"/>
  <c r="J39" i="183"/>
  <c r="J37" i="183"/>
  <c r="J24" i="183"/>
  <c r="J32" i="183"/>
  <c r="J41" i="183"/>
  <c r="J12" i="183"/>
  <c r="J27" i="183"/>
  <c r="J38" i="183"/>
  <c r="J19" i="183"/>
  <c r="J13" i="183"/>
  <c r="J31" i="183"/>
  <c r="J23" i="183"/>
  <c r="J25" i="183"/>
  <c r="J30" i="183"/>
  <c r="J29" i="183"/>
  <c r="J42" i="183"/>
  <c r="J34" i="183"/>
  <c r="J43" i="183"/>
  <c r="J35" i="183"/>
  <c r="I17" i="7"/>
  <c r="H17" i="7"/>
  <c r="H38" i="25"/>
  <c r="I38" i="25" s="1"/>
  <c r="G39" i="169"/>
  <c r="J38" i="169" s="1"/>
  <c r="H38" i="169"/>
  <c r="I38" i="169" s="1"/>
  <c r="G51" i="184"/>
  <c r="H37" i="198"/>
  <c r="I37" i="198" s="1"/>
  <c r="H45" i="183"/>
  <c r="I45" i="183" s="1"/>
  <c r="J45" i="183"/>
  <c r="G39" i="25"/>
  <c r="H38" i="197"/>
  <c r="I38" i="197" s="1"/>
  <c r="H37" i="197"/>
  <c r="I37" i="197" s="1"/>
  <c r="H45" i="57"/>
  <c r="I45" i="57" s="1"/>
  <c r="J45" i="60"/>
  <c r="J21" i="60"/>
  <c r="J32" i="60"/>
  <c r="J28" i="60"/>
  <c r="J39" i="60"/>
  <c r="J33" i="60"/>
  <c r="J19" i="60"/>
  <c r="J38" i="60"/>
  <c r="J27" i="60"/>
  <c r="J13" i="60"/>
  <c r="J37" i="60"/>
  <c r="J20" i="60"/>
  <c r="J46" i="60"/>
  <c r="J14" i="60"/>
  <c r="J36" i="60"/>
  <c r="J18" i="60"/>
  <c r="H46" i="60"/>
  <c r="I46" i="60" s="1"/>
  <c r="J26" i="60"/>
  <c r="J12" i="60"/>
  <c r="J40" i="60"/>
  <c r="J31" i="60"/>
  <c r="J24" i="60"/>
  <c r="J41" i="60"/>
  <c r="J22" i="60"/>
  <c r="J23" i="60"/>
  <c r="J25" i="60"/>
  <c r="J42" i="60"/>
  <c r="J30" i="60"/>
  <c r="J29" i="60"/>
  <c r="J34" i="60"/>
  <c r="J35" i="60"/>
  <c r="J43" i="60"/>
  <c r="J44" i="60"/>
  <c r="J41" i="184"/>
  <c r="J18" i="184"/>
  <c r="J26" i="184"/>
  <c r="J33" i="184"/>
  <c r="J22" i="184"/>
  <c r="J37" i="184"/>
  <c r="J24" i="184"/>
  <c r="J14" i="184"/>
  <c r="J12" i="184"/>
  <c r="J13" i="184"/>
  <c r="H46" i="184"/>
  <c r="I46" i="184" s="1"/>
  <c r="J46" i="184"/>
  <c r="J36" i="184"/>
  <c r="J21" i="184"/>
  <c r="J28" i="184"/>
  <c r="J27" i="184"/>
  <c r="J20" i="184"/>
  <c r="J19" i="184"/>
  <c r="J38" i="184"/>
  <c r="J40" i="184"/>
  <c r="J31" i="184"/>
  <c r="J32" i="184"/>
  <c r="J39" i="184"/>
  <c r="J23" i="184"/>
  <c r="J25" i="184"/>
  <c r="J29" i="184"/>
  <c r="J42" i="184"/>
  <c r="J30" i="184"/>
  <c r="J35" i="184"/>
  <c r="J43" i="184"/>
  <c r="J34" i="184"/>
  <c r="G51" i="59"/>
  <c r="K50" i="59" s="1"/>
  <c r="H50" i="59"/>
  <c r="I50" i="59" s="1"/>
  <c r="G38" i="144"/>
  <c r="G39" i="67"/>
  <c r="H37" i="67"/>
  <c r="I37" i="67" s="1"/>
  <c r="G46" i="59"/>
  <c r="J45" i="59" s="1"/>
  <c r="H45" i="59"/>
  <c r="I45" i="59" s="1"/>
  <c r="H37" i="64"/>
  <c r="I37" i="64" s="1"/>
  <c r="G39" i="64"/>
  <c r="J37" i="64" s="1"/>
  <c r="H45" i="62"/>
  <c r="I45" i="62" s="1"/>
  <c r="J45" i="62"/>
  <c r="G46" i="57"/>
  <c r="G51" i="60"/>
  <c r="H50" i="60"/>
  <c r="I50" i="60" s="1"/>
  <c r="J37" i="174"/>
  <c r="J25" i="174"/>
  <c r="J13" i="174"/>
  <c r="J23" i="174"/>
  <c r="J21" i="174"/>
  <c r="J14" i="174"/>
  <c r="J17" i="174"/>
  <c r="J29" i="174"/>
  <c r="J34" i="174"/>
  <c r="J12" i="174"/>
  <c r="J16" i="174"/>
  <c r="J27" i="174"/>
  <c r="J26" i="174"/>
  <c r="J32" i="174"/>
  <c r="J18" i="174"/>
  <c r="J31" i="174"/>
  <c r="J33" i="174"/>
  <c r="J30" i="174"/>
  <c r="H39" i="174"/>
  <c r="I39" i="174" s="1"/>
  <c r="J15" i="174"/>
  <c r="J39" i="174"/>
  <c r="J20" i="174"/>
  <c r="J19" i="174"/>
  <c r="J22" i="174"/>
  <c r="J24" i="174"/>
  <c r="J35" i="174"/>
  <c r="J28" i="174"/>
  <c r="H37" i="65"/>
  <c r="I37" i="65" s="1"/>
  <c r="J44" i="184"/>
  <c r="J44" i="183"/>
  <c r="K49" i="183"/>
  <c r="J43" i="61" l="1"/>
  <c r="J19" i="61"/>
  <c r="J40" i="61"/>
  <c r="J39" i="61"/>
  <c r="J42" i="61"/>
  <c r="J36" i="61"/>
  <c r="J14" i="61"/>
  <c r="J27" i="61"/>
  <c r="J35" i="61"/>
  <c r="J37" i="61"/>
  <c r="J26" i="61"/>
  <c r="J34" i="61"/>
  <c r="J25" i="61"/>
  <c r="J20" i="61"/>
  <c r="J18" i="61"/>
  <c r="J33" i="61"/>
  <c r="J31" i="61"/>
  <c r="J32" i="61"/>
  <c r="J21" i="61"/>
  <c r="J30" i="61"/>
  <c r="J41" i="61"/>
  <c r="J13" i="61"/>
  <c r="J24" i="61"/>
  <c r="J28" i="61"/>
  <c r="J29" i="61"/>
  <c r="J23" i="61"/>
  <c r="J46" i="61"/>
  <c r="J38" i="61"/>
  <c r="J22" i="61"/>
  <c r="H46" i="61"/>
  <c r="I46" i="61" s="1"/>
  <c r="J12" i="61"/>
  <c r="J45" i="61"/>
  <c r="G39" i="157"/>
  <c r="J16" i="157" s="1"/>
  <c r="G39" i="65"/>
  <c r="J38" i="65" s="1"/>
  <c r="H38" i="65"/>
  <c r="I38" i="65" s="1"/>
  <c r="J28" i="57"/>
  <c r="J13" i="57"/>
  <c r="J26" i="57"/>
  <c r="J18" i="57"/>
  <c r="J14" i="57"/>
  <c r="J41" i="57"/>
  <c r="J31" i="57"/>
  <c r="J24" i="57"/>
  <c r="J27" i="57"/>
  <c r="J38" i="57"/>
  <c r="J12" i="57"/>
  <c r="J21" i="57"/>
  <c r="J22" i="57"/>
  <c r="H46" i="57"/>
  <c r="I46" i="57" s="1"/>
  <c r="J33" i="57"/>
  <c r="J32" i="57"/>
  <c r="J37" i="57"/>
  <c r="J19" i="57"/>
  <c r="J36" i="57"/>
  <c r="J20" i="57"/>
  <c r="J39" i="57"/>
  <c r="J46" i="57"/>
  <c r="J40" i="57"/>
  <c r="J23" i="57"/>
  <c r="J25" i="57"/>
  <c r="J29" i="57"/>
  <c r="J42" i="57"/>
  <c r="J30" i="57"/>
  <c r="J35" i="57"/>
  <c r="J43" i="57"/>
  <c r="J34" i="57"/>
  <c r="J44" i="57"/>
  <c r="J36" i="64"/>
  <c r="J23" i="64"/>
  <c r="J32" i="64"/>
  <c r="J27" i="64"/>
  <c r="J12" i="64"/>
  <c r="J17" i="64"/>
  <c r="J26" i="64"/>
  <c r="J34" i="64"/>
  <c r="J33" i="64"/>
  <c r="J14" i="64"/>
  <c r="J20" i="64"/>
  <c r="J13" i="64"/>
  <c r="J29" i="64"/>
  <c r="J18" i="64"/>
  <c r="J16" i="64"/>
  <c r="J15" i="64"/>
  <c r="J31" i="64"/>
  <c r="J30" i="64"/>
  <c r="J21" i="64"/>
  <c r="H39" i="64"/>
  <c r="I39" i="64" s="1"/>
  <c r="J25" i="64"/>
  <c r="J39" i="64"/>
  <c r="J19" i="64"/>
  <c r="J22" i="64"/>
  <c r="J24" i="64"/>
  <c r="J28" i="64"/>
  <c r="J35" i="64"/>
  <c r="K22" i="59"/>
  <c r="K17" i="59"/>
  <c r="K21" i="59"/>
  <c r="K26" i="59"/>
  <c r="K39" i="59"/>
  <c r="K33" i="59"/>
  <c r="H51" i="59"/>
  <c r="I51" i="59" s="1"/>
  <c r="K16" i="59"/>
  <c r="K15" i="59"/>
  <c r="K27" i="59"/>
  <c r="K28" i="59"/>
  <c r="K51" i="59"/>
  <c r="K37" i="59"/>
  <c r="K31" i="59"/>
  <c r="K36" i="59"/>
  <c r="K40" i="59"/>
  <c r="K32" i="59"/>
  <c r="K38" i="59"/>
  <c r="K20" i="59"/>
  <c r="K19" i="59"/>
  <c r="K18" i="59"/>
  <c r="K24" i="59"/>
  <c r="K41" i="59"/>
  <c r="K23" i="59"/>
  <c r="K25" i="59"/>
  <c r="K29" i="59"/>
  <c r="K47" i="59"/>
  <c r="K30" i="59"/>
  <c r="K35" i="59"/>
  <c r="K34" i="59"/>
  <c r="K48" i="59"/>
  <c r="K49" i="59"/>
  <c r="J45" i="57"/>
  <c r="K33" i="61"/>
  <c r="K41" i="61"/>
  <c r="K17" i="61"/>
  <c r="K20" i="61"/>
  <c r="K15" i="61"/>
  <c r="K24" i="61"/>
  <c r="H51" i="61"/>
  <c r="I51" i="61" s="1"/>
  <c r="K16" i="61"/>
  <c r="K36" i="61"/>
  <c r="K26" i="61"/>
  <c r="K27" i="61"/>
  <c r="K39" i="61"/>
  <c r="K40" i="61"/>
  <c r="K19" i="61"/>
  <c r="K37" i="61"/>
  <c r="K18" i="61"/>
  <c r="K22" i="61"/>
  <c r="K31" i="61"/>
  <c r="K21" i="61"/>
  <c r="K38" i="61"/>
  <c r="K28" i="61"/>
  <c r="K51" i="61"/>
  <c r="K32" i="61"/>
  <c r="K23" i="61"/>
  <c r="K25" i="61"/>
  <c r="K29" i="61"/>
  <c r="K30" i="61"/>
  <c r="K47" i="61"/>
  <c r="K34" i="61"/>
  <c r="K35" i="61"/>
  <c r="K48" i="61"/>
  <c r="K49" i="61"/>
  <c r="K49" i="62"/>
  <c r="K33" i="62"/>
  <c r="K40" i="62"/>
  <c r="K16" i="62"/>
  <c r="K15" i="62"/>
  <c r="K37" i="62"/>
  <c r="K19" i="62"/>
  <c r="K18" i="62"/>
  <c r="K38" i="62"/>
  <c r="K22" i="62"/>
  <c r="K31" i="62"/>
  <c r="K39" i="62"/>
  <c r="K36" i="62"/>
  <c r="K32" i="62"/>
  <c r="K26" i="62"/>
  <c r="K41" i="62"/>
  <c r="K24" i="62"/>
  <c r="K21" i="62"/>
  <c r="K27" i="62"/>
  <c r="K51" i="62"/>
  <c r="K28" i="62"/>
  <c r="K17" i="62"/>
  <c r="K20" i="62"/>
  <c r="H51" i="62"/>
  <c r="I51" i="62" s="1"/>
  <c r="K23" i="62"/>
  <c r="K25" i="62"/>
  <c r="K30" i="62"/>
  <c r="K29" i="62"/>
  <c r="K47" i="62"/>
  <c r="K34" i="62"/>
  <c r="K35" i="62"/>
  <c r="K48" i="62"/>
  <c r="K49" i="60"/>
  <c r="K22" i="60"/>
  <c r="K33" i="60"/>
  <c r="K28" i="60"/>
  <c r="K27" i="60"/>
  <c r="K32" i="60"/>
  <c r="K39" i="60"/>
  <c r="K41" i="60"/>
  <c r="K38" i="60"/>
  <c r="K19" i="60"/>
  <c r="H51" i="60"/>
  <c r="I51" i="60" s="1"/>
  <c r="K18" i="60"/>
  <c r="K26" i="60"/>
  <c r="K37" i="60"/>
  <c r="K20" i="60"/>
  <c r="K24" i="60"/>
  <c r="K31" i="60"/>
  <c r="K16" i="60"/>
  <c r="K15" i="60"/>
  <c r="K17" i="60"/>
  <c r="K51" i="60"/>
  <c r="K36" i="60"/>
  <c r="K40" i="60"/>
  <c r="K21" i="60"/>
  <c r="K23" i="60"/>
  <c r="K25" i="60"/>
  <c r="K30" i="60"/>
  <c r="K47" i="60"/>
  <c r="K29" i="60"/>
  <c r="K35" i="60"/>
  <c r="K34" i="60"/>
  <c r="K48" i="60"/>
  <c r="K50" i="60"/>
  <c r="H38" i="64"/>
  <c r="I38" i="64" s="1"/>
  <c r="J38" i="64"/>
  <c r="J38" i="59"/>
  <c r="J39" i="59"/>
  <c r="J24" i="59"/>
  <c r="J36" i="59"/>
  <c r="J26" i="59"/>
  <c r="J40" i="59"/>
  <c r="J46" i="59"/>
  <c r="J32" i="59"/>
  <c r="J22" i="59"/>
  <c r="J41" i="59"/>
  <c r="J37" i="59"/>
  <c r="J14" i="59"/>
  <c r="J18" i="59"/>
  <c r="J20" i="59"/>
  <c r="J28" i="59"/>
  <c r="J13" i="59"/>
  <c r="J31" i="59"/>
  <c r="H46" i="59"/>
  <c r="I46" i="59" s="1"/>
  <c r="J21" i="59"/>
  <c r="J33" i="59"/>
  <c r="J19" i="59"/>
  <c r="J12" i="59"/>
  <c r="J27" i="59"/>
  <c r="J23" i="59"/>
  <c r="J25" i="59"/>
  <c r="J30" i="59"/>
  <c r="J42" i="59"/>
  <c r="J29" i="59"/>
  <c r="J43" i="59"/>
  <c r="J35" i="59"/>
  <c r="J34" i="59"/>
  <c r="J44" i="59"/>
  <c r="H38" i="67"/>
  <c r="I38" i="67" s="1"/>
  <c r="J38" i="67"/>
  <c r="G39" i="197"/>
  <c r="G39" i="198"/>
  <c r="J38" i="198" s="1"/>
  <c r="H38" i="198"/>
  <c r="I38" i="198" s="1"/>
  <c r="J25" i="169"/>
  <c r="J17" i="169"/>
  <c r="J21" i="169"/>
  <c r="J39" i="169"/>
  <c r="J16" i="169"/>
  <c r="J14" i="169"/>
  <c r="J26" i="169"/>
  <c r="J20" i="169"/>
  <c r="J27" i="169"/>
  <c r="J33" i="169"/>
  <c r="J12" i="169"/>
  <c r="J30" i="169"/>
  <c r="J32" i="169"/>
  <c r="J15" i="169"/>
  <c r="H39" i="169"/>
  <c r="I39" i="169" s="1"/>
  <c r="J34" i="169"/>
  <c r="J18" i="169"/>
  <c r="J23" i="169"/>
  <c r="J13" i="169"/>
  <c r="J31" i="169"/>
  <c r="J29" i="169"/>
  <c r="J19" i="169"/>
  <c r="J22" i="169"/>
  <c r="J24" i="169"/>
  <c r="J28" i="169"/>
  <c r="J35" i="169"/>
  <c r="J36" i="169"/>
  <c r="J37" i="169"/>
  <c r="I18" i="7"/>
  <c r="H18" i="7"/>
  <c r="J36" i="67"/>
  <c r="J27" i="67"/>
  <c r="J23" i="67"/>
  <c r="J25" i="67"/>
  <c r="J39" i="67"/>
  <c r="J20" i="67"/>
  <c r="J29" i="67"/>
  <c r="J31" i="67"/>
  <c r="J18" i="67"/>
  <c r="J16" i="67"/>
  <c r="J14" i="67"/>
  <c r="J21" i="67"/>
  <c r="J30" i="67"/>
  <c r="J15" i="67"/>
  <c r="J33" i="67"/>
  <c r="H39" i="67"/>
  <c r="I39" i="67" s="1"/>
  <c r="J34" i="67"/>
  <c r="J13" i="67"/>
  <c r="J26" i="67"/>
  <c r="J12" i="67"/>
  <c r="J17" i="67"/>
  <c r="J32" i="67"/>
  <c r="J19" i="67"/>
  <c r="J22" i="67"/>
  <c r="J24" i="67"/>
  <c r="J35" i="67"/>
  <c r="J28" i="67"/>
  <c r="J38" i="160"/>
  <c r="J32" i="160"/>
  <c r="J34" i="160"/>
  <c r="J29" i="160"/>
  <c r="J30" i="160"/>
  <c r="J14" i="160"/>
  <c r="J15" i="160"/>
  <c r="J26" i="160"/>
  <c r="J13" i="160"/>
  <c r="J27" i="160"/>
  <c r="J16" i="160"/>
  <c r="J20" i="160"/>
  <c r="J21" i="160"/>
  <c r="J39" i="160"/>
  <c r="H39" i="160"/>
  <c r="I39" i="160" s="1"/>
  <c r="J33" i="160"/>
  <c r="J17" i="160"/>
  <c r="J19" i="160"/>
  <c r="J25" i="160"/>
  <c r="J12" i="160"/>
  <c r="J23" i="160"/>
  <c r="J31" i="160"/>
  <c r="J18" i="160"/>
  <c r="J22" i="160"/>
  <c r="J24" i="160"/>
  <c r="J28" i="160"/>
  <c r="J35" i="160"/>
  <c r="J36" i="160"/>
  <c r="I35" i="7"/>
  <c r="H35" i="7"/>
  <c r="J37" i="67"/>
  <c r="J37" i="144"/>
  <c r="J14" i="144"/>
  <c r="J20" i="144"/>
  <c r="J33" i="144"/>
  <c r="J13" i="144"/>
  <c r="J22" i="144"/>
  <c r="J25" i="144"/>
  <c r="J26" i="144"/>
  <c r="J29" i="144"/>
  <c r="J31" i="144"/>
  <c r="J24" i="144"/>
  <c r="J17" i="144"/>
  <c r="J28" i="144"/>
  <c r="H38" i="144"/>
  <c r="I38" i="144" s="1"/>
  <c r="J19" i="144"/>
  <c r="J15" i="144"/>
  <c r="J16" i="144"/>
  <c r="J38" i="144"/>
  <c r="J32" i="144"/>
  <c r="J12" i="144"/>
  <c r="J30" i="144"/>
  <c r="J18" i="144"/>
  <c r="J21" i="144"/>
  <c r="J23" i="144"/>
  <c r="J27" i="144"/>
  <c r="J34" i="144"/>
  <c r="J35" i="144"/>
  <c r="J36" i="144"/>
  <c r="J20" i="25"/>
  <c r="J12" i="25"/>
  <c r="H39" i="25"/>
  <c r="I39" i="25" s="1"/>
  <c r="J25" i="25"/>
  <c r="J17" i="25"/>
  <c r="J15" i="25"/>
  <c r="J30" i="25"/>
  <c r="J27" i="25"/>
  <c r="J18" i="25"/>
  <c r="J33" i="25"/>
  <c r="J23" i="25"/>
  <c r="J14" i="25"/>
  <c r="J13" i="25"/>
  <c r="J21" i="25"/>
  <c r="J16" i="25"/>
  <c r="J31" i="25"/>
  <c r="J29" i="25"/>
  <c r="J32" i="25"/>
  <c r="J26" i="25"/>
  <c r="J34" i="25"/>
  <c r="J39" i="25"/>
  <c r="J19" i="25"/>
  <c r="J22" i="25"/>
  <c r="J24" i="25"/>
  <c r="J35" i="25"/>
  <c r="J28" i="25"/>
  <c r="J36" i="25"/>
  <c r="J37" i="25"/>
  <c r="K50" i="184"/>
  <c r="K21" i="184"/>
  <c r="K39" i="184"/>
  <c r="K31" i="184"/>
  <c r="K41" i="184"/>
  <c r="H51" i="184"/>
  <c r="I51" i="184" s="1"/>
  <c r="K51" i="184"/>
  <c r="K37" i="184"/>
  <c r="K16" i="184"/>
  <c r="K33" i="184"/>
  <c r="K38" i="184"/>
  <c r="K26" i="184"/>
  <c r="K15" i="184"/>
  <c r="K22" i="184"/>
  <c r="K19" i="184"/>
  <c r="K36" i="184"/>
  <c r="K40" i="184"/>
  <c r="K24" i="184"/>
  <c r="K32" i="184"/>
  <c r="K20" i="184"/>
  <c r="K18" i="184"/>
  <c r="K28" i="184"/>
  <c r="K27" i="184"/>
  <c r="K17" i="184"/>
  <c r="K23" i="184"/>
  <c r="K25" i="184"/>
  <c r="K30" i="184"/>
  <c r="K47" i="184"/>
  <c r="K29" i="184"/>
  <c r="K48" i="184"/>
  <c r="K34" i="184"/>
  <c r="K35" i="184"/>
  <c r="K49" i="184"/>
  <c r="J38" i="25"/>
  <c r="J37" i="160"/>
  <c r="H23" i="7"/>
  <c r="I23" i="7"/>
  <c r="J27" i="157" l="1"/>
  <c r="J32" i="157"/>
  <c r="J39" i="157"/>
  <c r="J35" i="157"/>
  <c r="J26" i="157"/>
  <c r="H39" i="157"/>
  <c r="J37" i="157"/>
  <c r="J18" i="157"/>
  <c r="J21" i="157"/>
  <c r="J33" i="157"/>
  <c r="J30" i="157"/>
  <c r="J24" i="157"/>
  <c r="J14" i="157"/>
  <c r="J19" i="157"/>
  <c r="J38" i="157"/>
  <c r="J28" i="157"/>
  <c r="J15" i="157"/>
  <c r="J31" i="157"/>
  <c r="J25" i="157"/>
  <c r="J34" i="157"/>
  <c r="J23" i="157"/>
  <c r="J17" i="157"/>
  <c r="J36" i="157"/>
  <c r="J22" i="157"/>
  <c r="J20" i="157"/>
  <c r="J29" i="157"/>
  <c r="J12" i="157"/>
  <c r="J13" i="157"/>
  <c r="I19" i="7"/>
  <c r="H19" i="7"/>
  <c r="I14" i="179"/>
  <c r="H14" i="179"/>
  <c r="H21" i="7"/>
  <c r="I21" i="7"/>
  <c r="H31" i="179"/>
  <c r="I31" i="179"/>
  <c r="H36" i="7"/>
  <c r="I36" i="7"/>
  <c r="I32" i="7"/>
  <c r="H32" i="7"/>
  <c r="J34" i="198"/>
  <c r="J20" i="198"/>
  <c r="J12" i="198"/>
  <c r="J31" i="198"/>
  <c r="J39" i="198"/>
  <c r="J14" i="198"/>
  <c r="J17" i="198"/>
  <c r="J23" i="198"/>
  <c r="J13" i="198"/>
  <c r="J15" i="198"/>
  <c r="J32" i="198"/>
  <c r="J25" i="198"/>
  <c r="H39" i="198"/>
  <c r="I39" i="198" s="1"/>
  <c r="J27" i="198"/>
  <c r="J26" i="198"/>
  <c r="J29" i="198"/>
  <c r="J21" i="198"/>
  <c r="J16" i="198"/>
  <c r="J19" i="198"/>
  <c r="J30" i="198"/>
  <c r="J33" i="198"/>
  <c r="J18" i="198"/>
  <c r="J22" i="198"/>
  <c r="J24" i="198"/>
  <c r="J35" i="198"/>
  <c r="J28" i="198"/>
  <c r="J36" i="198"/>
  <c r="J37" i="198"/>
  <c r="I22" i="7"/>
  <c r="H22" i="7"/>
  <c r="I33" i="7"/>
  <c r="H33" i="7"/>
  <c r="I31" i="7"/>
  <c r="H31" i="7"/>
  <c r="J38" i="197"/>
  <c r="J30" i="197"/>
  <c r="J25" i="197"/>
  <c r="J27" i="197"/>
  <c r="J23" i="197"/>
  <c r="J32" i="197"/>
  <c r="J34" i="197"/>
  <c r="J33" i="197"/>
  <c r="J19" i="197"/>
  <c r="H39" i="197"/>
  <c r="I39" i="197" s="1"/>
  <c r="J14" i="197"/>
  <c r="J13" i="197"/>
  <c r="J17" i="197"/>
  <c r="J20" i="197"/>
  <c r="J12" i="197"/>
  <c r="J15" i="197"/>
  <c r="J31" i="197"/>
  <c r="J16" i="197"/>
  <c r="J26" i="197"/>
  <c r="J39" i="197"/>
  <c r="J21" i="197"/>
  <c r="J29" i="197"/>
  <c r="J18" i="197"/>
  <c r="J22" i="197"/>
  <c r="J24" i="197"/>
  <c r="J28" i="197"/>
  <c r="J35" i="197"/>
  <c r="J36" i="197"/>
  <c r="J37" i="197"/>
  <c r="I24" i="7"/>
  <c r="H24" i="7"/>
  <c r="I20" i="7"/>
  <c r="H20" i="7"/>
  <c r="J37" i="65"/>
  <c r="J34" i="65"/>
  <c r="J26" i="65"/>
  <c r="J23" i="65"/>
  <c r="J29" i="65"/>
  <c r="J33" i="65"/>
  <c r="J17" i="65"/>
  <c r="J30" i="65"/>
  <c r="J15" i="65"/>
  <c r="H39" i="65"/>
  <c r="I39" i="65" s="1"/>
  <c r="J20" i="65"/>
  <c r="J27" i="65"/>
  <c r="J31" i="65"/>
  <c r="J18" i="65"/>
  <c r="J16" i="65"/>
  <c r="J12" i="65"/>
  <c r="J39" i="65"/>
  <c r="J13" i="65"/>
  <c r="J25" i="65"/>
  <c r="J14" i="65"/>
  <c r="J21" i="65"/>
  <c r="J32" i="65"/>
  <c r="J19" i="65"/>
  <c r="J22" i="65"/>
  <c r="J24" i="65"/>
  <c r="J28" i="65"/>
  <c r="J35" i="65"/>
  <c r="J36" i="65"/>
  <c r="I39" i="157" l="1"/>
  <c r="I46" i="179" s="1"/>
  <c r="H46" i="179"/>
  <c r="H32" i="179"/>
  <c r="I32" i="179"/>
  <c r="H34" i="7"/>
  <c r="I34" i="7"/>
  <c r="H47" i="179"/>
  <c r="I47" i="179"/>
  <c r="F23" i="51" l="1"/>
  <c r="G23" i="51" s="1"/>
  <c r="F23" i="53"/>
  <c r="G23" i="53" s="1"/>
  <c r="F23" i="52"/>
  <c r="G23" i="52" s="1"/>
  <c r="F23" i="181"/>
  <c r="G23" i="181" s="1"/>
  <c r="G25" i="52" l="1"/>
  <c r="H23" i="52"/>
  <c r="I23" i="52" s="1"/>
  <c r="H23" i="53"/>
  <c r="I23" i="53" s="1"/>
  <c r="G25" i="53"/>
  <c r="G25" i="51"/>
  <c r="H23" i="51"/>
  <c r="I23" i="51" s="1"/>
  <c r="H23" i="181"/>
  <c r="I23" i="181" s="1"/>
  <c r="G25" i="181"/>
  <c r="G42" i="181" l="1"/>
  <c r="G45" i="181" s="1"/>
  <c r="G30" i="181"/>
  <c r="G47" i="181"/>
  <c r="G50" i="181" s="1"/>
  <c r="G29" i="181"/>
  <c r="G29" i="53"/>
  <c r="G47" i="53"/>
  <c r="G50" i="53" s="1"/>
  <c r="G30" i="53"/>
  <c r="G42" i="53"/>
  <c r="G45" i="53" s="1"/>
  <c r="G47" i="51"/>
  <c r="G50" i="51" s="1"/>
  <c r="G29" i="51"/>
  <c r="G42" i="51"/>
  <c r="G45" i="51" s="1"/>
  <c r="G30" i="51"/>
  <c r="G42" i="52"/>
  <c r="G45" i="52" s="1"/>
  <c r="G29" i="52"/>
  <c r="G30" i="52"/>
  <c r="G47" i="52"/>
  <c r="G50" i="52" s="1"/>
  <c r="G48" i="51" l="1"/>
  <c r="G49" i="51" s="1"/>
  <c r="G35" i="53"/>
  <c r="G35" i="181"/>
  <c r="G34" i="52"/>
  <c r="G43" i="53"/>
  <c r="G34" i="53"/>
  <c r="G48" i="181"/>
  <c r="G35" i="51"/>
  <c r="G48" i="52"/>
  <c r="G43" i="52"/>
  <c r="G44" i="52" s="1"/>
  <c r="G43" i="51"/>
  <c r="G48" i="53"/>
  <c r="G49" i="53" s="1"/>
  <c r="G35" i="52"/>
  <c r="G34" i="51"/>
  <c r="G34" i="181"/>
  <c r="G43" i="181"/>
  <c r="G51" i="53" l="1"/>
  <c r="G49" i="52"/>
  <c r="G44" i="51"/>
  <c r="G44" i="181"/>
  <c r="G49" i="181"/>
  <c r="G44" i="53"/>
  <c r="G51" i="51"/>
  <c r="K27" i="51" l="1"/>
  <c r="K17" i="51"/>
  <c r="K32" i="51"/>
  <c r="K40" i="51"/>
  <c r="K36" i="51"/>
  <c r="K41" i="51"/>
  <c r="K51" i="51"/>
  <c r="K28" i="51"/>
  <c r="K37" i="51"/>
  <c r="K26" i="51"/>
  <c r="K24" i="51"/>
  <c r="K16" i="51"/>
  <c r="K22" i="51"/>
  <c r="K31" i="51"/>
  <c r="K33" i="51"/>
  <c r="K38" i="51"/>
  <c r="K15" i="51"/>
  <c r="K18" i="51"/>
  <c r="K21" i="51"/>
  <c r="K39" i="51"/>
  <c r="K20" i="51"/>
  <c r="K19" i="51"/>
  <c r="K23" i="51"/>
  <c r="K25" i="51"/>
  <c r="K47" i="51"/>
  <c r="K30" i="51"/>
  <c r="K29" i="51"/>
  <c r="K48" i="51"/>
  <c r="K49" i="51"/>
  <c r="K34" i="51"/>
  <c r="K35" i="51"/>
  <c r="K50" i="53"/>
  <c r="K21" i="53"/>
  <c r="K24" i="53"/>
  <c r="K31" i="53"/>
  <c r="K26" i="53"/>
  <c r="K51" i="53"/>
  <c r="K18" i="53"/>
  <c r="K28" i="53"/>
  <c r="K38" i="53"/>
  <c r="K20" i="53"/>
  <c r="K36" i="53"/>
  <c r="K33" i="53"/>
  <c r="K22" i="53"/>
  <c r="K39" i="53"/>
  <c r="K16" i="53"/>
  <c r="K40" i="53"/>
  <c r="K27" i="53"/>
  <c r="K17" i="53"/>
  <c r="K15" i="53"/>
  <c r="K41" i="53"/>
  <c r="K32" i="53"/>
  <c r="K37" i="53"/>
  <c r="K19" i="53"/>
  <c r="K23" i="53"/>
  <c r="K25" i="53"/>
  <c r="K30" i="53"/>
  <c r="K29" i="53"/>
  <c r="K47" i="53"/>
  <c r="K48" i="53"/>
  <c r="K34" i="53"/>
  <c r="G46" i="52"/>
  <c r="J45" i="52" s="1"/>
  <c r="K49" i="53"/>
  <c r="K50" i="51"/>
  <c r="G46" i="51"/>
  <c r="K35" i="53"/>
  <c r="G51" i="52"/>
  <c r="G46" i="181" l="1"/>
  <c r="J44" i="181" s="1"/>
  <c r="J45" i="51"/>
  <c r="G46" i="53"/>
  <c r="J45" i="53" s="1"/>
  <c r="J39" i="51"/>
  <c r="J12" i="51"/>
  <c r="J26" i="51"/>
  <c r="J32" i="51"/>
  <c r="J33" i="51"/>
  <c r="J24" i="51"/>
  <c r="J38" i="51"/>
  <c r="J36" i="51"/>
  <c r="J40" i="51"/>
  <c r="J27" i="51"/>
  <c r="J41" i="51"/>
  <c r="J46" i="51"/>
  <c r="J28" i="51"/>
  <c r="J31" i="51"/>
  <c r="J13" i="51"/>
  <c r="J37" i="51"/>
  <c r="J21" i="51"/>
  <c r="J22" i="51"/>
  <c r="J18" i="51"/>
  <c r="J14" i="51"/>
  <c r="J20" i="51"/>
  <c r="J19" i="51"/>
  <c r="J23" i="51"/>
  <c r="J25" i="51"/>
  <c r="J30" i="51"/>
  <c r="J29" i="51"/>
  <c r="J42" i="51"/>
  <c r="J34" i="51"/>
  <c r="J43" i="51"/>
  <c r="J35" i="51"/>
  <c r="K50" i="52"/>
  <c r="G51" i="181"/>
  <c r="K50" i="181" s="1"/>
  <c r="J20" i="52"/>
  <c r="J28" i="52"/>
  <c r="J31" i="52"/>
  <c r="J38" i="52"/>
  <c r="J46" i="52"/>
  <c r="J37" i="52"/>
  <c r="J39" i="52"/>
  <c r="J22" i="52"/>
  <c r="J13" i="52"/>
  <c r="J41" i="52"/>
  <c r="J40" i="52"/>
  <c r="J24" i="52"/>
  <c r="J14" i="52"/>
  <c r="J27" i="52"/>
  <c r="J18" i="52"/>
  <c r="J12" i="52"/>
  <c r="J32" i="52"/>
  <c r="J26" i="52"/>
  <c r="J21" i="52"/>
  <c r="J33" i="52"/>
  <c r="J36" i="52"/>
  <c r="J19" i="52"/>
  <c r="J23" i="52"/>
  <c r="J25" i="52"/>
  <c r="J29" i="52"/>
  <c r="J42" i="52"/>
  <c r="J30" i="52"/>
  <c r="J44" i="52"/>
  <c r="J35" i="52"/>
  <c r="J43" i="52"/>
  <c r="J34" i="52"/>
  <c r="K24" i="52"/>
  <c r="K31" i="52"/>
  <c r="K17" i="52"/>
  <c r="K40" i="52"/>
  <c r="K22" i="52"/>
  <c r="K38" i="52"/>
  <c r="K18" i="52"/>
  <c r="K37" i="52"/>
  <c r="K26" i="52"/>
  <c r="K16" i="52"/>
  <c r="K19" i="52"/>
  <c r="K20" i="52"/>
  <c r="K36" i="52"/>
  <c r="K33" i="52"/>
  <c r="K51" i="52"/>
  <c r="K39" i="52"/>
  <c r="K28" i="52"/>
  <c r="K41" i="52"/>
  <c r="K15" i="52"/>
  <c r="K27" i="52"/>
  <c r="K21" i="52"/>
  <c r="K32" i="52"/>
  <c r="K23" i="52"/>
  <c r="K25" i="52"/>
  <c r="K47" i="52"/>
  <c r="K30" i="52"/>
  <c r="K29" i="52"/>
  <c r="K48" i="52"/>
  <c r="K35" i="52"/>
  <c r="K34" i="52"/>
  <c r="K49" i="52"/>
  <c r="J44" i="51"/>
  <c r="J31" i="181" l="1"/>
  <c r="J42" i="181"/>
  <c r="J26" i="181"/>
  <c r="J20" i="181"/>
  <c r="J46" i="181"/>
  <c r="J32" i="181"/>
  <c r="J35" i="181"/>
  <c r="J14" i="181"/>
  <c r="J34" i="181"/>
  <c r="J38" i="181"/>
  <c r="J24" i="181"/>
  <c r="J30" i="181"/>
  <c r="J23" i="181"/>
  <c r="J22" i="181"/>
  <c r="J40" i="181"/>
  <c r="J27" i="181"/>
  <c r="J13" i="181"/>
  <c r="J45" i="181"/>
  <c r="J25" i="181"/>
  <c r="J41" i="181"/>
  <c r="J28" i="181"/>
  <c r="J37" i="181"/>
  <c r="J18" i="181"/>
  <c r="J43" i="181"/>
  <c r="J29" i="181"/>
  <c r="J33" i="181"/>
  <c r="J21" i="181"/>
  <c r="J19" i="181"/>
  <c r="J39" i="181"/>
  <c r="J36" i="181"/>
  <c r="J12" i="181"/>
  <c r="J44" i="53"/>
  <c r="J40" i="53"/>
  <c r="J32" i="53"/>
  <c r="J14" i="53"/>
  <c r="J36" i="53"/>
  <c r="J28" i="53"/>
  <c r="J18" i="53"/>
  <c r="J37" i="53"/>
  <c r="J38" i="53"/>
  <c r="J21" i="53"/>
  <c r="J12" i="53"/>
  <c r="J46" i="53"/>
  <c r="J22" i="53"/>
  <c r="J27" i="53"/>
  <c r="J20" i="53"/>
  <c r="J24" i="53"/>
  <c r="J13" i="53"/>
  <c r="J19" i="53"/>
  <c r="J39" i="53"/>
  <c r="J26" i="53"/>
  <c r="J41" i="53"/>
  <c r="J33" i="53"/>
  <c r="J31" i="53"/>
  <c r="J23" i="53"/>
  <c r="J25" i="53"/>
  <c r="J29" i="53"/>
  <c r="J42" i="53"/>
  <c r="J30" i="53"/>
  <c r="J43" i="53"/>
  <c r="J35" i="53"/>
  <c r="J34" i="53"/>
  <c r="K39" i="181"/>
  <c r="K26" i="181"/>
  <c r="K37" i="181"/>
  <c r="K51" i="181"/>
  <c r="K21" i="181"/>
  <c r="K38" i="181"/>
  <c r="K18" i="181"/>
  <c r="K36" i="181"/>
  <c r="K31" i="181"/>
  <c r="K41" i="181"/>
  <c r="K33" i="181"/>
  <c r="K28" i="181"/>
  <c r="K27" i="181"/>
  <c r="K17" i="181"/>
  <c r="K22" i="181"/>
  <c r="K20" i="181"/>
  <c r="K24" i="181"/>
  <c r="K32" i="181"/>
  <c r="K40" i="181"/>
  <c r="K19" i="181"/>
  <c r="K16" i="181"/>
  <c r="K15" i="181"/>
  <c r="K23" i="181"/>
  <c r="K25" i="181"/>
  <c r="K30" i="181"/>
  <c r="K47" i="181"/>
  <c r="K29" i="181"/>
  <c r="K35" i="181"/>
  <c r="K48" i="181"/>
  <c r="K34" i="181"/>
  <c r="K49" i="181"/>
  <c r="C20" i="72" l="1"/>
  <c r="D20" i="72" s="1"/>
  <c r="C20" i="5"/>
  <c r="D20" i="5" s="1"/>
  <c r="C20" i="171"/>
  <c r="D20" i="171" s="1"/>
  <c r="D23" i="5" l="1"/>
  <c r="D23" i="72"/>
  <c r="D23" i="171"/>
  <c r="D27" i="171" l="1"/>
  <c r="D34" i="171"/>
  <c r="D34" i="72"/>
  <c r="D27" i="72"/>
  <c r="D27" i="5"/>
  <c r="D34" i="5"/>
  <c r="D37" i="171" l="1"/>
  <c r="D35" i="171"/>
  <c r="D37" i="5"/>
  <c r="D35" i="5"/>
  <c r="D37" i="72"/>
  <c r="D35" i="72"/>
  <c r="D36" i="72" l="1"/>
  <c r="D36" i="5"/>
  <c r="D36" i="171"/>
  <c r="C20" i="76" l="1"/>
  <c r="D20" i="76" s="1"/>
  <c r="C20" i="172"/>
  <c r="D20" i="172" s="1"/>
  <c r="C20" i="78"/>
  <c r="D20" i="78" s="1"/>
  <c r="D38" i="5"/>
  <c r="D38" i="72"/>
  <c r="D38" i="171"/>
  <c r="D23" i="172" l="1"/>
  <c r="E26" i="7"/>
  <c r="D23" i="78"/>
  <c r="C20" i="75"/>
  <c r="D20" i="75" s="1"/>
  <c r="C20" i="73"/>
  <c r="D20" i="73" s="1"/>
  <c r="C20" i="170"/>
  <c r="D20" i="170" s="1"/>
  <c r="E25" i="7"/>
  <c r="E27" i="7"/>
  <c r="D23" i="76"/>
  <c r="D34" i="76" l="1"/>
  <c r="D27" i="76"/>
  <c r="D27" i="172"/>
  <c r="D34" i="172"/>
  <c r="D23" i="170"/>
  <c r="D23" i="73"/>
  <c r="D34" i="78"/>
  <c r="D27" i="78"/>
  <c r="D23" i="75"/>
  <c r="D34" i="75" l="1"/>
  <c r="D27" i="75"/>
  <c r="D34" i="73"/>
  <c r="D27" i="73"/>
  <c r="D37" i="78"/>
  <c r="D35" i="78"/>
  <c r="D27" i="170"/>
  <c r="D34" i="170"/>
  <c r="D37" i="172"/>
  <c r="D35" i="172"/>
  <c r="D37" i="76"/>
  <c r="D35" i="76"/>
  <c r="D36" i="76" l="1"/>
  <c r="D38" i="76" s="1"/>
  <c r="D36" i="172"/>
  <c r="D37" i="170"/>
  <c r="D35" i="170"/>
  <c r="D37" i="73"/>
  <c r="D35" i="73"/>
  <c r="D36" i="78"/>
  <c r="D37" i="75"/>
  <c r="D35" i="75"/>
  <c r="D36" i="75" l="1"/>
  <c r="D38" i="75" s="1"/>
  <c r="D36" i="73"/>
  <c r="D38" i="78"/>
  <c r="D36" i="170"/>
  <c r="E40" i="7"/>
  <c r="D38" i="172"/>
  <c r="D38" i="73" l="1"/>
  <c r="E28" i="7" s="1"/>
  <c r="E41" i="7"/>
  <c r="E42" i="7"/>
  <c r="D38" i="170"/>
  <c r="E30" i="7"/>
  <c r="E29" i="7" l="1"/>
  <c r="C16" i="79" l="1"/>
  <c r="D16" i="79" s="1"/>
  <c r="C16" i="173"/>
  <c r="D16" i="173" s="1"/>
  <c r="C16" i="81"/>
  <c r="D16" i="81" s="1"/>
  <c r="C19" i="52"/>
  <c r="D19" i="52" s="1"/>
  <c r="C19" i="53"/>
  <c r="D19" i="53" s="1"/>
  <c r="C19" i="51"/>
  <c r="D19" i="51" s="1"/>
  <c r="C19" i="181"/>
  <c r="D19" i="181" s="1"/>
  <c r="D25" i="51" l="1"/>
  <c r="H19" i="51"/>
  <c r="I19" i="51" s="1"/>
  <c r="D25" i="52"/>
  <c r="H19" i="52"/>
  <c r="I19" i="52" s="1"/>
  <c r="D25" i="53"/>
  <c r="H19" i="53"/>
  <c r="I19" i="53" s="1"/>
  <c r="D23" i="81"/>
  <c r="H16" i="81"/>
  <c r="I16" i="81" s="1"/>
  <c r="D25" i="181"/>
  <c r="H19" i="181"/>
  <c r="I19" i="181" s="1"/>
  <c r="D23" i="173"/>
  <c r="H16" i="173"/>
  <c r="I16" i="173" s="1"/>
  <c r="D23" i="79"/>
  <c r="H16" i="79"/>
  <c r="I16" i="79" s="1"/>
  <c r="D34" i="79" l="1"/>
  <c r="D27" i="79"/>
  <c r="H27" i="79" s="1"/>
  <c r="I27" i="79" s="1"/>
  <c r="H23" i="79"/>
  <c r="D34" i="81"/>
  <c r="D27" i="81"/>
  <c r="H27" i="81" s="1"/>
  <c r="I27" i="81" s="1"/>
  <c r="H23" i="81"/>
  <c r="D30" i="53"/>
  <c r="D47" i="53"/>
  <c r="D42" i="53"/>
  <c r="D29" i="53"/>
  <c r="H25" i="53"/>
  <c r="D27" i="173"/>
  <c r="H27" i="173" s="1"/>
  <c r="I27" i="173" s="1"/>
  <c r="D34" i="173"/>
  <c r="H23" i="173"/>
  <c r="D42" i="52"/>
  <c r="D29" i="52"/>
  <c r="D30" i="52"/>
  <c r="D47" i="52"/>
  <c r="H25" i="52"/>
  <c r="D30" i="181"/>
  <c r="D29" i="181"/>
  <c r="D42" i="181"/>
  <c r="D47" i="181"/>
  <c r="H25" i="181"/>
  <c r="D29" i="51"/>
  <c r="D42" i="51"/>
  <c r="D30" i="51"/>
  <c r="D47" i="51"/>
  <c r="H25" i="51"/>
  <c r="D34" i="181" l="1"/>
  <c r="H34" i="181" s="1"/>
  <c r="I34" i="181" s="1"/>
  <c r="H29" i="181"/>
  <c r="I29" i="181" s="1"/>
  <c r="D48" i="51"/>
  <c r="D50" i="51"/>
  <c r="H50" i="51" s="1"/>
  <c r="I50" i="51" s="1"/>
  <c r="H47" i="51"/>
  <c r="I47" i="51" s="1"/>
  <c r="D35" i="181"/>
  <c r="H35" i="181" s="1"/>
  <c r="I35" i="181" s="1"/>
  <c r="H30" i="181"/>
  <c r="I30" i="181" s="1"/>
  <c r="D37" i="81"/>
  <c r="H37" i="81" s="1"/>
  <c r="I37" i="81" s="1"/>
  <c r="D35" i="81"/>
  <c r="H35" i="81" s="1"/>
  <c r="I35" i="81" s="1"/>
  <c r="H34" i="81"/>
  <c r="I34" i="81" s="1"/>
  <c r="D43" i="51"/>
  <c r="D45" i="51"/>
  <c r="H45" i="51" s="1"/>
  <c r="I45" i="51" s="1"/>
  <c r="H42" i="51"/>
  <c r="I42" i="51" s="1"/>
  <c r="D34" i="53"/>
  <c r="H34" i="53" s="1"/>
  <c r="I34" i="53" s="1"/>
  <c r="H29" i="53"/>
  <c r="I29" i="53" s="1"/>
  <c r="D48" i="181"/>
  <c r="D50" i="181"/>
  <c r="H50" i="181" s="1"/>
  <c r="I50" i="181" s="1"/>
  <c r="H47" i="181"/>
  <c r="I47" i="181" s="1"/>
  <c r="D45" i="52"/>
  <c r="H45" i="52" s="1"/>
  <c r="I45" i="52" s="1"/>
  <c r="D43" i="52"/>
  <c r="H42" i="52"/>
  <c r="I42" i="52" s="1"/>
  <c r="D35" i="53"/>
  <c r="H35" i="53" s="1"/>
  <c r="I35" i="53" s="1"/>
  <c r="H30" i="53"/>
  <c r="I30" i="53" s="1"/>
  <c r="D45" i="181"/>
  <c r="H45" i="181" s="1"/>
  <c r="I45" i="181" s="1"/>
  <c r="D43" i="181"/>
  <c r="H42" i="181"/>
  <c r="I42" i="181" s="1"/>
  <c r="D37" i="173"/>
  <c r="H37" i="173" s="1"/>
  <c r="I37" i="173" s="1"/>
  <c r="D35" i="173"/>
  <c r="H34" i="173"/>
  <c r="I34" i="173" s="1"/>
  <c r="I25" i="52"/>
  <c r="G11" i="7" s="1"/>
  <c r="F11" i="7"/>
  <c r="D50" i="52"/>
  <c r="H50" i="52" s="1"/>
  <c r="I50" i="52" s="1"/>
  <c r="D48" i="52"/>
  <c r="H47" i="52"/>
  <c r="I47" i="52" s="1"/>
  <c r="D34" i="51"/>
  <c r="H34" i="51" s="1"/>
  <c r="I34" i="51" s="1"/>
  <c r="H29" i="51"/>
  <c r="I29" i="51" s="1"/>
  <c r="D35" i="52"/>
  <c r="H35" i="52" s="1"/>
  <c r="I35" i="52" s="1"/>
  <c r="H30" i="52"/>
  <c r="I30" i="52" s="1"/>
  <c r="D45" i="53"/>
  <c r="H45" i="53" s="1"/>
  <c r="I45" i="53" s="1"/>
  <c r="D43" i="53"/>
  <c r="H42" i="53"/>
  <c r="I42" i="53" s="1"/>
  <c r="I23" i="173"/>
  <c r="G44" i="7" s="1"/>
  <c r="F44" i="7"/>
  <c r="I25" i="51"/>
  <c r="G10" i="7" s="1"/>
  <c r="F10" i="7"/>
  <c r="I23" i="81"/>
  <c r="G45" i="7" s="1"/>
  <c r="F45" i="7"/>
  <c r="D35" i="51"/>
  <c r="H35" i="51" s="1"/>
  <c r="I35" i="51" s="1"/>
  <c r="H30" i="51"/>
  <c r="I30" i="51" s="1"/>
  <c r="I25" i="53"/>
  <c r="G13" i="7" s="1"/>
  <c r="F13" i="7"/>
  <c r="I23" i="79"/>
  <c r="G43" i="7" s="1"/>
  <c r="F43" i="7"/>
  <c r="I25" i="181"/>
  <c r="G12" i="7" s="1"/>
  <c r="F12" i="7"/>
  <c r="D34" i="52"/>
  <c r="H34" i="52" s="1"/>
  <c r="I34" i="52" s="1"/>
  <c r="H29" i="52"/>
  <c r="I29" i="52" s="1"/>
  <c r="D50" i="53"/>
  <c r="H50" i="53" s="1"/>
  <c r="I50" i="53" s="1"/>
  <c r="D48" i="53"/>
  <c r="H47" i="53"/>
  <c r="I47" i="53" s="1"/>
  <c r="D37" i="79"/>
  <c r="H37" i="79" s="1"/>
  <c r="I37" i="79" s="1"/>
  <c r="D35" i="79"/>
  <c r="H35" i="79" s="1"/>
  <c r="I35" i="79" s="1"/>
  <c r="H34" i="79"/>
  <c r="I34" i="79" s="1"/>
  <c r="D36" i="81" l="1"/>
  <c r="D38" i="81" s="1"/>
  <c r="D49" i="51"/>
  <c r="H48" i="51"/>
  <c r="I48" i="51" s="1"/>
  <c r="D49" i="52"/>
  <c r="H48" i="52"/>
  <c r="I48" i="52" s="1"/>
  <c r="D44" i="181"/>
  <c r="H43" i="181"/>
  <c r="I43" i="181" s="1"/>
  <c r="D36" i="173"/>
  <c r="H35" i="173"/>
  <c r="I35" i="173" s="1"/>
  <c r="D36" i="79"/>
  <c r="D44" i="53"/>
  <c r="H43" i="53"/>
  <c r="I43" i="53" s="1"/>
  <c r="D49" i="181"/>
  <c r="H48" i="181"/>
  <c r="I48" i="181" s="1"/>
  <c r="D49" i="53"/>
  <c r="H48" i="53"/>
  <c r="I48" i="53" s="1"/>
  <c r="D44" i="52"/>
  <c r="H43" i="52"/>
  <c r="I43" i="52" s="1"/>
  <c r="D44" i="51"/>
  <c r="H43" i="51"/>
  <c r="I43" i="51" s="1"/>
  <c r="H36" i="81" l="1"/>
  <c r="I36" i="81" s="1"/>
  <c r="D51" i="181"/>
  <c r="H49" i="181"/>
  <c r="I49" i="181" s="1"/>
  <c r="D46" i="181"/>
  <c r="H46" i="181" s="1"/>
  <c r="I46" i="181" s="1"/>
  <c r="H44" i="181"/>
  <c r="I44" i="181" s="1"/>
  <c r="D51" i="52"/>
  <c r="H49" i="52"/>
  <c r="I49" i="52" s="1"/>
  <c r="E45" i="7"/>
  <c r="H38" i="81"/>
  <c r="D46" i="51"/>
  <c r="H46" i="51" s="1"/>
  <c r="I46" i="51" s="1"/>
  <c r="H44" i="51"/>
  <c r="I44" i="51" s="1"/>
  <c r="D46" i="52"/>
  <c r="H46" i="52" s="1"/>
  <c r="I46" i="52" s="1"/>
  <c r="H44" i="52"/>
  <c r="I44" i="52" s="1"/>
  <c r="D38" i="79"/>
  <c r="H36" i="79"/>
  <c r="I36" i="79" s="1"/>
  <c r="D38" i="173"/>
  <c r="H36" i="173"/>
  <c r="I36" i="173" s="1"/>
  <c r="D46" i="53"/>
  <c r="H46" i="53" s="1"/>
  <c r="I46" i="53" s="1"/>
  <c r="H44" i="53"/>
  <c r="I44" i="53" s="1"/>
  <c r="D51" i="53"/>
  <c r="H49" i="53"/>
  <c r="I49" i="53" s="1"/>
  <c r="D51" i="51"/>
  <c r="H49" i="51"/>
  <c r="I49" i="51" s="1"/>
  <c r="E13" i="7" l="1"/>
  <c r="H51" i="53"/>
  <c r="E44" i="7"/>
  <c r="H38" i="173"/>
  <c r="H45" i="7"/>
  <c r="I38" i="81"/>
  <c r="I45" i="7" s="1"/>
  <c r="E10" i="7"/>
  <c r="H51" i="51"/>
  <c r="E43" i="7"/>
  <c r="H38" i="79"/>
  <c r="E11" i="7"/>
  <c r="H51" i="52"/>
  <c r="E12" i="7"/>
  <c r="H51" i="181"/>
  <c r="I51" i="52" l="1"/>
  <c r="I11" i="7" s="1"/>
  <c r="H11" i="7"/>
  <c r="I51" i="51"/>
  <c r="I10" i="7" s="1"/>
  <c r="H10" i="7"/>
  <c r="I38" i="173"/>
  <c r="I44" i="7" s="1"/>
  <c r="H44" i="7"/>
  <c r="I51" i="181"/>
  <c r="I12" i="7" s="1"/>
  <c r="H12" i="7"/>
  <c r="I38" i="79"/>
  <c r="I43" i="7" s="1"/>
  <c r="H43" i="7"/>
  <c r="I51" i="53"/>
  <c r="I13" i="7" s="1"/>
  <c r="H13" i="7"/>
  <c r="F19" i="50" l="1"/>
  <c r="G19" i="50" s="1"/>
  <c r="F19" i="182"/>
  <c r="G19" i="182" s="1"/>
  <c r="F19" i="48"/>
  <c r="G19" i="48" s="1"/>
  <c r="F19" i="49"/>
  <c r="G19" i="49" s="1"/>
  <c r="F15" i="151"/>
  <c r="G15" i="151" s="1"/>
  <c r="F15" i="70"/>
  <c r="G15" i="70" s="1"/>
  <c r="F15" i="68"/>
  <c r="G15" i="68" s="1"/>
  <c r="F15" i="154"/>
  <c r="G15" i="154" s="1"/>
  <c r="F15" i="141"/>
  <c r="G15" i="141" s="1"/>
  <c r="F15" i="175"/>
  <c r="G15" i="175" s="1"/>
  <c r="F19" i="168"/>
  <c r="G19" i="168" s="1"/>
  <c r="F19" i="54"/>
  <c r="G19" i="54" s="1"/>
  <c r="F19" i="56"/>
  <c r="G19" i="56" s="1"/>
  <c r="F19" i="117"/>
  <c r="G19" i="117" s="1"/>
  <c r="F19" i="186"/>
  <c r="G19" i="186" s="1"/>
  <c r="F19" i="116"/>
  <c r="G19" i="116" s="1"/>
  <c r="F19" i="118"/>
  <c r="G19" i="118" s="1"/>
  <c r="F16" i="119"/>
  <c r="G16" i="119" s="1"/>
  <c r="F16" i="120"/>
  <c r="G16" i="120" s="1"/>
  <c r="F16" i="121"/>
  <c r="G16" i="121" s="1"/>
  <c r="F16" i="137"/>
  <c r="G16" i="137" s="1"/>
  <c r="F16" i="139"/>
  <c r="G16" i="139" s="1"/>
  <c r="F16" i="138"/>
  <c r="G16" i="138" s="1"/>
  <c r="F16" i="136"/>
  <c r="G16" i="136" s="1"/>
  <c r="F16" i="134"/>
  <c r="G16" i="134" s="1"/>
  <c r="F16" i="135"/>
  <c r="G16" i="135" s="1"/>
  <c r="H19" i="54" l="1"/>
  <c r="I19" i="54" s="1"/>
  <c r="H19" i="49"/>
  <c r="I19" i="49" s="1"/>
  <c r="H19" i="168"/>
  <c r="I19" i="168" s="1"/>
  <c r="H19" i="48"/>
  <c r="I19" i="48" s="1"/>
  <c r="H15" i="175"/>
  <c r="I15" i="175" s="1"/>
  <c r="H15" i="70"/>
  <c r="I15" i="70" s="1"/>
  <c r="H19" i="182"/>
  <c r="I19" i="182" s="1"/>
  <c r="H15" i="154"/>
  <c r="I15" i="154" s="1"/>
  <c r="H15" i="68"/>
  <c r="I15" i="68" s="1"/>
  <c r="F18" i="154"/>
  <c r="G18" i="154" s="1"/>
  <c r="G22" i="154" s="1"/>
  <c r="F19" i="70"/>
  <c r="G19" i="70" s="1"/>
  <c r="F18" i="141"/>
  <c r="G18" i="141" s="1"/>
  <c r="G21" i="141" s="1"/>
  <c r="F19" i="68"/>
  <c r="G19" i="68" s="1"/>
  <c r="F19" i="175"/>
  <c r="G19" i="175" s="1"/>
  <c r="G22" i="175" s="1"/>
  <c r="F18" i="151"/>
  <c r="G18" i="151" s="1"/>
  <c r="G22" i="151" s="1"/>
  <c r="H19" i="56"/>
  <c r="I19" i="56" s="1"/>
  <c r="H15" i="141"/>
  <c r="I15" i="141" s="1"/>
  <c r="H15" i="151"/>
  <c r="I15" i="151" s="1"/>
  <c r="H19" i="50"/>
  <c r="I19" i="50" s="1"/>
  <c r="H16" i="134"/>
  <c r="I16" i="134" s="1"/>
  <c r="H16" i="137"/>
  <c r="I16" i="137" s="1"/>
  <c r="H19" i="118"/>
  <c r="I19" i="118" s="1"/>
  <c r="H16" i="121"/>
  <c r="I16" i="121" s="1"/>
  <c r="H16" i="138"/>
  <c r="I16" i="138" s="1"/>
  <c r="H16" i="120"/>
  <c r="I16" i="120" s="1"/>
  <c r="H19" i="186"/>
  <c r="I19" i="186" s="1"/>
  <c r="H16" i="136"/>
  <c r="I16" i="136" s="1"/>
  <c r="H19" i="116"/>
  <c r="I19" i="116" s="1"/>
  <c r="H16" i="135"/>
  <c r="I16" i="135" s="1"/>
  <c r="H16" i="139"/>
  <c r="I16" i="139" s="1"/>
  <c r="H16" i="119"/>
  <c r="I16" i="119" s="1"/>
  <c r="H19" i="117"/>
  <c r="I19" i="117" s="1"/>
  <c r="H22" i="175" l="1"/>
  <c r="G24" i="175"/>
  <c r="G23" i="141"/>
  <c r="H21" i="141"/>
  <c r="H22" i="154"/>
  <c r="G24" i="154"/>
  <c r="H22" i="151"/>
  <c r="G24" i="151"/>
  <c r="H18" i="141"/>
  <c r="I18" i="141" s="1"/>
  <c r="H18" i="151"/>
  <c r="I18" i="151" s="1"/>
  <c r="H19" i="70"/>
  <c r="I19" i="70" s="1"/>
  <c r="H19" i="68"/>
  <c r="I19" i="68" s="1"/>
  <c r="G22" i="68"/>
  <c r="H19" i="175"/>
  <c r="I19" i="175" s="1"/>
  <c r="H18" i="154"/>
  <c r="I18" i="154" s="1"/>
  <c r="G22" i="70"/>
  <c r="G35" i="154" l="1"/>
  <c r="G28" i="154"/>
  <c r="H24" i="154"/>
  <c r="I24" i="154" s="1"/>
  <c r="H23" i="141"/>
  <c r="I23" i="141" s="1"/>
  <c r="G27" i="141"/>
  <c r="G34" i="141"/>
  <c r="F23" i="168"/>
  <c r="G23" i="168" s="1"/>
  <c r="F23" i="54"/>
  <c r="G23" i="54" s="1"/>
  <c r="F23" i="56"/>
  <c r="G23" i="56" s="1"/>
  <c r="I22" i="154"/>
  <c r="G48" i="179" s="1"/>
  <c r="F48" i="179"/>
  <c r="H22" i="70"/>
  <c r="G24" i="70"/>
  <c r="I22" i="151"/>
  <c r="G33" i="179" s="1"/>
  <c r="F33" i="179"/>
  <c r="G35" i="175"/>
  <c r="H24" i="175"/>
  <c r="I24" i="175" s="1"/>
  <c r="G28" i="175"/>
  <c r="F23" i="48"/>
  <c r="G23" i="48" s="1"/>
  <c r="F23" i="50"/>
  <c r="G23" i="50" s="1"/>
  <c r="F23" i="182"/>
  <c r="G23" i="182" s="1"/>
  <c r="F23" i="49"/>
  <c r="G23" i="49" s="1"/>
  <c r="G35" i="151"/>
  <c r="H24" i="151"/>
  <c r="I24" i="151" s="1"/>
  <c r="G28" i="151"/>
  <c r="H22" i="68"/>
  <c r="G24" i="68"/>
  <c r="F15" i="179"/>
  <c r="I21" i="141"/>
  <c r="G15" i="179" s="1"/>
  <c r="I22" i="175"/>
  <c r="G38" i="7" s="1"/>
  <c r="F38" i="7"/>
  <c r="H23" i="50" l="1"/>
  <c r="I23" i="50" s="1"/>
  <c r="G25" i="50"/>
  <c r="G38" i="151"/>
  <c r="H38" i="151" s="1"/>
  <c r="I38" i="151" s="1"/>
  <c r="H35" i="151"/>
  <c r="I35" i="151" s="1"/>
  <c r="G36" i="151"/>
  <c r="G37" i="141"/>
  <c r="G35" i="141"/>
  <c r="G36" i="141" s="1"/>
  <c r="H34" i="141"/>
  <c r="I34" i="141" s="1"/>
  <c r="H23" i="49"/>
  <c r="I23" i="49" s="1"/>
  <c r="G25" i="49"/>
  <c r="I22" i="70"/>
  <c r="G39" i="7" s="1"/>
  <c r="F39" i="7"/>
  <c r="H23" i="54"/>
  <c r="I23" i="54" s="1"/>
  <c r="G25" i="54"/>
  <c r="H27" i="141"/>
  <c r="I27" i="141" s="1"/>
  <c r="H28" i="154"/>
  <c r="I28" i="154" s="1"/>
  <c r="G28" i="68"/>
  <c r="G35" i="68"/>
  <c r="H24" i="68"/>
  <c r="I24" i="68" s="1"/>
  <c r="I22" i="68"/>
  <c r="G37" i="7" s="1"/>
  <c r="F37" i="7"/>
  <c r="H23" i="48"/>
  <c r="I23" i="48" s="1"/>
  <c r="G25" i="48"/>
  <c r="G38" i="175"/>
  <c r="H38" i="175" s="1"/>
  <c r="I38" i="175" s="1"/>
  <c r="G36" i="175"/>
  <c r="H35" i="175"/>
  <c r="I35" i="175" s="1"/>
  <c r="G35" i="70"/>
  <c r="G28" i="70"/>
  <c r="H24" i="70"/>
  <c r="I24" i="70" s="1"/>
  <c r="H23" i="56"/>
  <c r="I23" i="56" s="1"/>
  <c r="G25" i="56"/>
  <c r="H28" i="151"/>
  <c r="I28" i="151" s="1"/>
  <c r="H23" i="182"/>
  <c r="I23" i="182" s="1"/>
  <c r="G25" i="182"/>
  <c r="H28" i="175"/>
  <c r="I28" i="175" s="1"/>
  <c r="H23" i="168"/>
  <c r="I23" i="168" s="1"/>
  <c r="G25" i="168"/>
  <c r="G38" i="154"/>
  <c r="H38" i="154" s="1"/>
  <c r="I38" i="154" s="1"/>
  <c r="G36" i="154"/>
  <c r="H35" i="154"/>
  <c r="I35" i="154" s="1"/>
  <c r="F19" i="132"/>
  <c r="G19" i="132" s="1"/>
  <c r="F19" i="130"/>
  <c r="G19" i="130" s="1"/>
  <c r="F19" i="190"/>
  <c r="G19" i="190" s="1"/>
  <c r="F19" i="133"/>
  <c r="G19" i="133" s="1"/>
  <c r="F19" i="128"/>
  <c r="G19" i="128" s="1"/>
  <c r="F19" i="129"/>
  <c r="G19" i="129" s="1"/>
  <c r="F19" i="189"/>
  <c r="G19" i="189" s="1"/>
  <c r="F19" i="131"/>
  <c r="G19" i="131" s="1"/>
  <c r="H36" i="154" l="1"/>
  <c r="I36" i="154" s="1"/>
  <c r="H25" i="182"/>
  <c r="G42" i="182"/>
  <c r="G47" i="182"/>
  <c r="G29" i="182"/>
  <c r="G30" i="182"/>
  <c r="H28" i="70"/>
  <c r="I28" i="70" s="1"/>
  <c r="H28" i="68"/>
  <c r="I28" i="68" s="1"/>
  <c r="G38" i="141"/>
  <c r="J35" i="141" s="1"/>
  <c r="H36" i="141"/>
  <c r="I36" i="141" s="1"/>
  <c r="G30" i="50"/>
  <c r="H25" i="50"/>
  <c r="G47" i="50"/>
  <c r="G29" i="50"/>
  <c r="G42" i="50"/>
  <c r="G38" i="70"/>
  <c r="H35" i="70"/>
  <c r="I35" i="70" s="1"/>
  <c r="G36" i="70"/>
  <c r="G37" i="70" s="1"/>
  <c r="H36" i="175"/>
  <c r="I36" i="175" s="1"/>
  <c r="H25" i="54"/>
  <c r="G42" i="54"/>
  <c r="G30" i="54"/>
  <c r="G47" i="54"/>
  <c r="G29" i="54"/>
  <c r="G37" i="151"/>
  <c r="H36" i="151"/>
  <c r="I36" i="151" s="1"/>
  <c r="G37" i="154"/>
  <c r="H25" i="168"/>
  <c r="G29" i="168"/>
  <c r="G47" i="168"/>
  <c r="G42" i="168"/>
  <c r="G30" i="168"/>
  <c r="G29" i="56"/>
  <c r="H25" i="56"/>
  <c r="G47" i="56"/>
  <c r="G30" i="56"/>
  <c r="G42" i="56"/>
  <c r="H35" i="141"/>
  <c r="I35" i="141" s="1"/>
  <c r="G37" i="175"/>
  <c r="G30" i="48"/>
  <c r="G29" i="48"/>
  <c r="G42" i="48"/>
  <c r="G47" i="48"/>
  <c r="H25" i="48"/>
  <c r="G38" i="68"/>
  <c r="H35" i="68"/>
  <c r="I35" i="68" s="1"/>
  <c r="G36" i="68"/>
  <c r="H25" i="49"/>
  <c r="G47" i="49"/>
  <c r="G42" i="49"/>
  <c r="G30" i="49"/>
  <c r="G29" i="49"/>
  <c r="H37" i="141"/>
  <c r="I37" i="141" s="1"/>
  <c r="H19" i="128"/>
  <c r="I19" i="128" s="1"/>
  <c r="H19" i="131"/>
  <c r="I19" i="131" s="1"/>
  <c r="H19" i="133"/>
  <c r="I19" i="133" s="1"/>
  <c r="H19" i="190"/>
  <c r="I19" i="190" s="1"/>
  <c r="H19" i="132"/>
  <c r="I19" i="132" s="1"/>
  <c r="H19" i="189"/>
  <c r="I19" i="189" s="1"/>
  <c r="H19" i="129"/>
  <c r="I19" i="129" s="1"/>
  <c r="H19" i="130"/>
  <c r="I19" i="130" s="1"/>
  <c r="J37" i="141" l="1"/>
  <c r="G45" i="49"/>
  <c r="H45" i="49" s="1"/>
  <c r="I45" i="49" s="1"/>
  <c r="G43" i="49"/>
  <c r="H42" i="49"/>
  <c r="I42" i="49" s="1"/>
  <c r="G45" i="56"/>
  <c r="H45" i="56" s="1"/>
  <c r="I45" i="56" s="1"/>
  <c r="G43" i="56"/>
  <c r="H42" i="56"/>
  <c r="I42" i="56" s="1"/>
  <c r="H29" i="56"/>
  <c r="I29" i="56" s="1"/>
  <c r="G34" i="56"/>
  <c r="G45" i="168"/>
  <c r="G43" i="168"/>
  <c r="G44" i="168" s="1"/>
  <c r="H42" i="168"/>
  <c r="I42" i="168" s="1"/>
  <c r="H37" i="154"/>
  <c r="I37" i="154" s="1"/>
  <c r="G39" i="154"/>
  <c r="J37" i="154" s="1"/>
  <c r="H30" i="54"/>
  <c r="I30" i="54" s="1"/>
  <c r="G35" i="54"/>
  <c r="G45" i="50"/>
  <c r="H45" i="50" s="1"/>
  <c r="I45" i="50" s="1"/>
  <c r="G43" i="50"/>
  <c r="H42" i="50"/>
  <c r="I42" i="50" s="1"/>
  <c r="G35" i="50"/>
  <c r="H30" i="50"/>
  <c r="I30" i="50" s="1"/>
  <c r="G45" i="182"/>
  <c r="H45" i="182" s="1"/>
  <c r="I45" i="182" s="1"/>
  <c r="G43" i="182"/>
  <c r="H42" i="182"/>
  <c r="I42" i="182" s="1"/>
  <c r="H30" i="48"/>
  <c r="I30" i="48" s="1"/>
  <c r="G35" i="48"/>
  <c r="G35" i="56"/>
  <c r="H30" i="56"/>
  <c r="I30" i="56" s="1"/>
  <c r="H30" i="182"/>
  <c r="I30" i="182" s="1"/>
  <c r="G35" i="182"/>
  <c r="F19" i="46"/>
  <c r="G19" i="46" s="1"/>
  <c r="F19" i="180"/>
  <c r="G19" i="180" s="1"/>
  <c r="F19" i="4"/>
  <c r="G19" i="4" s="1"/>
  <c r="F19" i="47"/>
  <c r="G19" i="47" s="1"/>
  <c r="H29" i="49"/>
  <c r="I29" i="49" s="1"/>
  <c r="G34" i="49"/>
  <c r="I25" i="49"/>
  <c r="G7" i="7" s="1"/>
  <c r="F7" i="7"/>
  <c r="H38" i="68"/>
  <c r="I38" i="68" s="1"/>
  <c r="G50" i="48"/>
  <c r="H50" i="48" s="1"/>
  <c r="I50" i="48" s="1"/>
  <c r="G48" i="48"/>
  <c r="G49" i="48" s="1"/>
  <c r="H47" i="48"/>
  <c r="I47" i="48" s="1"/>
  <c r="H37" i="175"/>
  <c r="I37" i="175" s="1"/>
  <c r="G39" i="175"/>
  <c r="J37" i="175" s="1"/>
  <c r="G50" i="56"/>
  <c r="G48" i="56"/>
  <c r="H47" i="56"/>
  <c r="I47" i="56" s="1"/>
  <c r="G34" i="168"/>
  <c r="H29" i="168"/>
  <c r="I29" i="168" s="1"/>
  <c r="H29" i="54"/>
  <c r="I29" i="54" s="1"/>
  <c r="G34" i="54"/>
  <c r="I25" i="54"/>
  <c r="G14" i="7" s="1"/>
  <c r="F14" i="7"/>
  <c r="H37" i="70"/>
  <c r="I37" i="70" s="1"/>
  <c r="G39" i="70"/>
  <c r="G50" i="50"/>
  <c r="H47" i="50"/>
  <c r="I47" i="50" s="1"/>
  <c r="G48" i="50"/>
  <c r="J36" i="141"/>
  <c r="J25" i="141"/>
  <c r="J38" i="141"/>
  <c r="J20" i="141"/>
  <c r="J16" i="141"/>
  <c r="J14" i="141"/>
  <c r="J28" i="141"/>
  <c r="J19" i="141"/>
  <c r="J31" i="141"/>
  <c r="J32" i="141"/>
  <c r="J26" i="141"/>
  <c r="J12" i="141"/>
  <c r="J13" i="141"/>
  <c r="J29" i="141"/>
  <c r="H38" i="141"/>
  <c r="J22" i="141"/>
  <c r="J24" i="141"/>
  <c r="J17" i="141"/>
  <c r="J30" i="141"/>
  <c r="J33" i="141"/>
  <c r="J15" i="141"/>
  <c r="J21" i="141"/>
  <c r="J18" i="141"/>
  <c r="J23" i="141"/>
  <c r="J34" i="141"/>
  <c r="J27" i="141"/>
  <c r="G34" i="182"/>
  <c r="H29" i="182"/>
  <c r="I29" i="182" s="1"/>
  <c r="G37" i="68"/>
  <c r="H36" i="68"/>
  <c r="I36" i="68" s="1"/>
  <c r="G34" i="48"/>
  <c r="H29" i="48"/>
  <c r="I29" i="48" s="1"/>
  <c r="G50" i="49"/>
  <c r="H47" i="49"/>
  <c r="I47" i="49" s="1"/>
  <c r="G48" i="49"/>
  <c r="I25" i="48"/>
  <c r="G6" i="7" s="1"/>
  <c r="F6" i="7"/>
  <c r="G50" i="168"/>
  <c r="H47" i="168"/>
  <c r="I47" i="168" s="1"/>
  <c r="G48" i="168"/>
  <c r="G45" i="54"/>
  <c r="G43" i="54"/>
  <c r="H42" i="54"/>
  <c r="I42" i="54" s="1"/>
  <c r="H38" i="70"/>
  <c r="I38" i="70" s="1"/>
  <c r="G34" i="50"/>
  <c r="H29" i="50"/>
  <c r="I29" i="50" s="1"/>
  <c r="I25" i="182"/>
  <c r="G8" i="7" s="1"/>
  <c r="F8" i="7"/>
  <c r="G35" i="49"/>
  <c r="H30" i="49"/>
  <c r="I30" i="49" s="1"/>
  <c r="G45" i="48"/>
  <c r="H45" i="48" s="1"/>
  <c r="I45" i="48" s="1"/>
  <c r="G43" i="48"/>
  <c r="G44" i="48" s="1"/>
  <c r="H42" i="48"/>
  <c r="I42" i="48" s="1"/>
  <c r="I25" i="56"/>
  <c r="G16" i="7" s="1"/>
  <c r="F16" i="7"/>
  <c r="G35" i="168"/>
  <c r="H30" i="168"/>
  <c r="I30" i="168" s="1"/>
  <c r="I25" i="168"/>
  <c r="G15" i="7" s="1"/>
  <c r="F15" i="7"/>
  <c r="H37" i="151"/>
  <c r="I37" i="151" s="1"/>
  <c r="G39" i="151"/>
  <c r="J37" i="151" s="1"/>
  <c r="G50" i="54"/>
  <c r="H50" i="54" s="1"/>
  <c r="I50" i="54" s="1"/>
  <c r="H47" i="54"/>
  <c r="I47" i="54" s="1"/>
  <c r="G48" i="54"/>
  <c r="G49" i="54" s="1"/>
  <c r="H36" i="70"/>
  <c r="I36" i="70" s="1"/>
  <c r="I25" i="50"/>
  <c r="G9" i="7" s="1"/>
  <c r="F9" i="7"/>
  <c r="G50" i="182"/>
  <c r="G48" i="182"/>
  <c r="G49" i="182" s="1"/>
  <c r="H47" i="182"/>
  <c r="I47" i="182" s="1"/>
  <c r="H49" i="182" l="1"/>
  <c r="I49" i="182" s="1"/>
  <c r="G51" i="182"/>
  <c r="K34" i="182" s="1"/>
  <c r="H35" i="49"/>
  <c r="I35" i="49" s="1"/>
  <c r="H45" i="54"/>
  <c r="I45" i="54" s="1"/>
  <c r="G49" i="49"/>
  <c r="H48" i="49"/>
  <c r="I48" i="49" s="1"/>
  <c r="H34" i="182"/>
  <c r="I34" i="182" s="1"/>
  <c r="J23" i="70"/>
  <c r="J14" i="70"/>
  <c r="H39" i="70"/>
  <c r="J13" i="70"/>
  <c r="J33" i="70"/>
  <c r="J27" i="70"/>
  <c r="J21" i="70"/>
  <c r="J30" i="70"/>
  <c r="J16" i="70"/>
  <c r="J25" i="70"/>
  <c r="J32" i="70"/>
  <c r="J34" i="70"/>
  <c r="J29" i="70"/>
  <c r="J31" i="70"/>
  <c r="J39" i="70"/>
  <c r="J18" i="70"/>
  <c r="J20" i="70"/>
  <c r="J17" i="70"/>
  <c r="J12" i="70"/>
  <c r="J26" i="70"/>
  <c r="J15" i="70"/>
  <c r="J19" i="70"/>
  <c r="J22" i="70"/>
  <c r="J24" i="70"/>
  <c r="J28" i="70"/>
  <c r="J35" i="70"/>
  <c r="H49" i="48"/>
  <c r="I49" i="48" s="1"/>
  <c r="G51" i="48"/>
  <c r="K49" i="48" s="1"/>
  <c r="H44" i="168"/>
  <c r="I44" i="168" s="1"/>
  <c r="G46" i="168"/>
  <c r="J44" i="168" s="1"/>
  <c r="H44" i="48"/>
  <c r="I44" i="48" s="1"/>
  <c r="G46" i="48"/>
  <c r="J35" i="48" s="1"/>
  <c r="H48" i="182"/>
  <c r="I48" i="182" s="1"/>
  <c r="J36" i="70"/>
  <c r="H48" i="54"/>
  <c r="I48" i="54" s="1"/>
  <c r="J38" i="151"/>
  <c r="H39" i="151"/>
  <c r="J33" i="151"/>
  <c r="J16" i="151"/>
  <c r="J39" i="151"/>
  <c r="J25" i="151"/>
  <c r="J30" i="151"/>
  <c r="J20" i="151"/>
  <c r="J32" i="151"/>
  <c r="J27" i="151"/>
  <c r="J17" i="151"/>
  <c r="J34" i="151"/>
  <c r="J23" i="151"/>
  <c r="J31" i="151"/>
  <c r="J19" i="151"/>
  <c r="J29" i="151"/>
  <c r="J13" i="151"/>
  <c r="J12" i="151"/>
  <c r="J21" i="151"/>
  <c r="J14" i="151"/>
  <c r="J26" i="151"/>
  <c r="J15" i="151"/>
  <c r="J18" i="151"/>
  <c r="J22" i="151"/>
  <c r="J24" i="151"/>
  <c r="J35" i="151"/>
  <c r="J28" i="151"/>
  <c r="J36" i="151"/>
  <c r="H34" i="50"/>
  <c r="I34" i="50" s="1"/>
  <c r="G49" i="168"/>
  <c r="H48" i="168"/>
  <c r="I48" i="168" s="1"/>
  <c r="H50" i="49"/>
  <c r="I50" i="49" s="1"/>
  <c r="H34" i="48"/>
  <c r="I34" i="48" s="1"/>
  <c r="H50" i="50"/>
  <c r="I50" i="50" s="1"/>
  <c r="H34" i="54"/>
  <c r="I34" i="54" s="1"/>
  <c r="G49" i="56"/>
  <c r="H48" i="56"/>
  <c r="I48" i="56" s="1"/>
  <c r="H48" i="48"/>
  <c r="I48" i="48" s="1"/>
  <c r="H34" i="49"/>
  <c r="I34" i="49" s="1"/>
  <c r="H19" i="180"/>
  <c r="I19" i="180" s="1"/>
  <c r="H35" i="182"/>
  <c r="I35" i="182" s="1"/>
  <c r="H35" i="48"/>
  <c r="I35" i="48" s="1"/>
  <c r="G44" i="182"/>
  <c r="H43" i="182"/>
  <c r="I43" i="182" s="1"/>
  <c r="G44" i="50"/>
  <c r="H43" i="50"/>
  <c r="I43" i="50" s="1"/>
  <c r="H35" i="54"/>
  <c r="I35" i="54" s="1"/>
  <c r="H43" i="168"/>
  <c r="I43" i="168" s="1"/>
  <c r="H34" i="56"/>
  <c r="I34" i="56" s="1"/>
  <c r="G44" i="56"/>
  <c r="H43" i="56"/>
  <c r="I43" i="56" s="1"/>
  <c r="G44" i="49"/>
  <c r="H43" i="49"/>
  <c r="I43" i="49" s="1"/>
  <c r="H50" i="168"/>
  <c r="I50" i="168" s="1"/>
  <c r="G39" i="68"/>
  <c r="H37" i="68"/>
  <c r="I37" i="68" s="1"/>
  <c r="I38" i="141"/>
  <c r="I15" i="179" s="1"/>
  <c r="H15" i="179"/>
  <c r="G49" i="50"/>
  <c r="H48" i="50"/>
  <c r="I48" i="50" s="1"/>
  <c r="H19" i="47"/>
  <c r="I19" i="47" s="1"/>
  <c r="F23" i="46"/>
  <c r="G23" i="46" s="1"/>
  <c r="G25" i="46" s="1"/>
  <c r="F23" i="4"/>
  <c r="G23" i="4" s="1"/>
  <c r="F23" i="47"/>
  <c r="G23" i="47" s="1"/>
  <c r="G25" i="47" s="1"/>
  <c r="F23" i="180"/>
  <c r="G23" i="180" s="1"/>
  <c r="G25" i="180" s="1"/>
  <c r="H49" i="54"/>
  <c r="I49" i="54" s="1"/>
  <c r="G51" i="54"/>
  <c r="K48" i="54" s="1"/>
  <c r="H35" i="168"/>
  <c r="I35" i="168" s="1"/>
  <c r="J38" i="175"/>
  <c r="J25" i="175"/>
  <c r="J30" i="175"/>
  <c r="J13" i="175"/>
  <c r="J18" i="175"/>
  <c r="J21" i="175"/>
  <c r="J17" i="175"/>
  <c r="J20" i="175"/>
  <c r="J16" i="175"/>
  <c r="J14" i="175"/>
  <c r="J26" i="175"/>
  <c r="J32" i="175"/>
  <c r="J33" i="175"/>
  <c r="J39" i="175"/>
  <c r="J31" i="175"/>
  <c r="J23" i="175"/>
  <c r="J12" i="175"/>
  <c r="J27" i="175"/>
  <c r="H39" i="175"/>
  <c r="J34" i="175"/>
  <c r="J29" i="175"/>
  <c r="J15" i="175"/>
  <c r="J19" i="175"/>
  <c r="J22" i="175"/>
  <c r="J24" i="175"/>
  <c r="J35" i="175"/>
  <c r="J28" i="175"/>
  <c r="J36" i="175"/>
  <c r="H19" i="4"/>
  <c r="I19" i="4" s="1"/>
  <c r="J38" i="154"/>
  <c r="J13" i="154"/>
  <c r="J34" i="154"/>
  <c r="J23" i="154"/>
  <c r="J30" i="154"/>
  <c r="J31" i="154"/>
  <c r="J17" i="154"/>
  <c r="J16" i="154"/>
  <c r="J19" i="154"/>
  <c r="J27" i="154"/>
  <c r="J32" i="154"/>
  <c r="J14" i="154"/>
  <c r="J12" i="154"/>
  <c r="J20" i="154"/>
  <c r="J26" i="154"/>
  <c r="J39" i="154"/>
  <c r="H39" i="154"/>
  <c r="J33" i="154"/>
  <c r="J25" i="154"/>
  <c r="J21" i="154"/>
  <c r="J29" i="154"/>
  <c r="J15" i="154"/>
  <c r="J22" i="154"/>
  <c r="J18" i="154"/>
  <c r="J24" i="154"/>
  <c r="J28" i="154"/>
  <c r="J35" i="154"/>
  <c r="J36" i="154"/>
  <c r="H50" i="182"/>
  <c r="I50" i="182" s="1"/>
  <c r="H43" i="48"/>
  <c r="I43" i="48" s="1"/>
  <c r="J38" i="70"/>
  <c r="G44" i="54"/>
  <c r="H43" i="54"/>
  <c r="I43" i="54" s="1"/>
  <c r="J37" i="70"/>
  <c r="H34" i="168"/>
  <c r="I34" i="168" s="1"/>
  <c r="H50" i="56"/>
  <c r="I50" i="56" s="1"/>
  <c r="H19" i="46"/>
  <c r="I19" i="46" s="1"/>
  <c r="H35" i="56"/>
  <c r="I35" i="56" s="1"/>
  <c r="H35" i="50"/>
  <c r="I35" i="50" s="1"/>
  <c r="H45" i="168"/>
  <c r="I45" i="168" s="1"/>
  <c r="J34" i="168" l="1"/>
  <c r="J35" i="168"/>
  <c r="J45" i="168"/>
  <c r="J43" i="168"/>
  <c r="K34" i="48"/>
  <c r="K48" i="48"/>
  <c r="K49" i="182"/>
  <c r="K50" i="182"/>
  <c r="K35" i="48"/>
  <c r="J43" i="48"/>
  <c r="K35" i="182"/>
  <c r="K48" i="182"/>
  <c r="H23" i="4"/>
  <c r="I23" i="4" s="1"/>
  <c r="H44" i="50"/>
  <c r="I44" i="50" s="1"/>
  <c r="G46" i="50"/>
  <c r="J44" i="50" s="1"/>
  <c r="G47" i="180"/>
  <c r="G30" i="180"/>
  <c r="G42" i="180"/>
  <c r="G29" i="180"/>
  <c r="H25" i="180"/>
  <c r="I39" i="151"/>
  <c r="I33" i="179" s="1"/>
  <c r="H33" i="179"/>
  <c r="I39" i="175"/>
  <c r="I38" i="7" s="1"/>
  <c r="H38" i="7"/>
  <c r="H23" i="46"/>
  <c r="I23" i="46" s="1"/>
  <c r="J36" i="68"/>
  <c r="J14" i="68"/>
  <c r="J29" i="68"/>
  <c r="J17" i="68"/>
  <c r="J21" i="68"/>
  <c r="J39" i="68"/>
  <c r="H39" i="68"/>
  <c r="J25" i="68"/>
  <c r="J26" i="68"/>
  <c r="J30" i="68"/>
  <c r="J20" i="68"/>
  <c r="J13" i="68"/>
  <c r="J34" i="68"/>
  <c r="J18" i="68"/>
  <c r="J27" i="68"/>
  <c r="J12" i="68"/>
  <c r="J33" i="68"/>
  <c r="J31" i="68"/>
  <c r="J32" i="68"/>
  <c r="J16" i="68"/>
  <c r="J23" i="68"/>
  <c r="J15" i="68"/>
  <c r="J19" i="68"/>
  <c r="J22" i="68"/>
  <c r="J24" i="68"/>
  <c r="J28" i="68"/>
  <c r="J35" i="68"/>
  <c r="J38" i="68"/>
  <c r="H44" i="56"/>
  <c r="I44" i="56" s="1"/>
  <c r="G46" i="56"/>
  <c r="J44" i="56" s="1"/>
  <c r="H49" i="56"/>
  <c r="I49" i="56" s="1"/>
  <c r="G51" i="56"/>
  <c r="K49" i="56" s="1"/>
  <c r="H44" i="54"/>
  <c r="I44" i="54" s="1"/>
  <c r="G46" i="54"/>
  <c r="G25" i="4"/>
  <c r="H23" i="180"/>
  <c r="I23" i="180" s="1"/>
  <c r="H44" i="49"/>
  <c r="I44" i="49" s="1"/>
  <c r="G46" i="49"/>
  <c r="J44" i="49" s="1"/>
  <c r="K34" i="54"/>
  <c r="H49" i="168"/>
  <c r="I49" i="168" s="1"/>
  <c r="G51" i="168"/>
  <c r="K49" i="168" s="1"/>
  <c r="K50" i="48"/>
  <c r="K20" i="48"/>
  <c r="K32" i="48"/>
  <c r="K38" i="48"/>
  <c r="K40" i="48"/>
  <c r="K28" i="48"/>
  <c r="H51" i="48"/>
  <c r="K15" i="48"/>
  <c r="K26" i="48"/>
  <c r="K17" i="48"/>
  <c r="K37" i="48"/>
  <c r="K36" i="48"/>
  <c r="K41" i="48"/>
  <c r="K16" i="48"/>
  <c r="K21" i="48"/>
  <c r="K51" i="48"/>
  <c r="K22" i="48"/>
  <c r="K27" i="48"/>
  <c r="K33" i="48"/>
  <c r="K18" i="48"/>
  <c r="K24" i="48"/>
  <c r="K39" i="48"/>
  <c r="K31" i="48"/>
  <c r="K19" i="48"/>
  <c r="K23" i="48"/>
  <c r="K25" i="48"/>
  <c r="K47" i="48"/>
  <c r="K29" i="48"/>
  <c r="K30" i="48"/>
  <c r="K21" i="182"/>
  <c r="K18" i="182"/>
  <c r="H51" i="182"/>
  <c r="K28" i="182"/>
  <c r="K17" i="182"/>
  <c r="K32" i="182"/>
  <c r="K38" i="182"/>
  <c r="K22" i="182"/>
  <c r="K36" i="182"/>
  <c r="K33" i="182"/>
  <c r="K31" i="182"/>
  <c r="K24" i="182"/>
  <c r="K15" i="182"/>
  <c r="K39" i="182"/>
  <c r="K16" i="182"/>
  <c r="K37" i="182"/>
  <c r="K51" i="182"/>
  <c r="K40" i="182"/>
  <c r="K20" i="182"/>
  <c r="K26" i="182"/>
  <c r="K27" i="182"/>
  <c r="K41" i="182"/>
  <c r="K19" i="182"/>
  <c r="K23" i="182"/>
  <c r="K25" i="182"/>
  <c r="K47" i="182"/>
  <c r="K29" i="182"/>
  <c r="K30" i="182"/>
  <c r="H25" i="46"/>
  <c r="G29" i="46"/>
  <c r="G47" i="46"/>
  <c r="G30" i="46"/>
  <c r="G42" i="46"/>
  <c r="K50" i="54"/>
  <c r="K39" i="54"/>
  <c r="K37" i="54"/>
  <c r="K17" i="54"/>
  <c r="K33" i="54"/>
  <c r="K22" i="54"/>
  <c r="K27" i="54"/>
  <c r="K28" i="54"/>
  <c r="K31" i="54"/>
  <c r="K18" i="54"/>
  <c r="K26" i="54"/>
  <c r="K38" i="54"/>
  <c r="K32" i="54"/>
  <c r="K24" i="54"/>
  <c r="H51" i="54"/>
  <c r="K40" i="54"/>
  <c r="K41" i="54"/>
  <c r="K20" i="54"/>
  <c r="K16" i="54"/>
  <c r="K36" i="54"/>
  <c r="K21" i="54"/>
  <c r="K51" i="54"/>
  <c r="K15" i="54"/>
  <c r="K19" i="54"/>
  <c r="K23" i="54"/>
  <c r="K25" i="54"/>
  <c r="K47" i="54"/>
  <c r="K30" i="54"/>
  <c r="K29" i="54"/>
  <c r="G30" i="47"/>
  <c r="G47" i="47"/>
  <c r="G29" i="47"/>
  <c r="G42" i="47"/>
  <c r="H25" i="47"/>
  <c r="G51" i="50"/>
  <c r="K49" i="50" s="1"/>
  <c r="H49" i="50"/>
  <c r="I49" i="50" s="1"/>
  <c r="J45" i="48"/>
  <c r="J13" i="48"/>
  <c r="J20" i="48"/>
  <c r="J28" i="48"/>
  <c r="J22" i="48"/>
  <c r="H46" i="48"/>
  <c r="I46" i="48" s="1"/>
  <c r="J40" i="48"/>
  <c r="J12" i="48"/>
  <c r="J14" i="48"/>
  <c r="J38" i="48"/>
  <c r="J26" i="48"/>
  <c r="J27" i="48"/>
  <c r="J24" i="48"/>
  <c r="J41" i="48"/>
  <c r="J18" i="48"/>
  <c r="J37" i="48"/>
  <c r="J36" i="48"/>
  <c r="J33" i="48"/>
  <c r="J39" i="48"/>
  <c r="J21" i="48"/>
  <c r="J46" i="48"/>
  <c r="J31" i="48"/>
  <c r="J32" i="48"/>
  <c r="J19" i="48"/>
  <c r="J23" i="48"/>
  <c r="J25" i="48"/>
  <c r="J42" i="48"/>
  <c r="J30" i="48"/>
  <c r="J29" i="48"/>
  <c r="I39" i="154"/>
  <c r="I48" i="179" s="1"/>
  <c r="H48" i="179"/>
  <c r="K49" i="54"/>
  <c r="H23" i="47"/>
  <c r="I23" i="47" s="1"/>
  <c r="J37" i="68"/>
  <c r="K35" i="54"/>
  <c r="H44" i="182"/>
  <c r="I44" i="182" s="1"/>
  <c r="G46" i="182"/>
  <c r="J44" i="182" s="1"/>
  <c r="J34" i="48"/>
  <c r="J44" i="48"/>
  <c r="J31" i="168"/>
  <c r="J33" i="168"/>
  <c r="J26" i="168"/>
  <c r="J14" i="168"/>
  <c r="J20" i="168"/>
  <c r="J22" i="168"/>
  <c r="J38" i="168"/>
  <c r="J36" i="168"/>
  <c r="J18" i="168"/>
  <c r="J12" i="168"/>
  <c r="J21" i="168"/>
  <c r="H46" i="168"/>
  <c r="I46" i="168" s="1"/>
  <c r="J41" i="168"/>
  <c r="J46" i="168"/>
  <c r="J40" i="168"/>
  <c r="J24" i="168"/>
  <c r="J32" i="168"/>
  <c r="J27" i="168"/>
  <c r="J13" i="168"/>
  <c r="J39" i="168"/>
  <c r="J28" i="168"/>
  <c r="J37" i="168"/>
  <c r="J19" i="168"/>
  <c r="J23" i="168"/>
  <c r="J25" i="168"/>
  <c r="J42" i="168"/>
  <c r="J29" i="168"/>
  <c r="J30" i="168"/>
  <c r="I39" i="70"/>
  <c r="I39" i="7" s="1"/>
  <c r="H39" i="7"/>
  <c r="H49" i="49"/>
  <c r="I49" i="49" s="1"/>
  <c r="G51" i="49"/>
  <c r="K49" i="49" s="1"/>
  <c r="G34" i="47" l="1"/>
  <c r="H29" i="47"/>
  <c r="I29" i="47" s="1"/>
  <c r="G50" i="46"/>
  <c r="H47" i="46"/>
  <c r="I47" i="46" s="1"/>
  <c r="G48" i="46"/>
  <c r="G49" i="46" s="1"/>
  <c r="I51" i="182"/>
  <c r="I8" i="7" s="1"/>
  <c r="H8" i="7"/>
  <c r="J12" i="54"/>
  <c r="J28" i="54"/>
  <c r="J13" i="54"/>
  <c r="J38" i="54"/>
  <c r="J40" i="54"/>
  <c r="H46" i="54"/>
  <c r="I46" i="54" s="1"/>
  <c r="J36" i="54"/>
  <c r="J27" i="54"/>
  <c r="J26" i="54"/>
  <c r="J39" i="54"/>
  <c r="J46" i="54"/>
  <c r="J24" i="54"/>
  <c r="J14" i="54"/>
  <c r="J41" i="54"/>
  <c r="J18" i="54"/>
  <c r="J37" i="54"/>
  <c r="J20" i="54"/>
  <c r="J22" i="54"/>
  <c r="J21" i="54"/>
  <c r="J33" i="54"/>
  <c r="J32" i="54"/>
  <c r="J31" i="54"/>
  <c r="J19" i="54"/>
  <c r="J23" i="54"/>
  <c r="J25" i="54"/>
  <c r="J30" i="54"/>
  <c r="J29" i="54"/>
  <c r="J42" i="54"/>
  <c r="J34" i="54"/>
  <c r="J35" i="54"/>
  <c r="J43" i="54"/>
  <c r="J45" i="54"/>
  <c r="H30" i="180"/>
  <c r="I30" i="180" s="1"/>
  <c r="G35" i="180"/>
  <c r="G50" i="47"/>
  <c r="H50" i="47" s="1"/>
  <c r="I50" i="47" s="1"/>
  <c r="H47" i="47"/>
  <c r="I47" i="47" s="1"/>
  <c r="G48" i="47"/>
  <c r="I51" i="54"/>
  <c r="I14" i="7" s="1"/>
  <c r="H14" i="7"/>
  <c r="I39" i="68"/>
  <c r="I37" i="7" s="1"/>
  <c r="H37" i="7"/>
  <c r="I25" i="180"/>
  <c r="G4" i="7" s="1"/>
  <c r="F4" i="7"/>
  <c r="J45" i="182"/>
  <c r="J40" i="182"/>
  <c r="J39" i="182"/>
  <c r="J18" i="182"/>
  <c r="J13" i="182"/>
  <c r="J28" i="182"/>
  <c r="J46" i="182"/>
  <c r="J32" i="182"/>
  <c r="J33" i="182"/>
  <c r="J22" i="182"/>
  <c r="J12" i="182"/>
  <c r="J41" i="182"/>
  <c r="J14" i="182"/>
  <c r="J20" i="182"/>
  <c r="J24" i="182"/>
  <c r="J26" i="182"/>
  <c r="J31" i="182"/>
  <c r="J36" i="182"/>
  <c r="J21" i="182"/>
  <c r="J27" i="182"/>
  <c r="J37" i="182"/>
  <c r="H46" i="182"/>
  <c r="I46" i="182" s="1"/>
  <c r="J38" i="182"/>
  <c r="J19" i="182"/>
  <c r="J23" i="182"/>
  <c r="J25" i="182"/>
  <c r="J30" i="182"/>
  <c r="J29" i="182"/>
  <c r="J42" i="182"/>
  <c r="J34" i="182"/>
  <c r="J43" i="182"/>
  <c r="J35" i="182"/>
  <c r="I25" i="47"/>
  <c r="G5" i="7" s="1"/>
  <c r="F5" i="7"/>
  <c r="H30" i="47"/>
  <c r="I30" i="47" s="1"/>
  <c r="G35" i="47"/>
  <c r="G45" i="46"/>
  <c r="H42" i="46"/>
  <c r="I42" i="46" s="1"/>
  <c r="G43" i="46"/>
  <c r="I25" i="46"/>
  <c r="G3" i="7" s="1"/>
  <c r="F3" i="7"/>
  <c r="H25" i="4"/>
  <c r="G30" i="4"/>
  <c r="G42" i="4"/>
  <c r="G29" i="4"/>
  <c r="G47" i="4"/>
  <c r="J45" i="56"/>
  <c r="J14" i="56"/>
  <c r="J21" i="56"/>
  <c r="J39" i="56"/>
  <c r="J13" i="56"/>
  <c r="J33" i="56"/>
  <c r="J40" i="56"/>
  <c r="J27" i="56"/>
  <c r="J32" i="56"/>
  <c r="J31" i="56"/>
  <c r="J37" i="56"/>
  <c r="J24" i="56"/>
  <c r="J20" i="56"/>
  <c r="H46" i="56"/>
  <c r="I46" i="56" s="1"/>
  <c r="J18" i="56"/>
  <c r="J38" i="56"/>
  <c r="J28" i="56"/>
  <c r="J22" i="56"/>
  <c r="J26" i="56"/>
  <c r="J41" i="56"/>
  <c r="J46" i="56"/>
  <c r="J36" i="56"/>
  <c r="J12" i="56"/>
  <c r="J19" i="56"/>
  <c r="J23" i="56"/>
  <c r="J25" i="56"/>
  <c r="J42" i="56"/>
  <c r="J30" i="56"/>
  <c r="J29" i="56"/>
  <c r="J43" i="56"/>
  <c r="J35" i="56"/>
  <c r="J34" i="56"/>
  <c r="H29" i="180"/>
  <c r="I29" i="180" s="1"/>
  <c r="G34" i="180"/>
  <c r="H29" i="46"/>
  <c r="I29" i="46" s="1"/>
  <c r="G34" i="46"/>
  <c r="I51" i="48"/>
  <c r="I6" i="7" s="1"/>
  <c r="H6" i="7"/>
  <c r="K36" i="168"/>
  <c r="K51" i="168"/>
  <c r="K32" i="168"/>
  <c r="K40" i="168"/>
  <c r="K37" i="168"/>
  <c r="K20" i="168"/>
  <c r="K15" i="168"/>
  <c r="K31" i="168"/>
  <c r="K27" i="168"/>
  <c r="K17" i="168"/>
  <c r="K24" i="168"/>
  <c r="K22" i="168"/>
  <c r="K41" i="168"/>
  <c r="K38" i="168"/>
  <c r="K26" i="168"/>
  <c r="K28" i="168"/>
  <c r="K33" i="168"/>
  <c r="K39" i="168"/>
  <c r="K16" i="168"/>
  <c r="K21" i="168"/>
  <c r="K18" i="168"/>
  <c r="H51" i="168"/>
  <c r="K19" i="168"/>
  <c r="K23" i="168"/>
  <c r="K25" i="168"/>
  <c r="K30" i="168"/>
  <c r="K29" i="168"/>
  <c r="K47" i="168"/>
  <c r="K35" i="168"/>
  <c r="K50" i="168"/>
  <c r="K34" i="168"/>
  <c r="K48" i="168"/>
  <c r="J45" i="49"/>
  <c r="H46" i="49"/>
  <c r="I46" i="49" s="1"/>
  <c r="J31" i="49"/>
  <c r="J14" i="49"/>
  <c r="J41" i="49"/>
  <c r="J37" i="49"/>
  <c r="J46" i="49"/>
  <c r="J22" i="49"/>
  <c r="J13" i="49"/>
  <c r="J21" i="49"/>
  <c r="J18" i="49"/>
  <c r="J20" i="49"/>
  <c r="J24" i="49"/>
  <c r="J33" i="49"/>
  <c r="J28" i="49"/>
  <c r="J32" i="49"/>
  <c r="J26" i="49"/>
  <c r="J12" i="49"/>
  <c r="J40" i="49"/>
  <c r="J36" i="49"/>
  <c r="J38" i="49"/>
  <c r="J27" i="49"/>
  <c r="J39" i="49"/>
  <c r="J19" i="49"/>
  <c r="J23" i="49"/>
  <c r="J25" i="49"/>
  <c r="J30" i="49"/>
  <c r="J42" i="49"/>
  <c r="J29" i="49"/>
  <c r="J35" i="49"/>
  <c r="J34" i="49"/>
  <c r="J43" i="49"/>
  <c r="G50" i="180"/>
  <c r="H47" i="180"/>
  <c r="I47" i="180" s="1"/>
  <c r="G48" i="180"/>
  <c r="K51" i="49"/>
  <c r="K27" i="49"/>
  <c r="K41" i="49"/>
  <c r="K26" i="49"/>
  <c r="K38" i="49"/>
  <c r="K33" i="49"/>
  <c r="K22" i="49"/>
  <c r="K40" i="49"/>
  <c r="K20" i="49"/>
  <c r="K17" i="49"/>
  <c r="K32" i="49"/>
  <c r="K18" i="49"/>
  <c r="K21" i="49"/>
  <c r="K24" i="49"/>
  <c r="K37" i="49"/>
  <c r="K16" i="49"/>
  <c r="K15" i="49"/>
  <c r="K39" i="49"/>
  <c r="H51" i="49"/>
  <c r="K36" i="49"/>
  <c r="K31" i="49"/>
  <c r="K28" i="49"/>
  <c r="K19" i="49"/>
  <c r="K23" i="49"/>
  <c r="K25" i="49"/>
  <c r="K47" i="49"/>
  <c r="K30" i="49"/>
  <c r="K29" i="49"/>
  <c r="K35" i="49"/>
  <c r="K34" i="49"/>
  <c r="K50" i="49"/>
  <c r="K48" i="49"/>
  <c r="K18" i="50"/>
  <c r="K51" i="50"/>
  <c r="K26" i="50"/>
  <c r="K28" i="50"/>
  <c r="K37" i="50"/>
  <c r="K33" i="50"/>
  <c r="K15" i="50"/>
  <c r="K38" i="50"/>
  <c r="H51" i="50"/>
  <c r="K40" i="50"/>
  <c r="K41" i="50"/>
  <c r="K17" i="50"/>
  <c r="K22" i="50"/>
  <c r="K39" i="50"/>
  <c r="K36" i="50"/>
  <c r="K24" i="50"/>
  <c r="K16" i="50"/>
  <c r="K20" i="50"/>
  <c r="K32" i="50"/>
  <c r="K27" i="50"/>
  <c r="K21" i="50"/>
  <c r="K31" i="50"/>
  <c r="K19" i="50"/>
  <c r="K23" i="50"/>
  <c r="K25" i="50"/>
  <c r="K47" i="50"/>
  <c r="K30" i="50"/>
  <c r="K29" i="50"/>
  <c r="K34" i="50"/>
  <c r="K48" i="50"/>
  <c r="K50" i="50"/>
  <c r="K35" i="50"/>
  <c r="G45" i="47"/>
  <c r="H45" i="47" s="1"/>
  <c r="I45" i="47" s="1"/>
  <c r="G43" i="47"/>
  <c r="H42" i="47"/>
  <c r="I42" i="47" s="1"/>
  <c r="H30" i="46"/>
  <c r="I30" i="46" s="1"/>
  <c r="G35" i="46"/>
  <c r="J44" i="54"/>
  <c r="K51" i="56"/>
  <c r="K20" i="56"/>
  <c r="K27" i="56"/>
  <c r="K32" i="56"/>
  <c r="K40" i="56"/>
  <c r="K15" i="56"/>
  <c r="K41" i="56"/>
  <c r="K39" i="56"/>
  <c r="K28" i="56"/>
  <c r="K26" i="56"/>
  <c r="K38" i="56"/>
  <c r="K17" i="56"/>
  <c r="K31" i="56"/>
  <c r="K22" i="56"/>
  <c r="K21" i="56"/>
  <c r="K24" i="56"/>
  <c r="K18" i="56"/>
  <c r="H51" i="56"/>
  <c r="K33" i="56"/>
  <c r="K36" i="56"/>
  <c r="K16" i="56"/>
  <c r="K37" i="56"/>
  <c r="K19" i="56"/>
  <c r="K23" i="56"/>
  <c r="K25" i="56"/>
  <c r="K29" i="56"/>
  <c r="K30" i="56"/>
  <c r="K47" i="56"/>
  <c r="K48" i="56"/>
  <c r="K34" i="56"/>
  <c r="K50" i="56"/>
  <c r="K35" i="56"/>
  <c r="G45" i="180"/>
  <c r="H42" i="180"/>
  <c r="I42" i="180" s="1"/>
  <c r="G43" i="180"/>
  <c r="J45" i="50"/>
  <c r="J36" i="50"/>
  <c r="H46" i="50"/>
  <c r="I46" i="50" s="1"/>
  <c r="J24" i="50"/>
  <c r="J46" i="50"/>
  <c r="J31" i="50"/>
  <c r="J13" i="50"/>
  <c r="J12" i="50"/>
  <c r="J26" i="50"/>
  <c r="J33" i="50"/>
  <c r="J41" i="50"/>
  <c r="J37" i="50"/>
  <c r="J27" i="50"/>
  <c r="J32" i="50"/>
  <c r="J18" i="50"/>
  <c r="J21" i="50"/>
  <c r="J14" i="50"/>
  <c r="J28" i="50"/>
  <c r="J40" i="50"/>
  <c r="J20" i="50"/>
  <c r="J39" i="50"/>
  <c r="J22" i="50"/>
  <c r="J38" i="50"/>
  <c r="J19" i="50"/>
  <c r="J23" i="50"/>
  <c r="J25" i="50"/>
  <c r="J29" i="50"/>
  <c r="J42" i="50"/>
  <c r="J30" i="50"/>
  <c r="J34" i="50"/>
  <c r="J35" i="50"/>
  <c r="J43" i="50"/>
  <c r="H43" i="180" l="1"/>
  <c r="I43" i="180" s="1"/>
  <c r="H30" i="4"/>
  <c r="I30" i="4" s="1"/>
  <c r="G35" i="4"/>
  <c r="H49" i="46"/>
  <c r="I49" i="46" s="1"/>
  <c r="G51" i="46"/>
  <c r="H34" i="46"/>
  <c r="I34" i="46" s="1"/>
  <c r="G50" i="4"/>
  <c r="H50" i="4" s="1"/>
  <c r="I50" i="4" s="1"/>
  <c r="H47" i="4"/>
  <c r="I47" i="4" s="1"/>
  <c r="G48" i="4"/>
  <c r="G49" i="4" s="1"/>
  <c r="H45" i="180"/>
  <c r="I45" i="180" s="1"/>
  <c r="H35" i="46"/>
  <c r="I35" i="46" s="1"/>
  <c r="G44" i="47"/>
  <c r="H43" i="47"/>
  <c r="I43" i="47" s="1"/>
  <c r="G49" i="180"/>
  <c r="H48" i="180"/>
  <c r="I48" i="180" s="1"/>
  <c r="G34" i="4"/>
  <c r="H29" i="4"/>
  <c r="I29" i="4" s="1"/>
  <c r="H35" i="47"/>
  <c r="I35" i="47" s="1"/>
  <c r="G49" i="47"/>
  <c r="H48" i="47"/>
  <c r="I48" i="47" s="1"/>
  <c r="H50" i="180"/>
  <c r="I50" i="180" s="1"/>
  <c r="I51" i="56"/>
  <c r="I16" i="7" s="1"/>
  <c r="H16" i="7"/>
  <c r="I51" i="49"/>
  <c r="I7" i="7" s="1"/>
  <c r="H7" i="7"/>
  <c r="H34" i="180"/>
  <c r="I34" i="180" s="1"/>
  <c r="I25" i="4"/>
  <c r="G2" i="7" s="1"/>
  <c r="F2" i="7"/>
  <c r="G44" i="46"/>
  <c r="H43" i="46"/>
  <c r="I43" i="46" s="1"/>
  <c r="H48" i="46"/>
  <c r="I48" i="46" s="1"/>
  <c r="G44" i="180"/>
  <c r="I51" i="50"/>
  <c r="I9" i="7" s="1"/>
  <c r="H9" i="7"/>
  <c r="I51" i="168"/>
  <c r="I15" i="7" s="1"/>
  <c r="H15" i="7"/>
  <c r="G45" i="4"/>
  <c r="H45" i="4" s="1"/>
  <c r="I45" i="4" s="1"/>
  <c r="H42" i="4"/>
  <c r="I42" i="4" s="1"/>
  <c r="G43" i="4"/>
  <c r="H45" i="46"/>
  <c r="I45" i="46" s="1"/>
  <c r="H35" i="180"/>
  <c r="I35" i="180" s="1"/>
  <c r="H50" i="46"/>
  <c r="I50" i="46" s="1"/>
  <c r="H34" i="47"/>
  <c r="I34" i="47" s="1"/>
  <c r="K41" i="46" l="1"/>
  <c r="K31" i="46"/>
  <c r="K51" i="46"/>
  <c r="K37" i="46"/>
  <c r="K24" i="46"/>
  <c r="K27" i="46"/>
  <c r="K18" i="46"/>
  <c r="K36" i="46"/>
  <c r="K26" i="46"/>
  <c r="K40" i="46"/>
  <c r="K38" i="46"/>
  <c r="K39" i="46"/>
  <c r="K21" i="46"/>
  <c r="K22" i="46"/>
  <c r="K20" i="46"/>
  <c r="K32" i="46"/>
  <c r="K28" i="46"/>
  <c r="K15" i="46"/>
  <c r="K16" i="46"/>
  <c r="K17" i="46"/>
  <c r="K33" i="46"/>
  <c r="H51" i="46"/>
  <c r="K19" i="46"/>
  <c r="K23" i="46"/>
  <c r="K25" i="46"/>
  <c r="K47" i="46"/>
  <c r="K30" i="46"/>
  <c r="K29" i="46"/>
  <c r="H44" i="180"/>
  <c r="I44" i="180" s="1"/>
  <c r="G46" i="180"/>
  <c r="J44" i="180" s="1"/>
  <c r="K50" i="46"/>
  <c r="G44" i="4"/>
  <c r="H43" i="4"/>
  <c r="I43" i="4" s="1"/>
  <c r="K48" i="46"/>
  <c r="H44" i="46"/>
  <c r="I44" i="46" s="1"/>
  <c r="G46" i="46"/>
  <c r="J44" i="46" s="1"/>
  <c r="G51" i="180"/>
  <c r="H49" i="180"/>
  <c r="I49" i="180" s="1"/>
  <c r="H49" i="47"/>
  <c r="I49" i="47" s="1"/>
  <c r="G51" i="47"/>
  <c r="H49" i="4"/>
  <c r="I49" i="4" s="1"/>
  <c r="G51" i="4"/>
  <c r="K49" i="4" s="1"/>
  <c r="H35" i="4"/>
  <c r="I35" i="4" s="1"/>
  <c r="H44" i="47"/>
  <c r="I44" i="47" s="1"/>
  <c r="G46" i="47"/>
  <c r="J44" i="47" s="1"/>
  <c r="H48" i="4"/>
  <c r="I48" i="4" s="1"/>
  <c r="K34" i="46"/>
  <c r="H34" i="4"/>
  <c r="I34" i="4" s="1"/>
  <c r="K35" i="46"/>
  <c r="K49" i="46"/>
  <c r="K48" i="4" l="1"/>
  <c r="K34" i="4"/>
  <c r="K35" i="4"/>
  <c r="K26" i="180"/>
  <c r="H51" i="180"/>
  <c r="K33" i="180"/>
  <c r="K41" i="180"/>
  <c r="K21" i="180"/>
  <c r="K27" i="180"/>
  <c r="K32" i="180"/>
  <c r="K51" i="180"/>
  <c r="K20" i="180"/>
  <c r="K17" i="180"/>
  <c r="K15" i="180"/>
  <c r="K38" i="180"/>
  <c r="K39" i="180"/>
  <c r="K40" i="180"/>
  <c r="K37" i="180"/>
  <c r="K16" i="180"/>
  <c r="K28" i="180"/>
  <c r="K24" i="180"/>
  <c r="K36" i="180"/>
  <c r="K22" i="180"/>
  <c r="K31" i="180"/>
  <c r="K18" i="180"/>
  <c r="K19" i="180"/>
  <c r="K25" i="180"/>
  <c r="K23" i="180"/>
  <c r="K47" i="180"/>
  <c r="K29" i="180"/>
  <c r="K30" i="180"/>
  <c r="K48" i="180"/>
  <c r="K34" i="180"/>
  <c r="K35" i="180"/>
  <c r="K50" i="180"/>
  <c r="K49" i="180"/>
  <c r="J31" i="46"/>
  <c r="J40" i="46"/>
  <c r="J39" i="46"/>
  <c r="J22" i="46"/>
  <c r="J14" i="46"/>
  <c r="J28" i="46"/>
  <c r="J26" i="46"/>
  <c r="J46" i="46"/>
  <c r="J32" i="46"/>
  <c r="J13" i="46"/>
  <c r="H46" i="46"/>
  <c r="I46" i="46" s="1"/>
  <c r="J37" i="46"/>
  <c r="J21" i="46"/>
  <c r="J27" i="46"/>
  <c r="J33" i="46"/>
  <c r="J36" i="46"/>
  <c r="J18" i="46"/>
  <c r="J38" i="46"/>
  <c r="J24" i="46"/>
  <c r="J41" i="46"/>
  <c r="J20" i="46"/>
  <c r="J12" i="46"/>
  <c r="J19" i="46"/>
  <c r="J23" i="46"/>
  <c r="J25" i="46"/>
  <c r="J29" i="46"/>
  <c r="J30" i="46"/>
  <c r="J42" i="46"/>
  <c r="J45" i="46"/>
  <c r="J34" i="46"/>
  <c r="J43" i="46"/>
  <c r="J35" i="46"/>
  <c r="H46" i="180"/>
  <c r="I46" i="180" s="1"/>
  <c r="J33" i="180"/>
  <c r="J24" i="180"/>
  <c r="J32" i="180"/>
  <c r="J38" i="180"/>
  <c r="J39" i="180"/>
  <c r="J18" i="180"/>
  <c r="J13" i="180"/>
  <c r="J37" i="180"/>
  <c r="J14" i="180"/>
  <c r="J40" i="180"/>
  <c r="J21" i="180"/>
  <c r="J20" i="180"/>
  <c r="J36" i="180"/>
  <c r="J27" i="180"/>
  <c r="J22" i="180"/>
  <c r="J31" i="180"/>
  <c r="J28" i="180"/>
  <c r="J46" i="180"/>
  <c r="J26" i="180"/>
  <c r="J12" i="180"/>
  <c r="J41" i="180"/>
  <c r="J19" i="180"/>
  <c r="J25" i="180"/>
  <c r="J23" i="180"/>
  <c r="J29" i="180"/>
  <c r="J42" i="180"/>
  <c r="J30" i="180"/>
  <c r="J34" i="180"/>
  <c r="J43" i="180"/>
  <c r="J45" i="180"/>
  <c r="J35" i="180"/>
  <c r="I51" i="46"/>
  <c r="I3" i="7" s="1"/>
  <c r="H3" i="7"/>
  <c r="K50" i="47"/>
  <c r="K37" i="47"/>
  <c r="K28" i="47"/>
  <c r="K26" i="47"/>
  <c r="H51" i="47"/>
  <c r="K36" i="47"/>
  <c r="K18" i="47"/>
  <c r="K15" i="47"/>
  <c r="K40" i="47"/>
  <c r="K16" i="47"/>
  <c r="K41" i="47"/>
  <c r="K21" i="47"/>
  <c r="K39" i="47"/>
  <c r="K32" i="47"/>
  <c r="K31" i="47"/>
  <c r="K17" i="47"/>
  <c r="K51" i="47"/>
  <c r="K33" i="47"/>
  <c r="K24" i="47"/>
  <c r="K22" i="47"/>
  <c r="K20" i="47"/>
  <c r="K27" i="47"/>
  <c r="K38" i="47"/>
  <c r="K19" i="47"/>
  <c r="K23" i="47"/>
  <c r="K25" i="47"/>
  <c r="K47" i="47"/>
  <c r="K29" i="47"/>
  <c r="K30" i="47"/>
  <c r="K34" i="47"/>
  <c r="K35" i="47"/>
  <c r="K48" i="47"/>
  <c r="K50" i="4"/>
  <c r="K38" i="4"/>
  <c r="K28" i="4"/>
  <c r="K51" i="4"/>
  <c r="K41" i="4"/>
  <c r="K33" i="4"/>
  <c r="K18" i="4"/>
  <c r="K22" i="4"/>
  <c r="K24" i="4"/>
  <c r="H51" i="4"/>
  <c r="K16" i="4"/>
  <c r="K27" i="4"/>
  <c r="K40" i="4"/>
  <c r="K21" i="4"/>
  <c r="K26" i="4"/>
  <c r="K32" i="4"/>
  <c r="K36" i="4"/>
  <c r="K20" i="4"/>
  <c r="K15" i="4"/>
  <c r="K37" i="4"/>
  <c r="K39" i="4"/>
  <c r="K17" i="4"/>
  <c r="K31" i="4"/>
  <c r="K19" i="4"/>
  <c r="K23" i="4"/>
  <c r="K25" i="4"/>
  <c r="K47" i="4"/>
  <c r="K29" i="4"/>
  <c r="K30" i="4"/>
  <c r="J45" i="47"/>
  <c r="J38" i="47"/>
  <c r="J37" i="47"/>
  <c r="J32" i="47"/>
  <c r="J40" i="47"/>
  <c r="J36" i="47"/>
  <c r="J31" i="47"/>
  <c r="J14" i="47"/>
  <c r="J41" i="47"/>
  <c r="J24" i="47"/>
  <c r="J12" i="47"/>
  <c r="J20" i="47"/>
  <c r="J27" i="47"/>
  <c r="J13" i="47"/>
  <c r="H46" i="47"/>
  <c r="I46" i="47" s="1"/>
  <c r="J39" i="47"/>
  <c r="J28" i="47"/>
  <c r="J33" i="47"/>
  <c r="J21" i="47"/>
  <c r="J18" i="47"/>
  <c r="J22" i="47"/>
  <c r="J46" i="47"/>
  <c r="J26" i="47"/>
  <c r="J19" i="47"/>
  <c r="J25" i="47"/>
  <c r="J23" i="47"/>
  <c r="J30" i="47"/>
  <c r="J29" i="47"/>
  <c r="J42" i="47"/>
  <c r="J43" i="47"/>
  <c r="J35" i="47"/>
  <c r="J34" i="47"/>
  <c r="K49" i="47"/>
  <c r="H44" i="4"/>
  <c r="I44" i="4" s="1"/>
  <c r="G46" i="4"/>
  <c r="J44" i="4" s="1"/>
  <c r="J45" i="4" l="1"/>
  <c r="J36" i="4"/>
  <c r="J41" i="4"/>
  <c r="J22" i="4"/>
  <c r="J26" i="4"/>
  <c r="J14" i="4"/>
  <c r="J13" i="4"/>
  <c r="J39" i="4"/>
  <c r="J12" i="4"/>
  <c r="J38" i="4"/>
  <c r="J40" i="4"/>
  <c r="J37" i="4"/>
  <c r="J46" i="4"/>
  <c r="J27" i="4"/>
  <c r="J33" i="4"/>
  <c r="J31" i="4"/>
  <c r="J24" i="4"/>
  <c r="J21" i="4"/>
  <c r="J28" i="4"/>
  <c r="H46" i="4"/>
  <c r="I46" i="4" s="1"/>
  <c r="J18" i="4"/>
  <c r="J32" i="4"/>
  <c r="J20" i="4"/>
  <c r="J19" i="4"/>
  <c r="J23" i="4"/>
  <c r="J25" i="4"/>
  <c r="J30" i="4"/>
  <c r="J29" i="4"/>
  <c r="J42" i="4"/>
  <c r="J35" i="4"/>
  <c r="J43" i="4"/>
  <c r="J34" i="4"/>
  <c r="E4" i="7"/>
  <c r="I51" i="180"/>
  <c r="I4" i="7" s="1"/>
  <c r="H4" i="7"/>
  <c r="I51" i="47"/>
  <c r="I5" i="7" s="1"/>
  <c r="H5" i="7"/>
  <c r="I51" i="4"/>
  <c r="I2" i="7" s="1"/>
  <c r="H2" i="7"/>
  <c r="F18" i="119" l="1"/>
  <c r="G18" i="119" s="1"/>
  <c r="F18" i="120"/>
  <c r="G18" i="120" s="1"/>
  <c r="F18" i="121"/>
  <c r="G18" i="121" s="1"/>
  <c r="F18" i="137"/>
  <c r="G18" i="137" s="1"/>
  <c r="F18" i="139"/>
  <c r="G18" i="139" s="1"/>
  <c r="F18" i="136"/>
  <c r="G18" i="136" s="1"/>
  <c r="F18" i="138"/>
  <c r="G18" i="138" s="1"/>
  <c r="F18" i="134"/>
  <c r="G18" i="134" s="1"/>
  <c r="F18" i="135"/>
  <c r="G18" i="135" s="1"/>
  <c r="F21" i="118"/>
  <c r="G21" i="118" s="1"/>
  <c r="F21" i="116"/>
  <c r="G21" i="116" s="1"/>
  <c r="F21" i="117"/>
  <c r="G21" i="117" s="1"/>
  <c r="F21" i="186"/>
  <c r="G21" i="186" s="1"/>
  <c r="H21" i="117" l="1"/>
  <c r="I21" i="117" s="1"/>
  <c r="G24" i="117"/>
  <c r="H18" i="137"/>
  <c r="I18" i="137" s="1"/>
  <c r="G21" i="137"/>
  <c r="H21" i="116"/>
  <c r="I21" i="116" s="1"/>
  <c r="G24" i="116"/>
  <c r="G21" i="138"/>
  <c r="H18" i="138"/>
  <c r="I18" i="138" s="1"/>
  <c r="G20" i="121"/>
  <c r="H18" i="121"/>
  <c r="I18" i="121" s="1"/>
  <c r="G21" i="134"/>
  <c r="H18" i="134"/>
  <c r="I18" i="134" s="1"/>
  <c r="H21" i="118"/>
  <c r="I21" i="118" s="1"/>
  <c r="G24" i="118"/>
  <c r="H18" i="136"/>
  <c r="I18" i="136" s="1"/>
  <c r="G21" i="136"/>
  <c r="H18" i="120"/>
  <c r="I18" i="120" s="1"/>
  <c r="G20" i="120"/>
  <c r="G24" i="186"/>
  <c r="H21" i="186"/>
  <c r="I21" i="186" s="1"/>
  <c r="H18" i="135"/>
  <c r="I18" i="135" s="1"/>
  <c r="G21" i="135"/>
  <c r="H18" i="139"/>
  <c r="I18" i="139" s="1"/>
  <c r="G21" i="139"/>
  <c r="H18" i="119"/>
  <c r="I18" i="119" s="1"/>
  <c r="G20" i="119"/>
  <c r="H21" i="135" l="1"/>
  <c r="G25" i="135"/>
  <c r="G32" i="135"/>
  <c r="G32" i="139"/>
  <c r="G25" i="139"/>
  <c r="H21" i="139"/>
  <c r="G46" i="186"/>
  <c r="G29" i="186"/>
  <c r="G28" i="186"/>
  <c r="H24" i="186"/>
  <c r="G41" i="186"/>
  <c r="G24" i="121"/>
  <c r="G31" i="121"/>
  <c r="H20" i="121"/>
  <c r="H21" i="138"/>
  <c r="G25" i="138"/>
  <c r="G32" i="138"/>
  <c r="H20" i="119"/>
  <c r="G31" i="119"/>
  <c r="G24" i="119"/>
  <c r="G32" i="136"/>
  <c r="H21" i="136"/>
  <c r="G25" i="136"/>
  <c r="G28" i="118"/>
  <c r="G46" i="118"/>
  <c r="G29" i="118"/>
  <c r="G41" i="118"/>
  <c r="H24" i="118"/>
  <c r="G25" i="134"/>
  <c r="G32" i="134"/>
  <c r="H21" i="134"/>
  <c r="G32" i="137"/>
  <c r="H21" i="137"/>
  <c r="G25" i="137"/>
  <c r="G29" i="117"/>
  <c r="G28" i="117"/>
  <c r="G41" i="117"/>
  <c r="H24" i="117"/>
  <c r="G46" i="117"/>
  <c r="G24" i="120"/>
  <c r="H20" i="120"/>
  <c r="G31" i="120"/>
  <c r="G46" i="116"/>
  <c r="H24" i="116"/>
  <c r="G41" i="116"/>
  <c r="G29" i="116"/>
  <c r="G28" i="116"/>
  <c r="G34" i="116" l="1"/>
  <c r="H29" i="116"/>
  <c r="I29" i="116" s="1"/>
  <c r="G32" i="120"/>
  <c r="G33" i="120" s="1"/>
  <c r="G34" i="120"/>
  <c r="H31" i="120"/>
  <c r="I31" i="120" s="1"/>
  <c r="G33" i="117"/>
  <c r="H28" i="117"/>
  <c r="I28" i="117" s="1"/>
  <c r="I21" i="137"/>
  <c r="G43" i="179" s="1"/>
  <c r="F43" i="179"/>
  <c r="H32" i="136"/>
  <c r="I32" i="136" s="1"/>
  <c r="G33" i="136"/>
  <c r="G34" i="136" s="1"/>
  <c r="G35" i="136"/>
  <c r="F44" i="179"/>
  <c r="I21" i="138"/>
  <c r="G44" i="179" s="1"/>
  <c r="F8" i="179"/>
  <c r="I24" i="186"/>
  <c r="G8" i="179" s="1"/>
  <c r="I24" i="116"/>
  <c r="G7" i="179" s="1"/>
  <c r="F7" i="179"/>
  <c r="I20" i="120"/>
  <c r="G12" i="179" s="1"/>
  <c r="F12" i="179"/>
  <c r="G49" i="117"/>
  <c r="G47" i="117"/>
  <c r="G48" i="117" s="1"/>
  <c r="H46" i="117"/>
  <c r="I46" i="117" s="1"/>
  <c r="G34" i="117"/>
  <c r="H29" i="117"/>
  <c r="I29" i="117" s="1"/>
  <c r="G33" i="137"/>
  <c r="G34" i="137" s="1"/>
  <c r="G35" i="137"/>
  <c r="H32" i="137"/>
  <c r="I32" i="137" s="1"/>
  <c r="H25" i="134"/>
  <c r="I25" i="134" s="1"/>
  <c r="G42" i="118"/>
  <c r="G44" i="118"/>
  <c r="H41" i="118"/>
  <c r="I41" i="118" s="1"/>
  <c r="G33" i="186"/>
  <c r="H28" i="186"/>
  <c r="I28" i="186" s="1"/>
  <c r="F45" i="179"/>
  <c r="I21" i="139"/>
  <c r="G45" i="179" s="1"/>
  <c r="H32" i="135"/>
  <c r="I32" i="135" s="1"/>
  <c r="G35" i="135"/>
  <c r="G33" i="135"/>
  <c r="G34" i="135" s="1"/>
  <c r="G44" i="116"/>
  <c r="G42" i="116"/>
  <c r="H41" i="116"/>
  <c r="I41" i="116" s="1"/>
  <c r="G33" i="134"/>
  <c r="G34" i="134" s="1"/>
  <c r="G35" i="134"/>
  <c r="H32" i="134"/>
  <c r="I32" i="134" s="1"/>
  <c r="I24" i="118"/>
  <c r="G10" i="179" s="1"/>
  <c r="F10" i="179"/>
  <c r="G33" i="118"/>
  <c r="H28" i="118"/>
  <c r="I28" i="118" s="1"/>
  <c r="I20" i="119"/>
  <c r="G11" i="179" s="1"/>
  <c r="F11" i="179"/>
  <c r="H24" i="121"/>
  <c r="I24" i="121" s="1"/>
  <c r="G33" i="116"/>
  <c r="H28" i="116"/>
  <c r="I28" i="116" s="1"/>
  <c r="G49" i="116"/>
  <c r="G47" i="116"/>
  <c r="H46" i="116"/>
  <c r="I46" i="116" s="1"/>
  <c r="H24" i="120"/>
  <c r="I24" i="120" s="1"/>
  <c r="F9" i="179"/>
  <c r="I24" i="117"/>
  <c r="G9" i="179" s="1"/>
  <c r="H29" i="118"/>
  <c r="I29" i="118" s="1"/>
  <c r="G34" i="118"/>
  <c r="H25" i="136"/>
  <c r="I25" i="136" s="1"/>
  <c r="H24" i="119"/>
  <c r="I24" i="119" s="1"/>
  <c r="H32" i="138"/>
  <c r="I32" i="138" s="1"/>
  <c r="G35" i="138"/>
  <c r="G33" i="138"/>
  <c r="G34" i="138" s="1"/>
  <c r="F13" i="179"/>
  <c r="I20" i="121"/>
  <c r="G13" i="179" s="1"/>
  <c r="H29" i="186"/>
  <c r="I29" i="186" s="1"/>
  <c r="G34" i="186"/>
  <c r="H25" i="139"/>
  <c r="I25" i="139" s="1"/>
  <c r="H25" i="135"/>
  <c r="I25" i="135" s="1"/>
  <c r="G44" i="117"/>
  <c r="G42" i="117"/>
  <c r="H41" i="117"/>
  <c r="I41" i="117" s="1"/>
  <c r="H25" i="137"/>
  <c r="I25" i="137" s="1"/>
  <c r="I21" i="134"/>
  <c r="G28" i="179" s="1"/>
  <c r="F28" i="179"/>
  <c r="H46" i="118"/>
  <c r="I46" i="118" s="1"/>
  <c r="G49" i="118"/>
  <c r="H49" i="118" s="1"/>
  <c r="I49" i="118" s="1"/>
  <c r="G47" i="118"/>
  <c r="I21" i="136"/>
  <c r="G30" i="179" s="1"/>
  <c r="F30" i="179"/>
  <c r="G32" i="119"/>
  <c r="G33" i="119" s="1"/>
  <c r="H31" i="119"/>
  <c r="I31" i="119" s="1"/>
  <c r="G34" i="119"/>
  <c r="H25" i="138"/>
  <c r="I25" i="138" s="1"/>
  <c r="G32" i="121"/>
  <c r="H31" i="121"/>
  <c r="I31" i="121" s="1"/>
  <c r="G34" i="121"/>
  <c r="H41" i="186"/>
  <c r="I41" i="186" s="1"/>
  <c r="G44" i="186"/>
  <c r="G42" i="186"/>
  <c r="G43" i="186" s="1"/>
  <c r="G49" i="186"/>
  <c r="G47" i="186"/>
  <c r="H46" i="186"/>
  <c r="I46" i="186" s="1"/>
  <c r="G35" i="139"/>
  <c r="H32" i="139"/>
  <c r="I32" i="139" s="1"/>
  <c r="G33" i="139"/>
  <c r="G34" i="139" s="1"/>
  <c r="I21" i="135"/>
  <c r="G29" i="179" s="1"/>
  <c r="F29" i="179"/>
  <c r="H34" i="136" l="1"/>
  <c r="I34" i="136" s="1"/>
  <c r="G36" i="136"/>
  <c r="J34" i="136" s="1"/>
  <c r="H34" i="138"/>
  <c r="I34" i="138" s="1"/>
  <c r="G36" i="138"/>
  <c r="J34" i="138" s="1"/>
  <c r="H34" i="134"/>
  <c r="I34" i="134" s="1"/>
  <c r="G36" i="134"/>
  <c r="H34" i="135"/>
  <c r="I34" i="135" s="1"/>
  <c r="G36" i="135"/>
  <c r="J34" i="135" s="1"/>
  <c r="G36" i="139"/>
  <c r="J35" i="139" s="1"/>
  <c r="H34" i="139"/>
  <c r="I34" i="139" s="1"/>
  <c r="H32" i="121"/>
  <c r="I32" i="121" s="1"/>
  <c r="G48" i="116"/>
  <c r="H47" i="116"/>
  <c r="I47" i="116" s="1"/>
  <c r="H44" i="116"/>
  <c r="I44" i="116" s="1"/>
  <c r="H33" i="120"/>
  <c r="I33" i="120" s="1"/>
  <c r="G35" i="120"/>
  <c r="J32" i="120" s="1"/>
  <c r="H35" i="139"/>
  <c r="I35" i="139" s="1"/>
  <c r="H42" i="186"/>
  <c r="I42" i="186" s="1"/>
  <c r="G33" i="121"/>
  <c r="H34" i="119"/>
  <c r="I34" i="119" s="1"/>
  <c r="H42" i="117"/>
  <c r="I42" i="117" s="1"/>
  <c r="H34" i="186"/>
  <c r="I34" i="186" s="1"/>
  <c r="H49" i="116"/>
  <c r="I49" i="116" s="1"/>
  <c r="H33" i="116"/>
  <c r="I33" i="116" s="1"/>
  <c r="H33" i="118"/>
  <c r="I33" i="118" s="1"/>
  <c r="H35" i="137"/>
  <c r="I35" i="137" s="1"/>
  <c r="G45" i="186"/>
  <c r="J34" i="186" s="1"/>
  <c r="H43" i="186"/>
  <c r="I43" i="186" s="1"/>
  <c r="H33" i="119"/>
  <c r="I33" i="119" s="1"/>
  <c r="G35" i="119"/>
  <c r="J34" i="119" s="1"/>
  <c r="F21" i="132"/>
  <c r="G21" i="132" s="1"/>
  <c r="F21" i="128"/>
  <c r="G21" i="128" s="1"/>
  <c r="F21" i="133"/>
  <c r="G21" i="133" s="1"/>
  <c r="F21" i="130"/>
  <c r="G21" i="130" s="1"/>
  <c r="F21" i="189"/>
  <c r="G21" i="189" s="1"/>
  <c r="F21" i="131"/>
  <c r="G21" i="131" s="1"/>
  <c r="F21" i="129"/>
  <c r="G21" i="129" s="1"/>
  <c r="F21" i="190"/>
  <c r="G21" i="190" s="1"/>
  <c r="H49" i="186"/>
  <c r="I49" i="186" s="1"/>
  <c r="H44" i="186"/>
  <c r="I44" i="186" s="1"/>
  <c r="H34" i="121"/>
  <c r="I34" i="121" s="1"/>
  <c r="H44" i="117"/>
  <c r="I44" i="117" s="1"/>
  <c r="H44" i="118"/>
  <c r="I44" i="118" s="1"/>
  <c r="H33" i="137"/>
  <c r="I33" i="137" s="1"/>
  <c r="H34" i="117"/>
  <c r="I34" i="117" s="1"/>
  <c r="H47" i="117"/>
  <c r="I47" i="117" s="1"/>
  <c r="H35" i="136"/>
  <c r="I35" i="136" s="1"/>
  <c r="H33" i="117"/>
  <c r="I33" i="117" s="1"/>
  <c r="H34" i="120"/>
  <c r="I34" i="120" s="1"/>
  <c r="H35" i="138"/>
  <c r="I35" i="138" s="1"/>
  <c r="H34" i="118"/>
  <c r="I34" i="118" s="1"/>
  <c r="H33" i="134"/>
  <c r="I33" i="134" s="1"/>
  <c r="H35" i="135"/>
  <c r="I35" i="135" s="1"/>
  <c r="H48" i="117"/>
  <c r="I48" i="117" s="1"/>
  <c r="G50" i="117"/>
  <c r="K48" i="117" s="1"/>
  <c r="H47" i="186"/>
  <c r="I47" i="186" s="1"/>
  <c r="H33" i="139"/>
  <c r="I33" i="139" s="1"/>
  <c r="G48" i="186"/>
  <c r="H32" i="119"/>
  <c r="I32" i="119" s="1"/>
  <c r="G48" i="118"/>
  <c r="H47" i="118"/>
  <c r="I47" i="118" s="1"/>
  <c r="G43" i="117"/>
  <c r="H33" i="138"/>
  <c r="I33" i="138" s="1"/>
  <c r="J33" i="138"/>
  <c r="H35" i="134"/>
  <c r="I35" i="134" s="1"/>
  <c r="G43" i="116"/>
  <c r="H42" i="116"/>
  <c r="I42" i="116" s="1"/>
  <c r="H33" i="135"/>
  <c r="I33" i="135" s="1"/>
  <c r="H33" i="186"/>
  <c r="I33" i="186" s="1"/>
  <c r="G43" i="118"/>
  <c r="H42" i="118"/>
  <c r="I42" i="118" s="1"/>
  <c r="H34" i="137"/>
  <c r="I34" i="137" s="1"/>
  <c r="G36" i="137"/>
  <c r="H49" i="117"/>
  <c r="I49" i="117" s="1"/>
  <c r="H33" i="136"/>
  <c r="I33" i="136" s="1"/>
  <c r="H32" i="120"/>
  <c r="I32" i="120" s="1"/>
  <c r="H34" i="116"/>
  <c r="I34" i="116" s="1"/>
  <c r="J44" i="186" l="1"/>
  <c r="J33" i="186"/>
  <c r="J42" i="186"/>
  <c r="J33" i="135"/>
  <c r="J35" i="135"/>
  <c r="J35" i="138"/>
  <c r="J35" i="136"/>
  <c r="J33" i="136"/>
  <c r="J32" i="119"/>
  <c r="J43" i="186"/>
  <c r="K49" i="117"/>
  <c r="J33" i="139"/>
  <c r="H21" i="131"/>
  <c r="I21" i="131" s="1"/>
  <c r="G24" i="131"/>
  <c r="H48" i="186"/>
  <c r="I48" i="186" s="1"/>
  <c r="G50" i="186"/>
  <c r="K48" i="186" s="1"/>
  <c r="K33" i="117"/>
  <c r="K47" i="117"/>
  <c r="H21" i="189"/>
  <c r="I21" i="189" s="1"/>
  <c r="G24" i="189"/>
  <c r="G24" i="132"/>
  <c r="H21" i="132"/>
  <c r="I21" i="132" s="1"/>
  <c r="J34" i="139"/>
  <c r="J29" i="135"/>
  <c r="J13" i="135"/>
  <c r="J24" i="135"/>
  <c r="J16" i="135"/>
  <c r="H36" i="135"/>
  <c r="J17" i="135"/>
  <c r="J23" i="135"/>
  <c r="J31" i="135"/>
  <c r="J36" i="135"/>
  <c r="J28" i="135"/>
  <c r="J22" i="135"/>
  <c r="J19" i="135"/>
  <c r="J30" i="135"/>
  <c r="J20" i="135"/>
  <c r="J15" i="135"/>
  <c r="J14" i="135"/>
  <c r="J26" i="135"/>
  <c r="J27" i="135"/>
  <c r="J18" i="135"/>
  <c r="J21" i="135"/>
  <c r="J25" i="135"/>
  <c r="J32" i="135"/>
  <c r="J33" i="120"/>
  <c r="J35" i="120"/>
  <c r="J30" i="120"/>
  <c r="J19" i="120"/>
  <c r="H35" i="120"/>
  <c r="J13" i="120"/>
  <c r="J15" i="120"/>
  <c r="J26" i="120"/>
  <c r="J22" i="120"/>
  <c r="J14" i="120"/>
  <c r="J17" i="120"/>
  <c r="J25" i="120"/>
  <c r="J27" i="120"/>
  <c r="J29" i="120"/>
  <c r="J23" i="120"/>
  <c r="J28" i="120"/>
  <c r="J16" i="120"/>
  <c r="J21" i="120"/>
  <c r="J18" i="120"/>
  <c r="J20" i="120"/>
  <c r="J31" i="120"/>
  <c r="J24" i="120"/>
  <c r="F20" i="78"/>
  <c r="G20" i="78" s="1"/>
  <c r="F20" i="172"/>
  <c r="G20" i="172" s="1"/>
  <c r="F20" i="76"/>
  <c r="G20" i="76" s="1"/>
  <c r="J34" i="137"/>
  <c r="J22" i="137"/>
  <c r="J19" i="137"/>
  <c r="J13" i="137"/>
  <c r="J29" i="137"/>
  <c r="J16" i="137"/>
  <c r="J23" i="137"/>
  <c r="J28" i="137"/>
  <c r="H36" i="137"/>
  <c r="J15" i="137"/>
  <c r="J31" i="137"/>
  <c r="J24" i="137"/>
  <c r="J20" i="137"/>
  <c r="J17" i="137"/>
  <c r="J14" i="137"/>
  <c r="J36" i="137"/>
  <c r="J27" i="137"/>
  <c r="J26" i="137"/>
  <c r="J30" i="137"/>
  <c r="J18" i="137"/>
  <c r="J21" i="137"/>
  <c r="J32" i="137"/>
  <c r="J25" i="137"/>
  <c r="H43" i="118"/>
  <c r="I43" i="118" s="1"/>
  <c r="G45" i="118"/>
  <c r="J43" i="118" s="1"/>
  <c r="H43" i="116"/>
  <c r="I43" i="116" s="1"/>
  <c r="G45" i="116"/>
  <c r="G50" i="118"/>
  <c r="K48" i="118" s="1"/>
  <c r="H48" i="118"/>
  <c r="I48" i="118" s="1"/>
  <c r="J34" i="120"/>
  <c r="J33" i="137"/>
  <c r="G24" i="190"/>
  <c r="H21" i="190"/>
  <c r="I21" i="190" s="1"/>
  <c r="H21" i="130"/>
  <c r="I21" i="130" s="1"/>
  <c r="G24" i="130"/>
  <c r="J33" i="119"/>
  <c r="J19" i="119"/>
  <c r="J15" i="119"/>
  <c r="J28" i="119"/>
  <c r="J30" i="119"/>
  <c r="J17" i="119"/>
  <c r="J22" i="119"/>
  <c r="J35" i="119"/>
  <c r="J21" i="119"/>
  <c r="J26" i="119"/>
  <c r="J29" i="119"/>
  <c r="J23" i="119"/>
  <c r="J14" i="119"/>
  <c r="J16" i="119"/>
  <c r="J13" i="119"/>
  <c r="J25" i="119"/>
  <c r="J27" i="119"/>
  <c r="H35" i="119"/>
  <c r="J18" i="119"/>
  <c r="J20" i="119"/>
  <c r="J31" i="119"/>
  <c r="J24" i="119"/>
  <c r="J39" i="186"/>
  <c r="J23" i="186"/>
  <c r="J38" i="186"/>
  <c r="J19" i="186"/>
  <c r="J30" i="186"/>
  <c r="J40" i="186"/>
  <c r="J36" i="186"/>
  <c r="J31" i="186"/>
  <c r="J45" i="186"/>
  <c r="J20" i="186"/>
  <c r="J14" i="186"/>
  <c r="J37" i="186"/>
  <c r="J12" i="186"/>
  <c r="J32" i="186"/>
  <c r="J13" i="186"/>
  <c r="J27" i="186"/>
  <c r="J26" i="186"/>
  <c r="J18" i="186"/>
  <c r="H45" i="186"/>
  <c r="I45" i="186" s="1"/>
  <c r="J22" i="186"/>
  <c r="J25" i="186"/>
  <c r="J35" i="186"/>
  <c r="J21" i="186"/>
  <c r="J24" i="186"/>
  <c r="J41" i="186"/>
  <c r="J29" i="186"/>
  <c r="J28" i="186"/>
  <c r="H48" i="116"/>
  <c r="I48" i="116" s="1"/>
  <c r="G50" i="116"/>
  <c r="J36" i="136"/>
  <c r="J20" i="136"/>
  <c r="J28" i="136"/>
  <c r="J26" i="136"/>
  <c r="J22" i="136"/>
  <c r="J23" i="136"/>
  <c r="H36" i="136"/>
  <c r="J24" i="136"/>
  <c r="J14" i="136"/>
  <c r="J29" i="136"/>
  <c r="J31" i="136"/>
  <c r="J13" i="136"/>
  <c r="J17" i="136"/>
  <c r="J27" i="136"/>
  <c r="J19" i="136"/>
  <c r="J16" i="136"/>
  <c r="J30" i="136"/>
  <c r="J15" i="136"/>
  <c r="J18" i="136"/>
  <c r="J21" i="136"/>
  <c r="J32" i="136"/>
  <c r="J25" i="136"/>
  <c r="H21" i="128"/>
  <c r="I21" i="128" s="1"/>
  <c r="G24" i="128"/>
  <c r="J20" i="134"/>
  <c r="J13" i="134"/>
  <c r="J29" i="134"/>
  <c r="J22" i="134"/>
  <c r="H36" i="134"/>
  <c r="J24" i="134"/>
  <c r="J36" i="134"/>
  <c r="J27" i="134"/>
  <c r="J30" i="134"/>
  <c r="J23" i="134"/>
  <c r="J16" i="134"/>
  <c r="J19" i="134"/>
  <c r="J17" i="134"/>
  <c r="J28" i="134"/>
  <c r="J31" i="134"/>
  <c r="J14" i="134"/>
  <c r="J15" i="134"/>
  <c r="J26" i="134"/>
  <c r="J18" i="134"/>
  <c r="J21" i="134"/>
  <c r="J25" i="134"/>
  <c r="J32" i="134"/>
  <c r="J35" i="134"/>
  <c r="H43" i="117"/>
  <c r="I43" i="117" s="1"/>
  <c r="G45" i="117"/>
  <c r="K39" i="117"/>
  <c r="K23" i="117"/>
  <c r="K27" i="117"/>
  <c r="K36" i="117"/>
  <c r="K18" i="117"/>
  <c r="K25" i="117"/>
  <c r="K38" i="117"/>
  <c r="K26" i="117"/>
  <c r="K22" i="117"/>
  <c r="K35" i="117"/>
  <c r="K17" i="117"/>
  <c r="K40" i="117"/>
  <c r="K15" i="117"/>
  <c r="K32" i="117"/>
  <c r="K30" i="117"/>
  <c r="K20" i="117"/>
  <c r="K50" i="117"/>
  <c r="K31" i="117"/>
  <c r="H50" i="117"/>
  <c r="K19" i="117"/>
  <c r="K16" i="117"/>
  <c r="K37" i="117"/>
  <c r="K21" i="117"/>
  <c r="K24" i="117"/>
  <c r="K28" i="117"/>
  <c r="K46" i="117"/>
  <c r="K29" i="117"/>
  <c r="J33" i="134"/>
  <c r="K34" i="117"/>
  <c r="G24" i="129"/>
  <c r="H21" i="129"/>
  <c r="I21" i="129" s="1"/>
  <c r="H21" i="133"/>
  <c r="I21" i="133" s="1"/>
  <c r="G24" i="133"/>
  <c r="J35" i="137"/>
  <c r="H33" i="121"/>
  <c r="I33" i="121" s="1"/>
  <c r="G35" i="121"/>
  <c r="J36" i="139"/>
  <c r="J17" i="139"/>
  <c r="H36" i="139"/>
  <c r="J27" i="139"/>
  <c r="J30" i="139"/>
  <c r="J22" i="139"/>
  <c r="J13" i="139"/>
  <c r="J19" i="139"/>
  <c r="J29" i="139"/>
  <c r="J31" i="139"/>
  <c r="J24" i="139"/>
  <c r="J26" i="139"/>
  <c r="J15" i="139"/>
  <c r="J20" i="139"/>
  <c r="J23" i="139"/>
  <c r="J14" i="139"/>
  <c r="J16" i="139"/>
  <c r="J28" i="139"/>
  <c r="J18" i="139"/>
  <c r="J21" i="139"/>
  <c r="J32" i="139"/>
  <c r="J25" i="139"/>
  <c r="J34" i="134"/>
  <c r="J36" i="138"/>
  <c r="J24" i="138"/>
  <c r="J20" i="138"/>
  <c r="J28" i="138"/>
  <c r="J14" i="138"/>
  <c r="J23" i="138"/>
  <c r="J22" i="138"/>
  <c r="J13" i="138"/>
  <c r="H36" i="138"/>
  <c r="J26" i="138"/>
  <c r="J19" i="138"/>
  <c r="J29" i="138"/>
  <c r="J30" i="138"/>
  <c r="J15" i="138"/>
  <c r="J16" i="138"/>
  <c r="J27" i="138"/>
  <c r="J17" i="138"/>
  <c r="J31" i="138"/>
  <c r="J18" i="138"/>
  <c r="J21" i="138"/>
  <c r="J32" i="138"/>
  <c r="J25" i="138"/>
  <c r="J25" i="121" l="1"/>
  <c r="J29" i="121"/>
  <c r="J27" i="121"/>
  <c r="J23" i="121"/>
  <c r="J21" i="121"/>
  <c r="J17" i="121"/>
  <c r="J30" i="121"/>
  <c r="J16" i="121"/>
  <c r="J13" i="121"/>
  <c r="H35" i="121"/>
  <c r="J19" i="121"/>
  <c r="J15" i="121"/>
  <c r="J35" i="121"/>
  <c r="J28" i="121"/>
  <c r="J14" i="121"/>
  <c r="J22" i="121"/>
  <c r="J26" i="121"/>
  <c r="J18" i="121"/>
  <c r="J20" i="121"/>
  <c r="J31" i="121"/>
  <c r="J24" i="121"/>
  <c r="J32" i="121"/>
  <c r="J34" i="121"/>
  <c r="J43" i="117"/>
  <c r="J18" i="117"/>
  <c r="J13" i="117"/>
  <c r="J25" i="117"/>
  <c r="J26" i="117"/>
  <c r="J22" i="117"/>
  <c r="J45" i="117"/>
  <c r="J27" i="117"/>
  <c r="J23" i="117"/>
  <c r="J19" i="117"/>
  <c r="J31" i="117"/>
  <c r="J32" i="117"/>
  <c r="J38" i="117"/>
  <c r="H45" i="117"/>
  <c r="I45" i="117" s="1"/>
  <c r="J30" i="117"/>
  <c r="J36" i="117"/>
  <c r="J12" i="117"/>
  <c r="J20" i="117"/>
  <c r="J14" i="117"/>
  <c r="J39" i="117"/>
  <c r="J40" i="117"/>
  <c r="J35" i="117"/>
  <c r="J37" i="117"/>
  <c r="J21" i="117"/>
  <c r="J24" i="117"/>
  <c r="J28" i="117"/>
  <c r="J41" i="117"/>
  <c r="J29" i="117"/>
  <c r="J42" i="117"/>
  <c r="J44" i="117"/>
  <c r="J34" i="117"/>
  <c r="J33" i="117"/>
  <c r="I36" i="136"/>
  <c r="I30" i="179" s="1"/>
  <c r="H30" i="179"/>
  <c r="F20" i="75"/>
  <c r="G20" i="75" s="1"/>
  <c r="F20" i="73"/>
  <c r="G20" i="73" s="1"/>
  <c r="F20" i="170"/>
  <c r="G20" i="170" s="1"/>
  <c r="H24" i="133"/>
  <c r="G28" i="133"/>
  <c r="G41" i="133"/>
  <c r="G46" i="133"/>
  <c r="G29" i="133"/>
  <c r="I50" i="117"/>
  <c r="I9" i="179" s="1"/>
  <c r="H9" i="179"/>
  <c r="G46" i="190"/>
  <c r="G41" i="190"/>
  <c r="H24" i="190"/>
  <c r="G29" i="190"/>
  <c r="G28" i="190"/>
  <c r="G23" i="78"/>
  <c r="H20" i="78"/>
  <c r="I20" i="78" s="1"/>
  <c r="I36" i="135"/>
  <c r="I29" i="179" s="1"/>
  <c r="H29" i="179"/>
  <c r="H24" i="189"/>
  <c r="G29" i="189"/>
  <c r="G41" i="189"/>
  <c r="G46" i="189"/>
  <c r="G28" i="189"/>
  <c r="I36" i="134"/>
  <c r="I28" i="179" s="1"/>
  <c r="H28" i="179"/>
  <c r="G41" i="130"/>
  <c r="H24" i="130"/>
  <c r="G28" i="130"/>
  <c r="G46" i="130"/>
  <c r="G29" i="130"/>
  <c r="G23" i="172"/>
  <c r="H20" i="172"/>
  <c r="I20" i="172" s="1"/>
  <c r="H24" i="129"/>
  <c r="G28" i="129"/>
  <c r="G29" i="129"/>
  <c r="G41" i="129"/>
  <c r="G46" i="129"/>
  <c r="K49" i="118"/>
  <c r="H50" i="118"/>
  <c r="K16" i="118"/>
  <c r="K19" i="118"/>
  <c r="K31" i="118"/>
  <c r="K32" i="118"/>
  <c r="K37" i="118"/>
  <c r="K25" i="118"/>
  <c r="K40" i="118"/>
  <c r="K38" i="118"/>
  <c r="K27" i="118"/>
  <c r="K15" i="118"/>
  <c r="K17" i="118"/>
  <c r="K36" i="118"/>
  <c r="K26" i="118"/>
  <c r="K18" i="118"/>
  <c r="K22" i="118"/>
  <c r="K35" i="118"/>
  <c r="K39" i="118"/>
  <c r="K50" i="118"/>
  <c r="K20" i="118"/>
  <c r="K23" i="118"/>
  <c r="K30" i="118"/>
  <c r="K21" i="118"/>
  <c r="K24" i="118"/>
  <c r="K29" i="118"/>
  <c r="K28" i="118"/>
  <c r="K46" i="118"/>
  <c r="K47" i="118"/>
  <c r="K33" i="118"/>
  <c r="K34" i="118"/>
  <c r="J33" i="118"/>
  <c r="J30" i="118"/>
  <c r="J18" i="118"/>
  <c r="J13" i="118"/>
  <c r="J12" i="118"/>
  <c r="J38" i="118"/>
  <c r="J32" i="118"/>
  <c r="J35" i="118"/>
  <c r="J39" i="118"/>
  <c r="J37" i="118"/>
  <c r="J19" i="118"/>
  <c r="J31" i="118"/>
  <c r="H45" i="118"/>
  <c r="I45" i="118" s="1"/>
  <c r="J45" i="118"/>
  <c r="J27" i="118"/>
  <c r="J25" i="118"/>
  <c r="J14" i="118"/>
  <c r="J36" i="118"/>
  <c r="J26" i="118"/>
  <c r="J40" i="118"/>
  <c r="J22" i="118"/>
  <c r="J23" i="118"/>
  <c r="J20" i="118"/>
  <c r="J21" i="118"/>
  <c r="J24" i="118"/>
  <c r="J28" i="118"/>
  <c r="J29" i="118"/>
  <c r="J41" i="118"/>
  <c r="J44" i="118"/>
  <c r="J42" i="118"/>
  <c r="J34" i="118"/>
  <c r="H43" i="179"/>
  <c r="I36" i="137"/>
  <c r="I43" i="179" s="1"/>
  <c r="G28" i="132"/>
  <c r="G29" i="132"/>
  <c r="G46" i="132"/>
  <c r="H24" i="132"/>
  <c r="G41" i="132"/>
  <c r="K50" i="186"/>
  <c r="K27" i="186"/>
  <c r="K39" i="186"/>
  <c r="K37" i="186"/>
  <c r="K40" i="186"/>
  <c r="K18" i="186"/>
  <c r="K25" i="186"/>
  <c r="K15" i="186"/>
  <c r="K26" i="186"/>
  <c r="K17" i="186"/>
  <c r="K38" i="186"/>
  <c r="K16" i="186"/>
  <c r="K31" i="186"/>
  <c r="K36" i="186"/>
  <c r="K23" i="186"/>
  <c r="K30" i="186"/>
  <c r="K19" i="186"/>
  <c r="K22" i="186"/>
  <c r="K32" i="186"/>
  <c r="H50" i="186"/>
  <c r="K20" i="186"/>
  <c r="K35" i="186"/>
  <c r="K21" i="186"/>
  <c r="K24" i="186"/>
  <c r="K29" i="186"/>
  <c r="K46" i="186"/>
  <c r="K28" i="186"/>
  <c r="K47" i="186"/>
  <c r="K33" i="186"/>
  <c r="K49" i="186"/>
  <c r="K34" i="186"/>
  <c r="G41" i="131"/>
  <c r="G28" i="131"/>
  <c r="H24" i="131"/>
  <c r="G29" i="131"/>
  <c r="G46" i="131"/>
  <c r="H45" i="179"/>
  <c r="I36" i="139"/>
  <c r="I45" i="179" s="1"/>
  <c r="H11" i="179"/>
  <c r="I35" i="119"/>
  <c r="I11" i="179" s="1"/>
  <c r="I36" i="138"/>
  <c r="I44" i="179" s="1"/>
  <c r="H44" i="179"/>
  <c r="J33" i="121"/>
  <c r="G29" i="128"/>
  <c r="H24" i="128"/>
  <c r="G41" i="128"/>
  <c r="G28" i="128"/>
  <c r="G46" i="128"/>
  <c r="K48" i="116"/>
  <c r="K40" i="116"/>
  <c r="K19" i="116"/>
  <c r="K31" i="116"/>
  <c r="K23" i="116"/>
  <c r="K16" i="116"/>
  <c r="K22" i="116"/>
  <c r="K20" i="116"/>
  <c r="K17" i="116"/>
  <c r="K25" i="116"/>
  <c r="K26" i="116"/>
  <c r="K18" i="116"/>
  <c r="K50" i="116"/>
  <c r="K30" i="116"/>
  <c r="K37" i="116"/>
  <c r="K27" i="116"/>
  <c r="K36" i="116"/>
  <c r="K32" i="116"/>
  <c r="K35" i="116"/>
  <c r="K15" i="116"/>
  <c r="K39" i="116"/>
  <c r="K38" i="116"/>
  <c r="H50" i="116"/>
  <c r="K21" i="116"/>
  <c r="K24" i="116"/>
  <c r="K28" i="116"/>
  <c r="K46" i="116"/>
  <c r="K29" i="116"/>
  <c r="K47" i="116"/>
  <c r="K49" i="116"/>
  <c r="K34" i="116"/>
  <c r="K33" i="116"/>
  <c r="J43" i="116"/>
  <c r="J37" i="116"/>
  <c r="J30" i="116"/>
  <c r="J25" i="116"/>
  <c r="J26" i="116"/>
  <c r="J40" i="116"/>
  <c r="J38" i="116"/>
  <c r="J31" i="116"/>
  <c r="J39" i="116"/>
  <c r="J45" i="116"/>
  <c r="J35" i="116"/>
  <c r="J13" i="116"/>
  <c r="J22" i="116"/>
  <c r="J36" i="116"/>
  <c r="J14" i="116"/>
  <c r="J12" i="116"/>
  <c r="J18" i="116"/>
  <c r="J27" i="116"/>
  <c r="J19" i="116"/>
  <c r="H45" i="116"/>
  <c r="I45" i="116" s="1"/>
  <c r="J32" i="116"/>
  <c r="J20" i="116"/>
  <c r="J23" i="116"/>
  <c r="J21" i="116"/>
  <c r="J24" i="116"/>
  <c r="J28" i="116"/>
  <c r="J29" i="116"/>
  <c r="J41" i="116"/>
  <c r="J33" i="116"/>
  <c r="J42" i="116"/>
  <c r="J44" i="116"/>
  <c r="J34" i="116"/>
  <c r="G23" i="76"/>
  <c r="H20" i="76"/>
  <c r="I20" i="76" s="1"/>
  <c r="H12" i="179"/>
  <c r="I35" i="120"/>
  <c r="I12" i="179" s="1"/>
  <c r="G49" i="128" l="1"/>
  <c r="G47" i="128"/>
  <c r="G48" i="128" s="1"/>
  <c r="H46" i="128"/>
  <c r="I46" i="128" s="1"/>
  <c r="F39" i="179"/>
  <c r="I24" i="131"/>
  <c r="G39" i="179" s="1"/>
  <c r="H41" i="189"/>
  <c r="I41" i="189" s="1"/>
  <c r="G42" i="189"/>
  <c r="G44" i="189"/>
  <c r="H23" i="76"/>
  <c r="G34" i="76"/>
  <c r="G27" i="76"/>
  <c r="G33" i="128"/>
  <c r="H28" i="128"/>
  <c r="I28" i="128" s="1"/>
  <c r="H28" i="131"/>
  <c r="I28" i="131" s="1"/>
  <c r="G33" i="131"/>
  <c r="I24" i="132"/>
  <c r="G41" i="179" s="1"/>
  <c r="F41" i="179"/>
  <c r="H29" i="129"/>
  <c r="I29" i="129" s="1"/>
  <c r="G34" i="129"/>
  <c r="G34" i="130"/>
  <c r="H29" i="130"/>
  <c r="I29" i="130" s="1"/>
  <c r="G42" i="130"/>
  <c r="G44" i="130"/>
  <c r="H41" i="130"/>
  <c r="I41" i="130" s="1"/>
  <c r="G34" i="189"/>
  <c r="H29" i="189"/>
  <c r="I29" i="189" s="1"/>
  <c r="H41" i="190"/>
  <c r="I41" i="190" s="1"/>
  <c r="G42" i="190"/>
  <c r="G44" i="190"/>
  <c r="H44" i="190" s="1"/>
  <c r="I44" i="190" s="1"/>
  <c r="G44" i="133"/>
  <c r="H41" i="133"/>
  <c r="I41" i="133" s="1"/>
  <c r="G42" i="133"/>
  <c r="H20" i="73"/>
  <c r="I20" i="73" s="1"/>
  <c r="G23" i="73"/>
  <c r="G42" i="132"/>
  <c r="G43" i="132" s="1"/>
  <c r="G44" i="132"/>
  <c r="H41" i="132"/>
  <c r="I41" i="132" s="1"/>
  <c r="G44" i="129"/>
  <c r="H41" i="129"/>
  <c r="I41" i="129" s="1"/>
  <c r="G42" i="129"/>
  <c r="G43" i="129" s="1"/>
  <c r="H20" i="170"/>
  <c r="I20" i="170" s="1"/>
  <c r="G23" i="170"/>
  <c r="H41" i="128"/>
  <c r="I41" i="128" s="1"/>
  <c r="G42" i="128"/>
  <c r="G43" i="128" s="1"/>
  <c r="G44" i="128"/>
  <c r="G49" i="131"/>
  <c r="H46" i="131"/>
  <c r="I46" i="131" s="1"/>
  <c r="G47" i="131"/>
  <c r="G48" i="131" s="1"/>
  <c r="G44" i="131"/>
  <c r="H41" i="131"/>
  <c r="I41" i="131" s="1"/>
  <c r="G42" i="131"/>
  <c r="H8" i="179"/>
  <c r="I50" i="186"/>
  <c r="I8" i="179" s="1"/>
  <c r="H46" i="132"/>
  <c r="I46" i="132" s="1"/>
  <c r="G47" i="132"/>
  <c r="G48" i="132" s="1"/>
  <c r="G49" i="132"/>
  <c r="H28" i="129"/>
  <c r="I28" i="129" s="1"/>
  <c r="G33" i="129"/>
  <c r="G34" i="172"/>
  <c r="H23" i="172"/>
  <c r="G27" i="172"/>
  <c r="G47" i="130"/>
  <c r="G49" i="130"/>
  <c r="H46" i="130"/>
  <c r="I46" i="130" s="1"/>
  <c r="G33" i="189"/>
  <c r="H28" i="189"/>
  <c r="I28" i="189" s="1"/>
  <c r="F25" i="179"/>
  <c r="I24" i="189"/>
  <c r="G25" i="179" s="1"/>
  <c r="G33" i="190"/>
  <c r="H28" i="190"/>
  <c r="I28" i="190" s="1"/>
  <c r="G49" i="190"/>
  <c r="G47" i="190"/>
  <c r="H46" i="190"/>
  <c r="I46" i="190" s="1"/>
  <c r="G33" i="133"/>
  <c r="H28" i="133"/>
  <c r="I28" i="133" s="1"/>
  <c r="G23" i="75"/>
  <c r="H20" i="75"/>
  <c r="I20" i="75" s="1"/>
  <c r="I35" i="121"/>
  <c r="I13" i="179" s="1"/>
  <c r="H13" i="179"/>
  <c r="H29" i="128"/>
  <c r="I29" i="128" s="1"/>
  <c r="G34" i="128"/>
  <c r="H28" i="132"/>
  <c r="I28" i="132" s="1"/>
  <c r="G33" i="132"/>
  <c r="I24" i="130"/>
  <c r="G27" i="179" s="1"/>
  <c r="F27" i="179"/>
  <c r="I24" i="190"/>
  <c r="G40" i="179" s="1"/>
  <c r="F40" i="179"/>
  <c r="G47" i="133"/>
  <c r="G48" i="133" s="1"/>
  <c r="H46" i="133"/>
  <c r="I46" i="133" s="1"/>
  <c r="G49" i="133"/>
  <c r="H7" i="179"/>
  <c r="I50" i="116"/>
  <c r="I7" i="179" s="1"/>
  <c r="F24" i="179"/>
  <c r="I24" i="128"/>
  <c r="G24" i="179" s="1"/>
  <c r="H29" i="131"/>
  <c r="I29" i="131" s="1"/>
  <c r="G34" i="131"/>
  <c r="G34" i="132"/>
  <c r="H29" i="132"/>
  <c r="I29" i="132" s="1"/>
  <c r="H10" i="179"/>
  <c r="I50" i="118"/>
  <c r="I10" i="179" s="1"/>
  <c r="G49" i="129"/>
  <c r="G47" i="129"/>
  <c r="G48" i="129" s="1"/>
  <c r="H46" i="129"/>
  <c r="I46" i="129" s="1"/>
  <c r="I24" i="129"/>
  <c r="G26" i="179" s="1"/>
  <c r="F26" i="179"/>
  <c r="G33" i="130"/>
  <c r="H28" i="130"/>
  <c r="I28" i="130" s="1"/>
  <c r="G47" i="189"/>
  <c r="G48" i="189" s="1"/>
  <c r="H46" i="189"/>
  <c r="I46" i="189" s="1"/>
  <c r="G49" i="189"/>
  <c r="H23" i="78"/>
  <c r="G27" i="78"/>
  <c r="G34" i="78"/>
  <c r="H29" i="190"/>
  <c r="I29" i="190" s="1"/>
  <c r="G34" i="190"/>
  <c r="G34" i="133"/>
  <c r="H29" i="133"/>
  <c r="I29" i="133" s="1"/>
  <c r="F42" i="179"/>
  <c r="I24" i="133"/>
  <c r="G42" i="179" s="1"/>
  <c r="H48" i="129" l="1"/>
  <c r="I48" i="129" s="1"/>
  <c r="G50" i="129"/>
  <c r="K34" i="129" s="1"/>
  <c r="H48" i="132"/>
  <c r="I48" i="132" s="1"/>
  <c r="G50" i="132"/>
  <c r="K34" i="132" s="1"/>
  <c r="G45" i="128"/>
  <c r="J43" i="128" s="1"/>
  <c r="H43" i="128"/>
  <c r="I43" i="128" s="1"/>
  <c r="H43" i="129"/>
  <c r="I43" i="129" s="1"/>
  <c r="G45" i="129"/>
  <c r="J43" i="129" s="1"/>
  <c r="F42" i="7"/>
  <c r="I23" i="78"/>
  <c r="G42" i="7" s="1"/>
  <c r="H33" i="133"/>
  <c r="I33" i="133" s="1"/>
  <c r="H47" i="130"/>
  <c r="I47" i="130" s="1"/>
  <c r="G34" i="73"/>
  <c r="G27" i="73"/>
  <c r="H23" i="73"/>
  <c r="H33" i="128"/>
  <c r="I33" i="128" s="1"/>
  <c r="J33" i="128"/>
  <c r="H48" i="128"/>
  <c r="I48" i="128" s="1"/>
  <c r="G50" i="128"/>
  <c r="K33" i="128" s="1"/>
  <c r="H47" i="189"/>
  <c r="I47" i="189" s="1"/>
  <c r="H33" i="130"/>
  <c r="I33" i="130" s="1"/>
  <c r="H34" i="131"/>
  <c r="I34" i="131" s="1"/>
  <c r="H49" i="133"/>
  <c r="I49" i="133" s="1"/>
  <c r="H49" i="190"/>
  <c r="I49" i="190" s="1"/>
  <c r="H33" i="190"/>
  <c r="I33" i="190" s="1"/>
  <c r="G48" i="130"/>
  <c r="G43" i="131"/>
  <c r="H42" i="131"/>
  <c r="I42" i="131" s="1"/>
  <c r="H48" i="131"/>
  <c r="I48" i="131" s="1"/>
  <c r="G50" i="131"/>
  <c r="K34" i="131" s="1"/>
  <c r="H44" i="129"/>
  <c r="I44" i="129" s="1"/>
  <c r="J44" i="129"/>
  <c r="H44" i="132"/>
  <c r="I44" i="132" s="1"/>
  <c r="G43" i="190"/>
  <c r="H42" i="190"/>
  <c r="I42" i="190" s="1"/>
  <c r="H44" i="130"/>
  <c r="I44" i="130" s="1"/>
  <c r="H34" i="129"/>
  <c r="I34" i="129" s="1"/>
  <c r="H48" i="133"/>
  <c r="I48" i="133" s="1"/>
  <c r="G50" i="133"/>
  <c r="K49" i="133" s="1"/>
  <c r="G27" i="75"/>
  <c r="G34" i="75"/>
  <c r="H23" i="75"/>
  <c r="H47" i="190"/>
  <c r="I47" i="190" s="1"/>
  <c r="F40" i="7"/>
  <c r="I23" i="76"/>
  <c r="G40" i="7" s="1"/>
  <c r="G35" i="78"/>
  <c r="G37" i="78"/>
  <c r="H34" i="78"/>
  <c r="I34" i="78" s="1"/>
  <c r="H48" i="189"/>
  <c r="I48" i="189" s="1"/>
  <c r="G50" i="189"/>
  <c r="K47" i="189" s="1"/>
  <c r="H34" i="132"/>
  <c r="I34" i="132" s="1"/>
  <c r="H33" i="132"/>
  <c r="I33" i="132" s="1"/>
  <c r="H34" i="128"/>
  <c r="I34" i="128" s="1"/>
  <c r="G48" i="190"/>
  <c r="H27" i="172"/>
  <c r="I27" i="172" s="1"/>
  <c r="H47" i="131"/>
  <c r="I47" i="131" s="1"/>
  <c r="H42" i="132"/>
  <c r="I42" i="132" s="1"/>
  <c r="H44" i="133"/>
  <c r="I44" i="133" s="1"/>
  <c r="H34" i="189"/>
  <c r="I34" i="189" s="1"/>
  <c r="G43" i="130"/>
  <c r="H42" i="130"/>
  <c r="I42" i="130" s="1"/>
  <c r="H34" i="130"/>
  <c r="I34" i="130" s="1"/>
  <c r="H27" i="76"/>
  <c r="I27" i="76" s="1"/>
  <c r="H44" i="189"/>
  <c r="I44" i="189" s="1"/>
  <c r="H47" i="128"/>
  <c r="I47" i="128" s="1"/>
  <c r="F20" i="5"/>
  <c r="G20" i="5" s="1"/>
  <c r="F20" i="171"/>
  <c r="G20" i="171" s="1"/>
  <c r="F20" i="72"/>
  <c r="G20" i="72" s="1"/>
  <c r="H34" i="133"/>
  <c r="I34" i="133" s="1"/>
  <c r="H49" i="129"/>
  <c r="I49" i="129" s="1"/>
  <c r="G37" i="172"/>
  <c r="H34" i="172"/>
  <c r="I34" i="172" s="1"/>
  <c r="G35" i="172"/>
  <c r="H47" i="132"/>
  <c r="I47" i="132" s="1"/>
  <c r="H49" i="131"/>
  <c r="I49" i="131" s="1"/>
  <c r="H42" i="128"/>
  <c r="I42" i="128" s="1"/>
  <c r="H42" i="133"/>
  <c r="I42" i="133" s="1"/>
  <c r="H34" i="190"/>
  <c r="I34" i="190" s="1"/>
  <c r="H27" i="78"/>
  <c r="I27" i="78" s="1"/>
  <c r="H49" i="189"/>
  <c r="I49" i="189" s="1"/>
  <c r="H47" i="129"/>
  <c r="I47" i="129" s="1"/>
  <c r="K47" i="129"/>
  <c r="H47" i="133"/>
  <c r="I47" i="133" s="1"/>
  <c r="H33" i="189"/>
  <c r="I33" i="189" s="1"/>
  <c r="H49" i="130"/>
  <c r="I49" i="130" s="1"/>
  <c r="I23" i="172"/>
  <c r="G41" i="7" s="1"/>
  <c r="F41" i="7"/>
  <c r="H33" i="129"/>
  <c r="I33" i="129" s="1"/>
  <c r="K33" i="129"/>
  <c r="H49" i="132"/>
  <c r="I49" i="132" s="1"/>
  <c r="H44" i="131"/>
  <c r="I44" i="131" s="1"/>
  <c r="H44" i="128"/>
  <c r="I44" i="128" s="1"/>
  <c r="G34" i="170"/>
  <c r="G27" i="170"/>
  <c r="H23" i="170"/>
  <c r="H42" i="129"/>
  <c r="I42" i="129" s="1"/>
  <c r="H43" i="132"/>
  <c r="I43" i="132" s="1"/>
  <c r="G45" i="132"/>
  <c r="J42" i="132" s="1"/>
  <c r="G43" i="133"/>
  <c r="H33" i="131"/>
  <c r="I33" i="131" s="1"/>
  <c r="H34" i="76"/>
  <c r="I34" i="76" s="1"/>
  <c r="G37" i="76"/>
  <c r="G35" i="76"/>
  <c r="G43" i="189"/>
  <c r="H42" i="189"/>
  <c r="I42" i="189" s="1"/>
  <c r="H49" i="128"/>
  <c r="I49" i="128" s="1"/>
  <c r="J44" i="128" l="1"/>
  <c r="J42" i="128"/>
  <c r="J34" i="128"/>
  <c r="K49" i="128"/>
  <c r="J33" i="129"/>
  <c r="J34" i="129"/>
  <c r="J42" i="129"/>
  <c r="K47" i="128"/>
  <c r="J44" i="132"/>
  <c r="K49" i="129"/>
  <c r="K49" i="189"/>
  <c r="K48" i="128"/>
  <c r="K47" i="131"/>
  <c r="K34" i="128"/>
  <c r="K33" i="133"/>
  <c r="K47" i="133"/>
  <c r="K33" i="132"/>
  <c r="K33" i="189"/>
  <c r="K34" i="133"/>
  <c r="G23" i="5"/>
  <c r="H20" i="5"/>
  <c r="I20" i="5" s="1"/>
  <c r="H48" i="190"/>
  <c r="I48" i="190" s="1"/>
  <c r="G50" i="190"/>
  <c r="H37" i="78"/>
  <c r="I37" i="78" s="1"/>
  <c r="H27" i="73"/>
  <c r="I27" i="73" s="1"/>
  <c r="H37" i="76"/>
  <c r="I37" i="76" s="1"/>
  <c r="H27" i="170"/>
  <c r="I27" i="170" s="1"/>
  <c r="K49" i="131"/>
  <c r="K34" i="189"/>
  <c r="J33" i="132"/>
  <c r="H35" i="78"/>
  <c r="I35" i="78" s="1"/>
  <c r="H27" i="75"/>
  <c r="I27" i="75" s="1"/>
  <c r="H48" i="130"/>
  <c r="I48" i="130" s="1"/>
  <c r="G50" i="130"/>
  <c r="K48" i="130" s="1"/>
  <c r="K38" i="128"/>
  <c r="K30" i="128"/>
  <c r="K35" i="128"/>
  <c r="K32" i="128"/>
  <c r="K36" i="128"/>
  <c r="K17" i="128"/>
  <c r="K16" i="128"/>
  <c r="K15" i="128"/>
  <c r="K25" i="128"/>
  <c r="K37" i="128"/>
  <c r="K39" i="128"/>
  <c r="K26" i="128"/>
  <c r="K23" i="128"/>
  <c r="K40" i="128"/>
  <c r="K50" i="128"/>
  <c r="K27" i="128"/>
  <c r="H50" i="128"/>
  <c r="K22" i="128"/>
  <c r="K18" i="128"/>
  <c r="K31" i="128"/>
  <c r="K19" i="128"/>
  <c r="K20" i="128"/>
  <c r="K21" i="128"/>
  <c r="K24" i="128"/>
  <c r="K46" i="128"/>
  <c r="K28" i="128"/>
  <c r="K29" i="128"/>
  <c r="G37" i="73"/>
  <c r="H37" i="73" s="1"/>
  <c r="I37" i="73" s="1"/>
  <c r="G35" i="73"/>
  <c r="H34" i="73"/>
  <c r="I34" i="73" s="1"/>
  <c r="G36" i="76"/>
  <c r="H35" i="76"/>
  <c r="I35" i="76" s="1"/>
  <c r="F29" i="7"/>
  <c r="I23" i="170"/>
  <c r="G29" i="7" s="1"/>
  <c r="K48" i="131"/>
  <c r="K36" i="131"/>
  <c r="K18" i="131"/>
  <c r="K39" i="131"/>
  <c r="K19" i="131"/>
  <c r="K22" i="131"/>
  <c r="K37" i="131"/>
  <c r="H50" i="131"/>
  <c r="K35" i="131"/>
  <c r="K38" i="131"/>
  <c r="K32" i="131"/>
  <c r="K50" i="131"/>
  <c r="K16" i="131"/>
  <c r="K17" i="131"/>
  <c r="K27" i="131"/>
  <c r="K15" i="131"/>
  <c r="K31" i="131"/>
  <c r="K40" i="131"/>
  <c r="K20" i="131"/>
  <c r="K30" i="131"/>
  <c r="K26" i="131"/>
  <c r="K25" i="131"/>
  <c r="K23" i="131"/>
  <c r="K21" i="131"/>
  <c r="K24" i="131"/>
  <c r="K29" i="131"/>
  <c r="K46" i="131"/>
  <c r="K28" i="131"/>
  <c r="K37" i="132"/>
  <c r="K22" i="132"/>
  <c r="K27" i="132"/>
  <c r="K23" i="132"/>
  <c r="K18" i="132"/>
  <c r="K30" i="132"/>
  <c r="K20" i="132"/>
  <c r="K36" i="132"/>
  <c r="K25" i="132"/>
  <c r="K39" i="132"/>
  <c r="K50" i="132"/>
  <c r="K31" i="132"/>
  <c r="K17" i="132"/>
  <c r="K38" i="132"/>
  <c r="H50" i="132"/>
  <c r="K26" i="132"/>
  <c r="K35" i="132"/>
  <c r="K40" i="132"/>
  <c r="K16" i="132"/>
  <c r="K15" i="132"/>
  <c r="K32" i="132"/>
  <c r="K19" i="132"/>
  <c r="K21" i="132"/>
  <c r="K24" i="132"/>
  <c r="K29" i="132"/>
  <c r="K46" i="132"/>
  <c r="K28" i="132"/>
  <c r="G45" i="189"/>
  <c r="J43" i="189" s="1"/>
  <c r="H43" i="189"/>
  <c r="I43" i="189" s="1"/>
  <c r="H43" i="133"/>
  <c r="I43" i="133" s="1"/>
  <c r="G45" i="133"/>
  <c r="J43" i="133" s="1"/>
  <c r="H34" i="170"/>
  <c r="I34" i="170" s="1"/>
  <c r="G37" i="170"/>
  <c r="G35" i="170"/>
  <c r="G36" i="170" s="1"/>
  <c r="G36" i="172"/>
  <c r="H35" i="172"/>
  <c r="I35" i="172" s="1"/>
  <c r="G23" i="72"/>
  <c r="H20" i="72"/>
  <c r="I20" i="72" s="1"/>
  <c r="K48" i="189"/>
  <c r="G36" i="78"/>
  <c r="K48" i="133"/>
  <c r="K15" i="133"/>
  <c r="K35" i="133"/>
  <c r="K31" i="133"/>
  <c r="K36" i="133"/>
  <c r="K22" i="133"/>
  <c r="H50" i="133"/>
  <c r="K27" i="133"/>
  <c r="K30" i="133"/>
  <c r="K32" i="133"/>
  <c r="K39" i="133"/>
  <c r="K23" i="133"/>
  <c r="K50" i="133"/>
  <c r="K20" i="133"/>
  <c r="K18" i="133"/>
  <c r="K19" i="133"/>
  <c r="K37" i="133"/>
  <c r="K38" i="133"/>
  <c r="K16" i="133"/>
  <c r="K17" i="133"/>
  <c r="K25" i="133"/>
  <c r="K26" i="133"/>
  <c r="K40" i="133"/>
  <c r="K21" i="133"/>
  <c r="K24" i="133"/>
  <c r="K46" i="133"/>
  <c r="K28" i="133"/>
  <c r="K29" i="133"/>
  <c r="J20" i="129"/>
  <c r="H45" i="129"/>
  <c r="I45" i="129" s="1"/>
  <c r="J40" i="129"/>
  <c r="J22" i="129"/>
  <c r="J23" i="129"/>
  <c r="J45" i="129"/>
  <c r="J14" i="129"/>
  <c r="J13" i="129"/>
  <c r="J27" i="129"/>
  <c r="J26" i="129"/>
  <c r="J12" i="129"/>
  <c r="J37" i="129"/>
  <c r="J19" i="129"/>
  <c r="J35" i="129"/>
  <c r="J25" i="129"/>
  <c r="J32" i="129"/>
  <c r="J38" i="129"/>
  <c r="J31" i="129"/>
  <c r="J39" i="129"/>
  <c r="J30" i="129"/>
  <c r="J18" i="129"/>
  <c r="J36" i="129"/>
  <c r="J21" i="129"/>
  <c r="J24" i="129"/>
  <c r="J29" i="129"/>
  <c r="J28" i="129"/>
  <c r="J41" i="129"/>
  <c r="J26" i="128"/>
  <c r="J31" i="128"/>
  <c r="J14" i="128"/>
  <c r="J37" i="128"/>
  <c r="J40" i="128"/>
  <c r="J30" i="128"/>
  <c r="J36" i="128"/>
  <c r="J20" i="128"/>
  <c r="J32" i="128"/>
  <c r="H45" i="128"/>
  <c r="I45" i="128" s="1"/>
  <c r="J45" i="128"/>
  <c r="J23" i="128"/>
  <c r="J12" i="128"/>
  <c r="J35" i="128"/>
  <c r="J39" i="128"/>
  <c r="J27" i="128"/>
  <c r="J38" i="128"/>
  <c r="J18" i="128"/>
  <c r="J13" i="128"/>
  <c r="J22" i="128"/>
  <c r="J19" i="128"/>
  <c r="J25" i="128"/>
  <c r="J21" i="128"/>
  <c r="J24" i="128"/>
  <c r="J29" i="128"/>
  <c r="J28" i="128"/>
  <c r="J41" i="128"/>
  <c r="K48" i="129"/>
  <c r="K26" i="129"/>
  <c r="K35" i="129"/>
  <c r="K40" i="129"/>
  <c r="K19" i="129"/>
  <c r="K39" i="129"/>
  <c r="H50" i="129"/>
  <c r="K30" i="129"/>
  <c r="K15" i="129"/>
  <c r="K37" i="129"/>
  <c r="K27" i="129"/>
  <c r="K32" i="129"/>
  <c r="K31" i="129"/>
  <c r="K50" i="129"/>
  <c r="K18" i="129"/>
  <c r="K36" i="129"/>
  <c r="K38" i="129"/>
  <c r="K23" i="129"/>
  <c r="K20" i="129"/>
  <c r="K25" i="129"/>
  <c r="K22" i="129"/>
  <c r="K17" i="129"/>
  <c r="K16" i="129"/>
  <c r="K21" i="129"/>
  <c r="K24" i="129"/>
  <c r="K28" i="129"/>
  <c r="K29" i="129"/>
  <c r="K46" i="129"/>
  <c r="H37" i="172"/>
  <c r="I37" i="172" s="1"/>
  <c r="H43" i="130"/>
  <c r="I43" i="130" s="1"/>
  <c r="G45" i="130"/>
  <c r="J43" i="130" s="1"/>
  <c r="H34" i="75"/>
  <c r="I34" i="75" s="1"/>
  <c r="G35" i="75"/>
  <c r="G37" i="75"/>
  <c r="H37" i="75" s="1"/>
  <c r="I37" i="75" s="1"/>
  <c r="G45" i="131"/>
  <c r="H43" i="131"/>
  <c r="I43" i="131" s="1"/>
  <c r="K33" i="131"/>
  <c r="J43" i="132"/>
  <c r="J40" i="132"/>
  <c r="J20" i="132"/>
  <c r="J45" i="132"/>
  <c r="J14" i="132"/>
  <c r="J32" i="132"/>
  <c r="J37" i="132"/>
  <c r="J31" i="132"/>
  <c r="J38" i="132"/>
  <c r="H45" i="132"/>
  <c r="I45" i="132" s="1"/>
  <c r="J23" i="132"/>
  <c r="J25" i="132"/>
  <c r="J19" i="132"/>
  <c r="J39" i="132"/>
  <c r="J26" i="132"/>
  <c r="J27" i="132"/>
  <c r="J30" i="132"/>
  <c r="J36" i="132"/>
  <c r="J22" i="132"/>
  <c r="J13" i="132"/>
  <c r="J18" i="132"/>
  <c r="J35" i="132"/>
  <c r="J12" i="132"/>
  <c r="J21" i="132"/>
  <c r="J24" i="132"/>
  <c r="J41" i="132"/>
  <c r="J29" i="132"/>
  <c r="J28" i="132"/>
  <c r="K49" i="132"/>
  <c r="K47" i="132"/>
  <c r="G23" i="171"/>
  <c r="H20" i="171"/>
  <c r="I20" i="171" s="1"/>
  <c r="J34" i="132"/>
  <c r="K20" i="189"/>
  <c r="K23" i="189"/>
  <c r="K19" i="189"/>
  <c r="K38" i="189"/>
  <c r="K40" i="189"/>
  <c r="K39" i="189"/>
  <c r="K22" i="189"/>
  <c r="K17" i="189"/>
  <c r="K31" i="189"/>
  <c r="K15" i="189"/>
  <c r="K37" i="189"/>
  <c r="K27" i="189"/>
  <c r="K18" i="189"/>
  <c r="K36" i="189"/>
  <c r="K25" i="189"/>
  <c r="K26" i="189"/>
  <c r="K50" i="189"/>
  <c r="K16" i="189"/>
  <c r="H50" i="189"/>
  <c r="K32" i="189"/>
  <c r="K35" i="189"/>
  <c r="K30" i="189"/>
  <c r="K21" i="189"/>
  <c r="K24" i="189"/>
  <c r="K29" i="189"/>
  <c r="K46" i="189"/>
  <c r="K28" i="189"/>
  <c r="F30" i="7"/>
  <c r="I23" i="75"/>
  <c r="G30" i="7" s="1"/>
  <c r="H43" i="190"/>
  <c r="I43" i="190" s="1"/>
  <c r="G45" i="190"/>
  <c r="J43" i="190" s="1"/>
  <c r="F28" i="7"/>
  <c r="I23" i="73"/>
  <c r="G28" i="7" s="1"/>
  <c r="K48" i="132"/>
  <c r="G38" i="170" l="1"/>
  <c r="J35" i="170" s="1"/>
  <c r="H36" i="170"/>
  <c r="I36" i="170" s="1"/>
  <c r="H36" i="78"/>
  <c r="I36" i="78" s="1"/>
  <c r="G38" i="78"/>
  <c r="G36" i="73"/>
  <c r="H35" i="73"/>
  <c r="I35" i="73" s="1"/>
  <c r="J44" i="190"/>
  <c r="J14" i="190"/>
  <c r="J19" i="190"/>
  <c r="J38" i="190"/>
  <c r="J13" i="190"/>
  <c r="J22" i="190"/>
  <c r="J27" i="190"/>
  <c r="J30" i="190"/>
  <c r="J12" i="190"/>
  <c r="J31" i="190"/>
  <c r="J40" i="190"/>
  <c r="J45" i="190"/>
  <c r="J18" i="190"/>
  <c r="H45" i="190"/>
  <c r="I45" i="190" s="1"/>
  <c r="J26" i="190"/>
  <c r="J23" i="190"/>
  <c r="J32" i="190"/>
  <c r="J20" i="190"/>
  <c r="J36" i="190"/>
  <c r="J25" i="190"/>
  <c r="J39" i="190"/>
  <c r="J37" i="190"/>
  <c r="J35" i="190"/>
  <c r="J21" i="190"/>
  <c r="J24" i="190"/>
  <c r="J41" i="190"/>
  <c r="J28" i="190"/>
  <c r="J29" i="190"/>
  <c r="J33" i="190"/>
  <c r="J34" i="190"/>
  <c r="J42" i="190"/>
  <c r="H25" i="179"/>
  <c r="I50" i="189"/>
  <c r="I25" i="179" s="1"/>
  <c r="H42" i="179"/>
  <c r="I50" i="133"/>
  <c r="I42" i="179" s="1"/>
  <c r="G38" i="76"/>
  <c r="J36" i="76" s="1"/>
  <c r="H36" i="76"/>
  <c r="I36" i="76" s="1"/>
  <c r="J43" i="131"/>
  <c r="J36" i="131"/>
  <c r="J40" i="131"/>
  <c r="J32" i="131"/>
  <c r="H45" i="131"/>
  <c r="I45" i="131" s="1"/>
  <c r="J25" i="131"/>
  <c r="J23" i="131"/>
  <c r="J31" i="131"/>
  <c r="J39" i="131"/>
  <c r="J38" i="131"/>
  <c r="J30" i="131"/>
  <c r="J19" i="131"/>
  <c r="J13" i="131"/>
  <c r="J22" i="131"/>
  <c r="J14" i="131"/>
  <c r="J45" i="131"/>
  <c r="J26" i="131"/>
  <c r="J12" i="131"/>
  <c r="J20" i="131"/>
  <c r="J37" i="131"/>
  <c r="J27" i="131"/>
  <c r="J35" i="131"/>
  <c r="J18" i="131"/>
  <c r="J21" i="131"/>
  <c r="J24" i="131"/>
  <c r="J29" i="131"/>
  <c r="J28" i="131"/>
  <c r="J41" i="131"/>
  <c r="J34" i="131"/>
  <c r="J42" i="131"/>
  <c r="J33" i="131"/>
  <c r="J44" i="131"/>
  <c r="G34" i="72"/>
  <c r="G27" i="72"/>
  <c r="H23" i="72"/>
  <c r="H24" i="179"/>
  <c r="I50" i="128"/>
  <c r="I24" i="179" s="1"/>
  <c r="J33" i="130"/>
  <c r="J18" i="130"/>
  <c r="J45" i="130"/>
  <c r="J27" i="130"/>
  <c r="J35" i="130"/>
  <c r="J22" i="130"/>
  <c r="J26" i="130"/>
  <c r="J13" i="130"/>
  <c r="J36" i="130"/>
  <c r="J14" i="130"/>
  <c r="J25" i="130"/>
  <c r="J19" i="130"/>
  <c r="J37" i="130"/>
  <c r="J38" i="130"/>
  <c r="J32" i="130"/>
  <c r="H45" i="130"/>
  <c r="I45" i="130" s="1"/>
  <c r="J31" i="130"/>
  <c r="J30" i="130"/>
  <c r="J20" i="130"/>
  <c r="J23" i="130"/>
  <c r="J40" i="130"/>
  <c r="J12" i="130"/>
  <c r="J39" i="130"/>
  <c r="J21" i="130"/>
  <c r="J24" i="130"/>
  <c r="J29" i="130"/>
  <c r="J41" i="130"/>
  <c r="J28" i="130"/>
  <c r="J44" i="130"/>
  <c r="J42" i="130"/>
  <c r="J34" i="130"/>
  <c r="H35" i="170"/>
  <c r="I35" i="170" s="1"/>
  <c r="J20" i="133"/>
  <c r="J36" i="133"/>
  <c r="J38" i="133"/>
  <c r="J39" i="133"/>
  <c r="J22" i="133"/>
  <c r="J18" i="133"/>
  <c r="H45" i="133"/>
  <c r="I45" i="133" s="1"/>
  <c r="J26" i="133"/>
  <c r="J27" i="133"/>
  <c r="J23" i="133"/>
  <c r="J31" i="133"/>
  <c r="J14" i="133"/>
  <c r="J19" i="133"/>
  <c r="J13" i="133"/>
  <c r="J37" i="133"/>
  <c r="J12" i="133"/>
  <c r="J35" i="133"/>
  <c r="J40" i="133"/>
  <c r="J45" i="133"/>
  <c r="J25" i="133"/>
  <c r="J32" i="133"/>
  <c r="J30" i="133"/>
  <c r="J21" i="133"/>
  <c r="J24" i="133"/>
  <c r="J41" i="133"/>
  <c r="J28" i="133"/>
  <c r="J29" i="133"/>
  <c r="J34" i="133"/>
  <c r="J33" i="133"/>
  <c r="J42" i="133"/>
  <c r="J44" i="133"/>
  <c r="J33" i="189"/>
  <c r="J26" i="189"/>
  <c r="J20" i="189"/>
  <c r="J45" i="189"/>
  <c r="J32" i="189"/>
  <c r="J18" i="189"/>
  <c r="J37" i="189"/>
  <c r="J25" i="189"/>
  <c r="J14" i="189"/>
  <c r="J27" i="189"/>
  <c r="J13" i="189"/>
  <c r="J40" i="189"/>
  <c r="J30" i="189"/>
  <c r="J23" i="189"/>
  <c r="J36" i="189"/>
  <c r="J19" i="189"/>
  <c r="J12" i="189"/>
  <c r="J35" i="189"/>
  <c r="H45" i="189"/>
  <c r="I45" i="189" s="1"/>
  <c r="J22" i="189"/>
  <c r="J38" i="189"/>
  <c r="J39" i="189"/>
  <c r="J31" i="189"/>
  <c r="J21" i="189"/>
  <c r="J24" i="189"/>
  <c r="J29" i="189"/>
  <c r="J41" i="189"/>
  <c r="J28" i="189"/>
  <c r="J44" i="189"/>
  <c r="J42" i="189"/>
  <c r="J34" i="189"/>
  <c r="H39" i="179"/>
  <c r="I50" i="131"/>
  <c r="I39" i="179" s="1"/>
  <c r="K25" i="130"/>
  <c r="K17" i="130"/>
  <c r="K50" i="130"/>
  <c r="K35" i="130"/>
  <c r="K16" i="130"/>
  <c r="K30" i="130"/>
  <c r="K23" i="130"/>
  <c r="K27" i="130"/>
  <c r="K37" i="130"/>
  <c r="K26" i="130"/>
  <c r="H50" i="130"/>
  <c r="K22" i="130"/>
  <c r="K32" i="130"/>
  <c r="K18" i="130"/>
  <c r="K19" i="130"/>
  <c r="K31" i="130"/>
  <c r="K15" i="130"/>
  <c r="K38" i="130"/>
  <c r="K36" i="130"/>
  <c r="K39" i="130"/>
  <c r="K20" i="130"/>
  <c r="K40" i="130"/>
  <c r="K21" i="130"/>
  <c r="K24" i="130"/>
  <c r="K29" i="130"/>
  <c r="K28" i="130"/>
  <c r="K46" i="130"/>
  <c r="K34" i="130"/>
  <c r="K47" i="130"/>
  <c r="K49" i="130"/>
  <c r="K33" i="130"/>
  <c r="G27" i="171"/>
  <c r="G34" i="171"/>
  <c r="H23" i="171"/>
  <c r="G36" i="75"/>
  <c r="H35" i="75"/>
  <c r="I35" i="75" s="1"/>
  <c r="H26" i="179"/>
  <c r="I50" i="129"/>
  <c r="I26" i="179" s="1"/>
  <c r="G38" i="172"/>
  <c r="J36" i="172" s="1"/>
  <c r="H36" i="172"/>
  <c r="I36" i="172" s="1"/>
  <c r="H37" i="170"/>
  <c r="I37" i="170" s="1"/>
  <c r="I50" i="132"/>
  <c r="I41" i="179" s="1"/>
  <c r="H41" i="179"/>
  <c r="K48" i="190"/>
  <c r="K16" i="190"/>
  <c r="K38" i="190"/>
  <c r="K35" i="190"/>
  <c r="K23" i="190"/>
  <c r="K32" i="190"/>
  <c r="K40" i="190"/>
  <c r="K27" i="190"/>
  <c r="K19" i="190"/>
  <c r="K25" i="190"/>
  <c r="K20" i="190"/>
  <c r="K37" i="190"/>
  <c r="H50" i="190"/>
  <c r="K30" i="190"/>
  <c r="K15" i="190"/>
  <c r="K17" i="190"/>
  <c r="K39" i="190"/>
  <c r="K18" i="190"/>
  <c r="K31" i="190"/>
  <c r="K26" i="190"/>
  <c r="K50" i="190"/>
  <c r="K22" i="190"/>
  <c r="K36" i="190"/>
  <c r="K21" i="190"/>
  <c r="K24" i="190"/>
  <c r="K28" i="190"/>
  <c r="K46" i="190"/>
  <c r="K29" i="190"/>
  <c r="K33" i="190"/>
  <c r="K34" i="190"/>
  <c r="K49" i="190"/>
  <c r="K47" i="190"/>
  <c r="H23" i="5"/>
  <c r="G27" i="5"/>
  <c r="G34" i="5"/>
  <c r="J37" i="170" l="1"/>
  <c r="H40" i="179"/>
  <c r="I50" i="190"/>
  <c r="I40" i="179" s="1"/>
  <c r="G38" i="75"/>
  <c r="J36" i="75" s="1"/>
  <c r="H36" i="75"/>
  <c r="I36" i="75" s="1"/>
  <c r="J36" i="78"/>
  <c r="J19" i="78"/>
  <c r="J28" i="78"/>
  <c r="J13" i="78"/>
  <c r="J31" i="78"/>
  <c r="J18" i="78"/>
  <c r="J17" i="78"/>
  <c r="J14" i="78"/>
  <c r="H38" i="78"/>
  <c r="J25" i="78"/>
  <c r="J38" i="78"/>
  <c r="J33" i="78"/>
  <c r="J26" i="78"/>
  <c r="J22" i="78"/>
  <c r="J32" i="78"/>
  <c r="J24" i="78"/>
  <c r="J21" i="78"/>
  <c r="J29" i="78"/>
  <c r="J16" i="78"/>
  <c r="J15" i="78"/>
  <c r="J30" i="78"/>
  <c r="J20" i="78"/>
  <c r="J23" i="78"/>
  <c r="J27" i="78"/>
  <c r="J34" i="78"/>
  <c r="J35" i="78"/>
  <c r="J37" i="78"/>
  <c r="I50" i="130"/>
  <c r="I27" i="179" s="1"/>
  <c r="H27" i="179"/>
  <c r="H27" i="72"/>
  <c r="I27" i="72" s="1"/>
  <c r="J35" i="76"/>
  <c r="J21" i="76"/>
  <c r="J28" i="76"/>
  <c r="J17" i="76"/>
  <c r="J33" i="76"/>
  <c r="J18" i="76"/>
  <c r="J38" i="76"/>
  <c r="J24" i="76"/>
  <c r="J13" i="76"/>
  <c r="J30" i="76"/>
  <c r="J31" i="76"/>
  <c r="J26" i="76"/>
  <c r="J19" i="76"/>
  <c r="J22" i="76"/>
  <c r="J14" i="76"/>
  <c r="H38" i="76"/>
  <c r="J29" i="76"/>
  <c r="J25" i="76"/>
  <c r="J16" i="76"/>
  <c r="J32" i="76"/>
  <c r="J15" i="76"/>
  <c r="J20" i="76"/>
  <c r="J23" i="76"/>
  <c r="J34" i="76"/>
  <c r="J27" i="76"/>
  <c r="J37" i="76"/>
  <c r="I23" i="5"/>
  <c r="G25" i="7" s="1"/>
  <c r="F25" i="7"/>
  <c r="G37" i="5"/>
  <c r="H34" i="5"/>
  <c r="I34" i="5" s="1"/>
  <c r="G35" i="5"/>
  <c r="I23" i="171"/>
  <c r="G26" i="7" s="1"/>
  <c r="F26" i="7"/>
  <c r="G37" i="72"/>
  <c r="G35" i="72"/>
  <c r="H34" i="72"/>
  <c r="I34" i="72" s="1"/>
  <c r="H27" i="171"/>
  <c r="I27" i="171" s="1"/>
  <c r="I23" i="72"/>
  <c r="G27" i="7" s="1"/>
  <c r="F27" i="7"/>
  <c r="H27" i="5"/>
  <c r="I27" i="5" s="1"/>
  <c r="J16" i="172"/>
  <c r="J25" i="172"/>
  <c r="J28" i="172"/>
  <c r="J22" i="172"/>
  <c r="J32" i="172"/>
  <c r="J30" i="172"/>
  <c r="J14" i="172"/>
  <c r="J13" i="172"/>
  <c r="J17" i="172"/>
  <c r="J18" i="172"/>
  <c r="J29" i="172"/>
  <c r="J21" i="172"/>
  <c r="J33" i="172"/>
  <c r="J24" i="172"/>
  <c r="J19" i="172"/>
  <c r="J26" i="172"/>
  <c r="J31" i="172"/>
  <c r="J38" i="172"/>
  <c r="J15" i="172"/>
  <c r="H38" i="172"/>
  <c r="J20" i="172"/>
  <c r="J23" i="172"/>
  <c r="J27" i="172"/>
  <c r="J34" i="172"/>
  <c r="J37" i="172"/>
  <c r="J35" i="172"/>
  <c r="G37" i="171"/>
  <c r="G35" i="171"/>
  <c r="G36" i="171" s="1"/>
  <c r="H34" i="171"/>
  <c r="I34" i="171" s="1"/>
  <c r="G38" i="73"/>
  <c r="J36" i="73" s="1"/>
  <c r="H36" i="73"/>
  <c r="I36" i="73" s="1"/>
  <c r="J36" i="170"/>
  <c r="J16" i="170"/>
  <c r="J38" i="170"/>
  <c r="J18" i="170"/>
  <c r="J33" i="170"/>
  <c r="J14" i="170"/>
  <c r="J25" i="170"/>
  <c r="J32" i="170"/>
  <c r="J28" i="170"/>
  <c r="J26" i="170"/>
  <c r="J19" i="170"/>
  <c r="J24" i="170"/>
  <c r="J31" i="170"/>
  <c r="J21" i="170"/>
  <c r="J22" i="170"/>
  <c r="H38" i="170"/>
  <c r="J17" i="170"/>
  <c r="J29" i="170"/>
  <c r="J15" i="170"/>
  <c r="J13" i="170"/>
  <c r="J30" i="170"/>
  <c r="J20" i="170"/>
  <c r="J23" i="170"/>
  <c r="J27" i="170"/>
  <c r="J34" i="170"/>
  <c r="H36" i="171" l="1"/>
  <c r="I36" i="171" s="1"/>
  <c r="G38" i="171"/>
  <c r="J37" i="171" s="1"/>
  <c r="H35" i="72"/>
  <c r="I35" i="72" s="1"/>
  <c r="H29" i="7"/>
  <c r="I38" i="170"/>
  <c r="I29" i="7" s="1"/>
  <c r="H37" i="72"/>
  <c r="I37" i="72" s="1"/>
  <c r="G36" i="5"/>
  <c r="H35" i="5"/>
  <c r="I35" i="5" s="1"/>
  <c r="J37" i="75"/>
  <c r="J18" i="75"/>
  <c r="J32" i="75"/>
  <c r="J19" i="75"/>
  <c r="J17" i="75"/>
  <c r="J25" i="75"/>
  <c r="J30" i="75"/>
  <c r="J21" i="75"/>
  <c r="J13" i="75"/>
  <c r="J38" i="75"/>
  <c r="J15" i="75"/>
  <c r="J22" i="75"/>
  <c r="J16" i="75"/>
  <c r="J26" i="75"/>
  <c r="J14" i="75"/>
  <c r="J33" i="75"/>
  <c r="J31" i="75"/>
  <c r="J28" i="75"/>
  <c r="J29" i="75"/>
  <c r="H38" i="75"/>
  <c r="J24" i="75"/>
  <c r="J20" i="75"/>
  <c r="J23" i="75"/>
  <c r="J34" i="75"/>
  <c r="J27" i="75"/>
  <c r="J35" i="75"/>
  <c r="H40" i="7"/>
  <c r="I38" i="76"/>
  <c r="I40" i="7" s="1"/>
  <c r="G36" i="72"/>
  <c r="H42" i="7"/>
  <c r="I38" i="78"/>
  <c r="I42" i="7" s="1"/>
  <c r="H37" i="171"/>
  <c r="I37" i="171" s="1"/>
  <c r="J37" i="73"/>
  <c r="J24" i="73"/>
  <c r="J31" i="73"/>
  <c r="J17" i="73"/>
  <c r="J33" i="73"/>
  <c r="J25" i="73"/>
  <c r="J30" i="73"/>
  <c r="J22" i="73"/>
  <c r="J26" i="73"/>
  <c r="J15" i="73"/>
  <c r="J28" i="73"/>
  <c r="J38" i="73"/>
  <c r="H38" i="73"/>
  <c r="J32" i="73"/>
  <c r="J21" i="73"/>
  <c r="J14" i="73"/>
  <c r="J19" i="73"/>
  <c r="J18" i="73"/>
  <c r="J13" i="73"/>
  <c r="J29" i="73"/>
  <c r="J16" i="73"/>
  <c r="J20" i="73"/>
  <c r="J23" i="73"/>
  <c r="J27" i="73"/>
  <c r="J34" i="73"/>
  <c r="J35" i="73"/>
  <c r="H35" i="171"/>
  <c r="I35" i="171" s="1"/>
  <c r="H41" i="7"/>
  <c r="I38" i="172"/>
  <c r="I41" i="7" s="1"/>
  <c r="H37" i="5"/>
  <c r="I37" i="5" s="1"/>
  <c r="J35" i="171" l="1"/>
  <c r="H36" i="72"/>
  <c r="I36" i="72" s="1"/>
  <c r="G38" i="72"/>
  <c r="J36" i="72" s="1"/>
  <c r="H28" i="7"/>
  <c r="I38" i="73"/>
  <c r="I28" i="7" s="1"/>
  <c r="I38" i="75"/>
  <c r="I30" i="7" s="1"/>
  <c r="H30" i="7"/>
  <c r="J36" i="171"/>
  <c r="J18" i="171"/>
  <c r="J29" i="171"/>
  <c r="J15" i="171"/>
  <c r="J33" i="171"/>
  <c r="J30" i="171"/>
  <c r="J32" i="171"/>
  <c r="J31" i="171"/>
  <c r="J22" i="171"/>
  <c r="J17" i="171"/>
  <c r="J16" i="171"/>
  <c r="H38" i="171"/>
  <c r="J13" i="171"/>
  <c r="J26" i="171"/>
  <c r="J38" i="171"/>
  <c r="J24" i="171"/>
  <c r="J28" i="171"/>
  <c r="J14" i="171"/>
  <c r="J25" i="171"/>
  <c r="J19" i="171"/>
  <c r="J21" i="171"/>
  <c r="J20" i="171"/>
  <c r="J23" i="171"/>
  <c r="J27" i="171"/>
  <c r="J34" i="171"/>
  <c r="H36" i="5"/>
  <c r="I36" i="5" s="1"/>
  <c r="G38" i="5"/>
  <c r="J36" i="5" s="1"/>
  <c r="H26" i="7" l="1"/>
  <c r="I38" i="171"/>
  <c r="I26" i="7" s="1"/>
  <c r="J35" i="5"/>
  <c r="J14" i="5"/>
  <c r="J13" i="5"/>
  <c r="J31" i="5"/>
  <c r="J25" i="5"/>
  <c r="J22" i="5"/>
  <c r="J21" i="5"/>
  <c r="J15" i="5"/>
  <c r="H38" i="5"/>
  <c r="J29" i="5"/>
  <c r="J32" i="5"/>
  <c r="J28" i="5"/>
  <c r="J26" i="5"/>
  <c r="J30" i="5"/>
  <c r="J38" i="5"/>
  <c r="J18" i="5"/>
  <c r="J19" i="5"/>
  <c r="J33" i="5"/>
  <c r="J24" i="5"/>
  <c r="J16" i="5"/>
  <c r="J17" i="5"/>
  <c r="J20" i="5"/>
  <c r="J23" i="5"/>
  <c r="J27" i="5"/>
  <c r="J34" i="5"/>
  <c r="J37" i="5"/>
  <c r="J30" i="72"/>
  <c r="J31" i="72"/>
  <c r="H38" i="72"/>
  <c r="J28" i="72"/>
  <c r="J13" i="72"/>
  <c r="J32" i="72"/>
  <c r="J14" i="72"/>
  <c r="J24" i="72"/>
  <c r="J17" i="72"/>
  <c r="J21" i="72"/>
  <c r="J38" i="72"/>
  <c r="J33" i="72"/>
  <c r="J25" i="72"/>
  <c r="J16" i="72"/>
  <c r="J19" i="72"/>
  <c r="J29" i="72"/>
  <c r="J18" i="72"/>
  <c r="J15" i="72"/>
  <c r="J26" i="72"/>
  <c r="J22" i="72"/>
  <c r="J20" i="72"/>
  <c r="J23" i="72"/>
  <c r="J27" i="72"/>
  <c r="J34" i="72"/>
  <c r="J35" i="72"/>
  <c r="J37" i="72"/>
  <c r="H27" i="7" l="1"/>
  <c r="I38" i="72"/>
  <c r="I27" i="7" s="1"/>
  <c r="H25" i="7"/>
  <c r="I38" i="5"/>
  <c r="I25" i="7" s="1"/>
</calcChain>
</file>

<file path=xl/comments1.xml><?xml version="1.0" encoding="utf-8"?>
<comments xmlns="http://schemas.openxmlformats.org/spreadsheetml/2006/main">
  <authors>
    <author>Yun(Eva) Gao</author>
    <author>AKSELRUD Uri</author>
    <author>KIM Susan</author>
  </authors>
  <commentList>
    <comment ref="J2" authorId="0">
      <text>
        <r>
          <rPr>
            <b/>
            <sz val="8"/>
            <color indexed="81"/>
            <rFont val="Tahoma"/>
            <charset val="1"/>
          </rPr>
          <t>Yun(Eva) Gao:</t>
        </r>
        <r>
          <rPr>
            <sz val="8"/>
            <color indexed="81"/>
            <rFont val="Tahoma"/>
            <charset val="1"/>
          </rPr>
          <t xml:space="preserve">
include CSTA, Hopper Foundry Adder</t>
        </r>
      </text>
    </comment>
    <comment ref="W2" authorId="0">
      <text>
        <r>
          <rPr>
            <sz val="8"/>
            <color indexed="81"/>
            <rFont val="Tahoma"/>
            <family val="2"/>
          </rPr>
          <t>INCLUDES NEW RSVA WMSC FOR CLASS B ONLY</t>
        </r>
        <r>
          <rPr>
            <b/>
            <sz val="8"/>
            <color indexed="81"/>
            <rFont val="Tahoma"/>
            <charset val="1"/>
          </rPr>
          <t xml:space="preserve">
</t>
        </r>
        <r>
          <rPr>
            <sz val="8"/>
            <color indexed="81"/>
            <rFont val="Tahoma"/>
            <charset val="1"/>
          </rPr>
          <t xml:space="preserve">
</t>
        </r>
      </text>
    </comment>
    <comment ref="Y12" authorId="1">
      <text>
        <r>
          <rPr>
            <sz val="9"/>
            <color indexed="81"/>
            <rFont val="Tahoma"/>
            <family val="2"/>
          </rPr>
          <t>uplifted for applicable line losses</t>
        </r>
      </text>
    </comment>
    <comment ref="Y13" authorId="1">
      <text>
        <r>
          <rPr>
            <sz val="9"/>
            <color indexed="81"/>
            <rFont val="Tahoma"/>
            <family val="2"/>
          </rPr>
          <t>uplifted for applicable line losses</t>
        </r>
      </text>
    </comment>
    <comment ref="Y14" authorId="1">
      <text>
        <r>
          <rPr>
            <sz val="9"/>
            <color indexed="81"/>
            <rFont val="Tahoma"/>
            <family val="2"/>
          </rPr>
          <t>uplifted for applicable line losses</t>
        </r>
      </text>
    </comment>
    <comment ref="Q15" authorId="2">
      <text>
        <r>
          <rPr>
            <sz val="8"/>
            <color indexed="81"/>
            <rFont val="Tahoma"/>
            <family val="2"/>
          </rPr>
          <t xml:space="preserve">
from ST rate model, not rate design</t>
        </r>
      </text>
    </comment>
    <comment ref="S15" authorId="2">
      <text>
        <r>
          <rPr>
            <sz val="8"/>
            <color indexed="81"/>
            <rFont val="Tahoma"/>
            <family val="2"/>
          </rPr>
          <t xml:space="preserve">
from ST rate model, not rate design</t>
        </r>
      </text>
    </comment>
    <comment ref="Y15" authorId="0">
      <text>
        <r>
          <rPr>
            <sz val="8"/>
            <color indexed="81"/>
            <rFont val="Tahoma"/>
            <family val="2"/>
          </rPr>
          <t>uplifted for applicable line losses</t>
        </r>
        <r>
          <rPr>
            <sz val="8"/>
            <color indexed="81"/>
            <rFont val="Tahoma"/>
            <charset val="1"/>
          </rPr>
          <t xml:space="preserve">
</t>
        </r>
      </text>
    </comment>
    <comment ref="C27" authorId="2">
      <text>
        <r>
          <rPr>
            <b/>
            <sz val="8"/>
            <color indexed="81"/>
            <rFont val="Tahoma"/>
            <family val="2"/>
          </rPr>
          <t>KIM Susan:</t>
        </r>
        <r>
          <rPr>
            <sz val="8"/>
            <color indexed="81"/>
            <rFont val="Tahoma"/>
            <family val="2"/>
          </rPr>
          <t xml:space="preserve">
assume 50% factor
</t>
        </r>
      </text>
    </comment>
    <comment ref="C38" authorId="2">
      <text>
        <r>
          <rPr>
            <b/>
            <sz val="8"/>
            <color indexed="81"/>
            <rFont val="Tahoma"/>
            <family val="2"/>
          </rPr>
          <t>KIM Susan:</t>
        </r>
        <r>
          <rPr>
            <sz val="8"/>
            <color indexed="81"/>
            <rFont val="Tahoma"/>
            <family val="2"/>
          </rPr>
          <t xml:space="preserve">
assume 50% factor</t>
        </r>
      </text>
    </comment>
    <comment ref="C39" authorId="0">
      <text>
        <r>
          <rPr>
            <b/>
            <sz val="8"/>
            <color indexed="81"/>
            <rFont val="Tahoma"/>
            <family val="2"/>
          </rPr>
          <t>assume 50% factor</t>
        </r>
      </text>
    </comment>
  </commentList>
</comments>
</file>

<file path=xl/comments2.xml><?xml version="1.0" encoding="utf-8"?>
<comments xmlns="http://schemas.openxmlformats.org/spreadsheetml/2006/main">
  <authors>
    <author>KIM Susan</author>
  </authors>
  <commentList>
    <comment ref="B26" authorId="0">
      <text>
        <r>
          <rPr>
            <b/>
            <sz val="8"/>
            <color indexed="81"/>
            <rFont val="Tahoma"/>
            <family val="2"/>
          </rPr>
          <t>KIM Susan:</t>
        </r>
        <r>
          <rPr>
            <sz val="8"/>
            <color indexed="81"/>
            <rFont val="Tahoma"/>
            <family val="2"/>
          </rPr>
          <t xml:space="preserve">
Number of Customers Forecast for Haldimand and Norfolk for the Year 2021.xlsx</t>
        </r>
      </text>
    </comment>
    <comment ref="C26" authorId="0">
      <text>
        <r>
          <rPr>
            <b/>
            <sz val="8"/>
            <color indexed="81"/>
            <rFont val="Tahoma"/>
            <family val="2"/>
          </rPr>
          <t>KIM Susan:</t>
        </r>
        <r>
          <rPr>
            <sz val="8"/>
            <color indexed="81"/>
            <rFont val="Tahoma"/>
            <family val="2"/>
          </rPr>
          <t xml:space="preserve">
 Forecast of Residential and GSe Sales for Newly Acquired for the Year 2021.xlsx</t>
        </r>
      </text>
    </comment>
    <comment ref="D31" authorId="0">
      <text>
        <r>
          <rPr>
            <b/>
            <sz val="8"/>
            <color indexed="81"/>
            <rFont val="Tahoma"/>
            <family val="2"/>
          </rPr>
          <t>KIM Susan:</t>
        </r>
        <r>
          <rPr>
            <sz val="8"/>
            <color indexed="81"/>
            <rFont val="Tahoma"/>
            <family val="2"/>
          </rPr>
          <t xml:space="preserve">
Forecast of Billing Peak for Haldimand and Norfolk_2021.xlsx</t>
        </r>
      </text>
    </comment>
    <comment ref="A34" authorId="0">
      <text>
        <r>
          <rPr>
            <b/>
            <sz val="8"/>
            <color indexed="81"/>
            <rFont val="Tahoma"/>
            <family val="2"/>
          </rPr>
          <t>KIM Susan:</t>
        </r>
        <r>
          <rPr>
            <sz val="8"/>
            <color indexed="81"/>
            <rFont val="Tahoma"/>
            <family val="2"/>
          </rPr>
          <t xml:space="preserve">
2015 actuals</t>
        </r>
      </text>
    </comment>
    <comment ref="B36" authorId="0">
      <text>
        <r>
          <rPr>
            <b/>
            <sz val="9"/>
            <color indexed="81"/>
            <rFont val="Tahoma"/>
            <charset val="1"/>
          </rPr>
          <t>KIM Susan:</t>
        </r>
        <r>
          <rPr>
            <sz val="9"/>
            <color indexed="81"/>
            <rFont val="Tahoma"/>
            <charset val="1"/>
          </rPr>
          <t xml:space="preserve">
values copy and pasted from woodstock st values sk</t>
        </r>
      </text>
    </comment>
    <comment ref="C36" authorId="0">
      <text>
        <r>
          <rPr>
            <b/>
            <sz val="8"/>
            <color indexed="81"/>
            <rFont val="Tahoma"/>
            <charset val="1"/>
          </rPr>
          <t>KIM Susan:</t>
        </r>
        <r>
          <rPr>
            <sz val="8"/>
            <color indexed="81"/>
            <rFont val="Tahoma"/>
            <charset val="1"/>
          </rPr>
          <t xml:space="preserve">
Note WHSI billing quantites updated for May Update &amp; updated loss factors in avg and high bill impact sheets</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4.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5.xml><?xml version="1.0" encoding="utf-8"?>
<comments xmlns="http://schemas.openxmlformats.org/spreadsheetml/2006/main">
  <authors>
    <author>Uri AKSELRUD</author>
  </authors>
  <commentList>
    <comment ref="F16" authorId="0">
      <text>
        <r>
          <rPr>
            <b/>
            <sz val="8"/>
            <color indexed="81"/>
            <rFont val="Tahoma"/>
            <family val="2"/>
          </rPr>
          <t>Uri AKSELRUD:</t>
        </r>
        <r>
          <rPr>
            <sz val="8"/>
            <color indexed="81"/>
            <rFont val="Tahoma"/>
            <family val="2"/>
          </rPr>
          <t xml:space="preserve">
adjusted fixed rate to limit Dgen Bill Impact to 10%</t>
        </r>
      </text>
    </comment>
  </commentList>
</comments>
</file>

<file path=xl/sharedStrings.xml><?xml version="1.0" encoding="utf-8"?>
<sst xmlns="http://schemas.openxmlformats.org/spreadsheetml/2006/main" count="5057" uniqueCount="232">
  <si>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</si>
  <si>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</si>
  <si>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</si>
  <si>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</si>
  <si>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</si>
  <si>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</si>
  <si>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</si>
  <si>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</si>
  <si>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</si>
  <si>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</si>
  <si>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</si>
  <si>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</si>
  <si>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</si>
  <si>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</si>
  <si>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</si>
  <si>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</si>
  <si>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</si>
  <si>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</si>
  <si>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</si>
  <si>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</si>
  <si>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</si>
  <si>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</si>
  <si>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</si>
  <si>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</si>
  <si>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</si>
  <si>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</si>
  <si>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</si>
  <si>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</si>
  <si>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</si>
  <si>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</si>
  <si>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</si>
  <si>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</si>
  <si>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</si>
  <si>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</si>
  <si>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</si>
  <si>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</si>
  <si>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</si>
  <si>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</si>
  <si>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</si>
  <si>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</si>
  <si>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</si>
  <si>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</si>
  <si>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</si>
  <si>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</si>
  <si>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</si>
  <si>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</si>
  <si>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</si>
  <si>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r>
      <t xml:space="preserve">     </t>
    </r>
    <r>
      <rPr>
        <b/>
        <sz val="10"/>
        <rFont val="Arial"/>
        <family val="2"/>
      </rPr>
      <t>HST</t>
    </r>
  </si>
  <si>
    <t>DGen</t>
  </si>
  <si>
    <t>Load factor</t>
  </si>
  <si>
    <t xml:space="preserve">% of Total Bill </t>
  </si>
  <si>
    <t>TOU</t>
  </si>
  <si>
    <t>Current Variable Charge ($/kWh or $/kW))</t>
  </si>
  <si>
    <t>Smart Metering Entity Charge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</si>
  <si>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</si>
  <si>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</si>
  <si>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</si>
  <si>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</si>
  <si>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</si>
  <si>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</si>
  <si>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</si>
  <si>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</si>
  <si>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</si>
  <si>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</si>
  <si>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</si>
  <si>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</si>
  <si>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</si>
  <si>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</si>
  <si>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</si>
  <si>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</si>
  <si>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</si>
  <si>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</si>
  <si>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</si>
  <si>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</si>
  <si>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</si>
  <si>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</si>
  <si>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</si>
  <si>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</si>
  <si>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</si>
  <si>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</si>
  <si>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</si>
  <si>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</si>
  <si>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</si>
  <si>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</si>
  <si>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</si>
  <si>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</si>
  <si>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Volumetric Smoothing Rider</t>
  </si>
  <si>
    <t>Proposed Def/VA rate rider Volumetric($/kWh or $/kW)</t>
  </si>
  <si>
    <t>Gse</t>
  </si>
  <si>
    <t>Uge</t>
  </si>
  <si>
    <t xml:space="preserve">Smart Meter Adder </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</si>
  <si>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</si>
  <si>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</si>
  <si>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</si>
  <si>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</si>
  <si>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</si>
  <si>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</si>
  <si>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</si>
  <si>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Fixed Foregone Rider</t>
  </si>
  <si>
    <t>Two-tier RPP</t>
  </si>
  <si>
    <t>Ontario Electricity Support Program Charge</t>
  </si>
  <si>
    <t>Proposed RTSR-CONN ($/kWh or $/kW)</t>
  </si>
  <si>
    <t>Total Bill on Two-Tier RPP (including HST)</t>
  </si>
  <si>
    <t>Total Bill on TOU (including HST)</t>
  </si>
  <si>
    <t>Total Bill on Two-Tier RPP (before HST)</t>
  </si>
  <si>
    <t>Total Bill on TOU (before HST)</t>
  </si>
  <si>
    <t>2020 Total Bill</t>
  </si>
  <si>
    <t>HONI Avg Monthly Consumption (kWh)</t>
  </si>
  <si>
    <t>HONI Avg Monthly Peak (kW)</t>
  </si>
  <si>
    <t>2021 Bill Impacts (Low Consumption Level)</t>
  </si>
  <si>
    <t>2021 Bill Impacts (Typical Consumption Level)</t>
  </si>
  <si>
    <t>2021 Bill Impacts (High Consumption Level)</t>
  </si>
  <si>
    <t>2021 Bill Impacts (Average Consumption Level)</t>
  </si>
  <si>
    <t>WHSI_RES</t>
  </si>
  <si>
    <t>WHSI_GS&lt;50</t>
  </si>
  <si>
    <t>WHSI_GS 50&gt;999</t>
  </si>
  <si>
    <t>WHSI_St Lgt</t>
  </si>
  <si>
    <t>WHSI_USL</t>
  </si>
  <si>
    <t>WHSI_GS &gt;1,000kW</t>
  </si>
  <si>
    <t>HCHI_RES</t>
  </si>
  <si>
    <t>HCHI_GS&lt;50</t>
  </si>
  <si>
    <t>HCHI_GS &gt;50</t>
  </si>
  <si>
    <t>HCHI_St Lgt</t>
  </si>
  <si>
    <t>HCHI_USL</t>
  </si>
  <si>
    <t>HCHI_Sen Lgt</t>
  </si>
  <si>
    <t>NPDI_RES</t>
  </si>
  <si>
    <t>NPDI_GS&lt;50</t>
  </si>
  <si>
    <t>NPDI_GS &gt;50</t>
  </si>
  <si>
    <t>NPDI_St Lgt</t>
  </si>
  <si>
    <t>NPDI_USL</t>
  </si>
  <si>
    <t>NPDI_Sen Lgt</t>
  </si>
  <si>
    <t>Typical Monthly Consumption (kWh)</t>
  </si>
  <si>
    <t>HCHI to HONI</t>
  </si>
  <si>
    <t>WHSI to HONI</t>
  </si>
  <si>
    <t>Current Rate Rider for Disposition of Global Adjustment Account</t>
  </si>
  <si>
    <t>Proposed Rate Rider for Disposition of Global Adjustment Account</t>
  </si>
  <si>
    <t>Average</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</si>
  <si>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</si>
  <si>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</si>
  <si>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</si>
  <si>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</si>
  <si>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</si>
  <si>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</si>
  <si>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</si>
  <si>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Total Amount on TOU</t>
  </si>
  <si>
    <t>Foregone Revenue Rider Fixed</t>
  </si>
  <si>
    <t>Total Electricity Charge on Two-Tier RPP (before HST)</t>
  </si>
  <si>
    <t>Volumetric Global Adjustment Account Rider</t>
  </si>
  <si>
    <t>Volumetric Global Adjustment Rider</t>
  </si>
  <si>
    <t>Utility</t>
  </si>
  <si>
    <t>Haldimand</t>
  </si>
  <si>
    <t>Nofolk</t>
  </si>
  <si>
    <t>Woodsotock</t>
  </si>
  <si>
    <t>Acquired Total</t>
  </si>
  <si>
    <t>HCHI Res</t>
  </si>
  <si>
    <t>NPDI Res</t>
  </si>
  <si>
    <t>Customers</t>
  </si>
  <si>
    <t>HCHI GSe</t>
  </si>
  <si>
    <t>NPDI Gse</t>
  </si>
  <si>
    <t>HCHI GSd</t>
  </si>
  <si>
    <t>NPDI GSd</t>
  </si>
  <si>
    <t>Number of USL Customers for the Year 2021</t>
  </si>
  <si>
    <t>Count</t>
  </si>
  <si>
    <t>Hydro One</t>
  </si>
  <si>
    <t>Grand Total</t>
  </si>
  <si>
    <t>Company</t>
  </si>
  <si>
    <t>Vuteq-885 Keyes Dr-plant 2 - SS</t>
  </si>
  <si>
    <t>Nova Steel - SS</t>
  </si>
  <si>
    <t>Toyota Boshoku Canada - SS</t>
  </si>
  <si>
    <t>Woodstock General Hospital-Juliana Dr - SS</t>
  </si>
  <si>
    <t>TRW Canada Ltd - SS</t>
  </si>
  <si>
    <t>Vuteq-920 Keyes Dr-plant 1 - SS</t>
  </si>
  <si>
    <t>Firestone Canada Ltd.</t>
  </si>
  <si>
    <t>WHSI Large User</t>
  </si>
  <si>
    <t>Average kWh</t>
  </si>
  <si>
    <t>Average kW</t>
  </si>
  <si>
    <t>Determine Forecst Average Billing Quantities for Acquired customers by LDC</t>
  </si>
  <si>
    <t>WHSI_BI_ST_Avg</t>
  </si>
  <si>
    <t>Tab</t>
  </si>
  <si>
    <t>LDC</t>
  </si>
  <si>
    <t>NPDI St Lgt</t>
  </si>
  <si>
    <t>HCHI St Lgt</t>
  </si>
  <si>
    <t>WHSI St Lgt</t>
  </si>
  <si>
    <t>1. Res and GS</t>
  </si>
  <si>
    <t>2. Streetlights</t>
  </si>
  <si>
    <t>AR</t>
  </si>
  <si>
    <t>AGSe</t>
  </si>
  <si>
    <t>AGSd</t>
  </si>
  <si>
    <t xml:space="preserve">Total Bill on Two-Tier RPP </t>
  </si>
  <si>
    <t>Total Bill on TOU</t>
  </si>
  <si>
    <t>Current Acquisition Rider (Fixed)</t>
  </si>
  <si>
    <t>Current Acquisition Rider (Variable)</t>
  </si>
  <si>
    <t>Current Low Voltage Volumetric ($/kWh or $/kW)</t>
  </si>
  <si>
    <t>Fixed Acquisition Agreement Rider</t>
  </si>
  <si>
    <t>Low Voltage Service Rate</t>
  </si>
  <si>
    <t>Volumetric Acquisition Agreement Rider</t>
  </si>
  <si>
    <t>Variable Acquisition Agreement Rider</t>
  </si>
  <si>
    <t>Fixed Acquisition Rider</t>
  </si>
  <si>
    <t>Volumetric Acquisition Rider</t>
  </si>
  <si>
    <t>Volumetric Deferral/Variance Account Rider (including CBR Class B rider)</t>
  </si>
  <si>
    <t>AUR</t>
  </si>
  <si>
    <t>AUGe</t>
  </si>
  <si>
    <t>AUGd</t>
  </si>
  <si>
    <t>Avg kW (derived)</t>
  </si>
  <si>
    <t>Average kWh (Billed)</t>
  </si>
  <si>
    <t>3. Sentinel Lights</t>
  </si>
  <si>
    <t>NPDI Sen Lgt</t>
  </si>
  <si>
    <t>HCHI Sen Lgt</t>
  </si>
  <si>
    <t>Based on average kW/kWh factor</t>
  </si>
  <si>
    <t>Notes</t>
  </si>
  <si>
    <t>4. USL</t>
  </si>
  <si>
    <t>NPDI USL</t>
  </si>
  <si>
    <t>HCHI USL</t>
  </si>
  <si>
    <t>WHSI USL</t>
  </si>
  <si>
    <t>35 accounts</t>
  </si>
  <si>
    <t>3 accounts</t>
  </si>
  <si>
    <t>2 accounts with valid data</t>
  </si>
  <si>
    <t>166 accounts with valid data</t>
  </si>
  <si>
    <t>38 accounts</t>
  </si>
  <si>
    <t>No kW value for HCHI Sen Lgt, apply St Lgt factor to Sen Lgt actual kWh; 27 accounts</t>
  </si>
  <si>
    <t>56 accounts</t>
  </si>
  <si>
    <t>Street Light Connections per Account Quantities (per Clement/Henry)</t>
  </si>
  <si>
    <t>WHSI</t>
  </si>
  <si>
    <t>NPDI</t>
  </si>
  <si>
    <t>HCHI</t>
  </si>
  <si>
    <t>Service Charge (includes Meter Charge for 1 meter point)</t>
  </si>
  <si>
    <t>Distribution Volumetric Rate (ST Common Line Charge)</t>
  </si>
  <si>
    <t>NPDI to HONI</t>
  </si>
  <si>
    <t>KW (monthly)</t>
  </si>
  <si>
    <t>KWH (monthly)</t>
  </si>
  <si>
    <t>WHSI Low and High Bill Units (Large User class to ST - use last COS values)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</si>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</sst>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 numFmtId="181" formatCode="0.0"/>
    <numFmt numFmtId="182" formatCode="#,##0.0"/>
    <numFmt numFmtId="183" formatCode="0.00000"/>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
      <b/>
      <sz val="11"/>
      <color theme="1"/>
      <name val="Calibri"/>
      <family val="2"/>
      <scheme val="minor"/>
    </font>
    <font>
      <b/>
      <sz val="11"/>
      <color rgb="FF000000"/>
      <name val="Calibri"/>
      <family val="2"/>
    </font>
    <font>
      <sz val="11"/>
      <color rgb="FF000000"/>
      <name val="Calibri"/>
      <family val="2"/>
    </font>
    <font>
      <sz val="8"/>
      <color indexed="81"/>
      <name val="Tahoma"/>
      <charset val="1"/>
    </font>
    <font>
      <b/>
      <sz val="8"/>
      <color indexed="81"/>
      <name val="Tahoma"/>
      <charset val="1"/>
    </font>
    <font>
      <sz val="9"/>
      <color indexed="81"/>
      <name val="Tahoma"/>
      <charset val="1"/>
    </font>
    <font>
      <b/>
      <sz val="9"/>
      <color indexed="81"/>
      <name val="Tahoma"/>
      <charset val="1"/>
    </font>
  </fonts>
  <fills count="18">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
      <patternFill patternType="solid">
        <fgColor rgb="FFFFCCFF"/>
        <bgColor indexed="64"/>
      </patternFill>
    </fill>
    <fill>
      <patternFill patternType="solid">
        <fgColor theme="0" tint="-0.499984740745262"/>
        <bgColor indexed="64"/>
      </patternFill>
    </fill>
    <fill>
      <patternFill patternType="solid">
        <fgColor rgb="FFFFFFFF"/>
        <bgColor indexed="64"/>
      </patternFill>
    </fill>
    <fill>
      <patternFill patternType="solid">
        <fgColor theme="4"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48">
    <xf numFmtId="0" fontId="0" fillId="0" borderId="0"/>
    <xf numFmtId="43" fontId="4" fillId="0" borderId="0" applyFont="0" applyFill="0" applyBorder="0" applyAlignment="0" applyProtection="0"/>
    <xf numFmtId="44"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10" fillId="0" borderId="0"/>
    <xf numFmtId="164" fontId="4" fillId="0" borderId="0"/>
    <xf numFmtId="164" fontId="4" fillId="0" borderId="0"/>
    <xf numFmtId="164" fontId="4" fillId="0" borderId="0"/>
    <xf numFmtId="170" fontId="11" fillId="0" borderId="0"/>
    <xf numFmtId="171" fontId="4" fillId="0" borderId="0" applyFont="0" applyFill="0" applyBorder="0" applyAlignment="0" applyProtection="0"/>
    <xf numFmtId="172" fontId="4" fillId="0" borderId="0" applyFont="0" applyFill="0" applyBorder="0" applyAlignment="0" applyProtection="0"/>
    <xf numFmtId="39"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6" fontId="12" fillId="0" borderId="0"/>
    <xf numFmtId="177" fontId="12" fillId="0" borderId="0"/>
    <xf numFmtId="178" fontId="12" fillId="0" borderId="0"/>
    <xf numFmtId="38" fontId="13" fillId="9" borderId="0" applyNumberFormat="0" applyBorder="0" applyAlignment="0" applyProtection="0"/>
    <xf numFmtId="0" fontId="14" fillId="0" borderId="16" applyNumberFormat="0" applyAlignment="0" applyProtection="0">
      <alignment horizontal="left" vertical="center"/>
    </xf>
    <xf numFmtId="0" fontId="14" fillId="0" borderId="15">
      <alignment horizontal="left" vertical="center"/>
    </xf>
    <xf numFmtId="10" fontId="13" fillId="10" borderId="1" applyNumberFormat="0" applyBorder="0" applyAlignment="0" applyProtection="0"/>
    <xf numFmtId="179" fontId="11" fillId="0" borderId="0"/>
    <xf numFmtId="166" fontId="4" fillId="0" borderId="0"/>
    <xf numFmtId="0" fontId="4" fillId="0" borderId="0"/>
    <xf numFmtId="7" fontId="12" fillId="0" borderId="0"/>
    <xf numFmtId="37" fontId="15" fillId="11" borderId="0">
      <alignment horizontal="right"/>
    </xf>
    <xf numFmtId="10" fontId="4" fillId="0" borderId="0" applyFont="0" applyFill="0" applyBorder="0" applyAlignment="0" applyProtection="0"/>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17" fillId="0" borderId="39">
      <alignment horizontal="center"/>
    </xf>
    <xf numFmtId="3" fontId="16" fillId="0" borderId="0" applyFont="0" applyFill="0" applyBorder="0" applyAlignment="0" applyProtection="0"/>
    <xf numFmtId="0" fontId="16" fillId="12" borderId="0" applyNumberFormat="0" applyFont="0" applyBorder="0" applyAlignment="0" applyProtection="0"/>
    <xf numFmtId="1" fontId="4" fillId="0" borderId="0"/>
    <xf numFmtId="0" fontId="4" fillId="0" borderId="0" applyFont="0" applyFill="0" applyBorder="0" applyAlignment="0" applyProtection="0"/>
    <xf numFmtId="0" fontId="4" fillId="0" borderId="0">
      <alignment vertical="top"/>
    </xf>
    <xf numFmtId="0" fontId="4" fillId="0" borderId="0">
      <alignment vertical="top"/>
    </xf>
    <xf numFmtId="180" fontId="4" fillId="0" borderId="0"/>
    <xf numFmtId="180" fontId="4" fillId="0" borderId="0"/>
    <xf numFmtId="180" fontId="4" fillId="0" borderId="0"/>
    <xf numFmtId="0" fontId="2" fillId="0" borderId="0"/>
    <xf numFmtId="0" fontId="2" fillId="0" borderId="0"/>
  </cellStyleXfs>
  <cellXfs count="340">
    <xf numFmtId="0" fontId="0" fillId="0" borderId="0" xfId="0"/>
    <xf numFmtId="0" fontId="5"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5" fillId="0" borderId="1" xfId="0" applyFont="1" applyBorder="1"/>
    <xf numFmtId="3" fontId="0" fillId="0" borderId="1" xfId="0" applyNumberFormat="1" applyBorder="1"/>
    <xf numFmtId="0" fontId="5" fillId="0" borderId="1" xfId="0" applyFont="1" applyFill="1" applyBorder="1"/>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vertical="center"/>
    </xf>
    <xf numFmtId="0" fontId="5" fillId="2" borderId="1" xfId="0" applyFont="1" applyFill="1" applyBorder="1" applyAlignment="1">
      <alignment horizontal="center"/>
    </xf>
    <xf numFmtId="10" fontId="4" fillId="0" borderId="0" xfId="4" applyNumberFormat="1" applyFont="1"/>
    <xf numFmtId="0" fontId="0" fillId="2" borderId="1" xfId="0" applyFill="1" applyBorder="1"/>
    <xf numFmtId="0" fontId="0" fillId="2" borderId="1" xfId="0" applyFill="1" applyBorder="1" applyAlignment="1">
      <alignment horizontal="right"/>
    </xf>
    <xf numFmtId="0" fontId="5" fillId="0" borderId="4" xfId="0" applyFont="1" applyBorder="1" applyAlignment="1">
      <alignment horizontal="center" wrapText="1"/>
    </xf>
    <xf numFmtId="0" fontId="5" fillId="0" borderId="5" xfId="0" applyFont="1" applyBorder="1" applyAlignment="1">
      <alignment horizontal="center" wrapText="1"/>
    </xf>
    <xf numFmtId="10" fontId="5" fillId="0" borderId="6" xfId="4" applyNumberFormat="1" applyFont="1" applyBorder="1" applyAlignment="1">
      <alignment horizontal="center" wrapText="1"/>
    </xf>
    <xf numFmtId="0" fontId="5"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5" fillId="3" borderId="1" xfId="0" applyNumberFormat="1" applyFont="1" applyFill="1" applyBorder="1" applyAlignment="1">
      <alignment horizontal="center"/>
    </xf>
    <xf numFmtId="4" fontId="5" fillId="3" borderId="1" xfId="0" applyNumberFormat="1" applyFont="1" applyFill="1" applyBorder="1"/>
    <xf numFmtId="4" fontId="0" fillId="3" borderId="1" xfId="0" applyNumberFormat="1" applyFill="1" applyBorder="1"/>
    <xf numFmtId="10" fontId="5" fillId="3" borderId="1" xfId="4" applyNumberFormat="1" applyFont="1" applyFill="1" applyBorder="1"/>
    <xf numFmtId="166" fontId="4" fillId="0" borderId="1" xfId="0" applyNumberFormat="1" applyFont="1" applyBorder="1"/>
    <xf numFmtId="4" fontId="5" fillId="4" borderId="1" xfId="0" applyNumberFormat="1" applyFont="1" applyFill="1" applyBorder="1" applyAlignment="1">
      <alignment horizontal="center"/>
    </xf>
    <xf numFmtId="4" fontId="5" fillId="4" borderId="1" xfId="0" applyNumberFormat="1" applyFont="1" applyFill="1" applyBorder="1"/>
    <xf numFmtId="4" fontId="0" fillId="4" borderId="1" xfId="0" applyNumberFormat="1" applyFill="1" applyBorder="1"/>
    <xf numFmtId="10" fontId="4" fillId="4" borderId="1" xfId="4" applyNumberFormat="1" applyFont="1" applyFill="1" applyBorder="1"/>
    <xf numFmtId="10" fontId="5" fillId="4" borderId="1" xfId="4" applyNumberFormat="1" applyFont="1" applyFill="1" applyBorder="1"/>
    <xf numFmtId="167" fontId="0" fillId="0" borderId="1" xfId="0" applyNumberFormat="1" applyBorder="1"/>
    <xf numFmtId="4" fontId="5" fillId="0" borderId="1" xfId="0" applyNumberFormat="1" applyFont="1" applyBorder="1"/>
    <xf numFmtId="10" fontId="5" fillId="0" borderId="1" xfId="4" applyNumberFormat="1" applyFont="1" applyBorder="1"/>
    <xf numFmtId="0" fontId="5" fillId="3" borderId="7" xfId="0" applyFont="1" applyFill="1" applyBorder="1"/>
    <xf numFmtId="4" fontId="5" fillId="3" borderId="8" xfId="0" applyNumberFormat="1" applyFont="1" applyFill="1" applyBorder="1" applyAlignment="1">
      <alignment horizontal="center"/>
    </xf>
    <xf numFmtId="4" fontId="5" fillId="3" borderId="8" xfId="0" applyNumberFormat="1" applyFont="1" applyFill="1" applyBorder="1"/>
    <xf numFmtId="10" fontId="5" fillId="3" borderId="8" xfId="4" applyNumberFormat="1" applyFont="1" applyFill="1" applyBorder="1"/>
    <xf numFmtId="10" fontId="5" fillId="3" borderId="9" xfId="4" applyNumberFormat="1" applyFont="1" applyFill="1" applyBorder="1"/>
    <xf numFmtId="0" fontId="4" fillId="3" borderId="10" xfId="0" applyFont="1" applyFill="1" applyBorder="1"/>
    <xf numFmtId="4" fontId="0" fillId="3" borderId="1" xfId="0" applyNumberFormat="1" applyFill="1" applyBorder="1" applyAlignment="1">
      <alignment horizontal="center"/>
    </xf>
    <xf numFmtId="10" fontId="4" fillId="3" borderId="1" xfId="4" applyNumberFormat="1" applyFont="1" applyFill="1" applyBorder="1"/>
    <xf numFmtId="10" fontId="4" fillId="3" borderId="11" xfId="4" applyNumberFormat="1" applyFont="1" applyFill="1" applyBorder="1"/>
    <xf numFmtId="0" fontId="5" fillId="3" borderId="10" xfId="0" applyFont="1" applyFill="1" applyBorder="1"/>
    <xf numFmtId="10" fontId="5" fillId="3" borderId="11" xfId="4" applyNumberFormat="1" applyFont="1" applyFill="1" applyBorder="1"/>
    <xf numFmtId="0" fontId="5" fillId="3" borderId="12" xfId="0" applyFont="1" applyFill="1" applyBorder="1"/>
    <xf numFmtId="4" fontId="5" fillId="3" borderId="13" xfId="0" applyNumberFormat="1" applyFont="1" applyFill="1" applyBorder="1" applyAlignment="1">
      <alignment horizontal="center"/>
    </xf>
    <xf numFmtId="4" fontId="5" fillId="3" borderId="13" xfId="0" applyNumberFormat="1" applyFont="1" applyFill="1" applyBorder="1"/>
    <xf numFmtId="10" fontId="5" fillId="3" borderId="13" xfId="4" applyNumberFormat="1" applyFont="1" applyFill="1" applyBorder="1"/>
    <xf numFmtId="10" fontId="5" fillId="3" borderId="14" xfId="4" applyNumberFormat="1" applyFont="1" applyFill="1" applyBorder="1"/>
    <xf numFmtId="0" fontId="5" fillId="4" borderId="7" xfId="0" applyFont="1" applyFill="1" applyBorder="1"/>
    <xf numFmtId="4" fontId="5" fillId="4" borderId="8" xfId="0" applyNumberFormat="1" applyFont="1" applyFill="1" applyBorder="1" applyAlignment="1">
      <alignment horizontal="center"/>
    </xf>
    <xf numFmtId="4" fontId="5" fillId="4" borderId="8" xfId="0" applyNumberFormat="1" applyFont="1" applyFill="1" applyBorder="1"/>
    <xf numFmtId="10" fontId="5" fillId="4" borderId="8" xfId="4" applyNumberFormat="1" applyFont="1" applyFill="1" applyBorder="1"/>
    <xf numFmtId="10" fontId="5" fillId="4" borderId="9" xfId="4" applyNumberFormat="1" applyFont="1" applyFill="1" applyBorder="1"/>
    <xf numFmtId="0" fontId="4" fillId="4" borderId="10" xfId="0" applyFont="1" applyFill="1" applyBorder="1"/>
    <xf numFmtId="4" fontId="0" fillId="4" borderId="1" xfId="0" applyNumberFormat="1" applyFill="1" applyBorder="1" applyAlignment="1">
      <alignment horizontal="center"/>
    </xf>
    <xf numFmtId="10" fontId="4" fillId="4" borderId="11" xfId="4" applyNumberFormat="1" applyFont="1" applyFill="1" applyBorder="1"/>
    <xf numFmtId="0" fontId="5" fillId="4" borderId="10" xfId="0" applyFont="1" applyFill="1" applyBorder="1"/>
    <xf numFmtId="10" fontId="5" fillId="4" borderId="11" xfId="4" applyNumberFormat="1" applyFont="1" applyFill="1" applyBorder="1"/>
    <xf numFmtId="0" fontId="5" fillId="4" borderId="12" xfId="0" applyFont="1" applyFill="1" applyBorder="1"/>
    <xf numFmtId="4" fontId="5" fillId="4" borderId="13" xfId="0" applyNumberFormat="1" applyFont="1" applyFill="1" applyBorder="1" applyAlignment="1">
      <alignment horizontal="center"/>
    </xf>
    <xf numFmtId="4" fontId="5" fillId="4" borderId="13" xfId="0" applyNumberFormat="1" applyFont="1" applyFill="1" applyBorder="1"/>
    <xf numFmtId="10" fontId="5" fillId="4" borderId="13" xfId="4" applyNumberFormat="1" applyFont="1" applyFill="1" applyBorder="1"/>
    <xf numFmtId="10" fontId="5"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5" fillId="0" borderId="1" xfId="0" applyNumberFormat="1" applyFont="1" applyBorder="1" applyAlignment="1">
      <alignment horizontal="center"/>
    </xf>
    <xf numFmtId="3" fontId="4"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4" fillId="2" borderId="1" xfId="0" applyFont="1" applyFill="1" applyBorder="1"/>
    <xf numFmtId="9" fontId="4" fillId="2" borderId="1" xfId="4" applyFont="1" applyFill="1" applyBorder="1"/>
    <xf numFmtId="3" fontId="5" fillId="0" borderId="9" xfId="0" applyNumberFormat="1" applyFont="1" applyBorder="1" applyAlignment="1">
      <alignment horizontal="center"/>
    </xf>
    <xf numFmtId="3" fontId="5" fillId="0" borderId="11" xfId="0" applyNumberFormat="1" applyFont="1" applyBorder="1" applyAlignment="1">
      <alignment horizontal="center"/>
    </xf>
    <xf numFmtId="3" fontId="5" fillId="0" borderId="14" xfId="0" applyNumberFormat="1" applyFont="1" applyBorder="1" applyAlignment="1">
      <alignment horizontal="center"/>
    </xf>
    <xf numFmtId="0" fontId="5" fillId="6" borderId="4"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30" xfId="0" applyFont="1" applyBorder="1" applyAlignment="1">
      <alignment horizontal="center"/>
    </xf>
    <xf numFmtId="0" fontId="5" fillId="0" borderId="15" xfId="0" applyFont="1" applyBorder="1" applyAlignment="1">
      <alignment horizontal="center"/>
    </xf>
    <xf numFmtId="0" fontId="5" fillId="0" borderId="31" xfId="0" applyFont="1" applyBorder="1" applyAlignment="1">
      <alignment horizontal="center"/>
    </xf>
    <xf numFmtId="3" fontId="5" fillId="0" borderId="10" xfId="0" applyNumberFormat="1" applyFont="1" applyBorder="1" applyAlignment="1">
      <alignment horizontal="center"/>
    </xf>
    <xf numFmtId="3" fontId="5" fillId="0" borderId="12" xfId="0" applyNumberFormat="1" applyFont="1" applyBorder="1" applyAlignment="1">
      <alignment horizontal="center"/>
    </xf>
    <xf numFmtId="0" fontId="5" fillId="0" borderId="23" xfId="0" applyFont="1" applyBorder="1" applyAlignment="1">
      <alignment horizontal="center" vertical="center" wrapText="1"/>
    </xf>
    <xf numFmtId="0" fontId="5" fillId="0" borderId="32" xfId="0" applyFont="1" applyBorder="1" applyAlignment="1">
      <alignment horizontal="center" wrapText="1"/>
    </xf>
    <xf numFmtId="0" fontId="5" fillId="0" borderId="33" xfId="0" applyFont="1" applyBorder="1" applyAlignment="1">
      <alignment horizontal="center" vertical="center" wrapText="1"/>
    </xf>
    <xf numFmtId="3" fontId="5" fillId="0" borderId="7" xfId="0" applyNumberFormat="1" applyFont="1" applyBorder="1" applyAlignment="1">
      <alignment horizontal="center"/>
    </xf>
    <xf numFmtId="0" fontId="5"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4" fillId="0" borderId="9" xfId="4" applyNumberFormat="1" applyFont="1" applyBorder="1"/>
    <xf numFmtId="0" fontId="0" fillId="0" borderId="10" xfId="0" applyBorder="1"/>
    <xf numFmtId="10" fontId="4" fillId="0" borderId="11" xfId="4" applyNumberFormat="1" applyFont="1" applyBorder="1"/>
    <xf numFmtId="0" fontId="4" fillId="0" borderId="10" xfId="0" applyFont="1" applyBorder="1"/>
    <xf numFmtId="0" fontId="5" fillId="0" borderId="10" xfId="0" applyFont="1" applyBorder="1"/>
    <xf numFmtId="10" fontId="5" fillId="0" borderId="11" xfId="4" applyNumberFormat="1" applyFont="1" applyBorder="1"/>
    <xf numFmtId="0" fontId="5" fillId="0" borderId="12" xfId="0" applyFont="1" applyBorder="1"/>
    <xf numFmtId="3" fontId="4" fillId="0" borderId="13" xfId="0" applyNumberFormat="1" applyFont="1" applyBorder="1" applyAlignment="1">
      <alignment horizontal="center"/>
    </xf>
    <xf numFmtId="166" fontId="4" fillId="0" borderId="13" xfId="0" applyNumberFormat="1" applyFont="1" applyBorder="1"/>
    <xf numFmtId="4" fontId="5" fillId="0" borderId="13" xfId="0" applyNumberFormat="1" applyFont="1" applyBorder="1"/>
    <xf numFmtId="3" fontId="0" fillId="0" borderId="13" xfId="0" applyNumberFormat="1" applyBorder="1" applyAlignment="1">
      <alignment horizontal="center"/>
    </xf>
    <xf numFmtId="10" fontId="5" fillId="0" borderId="13" xfId="4" applyNumberFormat="1" applyFont="1" applyBorder="1"/>
    <xf numFmtId="10" fontId="5"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2" fontId="0" fillId="5" borderId="1" xfId="0" applyNumberFormat="1" applyFill="1" applyBorder="1"/>
    <xf numFmtId="0" fontId="5"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169" fontId="0" fillId="5" borderId="1" xfId="0" applyNumberFormat="1" applyFill="1" applyBorder="1"/>
    <xf numFmtId="0" fontId="8"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0" fontId="0" fillId="8" borderId="1" xfId="0" applyFill="1" applyBorder="1"/>
    <xf numFmtId="2" fontId="0" fillId="2" borderId="1" xfId="0" applyNumberFormat="1" applyFill="1" applyBorder="1"/>
    <xf numFmtId="181" fontId="0" fillId="2" borderId="1" xfId="0" applyNumberFormat="1" applyFill="1" applyBorder="1"/>
    <xf numFmtId="0" fontId="5" fillId="6" borderId="6" xfId="0" applyFont="1" applyFill="1" applyBorder="1" applyAlignment="1">
      <alignment horizontal="center" vertical="center" wrapText="1"/>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5" fillId="4" borderId="10" xfId="0" applyFont="1" applyFill="1" applyBorder="1" applyAlignment="1">
      <alignment horizontal="left"/>
    </xf>
    <xf numFmtId="0" fontId="5" fillId="7" borderId="1" xfId="0" applyFont="1" applyFill="1" applyBorder="1" applyAlignment="1">
      <alignment horizontal="center" vertical="center" wrapText="1"/>
    </xf>
    <xf numFmtId="0" fontId="5" fillId="5" borderId="1" xfId="0" applyFont="1" applyFill="1" applyBorder="1" applyAlignment="1">
      <alignment horizontal="center"/>
    </xf>
    <xf numFmtId="0" fontId="0" fillId="5" borderId="0" xfId="0" applyFill="1"/>
    <xf numFmtId="169" fontId="0" fillId="0" borderId="1" xfId="0" applyNumberFormat="1" applyFill="1" applyBorder="1"/>
    <xf numFmtId="3" fontId="0" fillId="8" borderId="1" xfId="0" applyNumberFormat="1" applyFill="1" applyBorder="1"/>
    <xf numFmtId="0" fontId="0" fillId="6" borderId="1" xfId="0" applyFill="1" applyBorder="1"/>
    <xf numFmtId="0" fontId="5" fillId="8" borderId="1" xfId="0" applyFont="1" applyFill="1" applyBorder="1" applyAlignment="1">
      <alignment horizontal="center" vertical="center" wrapText="1"/>
    </xf>
    <xf numFmtId="3" fontId="0" fillId="5" borderId="1" xfId="0" applyNumberFormat="1" applyFill="1" applyBorder="1"/>
    <xf numFmtId="0" fontId="0" fillId="3" borderId="10" xfId="0" applyFont="1" applyFill="1" applyBorder="1"/>
    <xf numFmtId="0" fontId="0" fillId="4" borderId="10" xfId="0" applyFont="1" applyFill="1" applyBorder="1"/>
    <xf numFmtId="0" fontId="0" fillId="13" borderId="1" xfId="0" applyFill="1" applyBorder="1"/>
    <xf numFmtId="165" fontId="0" fillId="0" borderId="1" xfId="0" applyNumberFormat="1" applyFill="1" applyBorder="1"/>
    <xf numFmtId="3" fontId="0" fillId="0" borderId="1" xfId="0" applyNumberFormat="1" applyFill="1" applyBorder="1"/>
    <xf numFmtId="0" fontId="0" fillId="5" borderId="1" xfId="0"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5" fillId="8" borderId="1" xfId="0" applyFont="1" applyFill="1" applyBorder="1"/>
    <xf numFmtId="169" fontId="0" fillId="8" borderId="1" xfId="0" applyNumberFormat="1" applyFill="1" applyBorder="1"/>
    <xf numFmtId="0" fontId="0" fillId="8" borderId="1" xfId="0" applyFill="1" applyBorder="1" applyAlignment="1">
      <alignment horizontal="center"/>
    </xf>
    <xf numFmtId="2" fontId="0" fillId="8" borderId="1" xfId="0" applyNumberFormat="1" applyFill="1" applyBorder="1"/>
    <xf numFmtId="165" fontId="0" fillId="8" borderId="1" xfId="0" applyNumberFormat="1" applyFill="1" applyBorder="1"/>
    <xf numFmtId="165" fontId="0" fillId="14" borderId="1" xfId="0" applyNumberFormat="1" applyFill="1" applyBorder="1"/>
    <xf numFmtId="164" fontId="0" fillId="2" borderId="1" xfId="1" applyNumberFormat="1" applyFont="1" applyFill="1" applyBorder="1"/>
    <xf numFmtId="4" fontId="0" fillId="0" borderId="1" xfId="0" applyNumberFormat="1" applyBorder="1" applyAlignment="1">
      <alignment horizontal="center"/>
    </xf>
    <xf numFmtId="4" fontId="5" fillId="0" borderId="1" xfId="0" applyNumberFormat="1" applyFont="1" applyBorder="1" applyAlignment="1">
      <alignment horizontal="center"/>
    </xf>
    <xf numFmtId="0" fontId="0" fillId="8" borderId="1" xfId="0" applyFill="1" applyBorder="1" applyAlignment="1">
      <alignment horizontal="right"/>
    </xf>
    <xf numFmtId="0" fontId="5" fillId="8" borderId="37"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0" xfId="0" applyFont="1" applyFill="1" applyBorder="1" applyAlignment="1">
      <alignment horizontal="center"/>
    </xf>
    <xf numFmtId="3" fontId="5" fillId="8" borderId="40" xfId="0" applyNumberFormat="1" applyFont="1" applyFill="1" applyBorder="1" applyAlignment="1">
      <alignment horizontal="center"/>
    </xf>
    <xf numFmtId="7" fontId="0" fillId="8" borderId="27" xfId="0" applyNumberFormat="1" applyFont="1" applyFill="1" applyBorder="1" applyAlignment="1">
      <alignment horizontal="center"/>
    </xf>
    <xf numFmtId="0" fontId="0" fillId="14" borderId="1" xfId="0" applyFill="1" applyBorder="1"/>
    <xf numFmtId="0" fontId="0" fillId="2" borderId="2" xfId="0" applyFill="1" applyBorder="1"/>
    <xf numFmtId="0" fontId="5" fillId="2" borderId="44" xfId="0" applyFont="1" applyFill="1" applyBorder="1" applyAlignment="1">
      <alignment horizontal="center"/>
    </xf>
    <xf numFmtId="182" fontId="0" fillId="2" borderId="1" xfId="0" applyNumberFormat="1" applyFill="1" applyBorder="1" applyAlignment="1">
      <alignment horizontal="right"/>
    </xf>
    <xf numFmtId="1" fontId="0" fillId="2" borderId="1" xfId="0" applyNumberFormat="1" applyFill="1" applyBorder="1"/>
    <xf numFmtId="3" fontId="0" fillId="2" borderId="1" xfId="0" applyNumberFormat="1" applyFill="1" applyBorder="1" applyAlignment="1">
      <alignment horizontal="right"/>
    </xf>
    <xf numFmtId="182" fontId="0" fillId="0" borderId="1" xfId="0" applyNumberFormat="1" applyBorder="1" applyAlignment="1">
      <alignment horizontal="center"/>
    </xf>
    <xf numFmtId="0" fontId="0" fillId="15" borderId="1" xfId="0" applyFill="1" applyBorder="1"/>
    <xf numFmtId="3" fontId="0" fillId="15" borderId="1" xfId="0" applyNumberFormat="1" applyFill="1" applyBorder="1"/>
    <xf numFmtId="0" fontId="5" fillId="0" borderId="47" xfId="0" applyFont="1" applyBorder="1" applyAlignment="1">
      <alignment horizontal="center"/>
    </xf>
    <xf numFmtId="3" fontId="5" fillId="0" borderId="48" xfId="0" applyNumberFormat="1" applyFont="1" applyBorder="1" applyAlignment="1">
      <alignment horizontal="center"/>
    </xf>
    <xf numFmtId="3" fontId="5" fillId="0" borderId="49" xfId="0" applyNumberFormat="1" applyFont="1" applyBorder="1" applyAlignment="1">
      <alignment horizontal="center"/>
    </xf>
    <xf numFmtId="7" fontId="0" fillId="0" borderId="46" xfId="0" applyNumberFormat="1" applyFont="1" applyBorder="1" applyAlignment="1">
      <alignment horizontal="center"/>
    </xf>
    <xf numFmtId="165" fontId="5" fillId="0" borderId="1" xfId="0" applyNumberFormat="1" applyFont="1" applyBorder="1"/>
    <xf numFmtId="0" fontId="0" fillId="0" borderId="1" xfId="0" applyFill="1" applyBorder="1"/>
    <xf numFmtId="0" fontId="5" fillId="2" borderId="1" xfId="0" applyFont="1" applyFill="1" applyBorder="1" applyAlignment="1">
      <alignment horizontal="center" wrapText="1"/>
    </xf>
    <xf numFmtId="167" fontId="4" fillId="0" borderId="13" xfId="0" applyNumberFormat="1" applyFont="1" applyBorder="1"/>
    <xf numFmtId="0" fontId="2" fillId="0" borderId="0" xfId="46"/>
    <xf numFmtId="3" fontId="2" fillId="0" borderId="0" xfId="46" applyNumberFormat="1"/>
    <xf numFmtId="0" fontId="18" fillId="0" borderId="0" xfId="46" applyFont="1"/>
    <xf numFmtId="0" fontId="2" fillId="0" borderId="0" xfId="47"/>
    <xf numFmtId="0" fontId="2" fillId="0" borderId="51" xfId="47" applyBorder="1"/>
    <xf numFmtId="3" fontId="2" fillId="0" borderId="0" xfId="47" applyNumberFormat="1"/>
    <xf numFmtId="3" fontId="2" fillId="0" borderId="51" xfId="47" applyNumberFormat="1" applyBorder="1"/>
    <xf numFmtId="0" fontId="2" fillId="0" borderId="0" xfId="47" applyAlignment="1">
      <alignment horizontal="right"/>
    </xf>
    <xf numFmtId="0" fontId="18" fillId="0" borderId="0" xfId="47" applyFont="1" applyAlignment="1">
      <alignment horizontal="centerContinuous"/>
    </xf>
    <xf numFmtId="0" fontId="2" fillId="0" borderId="0" xfId="47" applyAlignment="1">
      <alignment horizontal="centerContinuous"/>
    </xf>
    <xf numFmtId="0" fontId="18" fillId="0" borderId="39" xfId="47" applyFont="1" applyBorder="1" applyAlignment="1">
      <alignment horizontal="centerContinuous"/>
    </xf>
    <xf numFmtId="0" fontId="2" fillId="0" borderId="39" xfId="47" applyBorder="1" applyAlignment="1">
      <alignment horizontal="centerContinuous"/>
    </xf>
    <xf numFmtId="0" fontId="2" fillId="0" borderId="51" xfId="47" applyBorder="1" applyAlignment="1">
      <alignment horizontal="right"/>
    </xf>
    <xf numFmtId="164" fontId="0" fillId="0" borderId="1" xfId="1" applyNumberFormat="1" applyFont="1" applyBorder="1"/>
    <xf numFmtId="3" fontId="2" fillId="0" borderId="1" xfId="46" applyNumberFormat="1" applyBorder="1"/>
    <xf numFmtId="0" fontId="19" fillId="16" borderId="1" xfId="0" applyFont="1" applyFill="1" applyBorder="1" applyAlignment="1">
      <alignment horizontal="center" vertical="center"/>
    </xf>
    <xf numFmtId="0" fontId="20" fillId="16" borderId="1" xfId="0" applyFont="1" applyFill="1" applyBorder="1" applyAlignment="1">
      <alignment horizontal="center" vertical="center"/>
    </xf>
    <xf numFmtId="167" fontId="0" fillId="2" borderId="1" xfId="0" applyNumberFormat="1" applyFill="1" applyBorder="1"/>
    <xf numFmtId="164" fontId="2" fillId="0" borderId="1" xfId="1" applyNumberFormat="1" applyFont="1" applyBorder="1"/>
    <xf numFmtId="0" fontId="20" fillId="16" borderId="0" xfId="0" applyFont="1" applyFill="1" applyBorder="1" applyAlignment="1">
      <alignment horizontal="left" vertical="center"/>
    </xf>
    <xf numFmtId="0" fontId="5" fillId="8" borderId="36" xfId="0" applyFont="1" applyFill="1" applyBorder="1" applyAlignment="1">
      <alignment horizontal="center" wrapText="1"/>
    </xf>
    <xf numFmtId="3" fontId="5" fillId="0" borderId="52" xfId="0" applyNumberFormat="1" applyFont="1" applyBorder="1" applyAlignment="1">
      <alignment horizontal="center"/>
    </xf>
    <xf numFmtId="3" fontId="5" fillId="0" borderId="53" xfId="0" applyNumberFormat="1" applyFont="1" applyBorder="1" applyAlignment="1">
      <alignment horizontal="center"/>
    </xf>
    <xf numFmtId="3" fontId="5" fillId="0" borderId="45" xfId="0" applyNumberFormat="1" applyFont="1" applyBorder="1" applyAlignment="1">
      <alignment horizontal="center"/>
    </xf>
    <xf numFmtId="3" fontId="5" fillId="8" borderId="38" xfId="0" applyNumberFormat="1" applyFont="1" applyFill="1" applyBorder="1" applyAlignment="1">
      <alignment horizontal="center"/>
    </xf>
    <xf numFmtId="3" fontId="5" fillId="0" borderId="54" xfId="0" applyNumberFormat="1" applyFont="1" applyBorder="1" applyAlignment="1">
      <alignment horizontal="center"/>
    </xf>
    <xf numFmtId="0" fontId="0" fillId="0" borderId="0" xfId="0" applyFont="1"/>
    <xf numFmtId="7" fontId="0" fillId="7" borderId="19" xfId="2" applyNumberFormat="1" applyFont="1" applyFill="1" applyBorder="1" applyAlignment="1">
      <alignment horizontal="center"/>
    </xf>
    <xf numFmtId="10" fontId="0" fillId="7" borderId="22" xfId="3" applyNumberFormat="1" applyFont="1" applyFill="1" applyBorder="1" applyAlignment="1">
      <alignment horizontal="center"/>
    </xf>
    <xf numFmtId="7" fontId="0" fillId="6" borderId="7" xfId="0" applyNumberFormat="1" applyFont="1" applyFill="1" applyBorder="1" applyAlignment="1">
      <alignment horizontal="center"/>
    </xf>
    <xf numFmtId="10" fontId="0" fillId="6" borderId="14" xfId="3" applyNumberFormat="1" applyFont="1" applyFill="1" applyBorder="1" applyAlignment="1">
      <alignment horizontal="center"/>
    </xf>
    <xf numFmtId="10" fontId="0" fillId="7" borderId="21" xfId="3" applyNumberFormat="1" applyFont="1" applyFill="1" applyBorder="1" applyAlignment="1">
      <alignment horizontal="center"/>
    </xf>
    <xf numFmtId="10" fontId="0" fillId="6" borderId="9" xfId="3" applyNumberFormat="1" applyFont="1" applyFill="1" applyBorder="1" applyAlignment="1">
      <alignment horizontal="center"/>
    </xf>
    <xf numFmtId="7" fontId="0" fillId="8" borderId="19" xfId="2" applyNumberFormat="1" applyFont="1" applyFill="1" applyBorder="1" applyAlignment="1">
      <alignment horizontal="center"/>
    </xf>
    <xf numFmtId="10" fontId="0" fillId="8" borderId="21" xfId="3" applyNumberFormat="1" applyFont="1" applyFill="1" applyBorder="1" applyAlignment="1">
      <alignment horizontal="center"/>
    </xf>
    <xf numFmtId="7" fontId="0" fillId="8" borderId="7" xfId="0" applyNumberFormat="1" applyFont="1" applyFill="1" applyBorder="1" applyAlignment="1">
      <alignment horizontal="center"/>
    </xf>
    <xf numFmtId="10" fontId="0" fillId="8" borderId="9" xfId="3" applyNumberFormat="1" applyFont="1" applyFill="1" applyBorder="1" applyAlignment="1">
      <alignment horizontal="center"/>
    </xf>
    <xf numFmtId="0" fontId="0" fillId="0" borderId="0" xfId="0" applyFont="1" applyBorder="1"/>
    <xf numFmtId="7" fontId="0" fillId="7" borderId="3" xfId="2" applyNumberFormat="1" applyFont="1" applyFill="1" applyBorder="1" applyAlignment="1">
      <alignment horizontal="center"/>
    </xf>
    <xf numFmtId="10" fontId="0" fillId="7" borderId="3" xfId="3" applyNumberFormat="1" applyFont="1" applyFill="1" applyBorder="1" applyAlignment="1">
      <alignment horizontal="center"/>
    </xf>
    <xf numFmtId="7" fontId="0" fillId="6" borderId="10" xfId="0" applyNumberFormat="1" applyFont="1" applyFill="1" applyBorder="1" applyAlignment="1">
      <alignment horizontal="center"/>
    </xf>
    <xf numFmtId="10" fontId="0" fillId="6" borderId="11" xfId="3" applyNumberFormat="1" applyFont="1" applyFill="1" applyBorder="1" applyAlignment="1">
      <alignment horizontal="center"/>
    </xf>
    <xf numFmtId="7" fontId="0" fillId="7" borderId="20" xfId="2" applyNumberFormat="1" applyFont="1" applyFill="1" applyBorder="1" applyAlignment="1">
      <alignment horizontal="center"/>
    </xf>
    <xf numFmtId="7" fontId="0" fillId="6" borderId="12" xfId="0" applyNumberFormat="1" applyFont="1" applyFill="1" applyBorder="1" applyAlignment="1">
      <alignment horizontal="center"/>
    </xf>
    <xf numFmtId="10" fontId="0" fillId="7" borderId="2" xfId="3" applyNumberFormat="1" applyFont="1" applyFill="1" applyBorder="1" applyAlignment="1">
      <alignment horizontal="center"/>
    </xf>
    <xf numFmtId="7" fontId="0" fillId="7" borderId="50" xfId="2" applyNumberFormat="1" applyFont="1" applyFill="1" applyBorder="1" applyAlignment="1">
      <alignment horizontal="center"/>
    </xf>
    <xf numFmtId="7" fontId="0" fillId="6" borderId="48" xfId="0" applyNumberFormat="1" applyFont="1" applyFill="1" applyBorder="1" applyAlignment="1">
      <alignment horizontal="center"/>
    </xf>
    <xf numFmtId="165" fontId="0" fillId="6" borderId="1" xfId="0" applyNumberFormat="1" applyFill="1" applyBorder="1"/>
    <xf numFmtId="0" fontId="0" fillId="6" borderId="1" xfId="0" applyFill="1" applyBorder="1" applyAlignment="1">
      <alignment horizontal="center"/>
    </xf>
    <xf numFmtId="2" fontId="0" fillId="6" borderId="1" xfId="0" applyNumberFormat="1" applyFill="1" applyBorder="1"/>
    <xf numFmtId="3" fontId="0" fillId="6" borderId="1" xfId="0" applyNumberFormat="1" applyFill="1" applyBorder="1"/>
    <xf numFmtId="0" fontId="0" fillId="6" borderId="1" xfId="0" applyFont="1" applyFill="1" applyBorder="1"/>
    <xf numFmtId="0" fontId="0" fillId="17" borderId="1" xfId="0" applyFill="1" applyBorder="1"/>
    <xf numFmtId="165" fontId="0" fillId="17" borderId="1" xfId="0" applyNumberFormat="1" applyFill="1" applyBorder="1"/>
    <xf numFmtId="0" fontId="0" fillId="17" borderId="1" xfId="0" applyFill="1" applyBorder="1" applyAlignment="1">
      <alignment horizontal="center"/>
    </xf>
    <xf numFmtId="2" fontId="0" fillId="17" borderId="1" xfId="0" applyNumberFormat="1" applyFill="1" applyBorder="1"/>
    <xf numFmtId="3" fontId="0" fillId="17" borderId="1" xfId="0" applyNumberFormat="1" applyFill="1" applyBorder="1"/>
    <xf numFmtId="2" fontId="0" fillId="0" borderId="1" xfId="0" applyNumberFormat="1" applyFill="1" applyBorder="1"/>
    <xf numFmtId="165" fontId="0" fillId="0" borderId="1" xfId="0" applyNumberFormat="1" applyFont="1" applyBorder="1"/>
    <xf numFmtId="3" fontId="5" fillId="0" borderId="9" xfId="0" applyNumberFormat="1" applyFont="1" applyFill="1" applyBorder="1" applyAlignment="1">
      <alignment horizontal="center"/>
    </xf>
    <xf numFmtId="3" fontId="5" fillId="0" borderId="11" xfId="0" applyNumberFormat="1" applyFont="1" applyFill="1" applyBorder="1" applyAlignment="1">
      <alignment horizontal="center"/>
    </xf>
    <xf numFmtId="3" fontId="5" fillId="0" borderId="14" xfId="0" applyNumberFormat="1" applyFont="1" applyFill="1" applyBorder="1" applyAlignment="1">
      <alignment horizontal="center"/>
    </xf>
    <xf numFmtId="4" fontId="4" fillId="0" borderId="1" xfId="0" applyNumberFormat="1" applyFont="1" applyBorder="1" applyAlignment="1">
      <alignment horizontal="center"/>
    </xf>
    <xf numFmtId="167" fontId="0" fillId="0" borderId="1" xfId="0" applyNumberFormat="1" applyFont="1" applyBorder="1"/>
    <xf numFmtId="164" fontId="18" fillId="0" borderId="1" xfId="1" applyNumberFormat="1" applyFont="1" applyBorder="1"/>
    <xf numFmtId="0" fontId="1" fillId="0" borderId="1" xfId="46" applyFont="1" applyBorder="1" applyAlignment="1">
      <alignment wrapText="1"/>
    </xf>
    <xf numFmtId="0" fontId="18" fillId="0" borderId="1" xfId="46" applyFont="1" applyBorder="1" applyAlignment="1">
      <alignment wrapText="1"/>
    </xf>
    <xf numFmtId="43" fontId="18" fillId="0" borderId="1" xfId="46" applyNumberFormat="1" applyFont="1" applyBorder="1"/>
    <xf numFmtId="10" fontId="0" fillId="0" borderId="1" xfId="3" applyNumberFormat="1" applyFont="1" applyBorder="1"/>
    <xf numFmtId="10" fontId="0" fillId="0" borderId="0" xfId="3" applyNumberFormat="1" applyFont="1"/>
    <xf numFmtId="0" fontId="0" fillId="0" borderId="1" xfId="0" applyBorder="1" applyAlignment="1">
      <alignment wrapText="1"/>
    </xf>
    <xf numFmtId="10" fontId="0" fillId="0" borderId="1" xfId="3" applyNumberFormat="1" applyFont="1" applyBorder="1" applyAlignment="1">
      <alignment wrapText="1"/>
    </xf>
    <xf numFmtId="0" fontId="5" fillId="0" borderId="23" xfId="0" applyFont="1" applyBorder="1" applyAlignment="1">
      <alignment horizontal="center" vertical="center"/>
    </xf>
    <xf numFmtId="0" fontId="5" fillId="0" borderId="0" xfId="0" applyFont="1" applyBorder="1" applyAlignment="1">
      <alignment horizontal="center"/>
    </xf>
    <xf numFmtId="3" fontId="5" fillId="0" borderId="55" xfId="0" applyNumberFormat="1" applyFont="1" applyBorder="1" applyAlignment="1">
      <alignment horizontal="center"/>
    </xf>
    <xf numFmtId="3" fontId="5" fillId="0" borderId="56" xfId="0" applyNumberFormat="1" applyFont="1" applyBorder="1" applyAlignment="1">
      <alignment horizontal="center"/>
    </xf>
    <xf numFmtId="7" fontId="0" fillId="0" borderId="57" xfId="0" applyNumberFormat="1" applyFont="1" applyBorder="1" applyAlignment="1">
      <alignment horizontal="center"/>
    </xf>
    <xf numFmtId="7" fontId="0" fillId="7" borderId="58" xfId="2" applyNumberFormat="1" applyFont="1" applyFill="1" applyBorder="1" applyAlignment="1">
      <alignment horizontal="center"/>
    </xf>
    <xf numFmtId="10" fontId="0" fillId="7" borderId="59" xfId="3" applyNumberFormat="1" applyFont="1" applyFill="1" applyBorder="1" applyAlignment="1">
      <alignment horizontal="center"/>
    </xf>
    <xf numFmtId="7" fontId="0" fillId="6" borderId="60" xfId="0" applyNumberFormat="1" applyFont="1" applyFill="1" applyBorder="1" applyAlignment="1">
      <alignment horizontal="center"/>
    </xf>
    <xf numFmtId="10" fontId="0" fillId="6" borderId="56" xfId="3" applyNumberFormat="1" applyFont="1" applyFill="1" applyBorder="1" applyAlignment="1">
      <alignment horizontal="center"/>
    </xf>
    <xf numFmtId="0" fontId="5" fillId="0" borderId="16" xfId="0" applyFont="1" applyBorder="1" applyAlignment="1">
      <alignment horizontal="center"/>
    </xf>
    <xf numFmtId="3" fontId="5" fillId="0" borderId="34" xfId="0" applyNumberFormat="1" applyFont="1" applyBorder="1" applyAlignment="1">
      <alignment horizontal="center"/>
    </xf>
    <xf numFmtId="182" fontId="5" fillId="0" borderId="6" xfId="0" applyNumberFormat="1" applyFont="1" applyBorder="1" applyAlignment="1">
      <alignment horizontal="center"/>
    </xf>
    <xf numFmtId="7" fontId="0" fillId="0" borderId="23" xfId="0" applyNumberFormat="1" applyFont="1" applyBorder="1" applyAlignment="1">
      <alignment horizontal="center"/>
    </xf>
    <xf numFmtId="7" fontId="0" fillId="7" borderId="17" xfId="2" applyNumberFormat="1" applyFont="1" applyFill="1" applyBorder="1" applyAlignment="1">
      <alignment horizontal="center"/>
    </xf>
    <xf numFmtId="10" fontId="0" fillId="7" borderId="18" xfId="3" applyNumberFormat="1" applyFont="1" applyFill="1" applyBorder="1" applyAlignment="1">
      <alignment horizontal="center"/>
    </xf>
    <xf numFmtId="7" fontId="0" fillId="6" borderId="4" xfId="0" applyNumberFormat="1" applyFont="1" applyFill="1" applyBorder="1" applyAlignment="1">
      <alignment horizontal="center"/>
    </xf>
    <xf numFmtId="10" fontId="0" fillId="6" borderId="6" xfId="3" applyNumberFormat="1" applyFont="1" applyFill="1" applyBorder="1" applyAlignment="1">
      <alignment horizontal="center"/>
    </xf>
    <xf numFmtId="0" fontId="0" fillId="0" borderId="23" xfId="0" applyFont="1" applyBorder="1" applyAlignment="1">
      <alignment horizontal="center" vertical="center"/>
    </xf>
    <xf numFmtId="7" fontId="0" fillId="8" borderId="57" xfId="0" applyNumberFormat="1" applyFont="1" applyFill="1" applyBorder="1" applyAlignment="1">
      <alignment horizontal="center"/>
    </xf>
    <xf numFmtId="7" fontId="0" fillId="8" borderId="58" xfId="2" applyNumberFormat="1" applyFont="1" applyFill="1" applyBorder="1" applyAlignment="1">
      <alignment horizontal="center"/>
    </xf>
    <xf numFmtId="10" fontId="0" fillId="8" borderId="59" xfId="3" applyNumberFormat="1" applyFont="1" applyFill="1" applyBorder="1" applyAlignment="1">
      <alignment horizontal="center"/>
    </xf>
    <xf numFmtId="7" fontId="0" fillId="8" borderId="60" xfId="0" applyNumberFormat="1" applyFont="1" applyFill="1" applyBorder="1" applyAlignment="1">
      <alignment horizontal="center"/>
    </xf>
    <xf numFmtId="10" fontId="0" fillId="8" borderId="56" xfId="3" applyNumberFormat="1" applyFont="1" applyFill="1" applyBorder="1" applyAlignment="1">
      <alignment horizontal="center"/>
    </xf>
    <xf numFmtId="0" fontId="5" fillId="0" borderId="37" xfId="0" applyFont="1" applyBorder="1" applyAlignment="1">
      <alignment horizontal="center"/>
    </xf>
    <xf numFmtId="3" fontId="5" fillId="0" borderId="36" xfId="0" applyNumberFormat="1" applyFont="1" applyBorder="1" applyAlignment="1">
      <alignment horizontal="center"/>
    </xf>
    <xf numFmtId="3" fontId="5" fillId="0" borderId="33" xfId="0" applyNumberFormat="1" applyFont="1" applyBorder="1" applyAlignment="1">
      <alignment horizontal="center"/>
    </xf>
    <xf numFmtId="7" fontId="0" fillId="0" borderId="24" xfId="0" applyNumberFormat="1" applyFont="1" applyBorder="1" applyAlignment="1">
      <alignment horizontal="center"/>
    </xf>
    <xf numFmtId="7" fontId="0" fillId="7" borderId="41" xfId="2" applyNumberFormat="1" applyFont="1" applyFill="1" applyBorder="1" applyAlignment="1">
      <alignment horizontal="center"/>
    </xf>
    <xf numFmtId="10" fontId="0" fillId="7" borderId="61" xfId="3" applyNumberFormat="1" applyFont="1" applyFill="1" applyBorder="1" applyAlignment="1">
      <alignment horizontal="center"/>
    </xf>
    <xf numFmtId="7" fontId="0" fillId="6" borderId="32" xfId="0" applyNumberFormat="1" applyFont="1" applyFill="1" applyBorder="1" applyAlignment="1">
      <alignment horizontal="center"/>
    </xf>
    <xf numFmtId="10" fontId="0" fillId="6" borderId="33" xfId="3" applyNumberFormat="1" applyFont="1" applyFill="1" applyBorder="1" applyAlignment="1">
      <alignment horizontal="center"/>
    </xf>
    <xf numFmtId="0" fontId="5" fillId="0" borderId="39" xfId="0" applyFont="1" applyBorder="1" applyAlignment="1">
      <alignment horizontal="center"/>
    </xf>
    <xf numFmtId="3" fontId="5" fillId="0" borderId="62" xfId="0" applyNumberFormat="1" applyFont="1" applyBorder="1" applyAlignment="1">
      <alignment horizontal="center"/>
    </xf>
    <xf numFmtId="3" fontId="5" fillId="0" borderId="43" xfId="0" applyNumberFormat="1" applyFont="1" applyBorder="1" applyAlignment="1">
      <alignment horizontal="center"/>
    </xf>
    <xf numFmtId="7" fontId="0" fillId="0" borderId="26" xfId="0" applyNumberFormat="1" applyFont="1" applyBorder="1" applyAlignment="1">
      <alignment horizontal="center"/>
    </xf>
    <xf numFmtId="7" fontId="0" fillId="7" borderId="63" xfId="2" applyNumberFormat="1" applyFont="1" applyFill="1" applyBorder="1" applyAlignment="1">
      <alignment horizontal="center"/>
    </xf>
    <xf numFmtId="10" fontId="0" fillId="7" borderId="42" xfId="3" applyNumberFormat="1" applyFont="1" applyFill="1" applyBorder="1" applyAlignment="1">
      <alignment horizontal="center"/>
    </xf>
    <xf numFmtId="7" fontId="0" fillId="6" borderId="64" xfId="0" applyNumberFormat="1" applyFont="1" applyFill="1" applyBorder="1" applyAlignment="1">
      <alignment horizontal="center"/>
    </xf>
    <xf numFmtId="10" fontId="0" fillId="6" borderId="43" xfId="3" applyNumberFormat="1" applyFont="1" applyFill="1" applyBorder="1" applyAlignment="1">
      <alignment horizontal="center"/>
    </xf>
    <xf numFmtId="43" fontId="18" fillId="0" borderId="1" xfId="1" applyNumberFormat="1" applyFont="1" applyBorder="1"/>
    <xf numFmtId="182" fontId="5" fillId="0" borderId="33" xfId="0" applyNumberFormat="1" applyFont="1" applyBorder="1" applyAlignment="1">
      <alignment horizontal="center"/>
    </xf>
    <xf numFmtId="0" fontId="0" fillId="0" borderId="38" xfId="0" applyBorder="1"/>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164" fontId="0" fillId="0" borderId="1" xfId="0" applyNumberFormat="1" applyBorder="1"/>
    <xf numFmtId="0" fontId="19" fillId="16" borderId="1" xfId="0" applyFont="1" applyFill="1" applyBorder="1" applyAlignment="1">
      <alignment horizontal="center" vertical="center" wrapText="1"/>
    </xf>
    <xf numFmtId="0" fontId="0" fillId="0" borderId="0" xfId="0" applyAlignment="1">
      <alignment horizontal="center"/>
    </xf>
    <xf numFmtId="0" fontId="5" fillId="0" borderId="34" xfId="0" applyFont="1" applyBorder="1" applyAlignment="1">
      <alignment horizontal="center" wrapText="1"/>
    </xf>
    <xf numFmtId="0" fontId="5" fillId="0" borderId="6" xfId="0" applyFont="1" applyBorder="1" applyAlignment="1">
      <alignment horizontal="center" vertical="center" wrapText="1"/>
    </xf>
    <xf numFmtId="0" fontId="5" fillId="8" borderId="34" xfId="0" applyFont="1" applyFill="1" applyBorder="1" applyAlignment="1">
      <alignment horizontal="center"/>
    </xf>
    <xf numFmtId="0" fontId="0" fillId="8" borderId="24" xfId="0" applyFont="1" applyFill="1" applyBorder="1" applyAlignment="1">
      <alignment horizontal="center" vertical="center" wrapText="1"/>
    </xf>
    <xf numFmtId="0" fontId="5" fillId="8" borderId="62" xfId="0" applyFont="1" applyFill="1" applyBorder="1" applyAlignment="1">
      <alignment horizontal="center"/>
    </xf>
    <xf numFmtId="0" fontId="0" fillId="8" borderId="25" xfId="0" applyFont="1" applyFill="1" applyBorder="1" applyAlignment="1">
      <alignment horizontal="center" vertical="center" wrapText="1"/>
    </xf>
    <xf numFmtId="183" fontId="0" fillId="0" borderId="1" xfId="0" applyNumberFormat="1" applyBorder="1"/>
    <xf numFmtId="183" fontId="0" fillId="5" borderId="1" xfId="0" applyNumberFormat="1" applyFill="1" applyBorder="1"/>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6" xfId="0" applyFont="1" applyBorder="1" applyAlignment="1">
      <alignment horizontal="center" vertical="center"/>
    </xf>
    <xf numFmtId="0" fontId="5" fillId="0" borderId="2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5" fillId="0" borderId="0" xfId="0" applyFont="1" applyBorder="1" applyAlignment="1">
      <alignment horizontal="center" vertical="center"/>
    </xf>
    <xf numFmtId="0" fontId="8" fillId="0" borderId="34" xfId="0" applyFont="1" applyBorder="1" applyAlignment="1">
      <alignment horizontal="center"/>
    </xf>
    <xf numFmtId="0" fontId="8" fillId="0" borderId="16" xfId="0" applyFont="1" applyBorder="1" applyAlignment="1">
      <alignment horizontal="center"/>
    </xf>
    <xf numFmtId="0" fontId="8" fillId="0" borderId="35" xfId="0" applyFont="1" applyBorder="1" applyAlignment="1">
      <alignment horizontal="center"/>
    </xf>
  </cellXfs>
  <cellStyles count="48">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ormal 4" xfId="46"/>
    <cellStyle name="Normal 5" xfId="47"/>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FFCCCC"/>
      <color rgb="FFCCFFCC"/>
      <color rgb="FFFFCCFF"/>
      <color rgb="FFFFFF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9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A1:J45"/>
  <sheetViews>
    <sheetView tabSelected="1" view="pageLayout" zoomScaleNormal="100" zoomScaleSheetLayoutView="100" workbookViewId="0">
      <selection activeCell="N7" sqref="N7"/>
    </sheetView>
  </sheetViews>
  <sheetFormatPr defaultColWidth="8.85546875" defaultRowHeight="12.75" x14ac:dyDescent="0.2"/>
  <cols>
    <col min="1" max="1" width="12.85546875" style="220" customWidth="1"/>
    <col min="2" max="2" width="13.42578125" style="220" customWidth="1"/>
    <col min="3" max="5" width="13.7109375" style="220" customWidth="1"/>
    <col min="6" max="6" width="12.140625" style="220" customWidth="1"/>
    <col min="7" max="7" width="13" style="220" customWidth="1"/>
    <col min="8" max="8" width="11.85546875" style="220" bestFit="1" customWidth="1"/>
    <col min="9" max="9" width="12.28515625" style="220" bestFit="1" customWidth="1"/>
    <col min="10" max="10" width="19.42578125" style="220" customWidth="1"/>
    <col min="11" max="16384" width="8.85546875" style="220"/>
  </cols>
  <sheetData>
    <row r="1" spans="1:10" ht="39" thickBot="1" x14ac:dyDescent="0.25">
      <c r="A1" s="95" t="s">
        <v>13</v>
      </c>
      <c r="B1" s="89" t="s">
        <v>67</v>
      </c>
      <c r="C1" s="96" t="s">
        <v>62</v>
      </c>
      <c r="D1" s="97" t="s">
        <v>68</v>
      </c>
      <c r="E1" s="99" t="s">
        <v>106</v>
      </c>
      <c r="F1" s="87" t="s">
        <v>63</v>
      </c>
      <c r="G1" s="88" t="s">
        <v>65</v>
      </c>
      <c r="H1" s="86" t="s">
        <v>64</v>
      </c>
      <c r="I1" s="136" t="s">
        <v>66</v>
      </c>
      <c r="J1" s="99" t="s">
        <v>69</v>
      </c>
    </row>
    <row r="2" spans="1:10" x14ac:dyDescent="0.2">
      <c r="A2" s="323" t="s">
        <v>0</v>
      </c>
      <c r="B2" s="90" t="s">
        <v>60</v>
      </c>
      <c r="C2" s="98">
        <f>BI_UR_Low!B4</f>
        <v>350</v>
      </c>
      <c r="D2" s="83"/>
      <c r="E2" s="137">
        <f>BI_UR_Low!D51</f>
        <v>84.390017985</v>
      </c>
      <c r="F2" s="221">
        <f>BI_UR_Low!H$25</f>
        <v>0.82000000000000028</v>
      </c>
      <c r="G2" s="225">
        <f>BI_UR_Low!I$25</f>
        <v>2.2861922353105187E-2</v>
      </c>
      <c r="H2" s="223">
        <f>BI_UR_Low!H$51</f>
        <v>0.7576729650000118</v>
      </c>
      <c r="I2" s="226">
        <f>BI_UR_Low!I$51</f>
        <v>8.9782296898512949E-3</v>
      </c>
      <c r="J2" s="330" t="s">
        <v>51</v>
      </c>
    </row>
    <row r="3" spans="1:10" x14ac:dyDescent="0.2">
      <c r="A3" s="324"/>
      <c r="B3" s="91" t="s">
        <v>94</v>
      </c>
      <c r="C3" s="93">
        <f>BI_UR_Typical!B4</f>
        <v>750</v>
      </c>
      <c r="D3" s="84"/>
      <c r="E3" s="138">
        <f>BI_UR_Typical!D51</f>
        <v>136.55935282500002</v>
      </c>
      <c r="F3" s="232">
        <f>BI_UR_Typical!H$25</f>
        <v>0.82000000000000028</v>
      </c>
      <c r="G3" s="233">
        <f>BI_UR_Typical!I$25</f>
        <v>2.2854276118675017E-2</v>
      </c>
      <c r="H3" s="234">
        <f>BI_UR_Typical!H$51</f>
        <v>0.6395849250000083</v>
      </c>
      <c r="I3" s="235">
        <f>BI_UR_Typical!I$51</f>
        <v>4.6835673410054344E-3</v>
      </c>
      <c r="J3" s="331"/>
    </row>
    <row r="4" spans="1:10" x14ac:dyDescent="0.2">
      <c r="A4" s="325"/>
      <c r="B4" s="186" t="s">
        <v>136</v>
      </c>
      <c r="C4" s="187">
        <f>BI_UR_Avg!B4</f>
        <v>755</v>
      </c>
      <c r="D4" s="188"/>
      <c r="E4" s="189">
        <f>BI_UR_Avg!H51</f>
        <v>0.6381088244999944</v>
      </c>
      <c r="F4" s="232">
        <f>BI_UR_Avg!H25</f>
        <v>0.82000000000000028</v>
      </c>
      <c r="G4" s="233">
        <f>BI_UR_Avg!I25</f>
        <v>2.2854180573110394E-2</v>
      </c>
      <c r="H4" s="234">
        <f>BI_UR_Avg!H$51</f>
        <v>0.6381088244999944</v>
      </c>
      <c r="I4" s="235">
        <f>BI_UR_Avg!I$51</f>
        <v>4.6505501819668485E-3</v>
      </c>
      <c r="J4" s="331"/>
    </row>
    <row r="5" spans="1:10" ht="13.5" thickBot="1" x14ac:dyDescent="0.25">
      <c r="A5" s="326"/>
      <c r="B5" s="92" t="s">
        <v>61</v>
      </c>
      <c r="C5" s="94">
        <f>BI_UR_High!B4</f>
        <v>1400</v>
      </c>
      <c r="D5" s="85"/>
      <c r="E5" s="139">
        <f>BI_UR_High!D51</f>
        <v>221.33452194</v>
      </c>
      <c r="F5" s="236">
        <f>BI_UR_High!H$25</f>
        <v>0.82000000000000028</v>
      </c>
      <c r="G5" s="222">
        <f>BI_UR_High!I$25</f>
        <v>2.2841861890303357E-2</v>
      </c>
      <c r="H5" s="237">
        <f>BI_UR_High!H$51</f>
        <v>0.44769185999996353</v>
      </c>
      <c r="I5" s="224">
        <f>BI_UR_High!I$51</f>
        <v>2.0226933244571993E-3</v>
      </c>
      <c r="J5" s="332"/>
    </row>
    <row r="6" spans="1:10" x14ac:dyDescent="0.2">
      <c r="A6" s="323" t="s">
        <v>1</v>
      </c>
      <c r="B6" s="90" t="s">
        <v>60</v>
      </c>
      <c r="C6" s="98">
        <f>BI_R1_Low!B4</f>
        <v>400</v>
      </c>
      <c r="D6" s="83"/>
      <c r="E6" s="137">
        <f>BI_R1_Low!D51</f>
        <v>109.86775128000002</v>
      </c>
      <c r="F6" s="221">
        <f>BI_R1_Low!H$25</f>
        <v>3.490000000000002</v>
      </c>
      <c r="G6" s="225">
        <f>BI_R1_Low!I$25</f>
        <v>6.5267803710353123E-2</v>
      </c>
      <c r="H6" s="223">
        <f>BI_R1_Low!H$51</f>
        <v>3.6016831199999899</v>
      </c>
      <c r="I6" s="226">
        <f>BI_R1_Low!I$51</f>
        <v>3.2781986324822765E-2</v>
      </c>
      <c r="J6" s="330" t="s">
        <v>51</v>
      </c>
    </row>
    <row r="7" spans="1:10" x14ac:dyDescent="0.2">
      <c r="A7" s="324"/>
      <c r="B7" s="91" t="s">
        <v>94</v>
      </c>
      <c r="C7" s="93">
        <f>BI_R1_Typical!B4</f>
        <v>750</v>
      </c>
      <c r="D7" s="84"/>
      <c r="E7" s="138">
        <f>BI_R1_Typical!D51</f>
        <v>161.80648365000002</v>
      </c>
      <c r="F7" s="232">
        <f>BI_R1_Typical!H$25</f>
        <v>1.9499999999999957</v>
      </c>
      <c r="G7" s="238">
        <f>BI_R1_Typical!I$25</f>
        <v>3.3006652109886687E-2</v>
      </c>
      <c r="H7" s="234">
        <f>BI_R1_Typical!H$51</f>
        <v>1.9297183499999733</v>
      </c>
      <c r="I7" s="235">
        <f>BI_R1_Typical!I$51</f>
        <v>1.19260879197777E-2</v>
      </c>
      <c r="J7" s="331"/>
    </row>
    <row r="8" spans="1:10" x14ac:dyDescent="0.2">
      <c r="A8" s="325"/>
      <c r="B8" s="186" t="s">
        <v>136</v>
      </c>
      <c r="C8" s="187">
        <f>BI_R1_Avg!B4</f>
        <v>920</v>
      </c>
      <c r="D8" s="188"/>
      <c r="E8" s="138">
        <f>BI_R1_Avg!D51</f>
        <v>187.03386794400004</v>
      </c>
      <c r="F8" s="232">
        <f>BI_R1_Avg!H$25</f>
        <v>1.2019999999999982</v>
      </c>
      <c r="G8" s="238">
        <f>BI_R1_Avg!I$25</f>
        <v>1.9449082883512585E-2</v>
      </c>
      <c r="H8" s="234">
        <f>BI_R1_Avg!H$51</f>
        <v>1.1176211760000001</v>
      </c>
      <c r="I8" s="235">
        <f>BI_R1_Avg!I$51</f>
        <v>5.9755015938323429E-3</v>
      </c>
      <c r="J8" s="331"/>
    </row>
    <row r="9" spans="1:10" ht="13.5" thickBot="1" x14ac:dyDescent="0.25">
      <c r="A9" s="326"/>
      <c r="B9" s="92" t="s">
        <v>61</v>
      </c>
      <c r="C9" s="94">
        <f>BI_R1_High!B4</f>
        <v>1800</v>
      </c>
      <c r="D9" s="85"/>
      <c r="E9" s="139">
        <f>BI_R1_High!D51</f>
        <v>317.62268076000004</v>
      </c>
      <c r="F9" s="236">
        <f>BI_R1_High!H$25</f>
        <v>-2.6700000000000017</v>
      </c>
      <c r="G9" s="222">
        <f>BI_R1_High!I$25</f>
        <v>-3.517786561264824E-2</v>
      </c>
      <c r="H9" s="237">
        <f>BI_R1_High!H$51</f>
        <v>-3.0861759599999914</v>
      </c>
      <c r="I9" s="224">
        <f>BI_R1_High!I$51</f>
        <v>-9.7164848323031041E-3</v>
      </c>
      <c r="J9" s="332"/>
    </row>
    <row r="10" spans="1:10" x14ac:dyDescent="0.2">
      <c r="A10" s="323" t="s">
        <v>2</v>
      </c>
      <c r="B10" s="90" t="s">
        <v>60</v>
      </c>
      <c r="C10" s="98">
        <f>BI_R2_Low!B4</f>
        <v>450</v>
      </c>
      <c r="D10" s="83"/>
      <c r="E10" s="137">
        <f>BI_R2_Low!D51</f>
        <v>120.46157109829913</v>
      </c>
      <c r="F10" s="221">
        <f>BI_R2_Low!H$25</f>
        <v>8.0799999999999912</v>
      </c>
      <c r="G10" s="225">
        <f>BI_R2_Low!I$25</f>
        <v>0.14375132308573307</v>
      </c>
      <c r="H10" s="223">
        <f>BI_R2_Low!H$51</f>
        <v>8.4474521249999697</v>
      </c>
      <c r="I10" s="226">
        <f>BI_R2_Low!I$51</f>
        <v>7.0125701067825799E-2</v>
      </c>
      <c r="J10" s="330" t="s">
        <v>51</v>
      </c>
    </row>
    <row r="11" spans="1:10" x14ac:dyDescent="0.2">
      <c r="A11" s="324"/>
      <c r="B11" s="91" t="s">
        <v>94</v>
      </c>
      <c r="C11" s="93">
        <f>BI_R2_Typical!B4</f>
        <v>750</v>
      </c>
      <c r="D11" s="84"/>
      <c r="E11" s="138">
        <f>BI_R2_Typical!D51</f>
        <v>169.17221034829907</v>
      </c>
      <c r="F11" s="232">
        <f>BI_R2_Typical!H$25</f>
        <v>6.0400000000000063</v>
      </c>
      <c r="G11" s="238">
        <f>BI_R2_Typical!I$25</f>
        <v>9.3962185494931058E-2</v>
      </c>
      <c r="H11" s="234">
        <f>BI_R2_Typical!H$51</f>
        <v>6.2810868750000566</v>
      </c>
      <c r="I11" s="235">
        <f>BI_R2_Typical!I$51</f>
        <v>3.7128360870076017E-2</v>
      </c>
      <c r="J11" s="331"/>
    </row>
    <row r="12" spans="1:10" x14ac:dyDescent="0.2">
      <c r="A12" s="325"/>
      <c r="B12" s="186" t="s">
        <v>136</v>
      </c>
      <c r="C12" s="187">
        <f>BI_R2_Avg!B4</f>
        <v>1152</v>
      </c>
      <c r="D12" s="188"/>
      <c r="E12" s="189">
        <f>BI_R2_Avg!D51</f>
        <v>234.44446694329918</v>
      </c>
      <c r="F12" s="239">
        <f>BI_R2_Avg!H25</f>
        <v>3.3063999999999965</v>
      </c>
      <c r="G12" s="238">
        <f>BI_R2_Avg!I25</f>
        <v>4.4027218398357902E-2</v>
      </c>
      <c r="H12" s="240">
        <f>BI_R2_Avg!H51</f>
        <v>3.3781574399999954</v>
      </c>
      <c r="I12" s="235">
        <f>BI_R2_Avg!I51</f>
        <v>1.4409200967907718E-2</v>
      </c>
      <c r="J12" s="331"/>
    </row>
    <row r="13" spans="1:10" ht="13.5" thickBot="1" x14ac:dyDescent="0.25">
      <c r="A13" s="326"/>
      <c r="B13" s="92" t="s">
        <v>61</v>
      </c>
      <c r="C13" s="94">
        <f>BI_R2_High!B4</f>
        <v>2300</v>
      </c>
      <c r="D13" s="85"/>
      <c r="E13" s="139">
        <f>BI_R2_High!D51</f>
        <v>420.84384647329915</v>
      </c>
      <c r="F13" s="236">
        <f>BI_R2_High!H$25</f>
        <v>-4.5</v>
      </c>
      <c r="G13" s="222">
        <f>BI_R2_High!I$25</f>
        <v>-4.245616327470144E-2</v>
      </c>
      <c r="H13" s="237">
        <f>BI_R2_High!H$51</f>
        <v>-4.9118002499999989</v>
      </c>
      <c r="I13" s="224">
        <f>BI_R2_High!I$51</f>
        <v>-1.1671312984997234E-2</v>
      </c>
      <c r="J13" s="332"/>
    </row>
    <row r="14" spans="1:10" x14ac:dyDescent="0.2">
      <c r="A14" s="323" t="s">
        <v>3</v>
      </c>
      <c r="B14" s="90" t="s">
        <v>60</v>
      </c>
      <c r="C14" s="98">
        <f>BI_Seas_Low!B4</f>
        <v>50</v>
      </c>
      <c r="D14" s="83"/>
      <c r="E14" s="137">
        <f>BI_Seas_Low!D51</f>
        <v>62.537553119999991</v>
      </c>
      <c r="F14" s="221">
        <f>BI_Seas_Low!H$25</f>
        <v>4.7100000000000009</v>
      </c>
      <c r="G14" s="225">
        <f>BI_Seas_Low!I$25</f>
        <v>9.0154756094059568E-2</v>
      </c>
      <c r="H14" s="223">
        <f>BI_Seas_Low!H$51</f>
        <v>4.9468330800000118</v>
      </c>
      <c r="I14" s="226">
        <f>BI_Seas_Low!I$51</f>
        <v>7.9101800969215985E-2</v>
      </c>
      <c r="J14" s="330" t="s">
        <v>51</v>
      </c>
    </row>
    <row r="15" spans="1:10" x14ac:dyDescent="0.2">
      <c r="A15" s="325"/>
      <c r="B15" s="186" t="s">
        <v>136</v>
      </c>
      <c r="C15" s="187">
        <f>BI_Seas_Avg!B4</f>
        <v>352</v>
      </c>
      <c r="D15" s="188"/>
      <c r="E15" s="138">
        <f>BI_Seas_Avg!D51</f>
        <v>116.26427796479999</v>
      </c>
      <c r="F15" s="232">
        <f>BI_Seas_Avg!H$25</f>
        <v>1.0255999999999972</v>
      </c>
      <c r="G15" s="238">
        <f>BI_Seas_Avg!I$25</f>
        <v>1.5656982623436091E-2</v>
      </c>
      <c r="H15" s="234">
        <f>BI_Seas_Avg!H$51</f>
        <v>1.0862648832000161</v>
      </c>
      <c r="I15" s="235">
        <f>BI_Seas_Avg!I$51</f>
        <v>9.3430665223663296E-3</v>
      </c>
      <c r="J15" s="331"/>
    </row>
    <row r="16" spans="1:10" ht="13.5" thickBot="1" x14ac:dyDescent="0.25">
      <c r="A16" s="326"/>
      <c r="B16" s="92" t="s">
        <v>61</v>
      </c>
      <c r="C16" s="94">
        <f>BI_Seas_High!B4</f>
        <v>1000</v>
      </c>
      <c r="D16" s="85"/>
      <c r="E16" s="139">
        <f>BI_Seas_High!D51</f>
        <v>231.54546239999999</v>
      </c>
      <c r="F16" s="236">
        <f>BI_Seas_High!H$25</f>
        <v>-6.8799999999999955</v>
      </c>
      <c r="G16" s="222">
        <f>BI_Seas_High!I$25</f>
        <v>-7.3224206560377994E-2</v>
      </c>
      <c r="H16" s="237">
        <f>BI_Seas_High!H$51</f>
        <v>-7.1973383999999783</v>
      </c>
      <c r="I16" s="224">
        <f>BI_Seas_High!I$51</f>
        <v>-3.1083910370769498E-2</v>
      </c>
      <c r="J16" s="332"/>
    </row>
    <row r="17" spans="1:10" x14ac:dyDescent="0.2">
      <c r="A17" s="327" t="s">
        <v>4</v>
      </c>
      <c r="B17" s="90" t="s">
        <v>60</v>
      </c>
      <c r="C17" s="98">
        <f>BI_GSe_Low!B4</f>
        <v>1000</v>
      </c>
      <c r="D17" s="83"/>
      <c r="E17" s="137">
        <f>BI_GSe_Low!D51</f>
        <v>237.83985959999995</v>
      </c>
      <c r="F17" s="221">
        <f>BI_GSe_Low!H$25</f>
        <v>2.4000000000000057</v>
      </c>
      <c r="G17" s="225">
        <f>BI_GSe_Low!I$25</f>
        <v>2.5477166089891999E-2</v>
      </c>
      <c r="H17" s="223">
        <f>BI_GSe_Low!H$51</f>
        <v>2.327816399999989</v>
      </c>
      <c r="I17" s="226">
        <f>BI_GSe_Low!I$51</f>
        <v>9.7873266655762424E-3</v>
      </c>
      <c r="J17" s="330" t="s">
        <v>51</v>
      </c>
    </row>
    <row r="18" spans="1:10" x14ac:dyDescent="0.2">
      <c r="A18" s="328"/>
      <c r="B18" s="91" t="s">
        <v>94</v>
      </c>
      <c r="C18" s="93">
        <f>BI_GSe_Typical!B4</f>
        <v>2000</v>
      </c>
      <c r="D18" s="84"/>
      <c r="E18" s="138">
        <f>BI_GSe_Typical!D51</f>
        <v>442.16161920000002</v>
      </c>
      <c r="F18" s="232">
        <f>BI_GSe_Typical!H$25</f>
        <v>4.2999999999999829</v>
      </c>
      <c r="G18" s="238">
        <f>BI_GSe_Typical!I$25</f>
        <v>2.7297774279148201E-2</v>
      </c>
      <c r="H18" s="234">
        <f>BI_GSe_Typical!H$51</f>
        <v>4.1306327999999439</v>
      </c>
      <c r="I18" s="235">
        <f>BI_GSe_Typical!I$51</f>
        <v>9.3419071684093021E-3</v>
      </c>
      <c r="J18" s="331"/>
    </row>
    <row r="19" spans="1:10" x14ac:dyDescent="0.2">
      <c r="A19" s="328"/>
      <c r="B19" s="186" t="s">
        <v>136</v>
      </c>
      <c r="C19" s="187">
        <f>BI_GSe_Avg!B4</f>
        <v>1982</v>
      </c>
      <c r="D19" s="188"/>
      <c r="E19" s="138">
        <f>BI_GSe_Avg!D51</f>
        <v>438.48382752720011</v>
      </c>
      <c r="F19" s="232">
        <f>BI_GSe_Avg!H$25</f>
        <v>4.2658000000000129</v>
      </c>
      <c r="G19" s="238">
        <f>BI_GSe_Avg!I$25</f>
        <v>2.7278033618139845E-2</v>
      </c>
      <c r="H19" s="234">
        <f>BI_GSe_Avg!H$51</f>
        <v>4.0981821048000029</v>
      </c>
      <c r="I19" s="235">
        <f>BI_GSe_Avg!I$51</f>
        <v>9.3462560019862626E-3</v>
      </c>
      <c r="J19" s="331"/>
    </row>
    <row r="20" spans="1:10" ht="13.5" thickBot="1" x14ac:dyDescent="0.25">
      <c r="A20" s="329"/>
      <c r="B20" s="92" t="s">
        <v>61</v>
      </c>
      <c r="C20" s="94">
        <f>BI_GSe_High!B4</f>
        <v>15000</v>
      </c>
      <c r="D20" s="85"/>
      <c r="E20" s="139">
        <f>BI_GSe_High!D51</f>
        <v>3098.3444940000004</v>
      </c>
      <c r="F20" s="236">
        <f>BI_GSe_High!H$25</f>
        <v>29</v>
      </c>
      <c r="G20" s="222">
        <f>BI_GSe_High!I$25</f>
        <v>2.9571257553416913E-2</v>
      </c>
      <c r="H20" s="237">
        <f>BI_GSe_High!H$51</f>
        <v>27.567246000000068</v>
      </c>
      <c r="I20" s="224">
        <f>BI_GSe_High!I$51</f>
        <v>8.8974115219868331E-3</v>
      </c>
      <c r="J20" s="332"/>
    </row>
    <row r="21" spans="1:10" x14ac:dyDescent="0.2">
      <c r="A21" s="327" t="s">
        <v>6</v>
      </c>
      <c r="B21" s="90" t="s">
        <v>60</v>
      </c>
      <c r="C21" s="98">
        <f>BI_UGe_Low!B4</f>
        <v>1000</v>
      </c>
      <c r="D21" s="83"/>
      <c r="E21" s="137">
        <f>BI_UGe_Low!D51</f>
        <v>193.92715229999996</v>
      </c>
      <c r="F21" s="221">
        <f>BI_UGe_Low!H$25</f>
        <v>1.3500000000000085</v>
      </c>
      <c r="G21" s="225">
        <f>BI_UGe_Low!I$25</f>
        <v>2.4528507576583609E-2</v>
      </c>
      <c r="H21" s="223">
        <f>BI_UGe_Low!H$51</f>
        <v>1.1284497000000329</v>
      </c>
      <c r="I21" s="226">
        <f>BI_UGe_Low!I$51</f>
        <v>5.8189360624156033E-3</v>
      </c>
      <c r="J21" s="330" t="s">
        <v>51</v>
      </c>
    </row>
    <row r="22" spans="1:10" x14ac:dyDescent="0.2">
      <c r="A22" s="328"/>
      <c r="B22" s="91" t="s">
        <v>94</v>
      </c>
      <c r="C22" s="93">
        <f>BI_UGe_Typical!$B$4</f>
        <v>2000</v>
      </c>
      <c r="D22" s="84"/>
      <c r="E22" s="138">
        <f>BI_UGe_Typical!$D$51</f>
        <v>360.39890460000004</v>
      </c>
      <c r="F22" s="232">
        <f>BI_UGe_Typical!$H$25</f>
        <v>2.25</v>
      </c>
      <c r="G22" s="238">
        <f>BI_UGe_Typical!$I$25</f>
        <v>2.6480557386310138E-2</v>
      </c>
      <c r="H22" s="234">
        <f>BI_UGe_Typical!$H$51</f>
        <v>1.784399399999927</v>
      </c>
      <c r="I22" s="235">
        <f>BI_UGe_Typical!$I$51</f>
        <v>4.951178755608035E-3</v>
      </c>
      <c r="J22" s="331"/>
    </row>
    <row r="23" spans="1:10" x14ac:dyDescent="0.2">
      <c r="A23" s="328"/>
      <c r="B23" s="186" t="s">
        <v>136</v>
      </c>
      <c r="C23" s="93">
        <f>BI_UGe_Avg!$B$4</f>
        <v>2759</v>
      </c>
      <c r="D23" s="84"/>
      <c r="E23" s="138">
        <f>BI_UGe_Avg!$D$51</f>
        <v>486.7509645957</v>
      </c>
      <c r="F23" s="232">
        <f>BI_UGe_Avg!$H$25</f>
        <v>2.933099999999996</v>
      </c>
      <c r="G23" s="238">
        <f>BI_UGe_Avg!$I$25</f>
        <v>2.7237809731302048E-2</v>
      </c>
      <c r="H23" s="234">
        <f>BI_UGe_Avg!$H$51</f>
        <v>2.2822652222999409</v>
      </c>
      <c r="I23" s="235">
        <f>BI_UGe_Avg!$I$51</f>
        <v>4.6887739076092276E-3</v>
      </c>
      <c r="J23" s="331"/>
    </row>
    <row r="24" spans="1:10" ht="13.5" thickBot="1" x14ac:dyDescent="0.25">
      <c r="A24" s="329"/>
      <c r="B24" s="92" t="s">
        <v>61</v>
      </c>
      <c r="C24" s="94">
        <f>BI_UGe_High!B4</f>
        <v>15000</v>
      </c>
      <c r="D24" s="85"/>
      <c r="E24" s="139">
        <f>BI_UGe_High!D51</f>
        <v>2524.5316845000007</v>
      </c>
      <c r="F24" s="236">
        <f>BI_UGe_High!H$25</f>
        <v>13.949999999999989</v>
      </c>
      <c r="G24" s="222">
        <f>BI_UGe_High!I$25</f>
        <v>2.9426779001725505E-2</v>
      </c>
      <c r="H24" s="237">
        <f>BI_UGe_High!H$51</f>
        <v>10.311745500000143</v>
      </c>
      <c r="I24" s="224">
        <f>BI_UGe_High!I$51</f>
        <v>4.0846171839758263E-3</v>
      </c>
      <c r="J24" s="332"/>
    </row>
    <row r="25" spans="1:10" x14ac:dyDescent="0.2">
      <c r="A25" s="327" t="s">
        <v>5</v>
      </c>
      <c r="B25" s="90" t="s">
        <v>60</v>
      </c>
      <c r="C25" s="98">
        <f>BI_GSd_Low!B4</f>
        <v>15000</v>
      </c>
      <c r="D25" s="83">
        <f>BI_GSd_Low!B5</f>
        <v>60</v>
      </c>
      <c r="E25" s="137">
        <f>BI_GSd_Low!D38</f>
        <v>3394.0351983599994</v>
      </c>
      <c r="F25" s="221">
        <f>BI_GSd_Low!H$23</f>
        <v>31.885999999999967</v>
      </c>
      <c r="G25" s="225">
        <f>BI_GSd_Low!I$23</f>
        <v>2.6966806792123831E-2</v>
      </c>
      <c r="H25" s="223">
        <f>BI_GSd_Low!H$38</f>
        <v>31.547484640000221</v>
      </c>
      <c r="I25" s="226">
        <f>BI_GSd_Low!I$38</f>
        <v>9.2949786305233338E-3</v>
      </c>
      <c r="J25" s="333" t="s">
        <v>70</v>
      </c>
    </row>
    <row r="26" spans="1:10" x14ac:dyDescent="0.2">
      <c r="A26" s="328"/>
      <c r="B26" s="91" t="s">
        <v>136</v>
      </c>
      <c r="C26" s="93">
        <f>BI_GSd_Avg!B4</f>
        <v>36104</v>
      </c>
      <c r="D26" s="84">
        <f>BI_GSd_Avg!B5</f>
        <v>128</v>
      </c>
      <c r="E26" s="138">
        <f>BI_GSd_Avg!D38</f>
        <v>7612.5719523919988</v>
      </c>
      <c r="F26" s="232">
        <f>BI_GSd_Avg!H$23</f>
        <v>66.436800000000403</v>
      </c>
      <c r="G26" s="238">
        <f>BI_GSd_Avg!I$23</f>
        <v>2.7657220513281296E-2</v>
      </c>
      <c r="H26" s="234">
        <f>BI_GSd_Avg!H$38</f>
        <v>65.508367232001547</v>
      </c>
      <c r="I26" s="235">
        <f>BI_GSd_Avg!I$38</f>
        <v>8.6052871016106067E-3</v>
      </c>
      <c r="J26" s="334"/>
    </row>
    <row r="27" spans="1:10" ht="13.5" thickBot="1" x14ac:dyDescent="0.25">
      <c r="A27" s="329"/>
      <c r="B27" s="92" t="s">
        <v>61</v>
      </c>
      <c r="C27" s="94">
        <f>BI_GSd_High!B4</f>
        <v>175000</v>
      </c>
      <c r="D27" s="85">
        <f>BI_GSd_High!B5</f>
        <v>500</v>
      </c>
      <c r="E27" s="139">
        <f>BI_GSd_High!D38</f>
        <v>33593.994982999997</v>
      </c>
      <c r="F27" s="236">
        <f>BI_GSd_High!H$23</f>
        <v>255.45000000000073</v>
      </c>
      <c r="G27" s="222">
        <f>BI_GSd_High!I$23</f>
        <v>2.8149346581433018E-2</v>
      </c>
      <c r="H27" s="237">
        <f>BI_GSd_High!H$38</f>
        <v>251.29437200000393</v>
      </c>
      <c r="I27" s="224">
        <f>BI_GSd_High!I$38</f>
        <v>7.4803360578927771E-3</v>
      </c>
      <c r="J27" s="335"/>
    </row>
    <row r="28" spans="1:10" ht="12.75" customHeight="1" x14ac:dyDescent="0.2">
      <c r="A28" s="327" t="s">
        <v>7</v>
      </c>
      <c r="B28" s="90" t="s">
        <v>60</v>
      </c>
      <c r="C28" s="98">
        <f>BI_UGd_Low!B4</f>
        <v>15000</v>
      </c>
      <c r="D28" s="83">
        <f>BI_UGd_Low!B5</f>
        <v>60</v>
      </c>
      <c r="E28" s="137">
        <f>BI_UGd_Low!D38</f>
        <v>2924.1221310000001</v>
      </c>
      <c r="F28" s="221">
        <f>BI_UGd_Low!H$23</f>
        <v>19.690000000000055</v>
      </c>
      <c r="G28" s="225">
        <f>BI_UGd_Low!I$23</f>
        <v>2.7222422538451578E-2</v>
      </c>
      <c r="H28" s="223">
        <f>BI_UGd_Low!H$38</f>
        <v>17.34674300000006</v>
      </c>
      <c r="I28" s="226">
        <f>BI_UGd_Low!I$38</f>
        <v>5.9322908629906536E-3</v>
      </c>
      <c r="J28" s="333" t="s">
        <v>70</v>
      </c>
    </row>
    <row r="29" spans="1:10" x14ac:dyDescent="0.2">
      <c r="A29" s="328"/>
      <c r="B29" s="91" t="s">
        <v>136</v>
      </c>
      <c r="C29" s="93">
        <f>BI_UGd_Avg!B4</f>
        <v>50525</v>
      </c>
      <c r="D29" s="84">
        <f>BI_UGd_Avg!B5</f>
        <v>138</v>
      </c>
      <c r="E29" s="138">
        <f>BI_UGd_Avg!D38</f>
        <v>8536.1917430499998</v>
      </c>
      <c r="F29" s="232">
        <f>BI_UGd_Avg!H$23</f>
        <v>43.129000000000133</v>
      </c>
      <c r="G29" s="238">
        <f>BI_UGd_Avg!I$23</f>
        <v>2.8243484837264989E-2</v>
      </c>
      <c r="H29" s="234">
        <f>BI_UGd_Avg!H$38</f>
        <v>37.4589689000004</v>
      </c>
      <c r="I29" s="235">
        <f>BI_UGd_Avg!I$38</f>
        <v>4.3882529853548286E-3</v>
      </c>
      <c r="J29" s="334"/>
    </row>
    <row r="30" spans="1:10" ht="13.5" thickBot="1" x14ac:dyDescent="0.25">
      <c r="A30" s="329"/>
      <c r="B30" s="92" t="s">
        <v>61</v>
      </c>
      <c r="C30" s="94">
        <f>BI_UGd_High!B4</f>
        <v>175000</v>
      </c>
      <c r="D30" s="85">
        <f>BI_UGd_High!B5</f>
        <v>500</v>
      </c>
      <c r="E30" s="139">
        <f>BI_UGd_High!D38</f>
        <v>29627.425365000003</v>
      </c>
      <c r="F30" s="236">
        <f>BI_UGd_High!H$23</f>
        <v>151.91000000000167</v>
      </c>
      <c r="G30" s="222">
        <f>BI_UGd_High!I$23</f>
        <v>2.8895455932290114E-2</v>
      </c>
      <c r="H30" s="237">
        <f>BI_UGd_High!H$38</f>
        <v>130.80032499999652</v>
      </c>
      <c r="I30" s="224">
        <f>BI_UGd_High!I$38</f>
        <v>4.4148394060091328E-3</v>
      </c>
      <c r="J30" s="335"/>
    </row>
    <row r="31" spans="1:10" x14ac:dyDescent="0.2">
      <c r="A31" s="328" t="s">
        <v>8</v>
      </c>
      <c r="B31" s="90" t="s">
        <v>60</v>
      </c>
      <c r="C31" s="98">
        <f>BI_StLgt_Low!B4</f>
        <v>100</v>
      </c>
      <c r="D31" s="83"/>
      <c r="E31" s="137">
        <f>BI_StLgt_Low!D39</f>
        <v>28.61998608</v>
      </c>
      <c r="F31" s="221">
        <f>BI_StLgt_Low!H$22</f>
        <v>0.69999999999999929</v>
      </c>
      <c r="G31" s="225">
        <f>BI_StLgt_Low!I$22</f>
        <v>4.7406203440335859E-2</v>
      </c>
      <c r="H31" s="223">
        <f>BI_StLgt_Low!H$39</f>
        <v>0.559799519999995</v>
      </c>
      <c r="I31" s="226">
        <f>BI_StLgt_Low!I$39</f>
        <v>1.9559741169517544E-2</v>
      </c>
      <c r="J31" s="330" t="s">
        <v>99</v>
      </c>
    </row>
    <row r="32" spans="1:10" x14ac:dyDescent="0.2">
      <c r="A32" s="328"/>
      <c r="B32" s="91" t="s">
        <v>136</v>
      </c>
      <c r="C32" s="93">
        <f>BI_StLgt_Avg!B4</f>
        <v>517</v>
      </c>
      <c r="D32" s="84"/>
      <c r="E32" s="138">
        <f>BI_StLgt_Avg!D39</f>
        <v>127.40691477359999</v>
      </c>
      <c r="F32" s="232">
        <f>BI_StLgt_Avg!H24</f>
        <v>1.7841999999999913</v>
      </c>
      <c r="G32" s="238">
        <f>BI_StLgt_Avg!I22</f>
        <v>3.0627450758244686E-2</v>
      </c>
      <c r="H32" s="234">
        <f>BI_StLgt_Avg!H$39</f>
        <v>0.9676235184000177</v>
      </c>
      <c r="I32" s="235">
        <f>BI_StLgt_Avg!I$39</f>
        <v>7.5947488416893928E-3</v>
      </c>
      <c r="J32" s="331"/>
    </row>
    <row r="33" spans="1:10" ht="13.5" thickBot="1" x14ac:dyDescent="0.25">
      <c r="A33" s="329"/>
      <c r="B33" s="92" t="s">
        <v>61</v>
      </c>
      <c r="C33" s="94">
        <f>BI_StLgt_High!B4</f>
        <v>2000</v>
      </c>
      <c r="D33" s="85"/>
      <c r="E33" s="139">
        <f>BI_StLgt_High!D39</f>
        <v>503.47457159999993</v>
      </c>
      <c r="F33" s="236">
        <f>BI_StLgt_High!H$22</f>
        <v>5.6399999999999864</v>
      </c>
      <c r="G33" s="222">
        <f>BI_StLgt_High!I$22</f>
        <v>2.64891953202421E-2</v>
      </c>
      <c r="H33" s="237">
        <f>BI_StLgt_High!H$39</f>
        <v>2.417990399999951</v>
      </c>
      <c r="I33" s="224">
        <f>BI_StLgt_High!I$39</f>
        <v>4.8026067976298789E-3</v>
      </c>
      <c r="J33" s="332"/>
    </row>
    <row r="34" spans="1:10" x14ac:dyDescent="0.2">
      <c r="A34" s="328" t="s">
        <v>9</v>
      </c>
      <c r="B34" s="90" t="s">
        <v>60</v>
      </c>
      <c r="C34" s="98">
        <f>BI_SenLgt_Low!B4</f>
        <v>20</v>
      </c>
      <c r="D34" s="83"/>
      <c r="E34" s="137">
        <f>BI_SenLgt_Low!D39</f>
        <v>9.4300772159999973</v>
      </c>
      <c r="F34" s="221">
        <f>BI_SenLgt_Low!H$22</f>
        <v>0.20800000000000107</v>
      </c>
      <c r="G34" s="225">
        <f>BI_SenLgt_Low!I$22</f>
        <v>3.3106258356147118E-2</v>
      </c>
      <c r="H34" s="223">
        <f>BI_SenLgt_Low!H$39</f>
        <v>0.18335990400000313</v>
      </c>
      <c r="I34" s="226">
        <f>BI_SenLgt_Low!I$39</f>
        <v>1.9444157221628754E-2</v>
      </c>
      <c r="J34" s="330" t="s">
        <v>99</v>
      </c>
    </row>
    <row r="35" spans="1:10" x14ac:dyDescent="0.2">
      <c r="A35" s="328"/>
      <c r="B35" s="91" t="s">
        <v>136</v>
      </c>
      <c r="C35" s="93">
        <f>BI_SenLgt_Avg!B4</f>
        <v>71</v>
      </c>
      <c r="D35" s="84"/>
      <c r="E35" s="138">
        <f>BI_SenLgt_Avg!D39</f>
        <v>23.232659116799994</v>
      </c>
      <c r="F35" s="232">
        <f>BI_SenLgt_Avg!H$22</f>
        <v>0.35590000000000188</v>
      </c>
      <c r="G35" s="238">
        <f>BI_SenLgt_Avg!I$22</f>
        <v>2.6992508232753079E-2</v>
      </c>
      <c r="H35" s="234">
        <f>BI_SenLgt_Avg!H$39</f>
        <v>0.24930265920000494</v>
      </c>
      <c r="I35" s="235">
        <f>BI_SenLgt_Avg!I$39</f>
        <v>1.0730698451118291E-2</v>
      </c>
      <c r="J35" s="331"/>
    </row>
    <row r="36" spans="1:10" ht="13.5" thickBot="1" x14ac:dyDescent="0.25">
      <c r="A36" s="329"/>
      <c r="B36" s="92" t="s">
        <v>61</v>
      </c>
      <c r="C36" s="94">
        <f>BI_SenLgt_High!B4</f>
        <v>200</v>
      </c>
      <c r="D36" s="85"/>
      <c r="E36" s="139">
        <f>BI_SenLgt_High!D39</f>
        <v>58.145072159999998</v>
      </c>
      <c r="F36" s="236">
        <f>BI_SenLgt_High!H$22</f>
        <v>0.73000000000000043</v>
      </c>
      <c r="G36" s="222">
        <f>BI_SenLgt_High!I$22</f>
        <v>2.382195535830833E-2</v>
      </c>
      <c r="H36" s="237">
        <f>BI_SenLgt_High!H$39</f>
        <v>0.41609904000000597</v>
      </c>
      <c r="I36" s="224">
        <f>BI_SenLgt_High!I$39</f>
        <v>7.156221921180362E-3</v>
      </c>
      <c r="J36" s="332"/>
    </row>
    <row r="37" spans="1:10" x14ac:dyDescent="0.2">
      <c r="A37" s="328" t="s">
        <v>12</v>
      </c>
      <c r="B37" s="90" t="s">
        <v>60</v>
      </c>
      <c r="C37" s="98">
        <f>BI_USL_Low!B4</f>
        <v>100</v>
      </c>
      <c r="D37" s="83"/>
      <c r="E37" s="137">
        <f>BI_USL_Low!D39</f>
        <v>54.693384900000005</v>
      </c>
      <c r="F37" s="221">
        <f>BI_USL_Low!H$22</f>
        <v>0.76000000000000512</v>
      </c>
      <c r="G37" s="225">
        <f>BI_USL_Low!I$22</f>
        <v>1.9170618504691886E-2</v>
      </c>
      <c r="H37" s="223">
        <f>BI_USL_Low!H$39</f>
        <v>0.79054710000000483</v>
      </c>
      <c r="I37" s="226">
        <f>BI_USL_Low!I$39</f>
        <v>1.4454162993302043E-2</v>
      </c>
      <c r="J37" s="330" t="s">
        <v>99</v>
      </c>
    </row>
    <row r="38" spans="1:10" x14ac:dyDescent="0.2">
      <c r="A38" s="328"/>
      <c r="B38" s="91" t="s">
        <v>136</v>
      </c>
      <c r="C38" s="93">
        <f>BI_USL_Avg!B4</f>
        <v>364</v>
      </c>
      <c r="D38" s="84"/>
      <c r="E38" s="138">
        <f>BI_USL_Avg!D39</f>
        <v>96.763857036000005</v>
      </c>
      <c r="F38" s="232">
        <f>BI_USL_Avg!H$22</f>
        <v>0.89200000000000301</v>
      </c>
      <c r="G38" s="238">
        <f>BI_USL_Avg!I$22</f>
        <v>1.8772434321734331E-2</v>
      </c>
      <c r="H38" s="234">
        <f>BI_USL_Avg!H$39</f>
        <v>0.90947144400000468</v>
      </c>
      <c r="I38" s="235">
        <f>BI_USL_Avg!I$39</f>
        <v>9.3988754877933935E-3</v>
      </c>
      <c r="J38" s="331"/>
    </row>
    <row r="39" spans="1:10" ht="13.5" thickBot="1" x14ac:dyDescent="0.25">
      <c r="A39" s="329"/>
      <c r="B39" s="92" t="s">
        <v>61</v>
      </c>
      <c r="C39" s="94">
        <f>BI_USL_High!B4</f>
        <v>1000</v>
      </c>
      <c r="D39" s="85"/>
      <c r="E39" s="139">
        <f>BI_USL_High!D39</f>
        <v>203.501949</v>
      </c>
      <c r="F39" s="236">
        <f>BI_USL_High!H$22</f>
        <v>1.2099999999999937</v>
      </c>
      <c r="G39" s="222">
        <f>BI_USL_High!I$22</f>
        <v>1.8200415149965309E-2</v>
      </c>
      <c r="H39" s="237">
        <f>BI_USL_High!H$39</f>
        <v>1.1959709999999859</v>
      </c>
      <c r="I39" s="224">
        <f>BI_USL_High!I$39</f>
        <v>5.8769510851219703E-3</v>
      </c>
      <c r="J39" s="332"/>
    </row>
    <row r="40" spans="1:10" ht="12.75" customHeight="1" x14ac:dyDescent="0.2">
      <c r="A40" s="328" t="s">
        <v>48</v>
      </c>
      <c r="B40" s="90" t="s">
        <v>60</v>
      </c>
      <c r="C40" s="98">
        <f>BI_DGen_Low!B4</f>
        <v>300</v>
      </c>
      <c r="D40" s="83">
        <f>BI_DGen_Low!B5</f>
        <v>10</v>
      </c>
      <c r="E40" s="137">
        <f>BI_DGen_Low!D38</f>
        <v>392.74324974000001</v>
      </c>
      <c r="F40" s="221">
        <f>BI_DGen_Low!H$23</f>
        <v>7.6520000000000437</v>
      </c>
      <c r="G40" s="225">
        <f>BI_DGen_Low!I$23</f>
        <v>2.5283731577438018E-2</v>
      </c>
      <c r="H40" s="223">
        <f>BI_DGen_Low!H$38</f>
        <v>8.8189855600000442</v>
      </c>
      <c r="I40" s="226">
        <f>BI_DGen_Low!I$38</f>
        <v>2.2454836756171624E-2</v>
      </c>
      <c r="J40" s="333" t="s">
        <v>70</v>
      </c>
    </row>
    <row r="41" spans="1:10" x14ac:dyDescent="0.2">
      <c r="A41" s="328"/>
      <c r="B41" s="91" t="s">
        <v>136</v>
      </c>
      <c r="C41" s="93">
        <f>BI_DGen_Avg!B4</f>
        <v>1328</v>
      </c>
      <c r="D41" s="84">
        <f>BI_DGen_Avg!B5</f>
        <v>12</v>
      </c>
      <c r="E41" s="138">
        <f>BI_DGen_Avg!D38</f>
        <v>546.78419569599998</v>
      </c>
      <c r="F41" s="232">
        <f>BI_DGen_Avg!H$23</f>
        <v>9.1823999999999728</v>
      </c>
      <c r="G41" s="238">
        <f>BI_DGen_Avg!I$23</f>
        <v>2.8345986497995038E-2</v>
      </c>
      <c r="H41" s="234">
        <f>BI_DGen_Avg!H$38</f>
        <v>10.582782672000008</v>
      </c>
      <c r="I41" s="235">
        <f>BI_DGen_Avg!I$38</f>
        <v>1.9354587706269043E-2</v>
      </c>
      <c r="J41" s="334"/>
    </row>
    <row r="42" spans="1:10" ht="13.5" thickBot="1" x14ac:dyDescent="0.25">
      <c r="A42" s="329"/>
      <c r="B42" s="92" t="s">
        <v>61</v>
      </c>
      <c r="C42" s="94">
        <f>BI_DGen_High!B4</f>
        <v>5000</v>
      </c>
      <c r="D42" s="85">
        <f>BI_DGen_High!B5</f>
        <v>100</v>
      </c>
      <c r="E42" s="139">
        <f>BI_DGen_High!D38</f>
        <v>2177.5239893999997</v>
      </c>
      <c r="F42" s="236">
        <f>BI_DGen_High!H$23</f>
        <v>76.520000000000209</v>
      </c>
      <c r="G42" s="222">
        <f>BI_DGen_High!I$23</f>
        <v>6.0686185327615959E-2</v>
      </c>
      <c r="H42" s="237">
        <f>BI_DGen_High!H$38</f>
        <v>88.189855600000556</v>
      </c>
      <c r="I42" s="224">
        <f>BI_DGen_High!I$38</f>
        <v>4.0500061551239488E-2</v>
      </c>
      <c r="J42" s="335"/>
    </row>
    <row r="43" spans="1:10" x14ac:dyDescent="0.2">
      <c r="A43" s="328" t="s">
        <v>11</v>
      </c>
      <c r="B43" s="90" t="s">
        <v>60</v>
      </c>
      <c r="C43" s="98">
        <f>BI_ST_Low!B4</f>
        <v>200000</v>
      </c>
      <c r="D43" s="83">
        <f>BI_ST_Low!B5</f>
        <v>500</v>
      </c>
      <c r="E43" s="137">
        <f>BI_ST_Low!D38</f>
        <v>29764.718287129654</v>
      </c>
      <c r="F43" s="221">
        <f>BI_ST_Low!H$23</f>
        <v>32.443757438507419</v>
      </c>
      <c r="G43" s="225">
        <f>BI_ST_Low!I$23</f>
        <v>1.7091471770363895E-2</v>
      </c>
      <c r="H43" s="223">
        <f>BI_ST_Low!H$38</f>
        <v>92.758939905514126</v>
      </c>
      <c r="I43" s="226">
        <f>BI_ST_Low!I$38</f>
        <v>3.1164057731271505E-3</v>
      </c>
      <c r="J43" s="333" t="s">
        <v>70</v>
      </c>
    </row>
    <row r="44" spans="1:10" x14ac:dyDescent="0.2">
      <c r="A44" s="328"/>
      <c r="B44" s="91" t="s">
        <v>136</v>
      </c>
      <c r="C44" s="93">
        <f>BI_ST_Avg!B4</f>
        <v>1601036</v>
      </c>
      <c r="D44" s="84">
        <f>BI_ST_Avg!B5</f>
        <v>2960</v>
      </c>
      <c r="E44" s="138">
        <f>BI_ST_Avg!D38</f>
        <v>219620.11532111155</v>
      </c>
      <c r="F44" s="232">
        <f>BI_ST_Avg!H$23</f>
        <v>121.02224403596574</v>
      </c>
      <c r="G44" s="238">
        <f>BI_ST_Avg!I$23</f>
        <v>2.4014111565310838E-2</v>
      </c>
      <c r="H44" s="234">
        <f>BI_ST_Avg!H$38</f>
        <v>468.85230024068733</v>
      </c>
      <c r="I44" s="235">
        <f>BI_ST_Avg!I$38</f>
        <v>2.1348331392831107E-3</v>
      </c>
      <c r="J44" s="334"/>
    </row>
    <row r="45" spans="1:10" ht="13.5" thickBot="1" x14ac:dyDescent="0.25">
      <c r="A45" s="329"/>
      <c r="B45" s="92" t="s">
        <v>61</v>
      </c>
      <c r="C45" s="94">
        <f>BI_ST_High!B4</f>
        <v>4000000</v>
      </c>
      <c r="D45" s="85">
        <f>BI_ST_High!B5</f>
        <v>10000</v>
      </c>
      <c r="E45" s="139">
        <f>BI_ST_High!D38</f>
        <v>568242.18721259315</v>
      </c>
      <c r="F45" s="236">
        <f>BI_ST_High!H$23</f>
        <v>374.51514877015325</v>
      </c>
      <c r="G45" s="222">
        <f>BI_ST_High!I$23</f>
        <v>2.66946072803271E-2</v>
      </c>
      <c r="H45" s="237">
        <f>BI_ST_High!H$38</f>
        <v>1545.1519981102319</v>
      </c>
      <c r="I45" s="224">
        <f>BI_ST_High!I$38</f>
        <v>2.7191786053226514E-3</v>
      </c>
      <c r="J45" s="335"/>
    </row>
  </sheetData>
  <mergeCells count="26">
    <mergeCell ref="J43:J45"/>
    <mergeCell ref="A40:A42"/>
    <mergeCell ref="A37:A39"/>
    <mergeCell ref="A21:A24"/>
    <mergeCell ref="A25:A27"/>
    <mergeCell ref="A28:A30"/>
    <mergeCell ref="A31:A33"/>
    <mergeCell ref="A34:A36"/>
    <mergeCell ref="J31:J33"/>
    <mergeCell ref="J28:J30"/>
    <mergeCell ref="J25:J27"/>
    <mergeCell ref="J40:J42"/>
    <mergeCell ref="J37:J39"/>
    <mergeCell ref="J34:J36"/>
    <mergeCell ref="A43:A45"/>
    <mergeCell ref="J2:J5"/>
    <mergeCell ref="J21:J24"/>
    <mergeCell ref="J17:J20"/>
    <mergeCell ref="J14:J16"/>
    <mergeCell ref="J10:J13"/>
    <mergeCell ref="J6:J9"/>
    <mergeCell ref="A2:A5"/>
    <mergeCell ref="A6:A9"/>
    <mergeCell ref="A10:A13"/>
    <mergeCell ref="A14:A16"/>
    <mergeCell ref="A17:A20"/>
  </mergeCells>
  <pageMargins left="0.7" right="0.7" top="0.99875000000000003" bottom="0.75" header="0.3" footer="0.3"/>
  <pageSetup scale="82" orientation="landscape" r:id="rId1"/>
  <headerFooter>
    <oddHeader xml:space="preserve">&amp;RUpdated: 2017-06-07
EB-2017-0049
Exhibit H1-4-1
Attachment 4
Page &amp;P of &amp;N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81">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0.3381396855040818</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9.8469249075364473E-2</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0.43660893457944627</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0.22925595892348843</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8.7992147271133136E-2</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0.12944602196159405</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3" si="5">G18/$G$46</f>
        <v>0.45295854574667666</v>
      </c>
      <c r="K18" s="62">
        <f t="shared" si="4"/>
        <v>0.44669412815621568</v>
      </c>
    </row>
    <row r="19" spans="1:11" x14ac:dyDescent="0.2">
      <c r="A19" s="107" t="s">
        <v>38</v>
      </c>
      <c r="B19" s="73">
        <v>1</v>
      </c>
      <c r="C19" s="78">
        <f>VLOOKUP($B$3,'Data for Bill Impacts'!$A$3:$Y$15,7,0)</f>
        <v>47.06</v>
      </c>
      <c r="D19" s="22">
        <f>B19*C19</f>
        <v>47.06</v>
      </c>
      <c r="E19" s="73">
        <f t="shared" ref="E19:E41" si="6">B19</f>
        <v>1</v>
      </c>
      <c r="F19" s="78">
        <f>VLOOKUP($B$3,'Data for Bill Impacts'!$A$3:$Y$15,17,0)</f>
        <v>52.31</v>
      </c>
      <c r="G19" s="22">
        <f>E19*F19</f>
        <v>52.31</v>
      </c>
      <c r="H19" s="22">
        <f t="shared" si="2"/>
        <v>5.25</v>
      </c>
      <c r="I19" s="23">
        <f>IF(ISERROR(H19/ABS(D19)),"N/A",(H19/ABS(D19)))</f>
        <v>0.11155971100722481</v>
      </c>
      <c r="J19" s="23">
        <f t="shared" si="5"/>
        <v>0.32395763642341607</v>
      </c>
      <c r="K19" s="108">
        <f t="shared" si="4"/>
        <v>0.31947730166600546</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4.0000000000000001E-3</v>
      </c>
      <c r="D22" s="22">
        <f t="shared" si="9"/>
        <v>4.0000000000000001E-3</v>
      </c>
      <c r="E22" s="73">
        <f t="shared" si="6"/>
        <v>1</v>
      </c>
      <c r="F22" s="121">
        <f>VLOOKUP($B$3,'Data for Bill Impacts'!$A$3:$Y$15,22,0)</f>
        <v>4.0000000000000001E-3</v>
      </c>
      <c r="G22" s="22">
        <f t="shared" si="7"/>
        <v>4.0000000000000001E-3</v>
      </c>
      <c r="H22" s="22">
        <f t="shared" si="2"/>
        <v>0</v>
      </c>
      <c r="I22" s="23">
        <f t="shared" ref="I22:I51" si="10">IF(ISERROR(H22/ABS(D22)),"N/A",(H22/ABS(D22)))</f>
        <v>0</v>
      </c>
      <c r="J22" s="23">
        <f t="shared" si="5"/>
        <v>2.4772138132167162E-5</v>
      </c>
      <c r="K22" s="108">
        <f t="shared" si="4"/>
        <v>2.442953941242634E-5</v>
      </c>
    </row>
    <row r="23" spans="1:11" x14ac:dyDescent="0.2">
      <c r="A23" s="107" t="s">
        <v>39</v>
      </c>
      <c r="B23" s="73">
        <f>IF($B$9="kWh",$B$4,$B$5)</f>
        <v>750</v>
      </c>
      <c r="C23" s="125">
        <f>VLOOKUP($B$3,'Data for Bill Impacts'!$A$3:$Y$15,10,0)</f>
        <v>1.6E-2</v>
      </c>
      <c r="D23" s="22">
        <f>B23*C23</f>
        <v>12</v>
      </c>
      <c r="E23" s="73">
        <f t="shared" si="6"/>
        <v>750</v>
      </c>
      <c r="F23" s="125">
        <f>VLOOKUP($B$3,'Data for Bill Impacts'!$A$3:$Y$15,19,0)</f>
        <v>1.1599999999999999E-2</v>
      </c>
      <c r="G23" s="22">
        <f>E23*F23</f>
        <v>8.6999999999999993</v>
      </c>
      <c r="H23" s="22">
        <f t="shared" si="2"/>
        <v>-3.3000000000000007</v>
      </c>
      <c r="I23" s="23">
        <f t="shared" si="10"/>
        <v>-0.27500000000000008</v>
      </c>
      <c r="J23" s="23">
        <f t="shared" si="5"/>
        <v>5.3879400437463573E-2</v>
      </c>
      <c r="K23" s="108">
        <f t="shared" si="4"/>
        <v>5.313424822202728E-2</v>
      </c>
    </row>
    <row r="24" spans="1:11" x14ac:dyDescent="0.2">
      <c r="A24" s="107" t="s">
        <v>199</v>
      </c>
      <c r="B24" s="73">
        <f>IF($B$9="kWh",$B$4,$B$5)</f>
        <v>750</v>
      </c>
      <c r="C24" s="125">
        <f>VLOOKUP($B$3,'Data for Bill Impacts'!$A$3:$Y$15,14,0)</f>
        <v>2.0000000000000002E-5</v>
      </c>
      <c r="D24" s="22">
        <f>B24*C24</f>
        <v>1.5000000000000001E-2</v>
      </c>
      <c r="E24" s="73">
        <f t="shared" si="6"/>
        <v>750</v>
      </c>
      <c r="F24" s="125">
        <f>VLOOKUP($B$3,'Data for Bill Impacts'!$A$3:$Y$15,23,0)</f>
        <v>2.0000000000000002E-5</v>
      </c>
      <c r="G24" s="22">
        <f>E24*F24</f>
        <v>1.5000000000000001E-2</v>
      </c>
      <c r="H24" s="22">
        <f t="shared" si="2"/>
        <v>0</v>
      </c>
      <c r="I24" s="23">
        <f t="shared" si="10"/>
        <v>0</v>
      </c>
      <c r="J24" s="23">
        <f t="shared" ref="J24" si="11">G24/$G$46</f>
        <v>9.2895517995626872E-5</v>
      </c>
      <c r="K24" s="108">
        <f t="shared" si="4"/>
        <v>9.161077279659878E-5</v>
      </c>
    </row>
    <row r="25" spans="1:11" s="1" customFormat="1" x14ac:dyDescent="0.2">
      <c r="A25" s="110" t="s">
        <v>72</v>
      </c>
      <c r="B25" s="74"/>
      <c r="C25" s="35"/>
      <c r="D25" s="35">
        <f>SUM(D19:D24)</f>
        <v>59.079000000000001</v>
      </c>
      <c r="E25" s="73"/>
      <c r="F25" s="35"/>
      <c r="G25" s="35">
        <f>SUM(G19:G24)</f>
        <v>61.028999999999996</v>
      </c>
      <c r="H25" s="35">
        <f t="shared" si="2"/>
        <v>1.9499999999999957</v>
      </c>
      <c r="I25" s="36">
        <f t="shared" si="10"/>
        <v>3.3006652109886687E-2</v>
      </c>
      <c r="J25" s="36">
        <f>G25/$G$46</f>
        <v>0.37795470451700741</v>
      </c>
      <c r="K25" s="111">
        <f t="shared" si="4"/>
        <v>0.37272759020024171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4.892497281103015E-3</v>
      </c>
      <c r="K26" s="108">
        <f t="shared" si="4"/>
        <v>4.8248340339542024E-3</v>
      </c>
    </row>
    <row r="27" spans="1:11" s="1" customFormat="1" x14ac:dyDescent="0.2">
      <c r="A27" s="119" t="s">
        <v>75</v>
      </c>
      <c r="B27" s="120">
        <f>B8-B4</f>
        <v>57</v>
      </c>
      <c r="C27" s="257">
        <f>IF(B4&gt;B7,C13,C12)</f>
        <v>0.106</v>
      </c>
      <c r="D27" s="22">
        <f>B27*C27</f>
        <v>6.0419999999999998</v>
      </c>
      <c r="E27" s="73">
        <f>B27</f>
        <v>57</v>
      </c>
      <c r="F27" s="257">
        <f>C27</f>
        <v>0.106</v>
      </c>
      <c r="G27" s="22">
        <f>E27*F27</f>
        <v>6.0419999999999998</v>
      </c>
      <c r="H27" s="22">
        <f t="shared" si="2"/>
        <v>0</v>
      </c>
      <c r="I27" s="23">
        <f t="shared" si="10"/>
        <v>0</v>
      </c>
      <c r="J27" s="23">
        <f t="shared" ref="J27:J46" si="12">G27/$G$46</f>
        <v>3.7418314648638498E-2</v>
      </c>
      <c r="K27" s="108">
        <f t="shared" ref="K27:K41" si="13">G27/$G$51</f>
        <v>3.6900819282469979E-2</v>
      </c>
    </row>
    <row r="28" spans="1:11" s="1" customFormat="1" x14ac:dyDescent="0.2">
      <c r="A28" s="119" t="s">
        <v>74</v>
      </c>
      <c r="B28" s="120">
        <f>B8-B4</f>
        <v>57</v>
      </c>
      <c r="C28" s="257">
        <f>0.65*C15+0.17*C16+0.18*C17</f>
        <v>9.7519999999999996E-2</v>
      </c>
      <c r="D28" s="22">
        <f>B28*C28</f>
        <v>5.5586399999999996</v>
      </c>
      <c r="E28" s="73">
        <f>B28</f>
        <v>57</v>
      </c>
      <c r="F28" s="257">
        <f>C28</f>
        <v>9.7519999999999996E-2</v>
      </c>
      <c r="G28" s="22">
        <f>E28*F28</f>
        <v>5.5586399999999996</v>
      </c>
      <c r="H28" s="22">
        <f t="shared" si="2"/>
        <v>0</v>
      </c>
      <c r="I28" s="23">
        <f t="shared" si="10"/>
        <v>0</v>
      </c>
      <c r="J28" s="23">
        <f t="shared" si="12"/>
        <v>3.442484947674742E-2</v>
      </c>
      <c r="K28" s="108">
        <f t="shared" si="13"/>
        <v>3.3948753739872384E-2</v>
      </c>
    </row>
    <row r="29" spans="1:11" s="1" customFormat="1" x14ac:dyDescent="0.2">
      <c r="A29" s="110" t="s">
        <v>78</v>
      </c>
      <c r="B29" s="74"/>
      <c r="C29" s="35"/>
      <c r="D29" s="35">
        <f>SUM(D25,D26:D27)</f>
        <v>65.911000000000001</v>
      </c>
      <c r="E29" s="73"/>
      <c r="F29" s="35"/>
      <c r="G29" s="35">
        <f>SUM(G25,G26:G27)</f>
        <v>67.86099999999999</v>
      </c>
      <c r="H29" s="35">
        <f t="shared" si="2"/>
        <v>1.9499999999999886</v>
      </c>
      <c r="I29" s="36">
        <f t="shared" si="10"/>
        <v>2.9585349941587725E-2</v>
      </c>
      <c r="J29" s="36">
        <f t="shared" si="12"/>
        <v>0.42026551644674892</v>
      </c>
      <c r="K29" s="111">
        <f t="shared" si="13"/>
        <v>0.41445324351666585</v>
      </c>
    </row>
    <row r="30" spans="1:11" s="1" customFormat="1" x14ac:dyDescent="0.2">
      <c r="A30" s="110" t="s">
        <v>77</v>
      </c>
      <c r="B30" s="74"/>
      <c r="C30" s="35"/>
      <c r="D30" s="35">
        <f>SUM(D25,D26,D28)</f>
        <v>65.427639999999997</v>
      </c>
      <c r="E30" s="73"/>
      <c r="F30" s="35"/>
      <c r="G30" s="35">
        <f>SUM(G25,G26,G28)</f>
        <v>67.37764</v>
      </c>
      <c r="H30" s="35">
        <f t="shared" si="2"/>
        <v>1.9500000000000028</v>
      </c>
      <c r="I30" s="36">
        <f t="shared" si="10"/>
        <v>2.980391773262803E-2</v>
      </c>
      <c r="J30" s="36">
        <f t="shared" si="12"/>
        <v>0.41727205127485789</v>
      </c>
      <c r="K30" s="111">
        <f t="shared" si="13"/>
        <v>0.41150117797406832</v>
      </c>
    </row>
    <row r="31" spans="1:11" x14ac:dyDescent="0.2">
      <c r="A31" s="107" t="s">
        <v>40</v>
      </c>
      <c r="B31" s="73">
        <f>B8</f>
        <v>807</v>
      </c>
      <c r="C31" s="125">
        <f>VLOOKUP($B$3,'Data for Bill Impacts'!$A$3:$Y$15,15,0)</f>
        <v>7.2069999999999999E-3</v>
      </c>
      <c r="D31" s="22">
        <f>B31*C31</f>
        <v>5.8160489999999996</v>
      </c>
      <c r="E31" s="73">
        <f t="shared" si="6"/>
        <v>807</v>
      </c>
      <c r="F31" s="78">
        <f>VLOOKUP($B$3,'Data for Bill Impacts'!$A$3:$Y$15,24,0)</f>
        <v>7.1999999999999998E-3</v>
      </c>
      <c r="G31" s="22">
        <f>E31*F31</f>
        <v>5.8103999999999996</v>
      </c>
      <c r="H31" s="22">
        <f t="shared" si="2"/>
        <v>-5.6490000000000151E-3</v>
      </c>
      <c r="I31" s="23">
        <f t="shared" si="10"/>
        <v>-9.7127792424032456E-4</v>
      </c>
      <c r="J31" s="23">
        <f t="shared" si="12"/>
        <v>3.5984007850786016E-2</v>
      </c>
      <c r="K31" s="108">
        <f t="shared" si="13"/>
        <v>3.5486348950490493E-2</v>
      </c>
    </row>
    <row r="32" spans="1:11" x14ac:dyDescent="0.2">
      <c r="A32" s="107" t="s">
        <v>41</v>
      </c>
      <c r="B32" s="73">
        <f>B8</f>
        <v>807</v>
      </c>
      <c r="C32" s="125">
        <f>VLOOKUP($B$3,'Data for Bill Impacts'!$A$3:$Y$15,16,0)</f>
        <v>6.0319999999999992E-3</v>
      </c>
      <c r="D32" s="22">
        <f>B32*C32</f>
        <v>4.8678239999999997</v>
      </c>
      <c r="E32" s="73">
        <f t="shared" si="6"/>
        <v>807</v>
      </c>
      <c r="F32" s="78">
        <f>VLOOKUP($B$3,'Data for Bill Impacts'!$A$3:$Y$15,25,0)</f>
        <v>5.8999999999999999E-3</v>
      </c>
      <c r="G32" s="22">
        <f>E32*F32</f>
        <v>4.7613000000000003</v>
      </c>
      <c r="H32" s="22">
        <f t="shared" si="2"/>
        <v>-0.1065239999999994</v>
      </c>
      <c r="I32" s="23">
        <f t="shared" si="10"/>
        <v>-2.1883289124668314E-2</v>
      </c>
      <c r="J32" s="23">
        <f t="shared" si="12"/>
        <v>2.9486895322171882E-2</v>
      </c>
      <c r="K32" s="108">
        <f t="shared" si="13"/>
        <v>2.9079091501096384E-2</v>
      </c>
    </row>
    <row r="33" spans="1:11" s="1" customFormat="1" x14ac:dyDescent="0.2">
      <c r="A33" s="110" t="s">
        <v>76</v>
      </c>
      <c r="B33" s="74"/>
      <c r="C33" s="35"/>
      <c r="D33" s="35">
        <f>SUM(D31:D32)</f>
        <v>10.683872999999998</v>
      </c>
      <c r="E33" s="73"/>
      <c r="F33" s="35"/>
      <c r="G33" s="35">
        <f>SUM(G31:G32)</f>
        <v>10.5717</v>
      </c>
      <c r="H33" s="35">
        <f t="shared" si="2"/>
        <v>-0.11217299999999852</v>
      </c>
      <c r="I33" s="36">
        <f t="shared" si="10"/>
        <v>-1.0499282423143606E-2</v>
      </c>
      <c r="J33" s="36">
        <f t="shared" si="12"/>
        <v>6.5470903172957895E-2</v>
      </c>
      <c r="K33" s="111">
        <f t="shared" si="13"/>
        <v>6.4565440451586881E-2</v>
      </c>
    </row>
    <row r="34" spans="1:11" s="1" customFormat="1" x14ac:dyDescent="0.2">
      <c r="A34" s="110" t="s">
        <v>95</v>
      </c>
      <c r="B34" s="74"/>
      <c r="C34" s="35"/>
      <c r="D34" s="35">
        <f>D29+D33</f>
        <v>76.594873000000007</v>
      </c>
      <c r="E34" s="73"/>
      <c r="F34" s="35"/>
      <c r="G34" s="35">
        <f>G29+G33</f>
        <v>78.432699999999983</v>
      </c>
      <c r="H34" s="35">
        <f t="shared" si="2"/>
        <v>1.8378269999999759</v>
      </c>
      <c r="I34" s="36">
        <f t="shared" si="10"/>
        <v>2.3994125559813589E-2</v>
      </c>
      <c r="J34" s="36">
        <f t="shared" si="12"/>
        <v>0.48573641961970676</v>
      </c>
      <c r="K34" s="111">
        <f t="shared" si="13"/>
        <v>0.4790186839682527</v>
      </c>
    </row>
    <row r="35" spans="1:11" s="1" customFormat="1" x14ac:dyDescent="0.2">
      <c r="A35" s="110" t="s">
        <v>96</v>
      </c>
      <c r="B35" s="74"/>
      <c r="C35" s="35"/>
      <c r="D35" s="35">
        <f>D30+D33</f>
        <v>76.111513000000002</v>
      </c>
      <c r="E35" s="73"/>
      <c r="F35" s="35"/>
      <c r="G35" s="35">
        <f>G30+G33</f>
        <v>77.949340000000007</v>
      </c>
      <c r="H35" s="35">
        <f t="shared" si="2"/>
        <v>1.8378270000000043</v>
      </c>
      <c r="I35" s="36">
        <f t="shared" si="10"/>
        <v>2.4146504616193928E-2</v>
      </c>
      <c r="J35" s="36">
        <f t="shared" si="12"/>
        <v>0.48274295444781584</v>
      </c>
      <c r="K35" s="111">
        <f t="shared" si="13"/>
        <v>0.47606661842565523</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2"/>
        <v>0</v>
      </c>
      <c r="I36" s="23">
        <f t="shared" si="10"/>
        <v>0</v>
      </c>
      <c r="J36" s="23">
        <f t="shared" si="12"/>
        <v>1.7992003925393008E-2</v>
      </c>
      <c r="K36" s="108">
        <f t="shared" si="13"/>
        <v>1.7743174475245246E-2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10"/>
        <v>0</v>
      </c>
      <c r="J37" s="23">
        <f t="shared" si="12"/>
        <v>1.0495335623145922E-2</v>
      </c>
      <c r="K37" s="108">
        <f t="shared" si="13"/>
        <v>1.0350185110559728E-2</v>
      </c>
    </row>
    <row r="38" spans="1:11" x14ac:dyDescent="0.2">
      <c r="A38" s="107" t="s">
        <v>100</v>
      </c>
      <c r="B38" s="73">
        <f>B8</f>
        <v>807</v>
      </c>
      <c r="C38" s="34">
        <v>0</v>
      </c>
      <c r="D38" s="22">
        <f>B38*C38</f>
        <v>0</v>
      </c>
      <c r="E38" s="73">
        <f t="shared" si="6"/>
        <v>807</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1.5482586332604476E-3</v>
      </c>
      <c r="K39" s="108">
        <f t="shared" si="13"/>
        <v>1.5268462132766462E-3</v>
      </c>
    </row>
    <row r="40" spans="1:11" s="1" customFormat="1" x14ac:dyDescent="0.2">
      <c r="A40" s="110" t="s">
        <v>45</v>
      </c>
      <c r="B40" s="74"/>
      <c r="C40" s="35"/>
      <c r="D40" s="35">
        <f>SUM(D36:D39)</f>
        <v>4.8498999999999999</v>
      </c>
      <c r="E40" s="73"/>
      <c r="F40" s="35"/>
      <c r="G40" s="35">
        <f>SUM(G36:G39)</f>
        <v>4.8498999999999999</v>
      </c>
      <c r="H40" s="35">
        <f t="shared" si="2"/>
        <v>0</v>
      </c>
      <c r="I40" s="36">
        <f t="shared" si="10"/>
        <v>0</v>
      </c>
      <c r="J40" s="36">
        <f t="shared" si="12"/>
        <v>3.0035598181799381E-2</v>
      </c>
      <c r="K40" s="111">
        <f t="shared" si="13"/>
        <v>2.9620205799081624E-2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151.944773</v>
      </c>
      <c r="E42" s="38"/>
      <c r="F42" s="39"/>
      <c r="G42" s="39">
        <f>SUM(G14,G25,G26,G27,G33,G40,G41)</f>
        <v>153.78259999999997</v>
      </c>
      <c r="H42" s="39">
        <f t="shared" si="2"/>
        <v>1.8378269999999759</v>
      </c>
      <c r="I42" s="40">
        <f t="shared" si="10"/>
        <v>1.209536177990128E-2</v>
      </c>
      <c r="J42" s="40">
        <f t="shared" si="12"/>
        <v>0.95238095238095233</v>
      </c>
      <c r="K42" s="41"/>
    </row>
    <row r="43" spans="1:11" x14ac:dyDescent="0.2">
      <c r="A43" s="149" t="s">
        <v>138</v>
      </c>
      <c r="B43" s="43"/>
      <c r="C43" s="26">
        <v>0.13</v>
      </c>
      <c r="D43" s="26">
        <f>D42*C43</f>
        <v>19.752820490000001</v>
      </c>
      <c r="E43" s="26"/>
      <c r="F43" s="26">
        <f>C43</f>
        <v>0.13</v>
      </c>
      <c r="G43" s="26">
        <f>G42*F43</f>
        <v>19.991737999999998</v>
      </c>
      <c r="H43" s="26">
        <f t="shared" si="2"/>
        <v>0.23891750999999672</v>
      </c>
      <c r="I43" s="44">
        <f t="shared" si="10"/>
        <v>1.2095361779901271E-2</v>
      </c>
      <c r="J43" s="44">
        <f t="shared" si="12"/>
        <v>0.12380952380952381</v>
      </c>
      <c r="K43" s="45"/>
    </row>
    <row r="44" spans="1:11" s="1" customFormat="1" x14ac:dyDescent="0.2">
      <c r="A44" s="46" t="s">
        <v>139</v>
      </c>
      <c r="B44" s="24"/>
      <c r="C44" s="25"/>
      <c r="D44" s="25">
        <f>SUM(D42:D43)</f>
        <v>171.69759349</v>
      </c>
      <c r="E44" s="25"/>
      <c r="F44" s="25"/>
      <c r="G44" s="25">
        <f>SUM(G42:G43)</f>
        <v>173.77433799999997</v>
      </c>
      <c r="H44" s="25">
        <f t="shared" si="2"/>
        <v>2.0767445099999691</v>
      </c>
      <c r="I44" s="27">
        <f t="shared" si="10"/>
        <v>1.2095361779901257E-2</v>
      </c>
      <c r="J44" s="27">
        <f t="shared" si="12"/>
        <v>1.0761904761904761</v>
      </c>
      <c r="K44" s="47"/>
    </row>
    <row r="45" spans="1:11" x14ac:dyDescent="0.2">
      <c r="A45" s="42" t="s">
        <v>140</v>
      </c>
      <c r="B45" s="43"/>
      <c r="C45" s="26">
        <v>-0.08</v>
      </c>
      <c r="D45" s="26">
        <f>D42*C45</f>
        <v>-12.15558184</v>
      </c>
      <c r="E45" s="26"/>
      <c r="F45" s="26">
        <f>C45</f>
        <v>-0.08</v>
      </c>
      <c r="G45" s="26">
        <f>G42*F45</f>
        <v>-12.302607999999998</v>
      </c>
      <c r="H45" s="26">
        <f t="shared" si="2"/>
        <v>-0.14702615999999757</v>
      </c>
      <c r="I45" s="44">
        <f t="shared" si="10"/>
        <v>-1.2095361779901238E-2</v>
      </c>
      <c r="J45" s="44">
        <f t="shared" si="12"/>
        <v>-7.6190476190476183E-2</v>
      </c>
      <c r="K45" s="45"/>
    </row>
    <row r="46" spans="1:11" s="1" customFormat="1" ht="13.5" thickBot="1" x14ac:dyDescent="0.25">
      <c r="A46" s="48" t="s">
        <v>141</v>
      </c>
      <c r="B46" s="49"/>
      <c r="C46" s="50"/>
      <c r="D46" s="50">
        <f>SUM(D44:D45)</f>
        <v>159.54201165000001</v>
      </c>
      <c r="E46" s="50"/>
      <c r="F46" s="50"/>
      <c r="G46" s="50">
        <f>SUM(G44:G45)</f>
        <v>161.47172999999998</v>
      </c>
      <c r="H46" s="50">
        <f t="shared" si="2"/>
        <v>1.9297183499999733</v>
      </c>
      <c r="I46" s="51">
        <f t="shared" si="10"/>
        <v>1.2095361779901271E-2</v>
      </c>
      <c r="J46" s="51">
        <f t="shared" si="12"/>
        <v>1</v>
      </c>
      <c r="K46" s="52"/>
    </row>
    <row r="47" spans="1:11" x14ac:dyDescent="0.2">
      <c r="A47" s="53" t="s">
        <v>142</v>
      </c>
      <c r="B47" s="54"/>
      <c r="C47" s="55"/>
      <c r="D47" s="55">
        <f>SUM(D18,D25,D26,D28,D33,D40,D41)</f>
        <v>154.10141300000001</v>
      </c>
      <c r="E47" s="55"/>
      <c r="F47" s="55"/>
      <c r="G47" s="55">
        <f>SUM(G18,G25,G26,G28,G33,G40,G41)</f>
        <v>155.93923999999998</v>
      </c>
      <c r="H47" s="55">
        <f>G47-D47</f>
        <v>1.8378269999999759</v>
      </c>
      <c r="I47" s="56">
        <f t="shared" si="10"/>
        <v>1.1926087919777711E-2</v>
      </c>
      <c r="J47" s="56"/>
      <c r="K47" s="57">
        <f>G47/$G$51</f>
        <v>0.95238095238095233</v>
      </c>
    </row>
    <row r="48" spans="1:11" x14ac:dyDescent="0.2">
      <c r="A48" s="58" t="s">
        <v>138</v>
      </c>
      <c r="B48" s="59"/>
      <c r="C48" s="31">
        <v>0.13</v>
      </c>
      <c r="D48" s="31">
        <f>D47*C48</f>
        <v>20.033183690000001</v>
      </c>
      <c r="E48" s="31"/>
      <c r="F48" s="31">
        <f>C48</f>
        <v>0.13</v>
      </c>
      <c r="G48" s="31">
        <f>G47*F48</f>
        <v>20.272101199999998</v>
      </c>
      <c r="H48" s="31">
        <f>G48-D48</f>
        <v>0.23891750999999672</v>
      </c>
      <c r="I48" s="32">
        <f t="shared" si="10"/>
        <v>1.1926087919777704E-2</v>
      </c>
      <c r="J48" s="32"/>
      <c r="K48" s="60">
        <f>G48/$G$51</f>
        <v>0.1238095238095238</v>
      </c>
    </row>
    <row r="49" spans="1:11" x14ac:dyDescent="0.2">
      <c r="A49" s="61" t="s">
        <v>143</v>
      </c>
      <c r="B49" s="29"/>
      <c r="C49" s="30"/>
      <c r="D49" s="30">
        <f>SUM(D47:D48)</f>
        <v>174.13459669000002</v>
      </c>
      <c r="E49" s="30"/>
      <c r="F49" s="30"/>
      <c r="G49" s="30">
        <f>SUM(G47:G48)</f>
        <v>176.21134119999999</v>
      </c>
      <c r="H49" s="30">
        <f>G49-D49</f>
        <v>2.0767445099999691</v>
      </c>
      <c r="I49" s="33">
        <f t="shared" si="10"/>
        <v>1.1926087919777688E-2</v>
      </c>
      <c r="J49" s="33"/>
      <c r="K49" s="62">
        <f>G49/$G$51</f>
        <v>1.0761904761904761</v>
      </c>
    </row>
    <row r="50" spans="1:11" x14ac:dyDescent="0.2">
      <c r="A50" s="58" t="s">
        <v>140</v>
      </c>
      <c r="B50" s="59"/>
      <c r="C50" s="31">
        <v>-0.08</v>
      </c>
      <c r="D50" s="31">
        <f>D47*C50</f>
        <v>-12.328113040000002</v>
      </c>
      <c r="E50" s="31"/>
      <c r="F50" s="31">
        <f>C50</f>
        <v>-0.08</v>
      </c>
      <c r="G50" s="31">
        <f>G47*F50</f>
        <v>-12.475139199999999</v>
      </c>
      <c r="H50" s="31">
        <f>G50-D50</f>
        <v>-0.14702615999999757</v>
      </c>
      <c r="I50" s="32">
        <f t="shared" si="10"/>
        <v>-1.1926087919777669E-2</v>
      </c>
      <c r="J50" s="32"/>
      <c r="K50" s="60">
        <f>G50/$G$51</f>
        <v>-7.6190476190476183E-2</v>
      </c>
    </row>
    <row r="51" spans="1:11" ht="13.5" thickBot="1" x14ac:dyDescent="0.25">
      <c r="A51" s="63" t="s">
        <v>144</v>
      </c>
      <c r="B51" s="64"/>
      <c r="C51" s="65"/>
      <c r="D51" s="65">
        <f>SUM(D49:D50)</f>
        <v>161.80648365000002</v>
      </c>
      <c r="E51" s="65"/>
      <c r="F51" s="65"/>
      <c r="G51" s="65">
        <f>SUM(G49:G50)</f>
        <v>163.73620199999999</v>
      </c>
      <c r="H51" s="65">
        <f>G51-D51</f>
        <v>1.9297183499999733</v>
      </c>
      <c r="I51" s="66">
        <f t="shared" si="10"/>
        <v>1.19260879197777E-2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BreakPreview" topLeftCell="A19"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81">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0.1693906860661567</v>
      </c>
      <c r="K12" s="106"/>
    </row>
    <row r="13" spans="1:11" x14ac:dyDescent="0.2">
      <c r="A13" s="107" t="s">
        <v>32</v>
      </c>
      <c r="B13" s="73">
        <f>IF(B4&gt;B7,(B4)-B7,0)</f>
        <v>1200</v>
      </c>
      <c r="C13" s="21">
        <v>0.106</v>
      </c>
      <c r="D13" s="22">
        <f>B13*C13</f>
        <v>127.2</v>
      </c>
      <c r="E13" s="73">
        <f t="shared" ref="E13" si="1">B13</f>
        <v>1200</v>
      </c>
      <c r="F13" s="21">
        <f>C13</f>
        <v>0.106</v>
      </c>
      <c r="G13" s="22">
        <f>E13*F13</f>
        <v>127.2</v>
      </c>
      <c r="H13" s="22">
        <f t="shared" ref="H13:H46" si="2">G13-D13</f>
        <v>0</v>
      </c>
      <c r="I13" s="23">
        <f t="shared" si="0"/>
        <v>0</v>
      </c>
      <c r="J13" s="23">
        <f>G13/$G$46</f>
        <v>0.39462445545082664</v>
      </c>
      <c r="K13" s="108"/>
    </row>
    <row r="14" spans="1:11" s="1" customFormat="1" x14ac:dyDescent="0.2">
      <c r="A14" s="46" t="s">
        <v>33</v>
      </c>
      <c r="B14" s="24"/>
      <c r="C14" s="25"/>
      <c r="D14" s="25">
        <f>SUM(D12:D13)</f>
        <v>181.8</v>
      </c>
      <c r="E14" s="76"/>
      <c r="F14" s="25"/>
      <c r="G14" s="25">
        <f>SUM(G12:G13)</f>
        <v>181.8</v>
      </c>
      <c r="H14" s="25">
        <f t="shared" si="2"/>
        <v>0</v>
      </c>
      <c r="I14" s="27">
        <f t="shared" si="0"/>
        <v>0</v>
      </c>
      <c r="J14" s="27">
        <f>G14/$G$46</f>
        <v>0.5640151415169834</v>
      </c>
      <c r="K14" s="108"/>
    </row>
    <row r="15" spans="1:11" s="1" customFormat="1" x14ac:dyDescent="0.2">
      <c r="A15" s="109" t="s">
        <v>34</v>
      </c>
      <c r="B15" s="75">
        <f>B4*0.65</f>
        <v>1170</v>
      </c>
      <c r="C15" s="28">
        <v>7.6999999999999999E-2</v>
      </c>
      <c r="D15" s="22">
        <f>B15*C15</f>
        <v>90.09</v>
      </c>
      <c r="E15" s="73">
        <f t="shared" ref="E15:F17" si="3">B15</f>
        <v>1170</v>
      </c>
      <c r="F15" s="28">
        <f t="shared" si="3"/>
        <v>7.6999999999999999E-2</v>
      </c>
      <c r="G15" s="22">
        <f>E15*F15</f>
        <v>90.09</v>
      </c>
      <c r="H15" s="22">
        <f t="shared" si="2"/>
        <v>0</v>
      </c>
      <c r="I15" s="23">
        <f t="shared" si="0"/>
        <v>0</v>
      </c>
      <c r="J15" s="23"/>
      <c r="K15" s="108">
        <f t="shared" ref="K15:K26" si="4">G15/$G$51</f>
        <v>0.28642144433214289</v>
      </c>
    </row>
    <row r="16" spans="1:11" s="1" customFormat="1" x14ac:dyDescent="0.2">
      <c r="A16" s="109" t="s">
        <v>35</v>
      </c>
      <c r="B16" s="75">
        <f>B4*0.17</f>
        <v>306</v>
      </c>
      <c r="C16" s="28">
        <v>0.113</v>
      </c>
      <c r="D16" s="22">
        <f>B16*C16</f>
        <v>34.578000000000003</v>
      </c>
      <c r="E16" s="73">
        <f t="shared" si="3"/>
        <v>306</v>
      </c>
      <c r="F16" s="28">
        <f t="shared" si="3"/>
        <v>0.113</v>
      </c>
      <c r="G16" s="22">
        <f>E16*F16</f>
        <v>34.578000000000003</v>
      </c>
      <c r="H16" s="22">
        <f t="shared" si="2"/>
        <v>0</v>
      </c>
      <c r="I16" s="23">
        <f t="shared" si="0"/>
        <v>0</v>
      </c>
      <c r="J16" s="23"/>
      <c r="K16" s="108">
        <f t="shared" si="4"/>
        <v>0.10993318572668262</v>
      </c>
    </row>
    <row r="17" spans="1:11" s="1" customFormat="1" x14ac:dyDescent="0.2">
      <c r="A17" s="109" t="s">
        <v>36</v>
      </c>
      <c r="B17" s="75">
        <f>B4*0.18</f>
        <v>324</v>
      </c>
      <c r="C17" s="28">
        <v>0.157</v>
      </c>
      <c r="D17" s="22">
        <f>B17*C17</f>
        <v>50.868000000000002</v>
      </c>
      <c r="E17" s="73">
        <f t="shared" si="3"/>
        <v>324</v>
      </c>
      <c r="F17" s="28">
        <f t="shared" si="3"/>
        <v>0.157</v>
      </c>
      <c r="G17" s="22">
        <f>E17*F17</f>
        <v>50.868000000000002</v>
      </c>
      <c r="H17" s="22">
        <f t="shared" si="2"/>
        <v>0</v>
      </c>
      <c r="I17" s="23">
        <f t="shared" si="0"/>
        <v>0</v>
      </c>
      <c r="J17" s="23"/>
      <c r="K17" s="108">
        <f t="shared" si="4"/>
        <v>0.16172367665986728</v>
      </c>
    </row>
    <row r="18" spans="1:11" s="1" customFormat="1" x14ac:dyDescent="0.2">
      <c r="A18" s="61" t="s">
        <v>37</v>
      </c>
      <c r="B18" s="29"/>
      <c r="C18" s="30"/>
      <c r="D18" s="30">
        <f>SUM(D15:D17)</f>
        <v>175.536</v>
      </c>
      <c r="E18" s="77"/>
      <c r="F18" s="30"/>
      <c r="G18" s="30">
        <f>SUM(G15:G17)</f>
        <v>175.536</v>
      </c>
      <c r="H18" s="31">
        <f t="shared" si="2"/>
        <v>0</v>
      </c>
      <c r="I18" s="32">
        <f t="shared" si="0"/>
        <v>0</v>
      </c>
      <c r="J18" s="33">
        <f t="shared" ref="J18:J23" si="5">G18/$G$46</f>
        <v>0.5445817485221407</v>
      </c>
      <c r="K18" s="62">
        <f t="shared" si="4"/>
        <v>0.55807830671869274</v>
      </c>
    </row>
    <row r="19" spans="1:11" x14ac:dyDescent="0.2">
      <c r="A19" s="107" t="s">
        <v>38</v>
      </c>
      <c r="B19" s="73">
        <v>1</v>
      </c>
      <c r="C19" s="78">
        <f>VLOOKUP($B$3,'Data for Bill Impacts'!$A$3:$Y$15,7,0)</f>
        <v>47.06</v>
      </c>
      <c r="D19" s="22">
        <f>B19*C19</f>
        <v>47.06</v>
      </c>
      <c r="E19" s="73">
        <f t="shared" ref="E19:E41" si="6">B19</f>
        <v>1</v>
      </c>
      <c r="F19" s="78">
        <f>VLOOKUP($B$3,'Data for Bill Impacts'!$A$3:$Y$15,17,0)</f>
        <v>52.31</v>
      </c>
      <c r="G19" s="22">
        <f>E19*F19</f>
        <v>52.31</v>
      </c>
      <c r="H19" s="22">
        <f t="shared" si="2"/>
        <v>5.25</v>
      </c>
      <c r="I19" s="23">
        <f>IF(ISERROR(H19/ABS(D19)),"N/A",(H19/ABS(D19)))</f>
        <v>0.11155971100722481</v>
      </c>
      <c r="J19" s="23">
        <f t="shared" si="5"/>
        <v>0.16228620491063475</v>
      </c>
      <c r="K19" s="108">
        <f t="shared" si="4"/>
        <v>0.16630820016665993</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4.0000000000000001E-3</v>
      </c>
      <c r="D22" s="22">
        <f t="shared" si="9"/>
        <v>4.0000000000000001E-3</v>
      </c>
      <c r="E22" s="73">
        <f t="shared" si="6"/>
        <v>1</v>
      </c>
      <c r="F22" s="121">
        <f>VLOOKUP($B$3,'Data for Bill Impacts'!$A$3:$Y$15,22,0)</f>
        <v>4.0000000000000001E-3</v>
      </c>
      <c r="G22" s="22">
        <f t="shared" si="7"/>
        <v>4.0000000000000001E-3</v>
      </c>
      <c r="H22" s="22">
        <f t="shared" si="2"/>
        <v>0</v>
      </c>
      <c r="I22" s="23">
        <f t="shared" ref="I22:I51" si="10">IF(ISERROR(H22/ABS(D22)),"N/A",(H22/ABS(D22)))</f>
        <v>0</v>
      </c>
      <c r="J22" s="23">
        <f t="shared" si="5"/>
        <v>1.2409574070780712E-5</v>
      </c>
      <c r="K22" s="108">
        <f t="shared" si="4"/>
        <v>1.2717124845471989E-5</v>
      </c>
    </row>
    <row r="23" spans="1:11" x14ac:dyDescent="0.2">
      <c r="A23" s="107" t="s">
        <v>39</v>
      </c>
      <c r="B23" s="73">
        <f>IF($B$9="kWh",$B$4,$B$5)</f>
        <v>1800</v>
      </c>
      <c r="C23" s="125">
        <f>VLOOKUP($B$3,'Data for Bill Impacts'!$A$3:$Y$15,10,0)</f>
        <v>1.6E-2</v>
      </c>
      <c r="D23" s="22">
        <f>B23*C23</f>
        <v>28.8</v>
      </c>
      <c r="E23" s="73">
        <f t="shared" si="6"/>
        <v>1800</v>
      </c>
      <c r="F23" s="125">
        <f>VLOOKUP($B$3,'Data for Bill Impacts'!$A$3:$Y$15,19,0)</f>
        <v>1.1599999999999999E-2</v>
      </c>
      <c r="G23" s="22">
        <f>E23*F23</f>
        <v>20.88</v>
      </c>
      <c r="H23" s="22">
        <f t="shared" si="2"/>
        <v>-7.9200000000000017</v>
      </c>
      <c r="I23" s="23">
        <f t="shared" si="10"/>
        <v>-0.27500000000000008</v>
      </c>
      <c r="J23" s="23">
        <f t="shared" si="5"/>
        <v>6.4777976649475308E-2</v>
      </c>
      <c r="K23" s="108">
        <f t="shared" si="4"/>
        <v>6.6383391693363783E-2</v>
      </c>
    </row>
    <row r="24" spans="1:11" x14ac:dyDescent="0.2">
      <c r="A24" s="107" t="s">
        <v>199</v>
      </c>
      <c r="B24" s="73">
        <f>IF($B$9="kWh",$B$4,$B$5)</f>
        <v>1800</v>
      </c>
      <c r="C24" s="125">
        <f>VLOOKUP($B$3,'Data for Bill Impacts'!$A$3:$Y$15,14,0)</f>
        <v>2.0000000000000002E-5</v>
      </c>
      <c r="D24" s="22">
        <f>B24*C24</f>
        <v>3.6000000000000004E-2</v>
      </c>
      <c r="E24" s="73">
        <f t="shared" si="6"/>
        <v>1800</v>
      </c>
      <c r="F24" s="125">
        <f>VLOOKUP($B$3,'Data for Bill Impacts'!$A$3:$Y$15,23,0)</f>
        <v>2.0000000000000002E-5</v>
      </c>
      <c r="G24" s="22">
        <f>E24*F24</f>
        <v>3.6000000000000004E-2</v>
      </c>
      <c r="H24" s="22">
        <f t="shared" si="2"/>
        <v>0</v>
      </c>
      <c r="I24" s="23">
        <f t="shared" si="10"/>
        <v>0</v>
      </c>
      <c r="J24" s="23">
        <f t="shared" ref="J24" si="11">G24/$G$46</f>
        <v>1.1168616663702642E-4</v>
      </c>
      <c r="K24" s="108">
        <f t="shared" si="4"/>
        <v>1.1445412360924792E-4</v>
      </c>
    </row>
    <row r="25" spans="1:11" s="1" customFormat="1" x14ac:dyDescent="0.2">
      <c r="A25" s="110" t="s">
        <v>72</v>
      </c>
      <c r="B25" s="74"/>
      <c r="C25" s="35"/>
      <c r="D25" s="35">
        <f>SUM(D19:D24)</f>
        <v>75.900000000000006</v>
      </c>
      <c r="E25" s="73"/>
      <c r="F25" s="35"/>
      <c r="G25" s="35">
        <f>SUM(G19:G24)</f>
        <v>73.23</v>
      </c>
      <c r="H25" s="35">
        <f t="shared" si="2"/>
        <v>-2.6700000000000017</v>
      </c>
      <c r="I25" s="36">
        <f t="shared" si="10"/>
        <v>-3.517786561264824E-2</v>
      </c>
      <c r="J25" s="36">
        <f>G25/$G$46</f>
        <v>0.22718827730081786</v>
      </c>
      <c r="K25" s="111">
        <f t="shared" si="4"/>
        <v>0.23281876310847843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2.4508908789791905E-3</v>
      </c>
      <c r="K26" s="108">
        <f t="shared" si="4"/>
        <v>2.5116321569807177E-3</v>
      </c>
    </row>
    <row r="27" spans="1:11" s="1" customFormat="1" x14ac:dyDescent="0.2">
      <c r="A27" s="119" t="s">
        <v>75</v>
      </c>
      <c r="B27" s="120">
        <f>B8-B4</f>
        <v>136.80000000000018</v>
      </c>
      <c r="C27" s="257">
        <f>IF(B4&gt;B7,C13,C12)</f>
        <v>0.106</v>
      </c>
      <c r="D27" s="22">
        <f>B27*C27</f>
        <v>14.500800000000019</v>
      </c>
      <c r="E27" s="73">
        <f>B27</f>
        <v>136.80000000000018</v>
      </c>
      <c r="F27" s="257">
        <f>C27</f>
        <v>0.106</v>
      </c>
      <c r="G27" s="22">
        <f>E27*F27</f>
        <v>14.500800000000019</v>
      </c>
      <c r="H27" s="22">
        <f t="shared" si="2"/>
        <v>0</v>
      </c>
      <c r="I27" s="23">
        <f t="shared" si="10"/>
        <v>0</v>
      </c>
      <c r="J27" s="23">
        <f t="shared" ref="J27:J46" si="12">G27/$G$46</f>
        <v>4.4987187921394292E-2</v>
      </c>
      <c r="K27" s="108">
        <f t="shared" ref="K27:K41" si="13">G27/$G$51</f>
        <v>4.6102120989805116E-2</v>
      </c>
    </row>
    <row r="28" spans="1:11" s="1" customFormat="1" x14ac:dyDescent="0.2">
      <c r="A28" s="119" t="s">
        <v>74</v>
      </c>
      <c r="B28" s="120">
        <f>B8-B4</f>
        <v>136.80000000000018</v>
      </c>
      <c r="C28" s="257">
        <f>0.65*C15+0.17*C16+0.18*C17</f>
        <v>9.7519999999999996E-2</v>
      </c>
      <c r="D28" s="22">
        <f>B28*C28</f>
        <v>13.340736000000017</v>
      </c>
      <c r="E28" s="73">
        <f>B28</f>
        <v>136.80000000000018</v>
      </c>
      <c r="F28" s="257">
        <f>C28</f>
        <v>9.7519999999999996E-2</v>
      </c>
      <c r="G28" s="22">
        <f>E28*F28</f>
        <v>13.340736000000017</v>
      </c>
      <c r="H28" s="22">
        <f t="shared" si="2"/>
        <v>0</v>
      </c>
      <c r="I28" s="23">
        <f t="shared" si="10"/>
        <v>0</v>
      </c>
      <c r="J28" s="23">
        <f t="shared" si="12"/>
        <v>4.1388212887682747E-2</v>
      </c>
      <c r="K28" s="108">
        <f t="shared" si="13"/>
        <v>4.2413951310620701E-2</v>
      </c>
    </row>
    <row r="29" spans="1:11" s="1" customFormat="1" x14ac:dyDescent="0.2">
      <c r="A29" s="110" t="s">
        <v>78</v>
      </c>
      <c r="B29" s="74"/>
      <c r="C29" s="35"/>
      <c r="D29" s="35">
        <f>SUM(D25,D26:D27)</f>
        <v>91.190800000000024</v>
      </c>
      <c r="E29" s="73"/>
      <c r="F29" s="35"/>
      <c r="G29" s="35">
        <f>SUM(G25,G26:G27)</f>
        <v>88.520800000000037</v>
      </c>
      <c r="H29" s="35">
        <f t="shared" si="2"/>
        <v>-2.6699999999999875</v>
      </c>
      <c r="I29" s="36">
        <f t="shared" si="10"/>
        <v>-2.9279269399983186E-2</v>
      </c>
      <c r="J29" s="36">
        <f t="shared" si="12"/>
        <v>0.2746263561011914</v>
      </c>
      <c r="K29" s="111">
        <f t="shared" si="13"/>
        <v>0.28143251625526433</v>
      </c>
    </row>
    <row r="30" spans="1:11" s="1" customFormat="1" x14ac:dyDescent="0.2">
      <c r="A30" s="110" t="s">
        <v>77</v>
      </c>
      <c r="B30" s="74"/>
      <c r="C30" s="35"/>
      <c r="D30" s="35">
        <f>SUM(D25,D26,D28)</f>
        <v>90.030736000000033</v>
      </c>
      <c r="E30" s="73"/>
      <c r="F30" s="35"/>
      <c r="G30" s="35">
        <f>SUM(G25,G26,G28)</f>
        <v>87.360736000000031</v>
      </c>
      <c r="H30" s="35">
        <f t="shared" si="2"/>
        <v>-2.6700000000000017</v>
      </c>
      <c r="I30" s="36">
        <f t="shared" si="10"/>
        <v>-2.9656538629207703E-2</v>
      </c>
      <c r="J30" s="36">
        <f t="shared" si="12"/>
        <v>0.27102738106747987</v>
      </c>
      <c r="K30" s="111">
        <f t="shared" si="13"/>
        <v>0.27774434657607988</v>
      </c>
    </row>
    <row r="31" spans="1:11" x14ac:dyDescent="0.2">
      <c r="A31" s="107" t="s">
        <v>40</v>
      </c>
      <c r="B31" s="73">
        <f>B8</f>
        <v>1936.8000000000002</v>
      </c>
      <c r="C31" s="125">
        <f>VLOOKUP($B$3,'Data for Bill Impacts'!$A$3:$Y$15,15,0)</f>
        <v>7.2069999999999999E-3</v>
      </c>
      <c r="D31" s="22">
        <f>B31*C31</f>
        <v>13.9585176</v>
      </c>
      <c r="E31" s="73">
        <f t="shared" si="6"/>
        <v>1936.8000000000002</v>
      </c>
      <c r="F31" s="78">
        <f>VLOOKUP($B$3,'Data for Bill Impacts'!$A$3:$Y$15,24,0)</f>
        <v>7.1999999999999998E-3</v>
      </c>
      <c r="G31" s="22">
        <f>E31*F31</f>
        <v>13.944960000000002</v>
      </c>
      <c r="H31" s="22">
        <f t="shared" si="2"/>
        <v>-1.3557599999998615E-2</v>
      </c>
      <c r="I31" s="23">
        <f t="shared" si="10"/>
        <v>-9.7127792424022265E-4</v>
      </c>
      <c r="J31" s="23">
        <f t="shared" si="12"/>
        <v>4.3262753508518555E-2</v>
      </c>
      <c r="K31" s="108">
        <f t="shared" si="13"/>
        <v>4.4334949321278273E-2</v>
      </c>
    </row>
    <row r="32" spans="1:11" x14ac:dyDescent="0.2">
      <c r="A32" s="107" t="s">
        <v>41</v>
      </c>
      <c r="B32" s="73">
        <f>B8</f>
        <v>1936.8000000000002</v>
      </c>
      <c r="C32" s="125">
        <f>VLOOKUP($B$3,'Data for Bill Impacts'!$A$3:$Y$15,16,0)</f>
        <v>6.0319999999999992E-3</v>
      </c>
      <c r="D32" s="22">
        <f>B32*C32</f>
        <v>11.6827776</v>
      </c>
      <c r="E32" s="73">
        <f t="shared" si="6"/>
        <v>1936.8000000000002</v>
      </c>
      <c r="F32" s="78">
        <f>VLOOKUP($B$3,'Data for Bill Impacts'!$A$3:$Y$15,25,0)</f>
        <v>5.8999999999999999E-3</v>
      </c>
      <c r="G32" s="22">
        <f>E32*F32</f>
        <v>11.42712</v>
      </c>
      <c r="H32" s="22">
        <f t="shared" si="2"/>
        <v>-0.25565759999999926</v>
      </c>
      <c r="I32" s="23">
        <f t="shared" si="10"/>
        <v>-2.1883289124668373E-2</v>
      </c>
      <c r="J32" s="23">
        <f t="shared" si="12"/>
        <v>3.545142301392492E-2</v>
      </c>
      <c r="K32" s="108">
        <f t="shared" si="13"/>
        <v>3.6330027916047468E-2</v>
      </c>
    </row>
    <row r="33" spans="1:11" s="1" customFormat="1" x14ac:dyDescent="0.2">
      <c r="A33" s="110" t="s">
        <v>76</v>
      </c>
      <c r="B33" s="74"/>
      <c r="C33" s="35"/>
      <c r="D33" s="35">
        <f>SUM(D31:D32)</f>
        <v>25.641295200000002</v>
      </c>
      <c r="E33" s="73"/>
      <c r="F33" s="35"/>
      <c r="G33" s="35">
        <f>SUM(G31:G32)</f>
        <v>25.372080000000004</v>
      </c>
      <c r="H33" s="35">
        <f t="shared" si="2"/>
        <v>-0.26921519999999788</v>
      </c>
      <c r="I33" s="36">
        <f t="shared" si="10"/>
        <v>-1.0499282423143658E-2</v>
      </c>
      <c r="J33" s="36">
        <f t="shared" si="12"/>
        <v>7.8714176522443474E-2</v>
      </c>
      <c r="K33" s="111">
        <f t="shared" si="13"/>
        <v>8.0664977237325741E-2</v>
      </c>
    </row>
    <row r="34" spans="1:11" s="1" customFormat="1" x14ac:dyDescent="0.2">
      <c r="A34" s="110" t="s">
        <v>95</v>
      </c>
      <c r="B34" s="74"/>
      <c r="C34" s="35"/>
      <c r="D34" s="35">
        <f>D29+D33</f>
        <v>116.83209520000003</v>
      </c>
      <c r="E34" s="73"/>
      <c r="F34" s="35"/>
      <c r="G34" s="35">
        <f>G29+G33</f>
        <v>113.89288000000005</v>
      </c>
      <c r="H34" s="35">
        <f t="shared" si="2"/>
        <v>-2.9392151999999783</v>
      </c>
      <c r="I34" s="36">
        <f t="shared" si="10"/>
        <v>-2.5157600700119753E-2</v>
      </c>
      <c r="J34" s="36">
        <f t="shared" si="12"/>
        <v>0.35334053262363491</v>
      </c>
      <c r="K34" s="111">
        <f t="shared" si="13"/>
        <v>0.36209749349259007</v>
      </c>
    </row>
    <row r="35" spans="1:11" s="1" customFormat="1" x14ac:dyDescent="0.2">
      <c r="A35" s="110" t="s">
        <v>96</v>
      </c>
      <c r="B35" s="74"/>
      <c r="C35" s="35"/>
      <c r="D35" s="35">
        <f>D30+D33</f>
        <v>115.67203120000003</v>
      </c>
      <c r="E35" s="73"/>
      <c r="F35" s="35"/>
      <c r="G35" s="35">
        <f>G30+G33</f>
        <v>112.73281600000004</v>
      </c>
      <c r="H35" s="35">
        <f t="shared" si="2"/>
        <v>-2.9392151999999925</v>
      </c>
      <c r="I35" s="36">
        <f t="shared" si="10"/>
        <v>-2.5409903928444128E-2</v>
      </c>
      <c r="J35" s="36">
        <f t="shared" si="12"/>
        <v>0.34974155758992337</v>
      </c>
      <c r="K35" s="111">
        <f t="shared" si="13"/>
        <v>0.35840932381340568</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2"/>
        <v>0</v>
      </c>
      <c r="I36" s="23">
        <f t="shared" si="10"/>
        <v>0</v>
      </c>
      <c r="J36" s="23">
        <f t="shared" si="12"/>
        <v>2.1631376754259277E-2</v>
      </c>
      <c r="K36" s="108">
        <f t="shared" si="13"/>
        <v>2.2167474660639137E-2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10"/>
        <v>0</v>
      </c>
      <c r="J37" s="23">
        <f t="shared" si="12"/>
        <v>1.2618303106651243E-2</v>
      </c>
      <c r="K37" s="108">
        <f t="shared" si="13"/>
        <v>1.2931026885372829E-2</v>
      </c>
    </row>
    <row r="38" spans="1:11" x14ac:dyDescent="0.2">
      <c r="A38" s="107" t="s">
        <v>100</v>
      </c>
      <c r="B38" s="73">
        <f>B8</f>
        <v>1936.8000000000002</v>
      </c>
      <c r="C38" s="34">
        <v>0</v>
      </c>
      <c r="D38" s="22">
        <f>B38*C38</f>
        <v>0</v>
      </c>
      <c r="E38" s="73">
        <f t="shared" si="6"/>
        <v>1936.8000000000002</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7.7559837942379442E-4</v>
      </c>
      <c r="K39" s="108">
        <f t="shared" si="13"/>
        <v>7.9482030284199932E-4</v>
      </c>
    </row>
    <row r="40" spans="1:11" s="1" customFormat="1" x14ac:dyDescent="0.2">
      <c r="A40" s="110" t="s">
        <v>45</v>
      </c>
      <c r="B40" s="74"/>
      <c r="C40" s="35"/>
      <c r="D40" s="35">
        <f>SUM(D36:D39)</f>
        <v>11.289760000000001</v>
      </c>
      <c r="E40" s="73"/>
      <c r="F40" s="35"/>
      <c r="G40" s="35">
        <f>SUM(G36:G39)</f>
        <v>11.289760000000001</v>
      </c>
      <c r="H40" s="35">
        <f t="shared" si="2"/>
        <v>0</v>
      </c>
      <c r="I40" s="36">
        <f t="shared" si="10"/>
        <v>0</v>
      </c>
      <c r="J40" s="36">
        <f t="shared" si="12"/>
        <v>3.5025278240334315E-2</v>
      </c>
      <c r="K40" s="111">
        <f t="shared" si="13"/>
        <v>3.5893321848853965E-2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309.9218552000001</v>
      </c>
      <c r="E42" s="38"/>
      <c r="F42" s="39"/>
      <c r="G42" s="39">
        <f>SUM(G14,G25,G26,G27,G33,G40,G41)</f>
        <v>306.98264</v>
      </c>
      <c r="H42" s="39">
        <f t="shared" si="2"/>
        <v>-2.939215200000092</v>
      </c>
      <c r="I42" s="40">
        <f t="shared" si="10"/>
        <v>-9.4837300135008074E-3</v>
      </c>
      <c r="J42" s="40">
        <f t="shared" si="12"/>
        <v>0.95238095238095244</v>
      </c>
      <c r="K42" s="41"/>
    </row>
    <row r="43" spans="1:11" x14ac:dyDescent="0.2">
      <c r="A43" s="149" t="s">
        <v>138</v>
      </c>
      <c r="B43" s="43"/>
      <c r="C43" s="26">
        <v>0.13</v>
      </c>
      <c r="D43" s="26">
        <f>D42*C43</f>
        <v>40.289841176000017</v>
      </c>
      <c r="E43" s="26"/>
      <c r="F43" s="26">
        <f>C43</f>
        <v>0.13</v>
      </c>
      <c r="G43" s="26">
        <f>G42*F43</f>
        <v>39.907743199999999</v>
      </c>
      <c r="H43" s="26">
        <f t="shared" si="2"/>
        <v>-0.38209797600001849</v>
      </c>
      <c r="I43" s="44">
        <f t="shared" si="10"/>
        <v>-9.4837300135009669E-3</v>
      </c>
      <c r="J43" s="44">
        <f t="shared" si="12"/>
        <v>0.1238095238095238</v>
      </c>
      <c r="K43" s="45"/>
    </row>
    <row r="44" spans="1:11" s="1" customFormat="1" x14ac:dyDescent="0.2">
      <c r="A44" s="46" t="s">
        <v>139</v>
      </c>
      <c r="B44" s="24"/>
      <c r="C44" s="25"/>
      <c r="D44" s="25">
        <f>SUM(D42:D43)</f>
        <v>350.21169637600013</v>
      </c>
      <c r="E44" s="25"/>
      <c r="F44" s="25"/>
      <c r="G44" s="25">
        <f>SUM(G42:G43)</f>
        <v>346.89038319999997</v>
      </c>
      <c r="H44" s="25">
        <f t="shared" si="2"/>
        <v>-3.3213131760001602</v>
      </c>
      <c r="I44" s="27">
        <f t="shared" si="10"/>
        <v>-9.4837300135009669E-3</v>
      </c>
      <c r="J44" s="27">
        <f t="shared" si="12"/>
        <v>1.0761904761904761</v>
      </c>
      <c r="K44" s="47"/>
    </row>
    <row r="45" spans="1:11" x14ac:dyDescent="0.2">
      <c r="A45" s="42" t="s">
        <v>140</v>
      </c>
      <c r="B45" s="43"/>
      <c r="C45" s="26">
        <v>-0.08</v>
      </c>
      <c r="D45" s="26">
        <f>D42*C45</f>
        <v>-24.793748416000007</v>
      </c>
      <c r="E45" s="26"/>
      <c r="F45" s="26">
        <f>C45</f>
        <v>-0.08</v>
      </c>
      <c r="G45" s="26">
        <f>G42*F45</f>
        <v>-24.558611200000001</v>
      </c>
      <c r="H45" s="26">
        <f t="shared" si="2"/>
        <v>0.23513721600000537</v>
      </c>
      <c r="I45" s="44">
        <f t="shared" si="10"/>
        <v>9.4837300135007276E-3</v>
      </c>
      <c r="J45" s="44">
        <f t="shared" si="12"/>
        <v>-7.6190476190476197E-2</v>
      </c>
      <c r="K45" s="45"/>
    </row>
    <row r="46" spans="1:11" s="1" customFormat="1" ht="13.5" thickBot="1" x14ac:dyDescent="0.25">
      <c r="A46" s="48" t="s">
        <v>141</v>
      </c>
      <c r="B46" s="49"/>
      <c r="C46" s="50"/>
      <c r="D46" s="50">
        <f>SUM(D44:D45)</f>
        <v>325.41794796000011</v>
      </c>
      <c r="E46" s="50"/>
      <c r="F46" s="50"/>
      <c r="G46" s="50">
        <f>SUM(G44:G45)</f>
        <v>322.331772</v>
      </c>
      <c r="H46" s="50">
        <f t="shared" si="2"/>
        <v>-3.0861759600001051</v>
      </c>
      <c r="I46" s="51">
        <f t="shared" si="10"/>
        <v>-9.4837300135008334E-3</v>
      </c>
      <c r="J46" s="51">
        <f t="shared" si="12"/>
        <v>1</v>
      </c>
      <c r="K46" s="52"/>
    </row>
    <row r="47" spans="1:11" x14ac:dyDescent="0.2">
      <c r="A47" s="53" t="s">
        <v>142</v>
      </c>
      <c r="B47" s="54"/>
      <c r="C47" s="55"/>
      <c r="D47" s="55">
        <f>SUM(D18,D25,D26,D28,D33,D40,D41)</f>
        <v>302.49779119999999</v>
      </c>
      <c r="E47" s="55"/>
      <c r="F47" s="55"/>
      <c r="G47" s="55">
        <f>SUM(G18,G25,G26,G28,G33,G40,G41)</f>
        <v>299.55857600000002</v>
      </c>
      <c r="H47" s="55">
        <f>G47-D47</f>
        <v>-2.9392151999999783</v>
      </c>
      <c r="I47" s="56">
        <f t="shared" si="10"/>
        <v>-9.7164848323030607E-3</v>
      </c>
      <c r="J47" s="56"/>
      <c r="K47" s="57">
        <f>G47/$G$51</f>
        <v>0.95238095238095233</v>
      </c>
    </row>
    <row r="48" spans="1:11" x14ac:dyDescent="0.2">
      <c r="A48" s="58" t="s">
        <v>138</v>
      </c>
      <c r="B48" s="59"/>
      <c r="C48" s="31">
        <v>0.13</v>
      </c>
      <c r="D48" s="31">
        <f>D47*C48</f>
        <v>39.324712855999998</v>
      </c>
      <c r="E48" s="31"/>
      <c r="F48" s="31">
        <f>C48</f>
        <v>0.13</v>
      </c>
      <c r="G48" s="31">
        <f>G47*F48</f>
        <v>38.942614880000001</v>
      </c>
      <c r="H48" s="31">
        <f>G48-D48</f>
        <v>-0.38209797599999717</v>
      </c>
      <c r="I48" s="32">
        <f t="shared" si="10"/>
        <v>-9.7164848323030607E-3</v>
      </c>
      <c r="J48" s="32"/>
      <c r="K48" s="60">
        <f>G48/$G$51</f>
        <v>0.1238095238095238</v>
      </c>
    </row>
    <row r="49" spans="1:11" x14ac:dyDescent="0.2">
      <c r="A49" s="61" t="s">
        <v>143</v>
      </c>
      <c r="B49" s="29"/>
      <c r="C49" s="30"/>
      <c r="D49" s="30">
        <f>SUM(D47:D48)</f>
        <v>341.82250405600001</v>
      </c>
      <c r="E49" s="30"/>
      <c r="F49" s="30"/>
      <c r="G49" s="30">
        <f>SUM(G47:G48)</f>
        <v>338.50119088000002</v>
      </c>
      <c r="H49" s="30">
        <f>G49-D49</f>
        <v>-3.3213131759999897</v>
      </c>
      <c r="I49" s="33">
        <f t="shared" si="10"/>
        <v>-9.7164848323031024E-3</v>
      </c>
      <c r="J49" s="33"/>
      <c r="K49" s="62">
        <f>G49/$G$51</f>
        <v>1.0761904761904761</v>
      </c>
    </row>
    <row r="50" spans="1:11" x14ac:dyDescent="0.2">
      <c r="A50" s="58" t="s">
        <v>140</v>
      </c>
      <c r="B50" s="59"/>
      <c r="C50" s="31">
        <v>-0.08</v>
      </c>
      <c r="D50" s="31">
        <f>D47*C50</f>
        <v>-24.199823296000002</v>
      </c>
      <c r="E50" s="31"/>
      <c r="F50" s="31">
        <f>C50</f>
        <v>-0.08</v>
      </c>
      <c r="G50" s="31">
        <f>G47*F50</f>
        <v>-23.964686080000003</v>
      </c>
      <c r="H50" s="31">
        <f>G50-D50</f>
        <v>0.23513721599999826</v>
      </c>
      <c r="I50" s="32">
        <f t="shared" si="10"/>
        <v>9.7164848323030607E-3</v>
      </c>
      <c r="J50" s="32"/>
      <c r="K50" s="60">
        <f>G50/$G$51</f>
        <v>-7.6190476190476183E-2</v>
      </c>
    </row>
    <row r="51" spans="1:11" ht="13.5" thickBot="1" x14ac:dyDescent="0.25">
      <c r="A51" s="63" t="s">
        <v>144</v>
      </c>
      <c r="B51" s="64"/>
      <c r="C51" s="65"/>
      <c r="D51" s="65">
        <f>SUM(D49:D50)</f>
        <v>317.62268076000004</v>
      </c>
      <c r="E51" s="65"/>
      <c r="F51" s="65"/>
      <c r="G51" s="65">
        <f>SUM(G49:G50)</f>
        <v>314.53650480000005</v>
      </c>
      <c r="H51" s="65">
        <f>G51-D51</f>
        <v>-3.0861759599999914</v>
      </c>
      <c r="I51" s="66">
        <f t="shared" si="10"/>
        <v>-9.7164848323031041E-3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theme="1" tint="0.499984740745262"/>
    <pageSetUpPr fitToPage="1"/>
  </sheetPr>
  <dimension ref="A1:K68"/>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1</v>
      </c>
    </row>
    <row r="4" spans="1:11" x14ac:dyDescent="0.2">
      <c r="A4" s="15" t="s">
        <v>62</v>
      </c>
      <c r="B4" s="79">
        <f>'Data for Bill Impacts_HONI Avg '!C4</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81">
        <f>B4*B6</f>
        <v>989.92000000000007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0.29117556175157244</v>
      </c>
      <c r="K12" s="106"/>
    </row>
    <row r="13" spans="1:11" x14ac:dyDescent="0.2">
      <c r="A13" s="107" t="s">
        <v>32</v>
      </c>
      <c r="B13" s="73">
        <f>IF(B4&gt;B7,(B4)-B7,0)</f>
        <v>320</v>
      </c>
      <c r="C13" s="21">
        <v>0.106</v>
      </c>
      <c r="D13" s="22">
        <f>B13*C13</f>
        <v>33.92</v>
      </c>
      <c r="E13" s="73">
        <f t="shared" ref="E13" si="1">B13</f>
        <v>320</v>
      </c>
      <c r="F13" s="21">
        <f>C13</f>
        <v>0.106</v>
      </c>
      <c r="G13" s="22">
        <f>E13*F13</f>
        <v>33.92</v>
      </c>
      <c r="H13" s="22">
        <f t="shared" ref="H13:H46" si="2">G13-D13</f>
        <v>0</v>
      </c>
      <c r="I13" s="23">
        <f t="shared" si="0"/>
        <v>0</v>
      </c>
      <c r="J13" s="23">
        <f>G13/$G$46</f>
        <v>0.18089148451672779</v>
      </c>
      <c r="K13" s="108"/>
    </row>
    <row r="14" spans="1:11" s="1" customFormat="1" x14ac:dyDescent="0.2">
      <c r="A14" s="46" t="s">
        <v>33</v>
      </c>
      <c r="B14" s="24"/>
      <c r="C14" s="25"/>
      <c r="D14" s="25">
        <f>SUM(D12:D13)</f>
        <v>88.52000000000001</v>
      </c>
      <c r="E14" s="76"/>
      <c r="F14" s="25"/>
      <c r="G14" s="25">
        <f>SUM(G12:G13)</f>
        <v>88.52000000000001</v>
      </c>
      <c r="H14" s="25">
        <f t="shared" si="2"/>
        <v>0</v>
      </c>
      <c r="I14" s="27">
        <f t="shared" si="0"/>
        <v>0</v>
      </c>
      <c r="J14" s="27">
        <f>G14/$G$46</f>
        <v>0.47206704626830026</v>
      </c>
      <c r="K14" s="108"/>
    </row>
    <row r="15" spans="1:11" s="1" customFormat="1" x14ac:dyDescent="0.2">
      <c r="A15" s="109" t="s">
        <v>34</v>
      </c>
      <c r="B15" s="75">
        <f>B4*0.65</f>
        <v>598</v>
      </c>
      <c r="C15" s="28">
        <v>7.6999999999999999E-2</v>
      </c>
      <c r="D15" s="22">
        <f>B15*C15</f>
        <v>46.045999999999999</v>
      </c>
      <c r="E15" s="73">
        <f t="shared" ref="E15:F17" si="3">B15</f>
        <v>598</v>
      </c>
      <c r="F15" s="28">
        <f t="shared" si="3"/>
        <v>7.6999999999999999E-2</v>
      </c>
      <c r="G15" s="22">
        <f>E15*F15</f>
        <v>46.045999999999999</v>
      </c>
      <c r="H15" s="22">
        <f t="shared" si="2"/>
        <v>0</v>
      </c>
      <c r="I15" s="23">
        <f t="shared" si="0"/>
        <v>0</v>
      </c>
      <c r="J15" s="23"/>
      <c r="K15" s="108">
        <f t="shared" ref="K15:K26" si="4">G15/$G$51</f>
        <v>0.24472833149161308</v>
      </c>
    </row>
    <row r="16" spans="1:11" s="1" customFormat="1" x14ac:dyDescent="0.2">
      <c r="A16" s="109" t="s">
        <v>35</v>
      </c>
      <c r="B16" s="75">
        <f>B4*0.17</f>
        <v>156.4</v>
      </c>
      <c r="C16" s="28">
        <v>0.113</v>
      </c>
      <c r="D16" s="22">
        <f>B16*C16</f>
        <v>17.673200000000001</v>
      </c>
      <c r="E16" s="73">
        <f t="shared" si="3"/>
        <v>156.4</v>
      </c>
      <c r="F16" s="28">
        <f t="shared" si="3"/>
        <v>0.113</v>
      </c>
      <c r="G16" s="22">
        <f>E16*F16</f>
        <v>17.673200000000001</v>
      </c>
      <c r="H16" s="22">
        <f t="shared" si="2"/>
        <v>0</v>
      </c>
      <c r="I16" s="23">
        <f t="shared" si="0"/>
        <v>0</v>
      </c>
      <c r="J16" s="23"/>
      <c r="K16" s="108">
        <f t="shared" si="4"/>
        <v>9.3930694264812944E-2</v>
      </c>
    </row>
    <row r="17" spans="1:11" s="1" customFormat="1" x14ac:dyDescent="0.2">
      <c r="A17" s="109" t="s">
        <v>36</v>
      </c>
      <c r="B17" s="75">
        <f>B4*0.18</f>
        <v>165.6</v>
      </c>
      <c r="C17" s="28">
        <v>0.157</v>
      </c>
      <c r="D17" s="22">
        <f>B17*C17</f>
        <v>25.999199999999998</v>
      </c>
      <c r="E17" s="73">
        <f t="shared" si="3"/>
        <v>165.6</v>
      </c>
      <c r="F17" s="28">
        <f t="shared" si="3"/>
        <v>0.157</v>
      </c>
      <c r="G17" s="22">
        <f>E17*F17</f>
        <v>25.999199999999998</v>
      </c>
      <c r="H17" s="22">
        <f t="shared" si="2"/>
        <v>0</v>
      </c>
      <c r="I17" s="23">
        <f t="shared" si="0"/>
        <v>0</v>
      </c>
      <c r="J17" s="23"/>
      <c r="K17" s="108">
        <f t="shared" si="4"/>
        <v>0.13818227068837133</v>
      </c>
    </row>
    <row r="18" spans="1:11" s="1" customFormat="1" x14ac:dyDescent="0.2">
      <c r="A18" s="61" t="s">
        <v>37</v>
      </c>
      <c r="B18" s="29"/>
      <c r="C18" s="30"/>
      <c r="D18" s="30">
        <f>SUM(D15:D17)</f>
        <v>89.718400000000003</v>
      </c>
      <c r="E18" s="77"/>
      <c r="F18" s="30"/>
      <c r="G18" s="30">
        <f>SUM(G15:G17)</f>
        <v>89.718400000000003</v>
      </c>
      <c r="H18" s="31">
        <f t="shared" si="2"/>
        <v>0</v>
      </c>
      <c r="I18" s="32">
        <f t="shared" si="0"/>
        <v>0</v>
      </c>
      <c r="J18" s="33">
        <f t="shared" ref="J18:J23" si="5">G18/$G$46</f>
        <v>0.47845797654674499</v>
      </c>
      <c r="K18" s="62">
        <f t="shared" si="4"/>
        <v>0.47684129644479734</v>
      </c>
    </row>
    <row r="19" spans="1:11" x14ac:dyDescent="0.2">
      <c r="A19" s="107" t="s">
        <v>38</v>
      </c>
      <c r="B19" s="73">
        <v>1</v>
      </c>
      <c r="C19" s="78">
        <f>VLOOKUP($B$3,'Data for Bill Impacts'!$A$3:$Y$15,7,0)</f>
        <v>47.06</v>
      </c>
      <c r="D19" s="22">
        <f>B19*C19</f>
        <v>47.06</v>
      </c>
      <c r="E19" s="73">
        <f t="shared" ref="E19:E41" si="6">B19</f>
        <v>1</v>
      </c>
      <c r="F19" s="78">
        <f>VLOOKUP($B$3,'Data for Bill Impacts'!$A$3:$Y$15,17,0)</f>
        <v>52.31</v>
      </c>
      <c r="G19" s="22">
        <f>E19*F19</f>
        <v>52.31</v>
      </c>
      <c r="H19" s="22">
        <f t="shared" si="2"/>
        <v>5.25</v>
      </c>
      <c r="I19" s="23">
        <f>IF(ISERROR(H19/ABS(D19)),"N/A",(H19/ABS(D19)))</f>
        <v>0.11155971100722481</v>
      </c>
      <c r="J19" s="23">
        <f t="shared" si="5"/>
        <v>0.27896325339239481</v>
      </c>
      <c r="K19" s="108">
        <f t="shared" si="4"/>
        <v>0.27802065370121792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4.0000000000000001E-3</v>
      </c>
      <c r="D22" s="22">
        <f t="shared" si="9"/>
        <v>4.0000000000000001E-3</v>
      </c>
      <c r="E22" s="73">
        <f t="shared" si="6"/>
        <v>1</v>
      </c>
      <c r="F22" s="121">
        <f>VLOOKUP($B$3,'Data for Bill Impacts'!$A$3:$Y$15,22,0)</f>
        <v>4.0000000000000001E-3</v>
      </c>
      <c r="G22" s="22">
        <f t="shared" si="7"/>
        <v>4.0000000000000001E-3</v>
      </c>
      <c r="H22" s="22">
        <f t="shared" si="2"/>
        <v>0</v>
      </c>
      <c r="I22" s="23">
        <f t="shared" ref="I22:I51" si="10">IF(ISERROR(H22/ABS(D22)),"N/A",(H22/ABS(D22)))</f>
        <v>0</v>
      </c>
      <c r="J22" s="23">
        <f t="shared" si="5"/>
        <v>2.1331542985463182E-5</v>
      </c>
      <c r="K22" s="108">
        <f t="shared" si="4"/>
        <v>2.1259465012519052E-5</v>
      </c>
    </row>
    <row r="23" spans="1:11" x14ac:dyDescent="0.2">
      <c r="A23" s="107" t="s">
        <v>39</v>
      </c>
      <c r="B23" s="73">
        <f>IF($B$9="kWh",$B$4,$B$5)</f>
        <v>920</v>
      </c>
      <c r="C23" s="125">
        <f>VLOOKUP($B$3,'Data for Bill Impacts'!$A$3:$Y$15,10,0)</f>
        <v>1.6E-2</v>
      </c>
      <c r="D23" s="22">
        <f>B23*C23</f>
        <v>14.72</v>
      </c>
      <c r="E23" s="73">
        <f t="shared" si="6"/>
        <v>920</v>
      </c>
      <c r="F23" s="125">
        <f>VLOOKUP($B$3,'Data for Bill Impacts'!$A$3:$Y$15,19,0)</f>
        <v>1.1599999999999999E-2</v>
      </c>
      <c r="G23" s="22">
        <f>E23*F23</f>
        <v>10.671999999999999</v>
      </c>
      <c r="H23" s="22">
        <f t="shared" si="2"/>
        <v>-4.0480000000000018</v>
      </c>
      <c r="I23" s="23">
        <f t="shared" si="10"/>
        <v>-0.27500000000000013</v>
      </c>
      <c r="J23" s="23">
        <f t="shared" si="5"/>
        <v>5.6912556685215762E-2</v>
      </c>
      <c r="K23" s="108">
        <f t="shared" si="4"/>
        <v>5.6720252653400825E-2</v>
      </c>
    </row>
    <row r="24" spans="1:11" x14ac:dyDescent="0.2">
      <c r="A24" s="107" t="s">
        <v>199</v>
      </c>
      <c r="B24" s="73">
        <f>IF($B$9="kWh",$B$4,$B$5)</f>
        <v>920</v>
      </c>
      <c r="C24" s="125">
        <f>VLOOKUP($B$3,'Data for Bill Impacts'!$A$3:$Y$15,14,0)</f>
        <v>2.0000000000000002E-5</v>
      </c>
      <c r="D24" s="22">
        <f>B24*C24</f>
        <v>1.8400000000000003E-2</v>
      </c>
      <c r="E24" s="73">
        <f t="shared" si="6"/>
        <v>920</v>
      </c>
      <c r="F24" s="125">
        <f>VLOOKUP($B$3,'Data for Bill Impacts'!$A$3:$Y$15,23,0)</f>
        <v>2.0000000000000002E-5</v>
      </c>
      <c r="G24" s="22">
        <f>E24*F24</f>
        <v>1.8400000000000003E-2</v>
      </c>
      <c r="H24" s="22">
        <f t="shared" si="2"/>
        <v>0</v>
      </c>
      <c r="I24" s="23">
        <f t="shared" si="10"/>
        <v>0</v>
      </c>
      <c r="J24" s="23">
        <f t="shared" ref="J24" si="11">G24/$G$46</f>
        <v>9.8125097733130657E-5</v>
      </c>
      <c r="K24" s="108">
        <f t="shared" si="4"/>
        <v>9.7793539057587661E-5</v>
      </c>
    </row>
    <row r="25" spans="1:11" s="1" customFormat="1" x14ac:dyDescent="0.2">
      <c r="A25" s="110" t="s">
        <v>72</v>
      </c>
      <c r="B25" s="74"/>
      <c r="C25" s="35"/>
      <c r="D25" s="35">
        <f>SUM(D19:D24)</f>
        <v>61.802399999999999</v>
      </c>
      <c r="E25" s="73"/>
      <c r="F25" s="35"/>
      <c r="G25" s="35">
        <f>SUM(G19:G24)</f>
        <v>63.004399999999997</v>
      </c>
      <c r="H25" s="35">
        <f t="shared" si="2"/>
        <v>1.2019999999999982</v>
      </c>
      <c r="I25" s="36">
        <f t="shared" si="10"/>
        <v>1.9449082883512585E-2</v>
      </c>
      <c r="J25" s="36">
        <f>G25/$G$46</f>
        <v>0.33599526671832913</v>
      </c>
      <c r="K25" s="111">
        <f t="shared" si="4"/>
        <v>0.33485995935868884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4.2129797396289791E-3</v>
      </c>
      <c r="K26" s="108">
        <f t="shared" si="4"/>
        <v>4.1987443399725127E-3</v>
      </c>
    </row>
    <row r="27" spans="1:11" s="1" customFormat="1" x14ac:dyDescent="0.2">
      <c r="A27" s="119" t="s">
        <v>75</v>
      </c>
      <c r="B27" s="120">
        <f>B8-B4</f>
        <v>69.920000000000073</v>
      </c>
      <c r="C27" s="257">
        <f>IF(B4&gt;B7,C13,C12)</f>
        <v>0.106</v>
      </c>
      <c r="D27" s="22">
        <f>B27*C27</f>
        <v>7.4115200000000074</v>
      </c>
      <c r="E27" s="73">
        <f>B27</f>
        <v>69.920000000000073</v>
      </c>
      <c r="F27" s="257">
        <f>C27</f>
        <v>0.106</v>
      </c>
      <c r="G27" s="22">
        <f>E27*F27</f>
        <v>7.4115200000000074</v>
      </c>
      <c r="H27" s="22">
        <f t="shared" si="2"/>
        <v>0</v>
      </c>
      <c r="I27" s="23">
        <f t="shared" si="10"/>
        <v>0</v>
      </c>
      <c r="J27" s="23">
        <f t="shared" ref="J27:J46" si="12">G27/$G$46</f>
        <v>3.952478936690506E-2</v>
      </c>
      <c r="K27" s="108">
        <f t="shared" ref="K27:K41" si="13">G27/$G$51</f>
        <v>3.9391237532396345E-2</v>
      </c>
    </row>
    <row r="28" spans="1:11" s="1" customFormat="1" x14ac:dyDescent="0.2">
      <c r="A28" s="119" t="s">
        <v>74</v>
      </c>
      <c r="B28" s="120">
        <f>B8-B4</f>
        <v>69.920000000000073</v>
      </c>
      <c r="C28" s="257">
        <f>0.65*C15+0.17*C16+0.18*C17</f>
        <v>9.7519999999999996E-2</v>
      </c>
      <c r="D28" s="22">
        <f>B28*C28</f>
        <v>6.8185984000000071</v>
      </c>
      <c r="E28" s="73">
        <f>B28</f>
        <v>69.920000000000073</v>
      </c>
      <c r="F28" s="257">
        <f>C28</f>
        <v>9.7519999999999996E-2</v>
      </c>
      <c r="G28" s="22">
        <f>E28*F28</f>
        <v>6.8185984000000071</v>
      </c>
      <c r="H28" s="22">
        <f t="shared" si="2"/>
        <v>0</v>
      </c>
      <c r="I28" s="23">
        <f t="shared" si="10"/>
        <v>0</v>
      </c>
      <c r="J28" s="23">
        <f t="shared" si="12"/>
        <v>3.6362806217552654E-2</v>
      </c>
      <c r="K28" s="108">
        <f t="shared" si="13"/>
        <v>3.6239938529804637E-2</v>
      </c>
    </row>
    <row r="29" spans="1:11" s="1" customFormat="1" x14ac:dyDescent="0.2">
      <c r="A29" s="110" t="s">
        <v>78</v>
      </c>
      <c r="B29" s="74"/>
      <c r="C29" s="35"/>
      <c r="D29" s="35">
        <f>SUM(D25,D26:D27)</f>
        <v>70.003920000000008</v>
      </c>
      <c r="E29" s="73"/>
      <c r="F29" s="35"/>
      <c r="G29" s="35">
        <f>SUM(G25,G26:G27)</f>
        <v>71.205920000000006</v>
      </c>
      <c r="H29" s="35">
        <f t="shared" si="2"/>
        <v>1.2019999999999982</v>
      </c>
      <c r="I29" s="36">
        <f t="shared" si="10"/>
        <v>1.7170467025275127E-2</v>
      </c>
      <c r="J29" s="36">
        <f t="shared" si="12"/>
        <v>0.37973303582486317</v>
      </c>
      <c r="K29" s="111">
        <f t="shared" si="13"/>
        <v>0.37844994123105768</v>
      </c>
    </row>
    <row r="30" spans="1:11" s="1" customFormat="1" x14ac:dyDescent="0.2">
      <c r="A30" s="110" t="s">
        <v>77</v>
      </c>
      <c r="B30" s="74"/>
      <c r="C30" s="35"/>
      <c r="D30" s="35">
        <f>SUM(D25,D26,D28)</f>
        <v>69.410998400000011</v>
      </c>
      <c r="E30" s="73"/>
      <c r="F30" s="35"/>
      <c r="G30" s="35">
        <f>SUM(G25,G26,G28)</f>
        <v>70.612998400000009</v>
      </c>
      <c r="H30" s="35">
        <f t="shared" si="2"/>
        <v>1.2019999999999982</v>
      </c>
      <c r="I30" s="36">
        <f t="shared" si="10"/>
        <v>1.731714033377163E-2</v>
      </c>
      <c r="J30" s="36">
        <f t="shared" si="12"/>
        <v>0.37657105267551078</v>
      </c>
      <c r="K30" s="111">
        <f t="shared" si="13"/>
        <v>0.37529864222846604</v>
      </c>
    </row>
    <row r="31" spans="1:11" x14ac:dyDescent="0.2">
      <c r="A31" s="107" t="s">
        <v>40</v>
      </c>
      <c r="B31" s="73">
        <f>B8</f>
        <v>989.92000000000007</v>
      </c>
      <c r="C31" s="125">
        <f>VLOOKUP($B$3,'Data for Bill Impacts'!$A$3:$Y$15,15,0)</f>
        <v>7.2069999999999999E-3</v>
      </c>
      <c r="D31" s="22">
        <f>B31*C31</f>
        <v>7.1343534400000008</v>
      </c>
      <c r="E31" s="73">
        <f t="shared" si="6"/>
        <v>989.92000000000007</v>
      </c>
      <c r="F31" s="78">
        <f>VLOOKUP($B$3,'Data for Bill Impacts'!$A$3:$Y$15,24,0)</f>
        <v>7.1999999999999998E-3</v>
      </c>
      <c r="G31" s="22">
        <f>E31*F31</f>
        <v>7.1274240000000004</v>
      </c>
      <c r="H31" s="22">
        <f t="shared" si="2"/>
        <v>-6.9294400000003975E-3</v>
      </c>
      <c r="I31" s="23">
        <f t="shared" si="10"/>
        <v>-9.7127792424037747E-4</v>
      </c>
      <c r="J31" s="23">
        <f t="shared" si="12"/>
        <v>3.8009737857905485E-2</v>
      </c>
      <c r="K31" s="108">
        <f t="shared" si="13"/>
        <v>3.7881305289347154E-2</v>
      </c>
    </row>
    <row r="32" spans="1:11" x14ac:dyDescent="0.2">
      <c r="A32" s="107" t="s">
        <v>41</v>
      </c>
      <c r="B32" s="73">
        <f>B8</f>
        <v>989.92000000000007</v>
      </c>
      <c r="C32" s="125">
        <f>VLOOKUP($B$3,'Data for Bill Impacts'!$A$3:$Y$15,16,0)</f>
        <v>6.0319999999999992E-3</v>
      </c>
      <c r="D32" s="22">
        <f>B32*C32</f>
        <v>5.9711974399999992</v>
      </c>
      <c r="E32" s="73">
        <f t="shared" si="6"/>
        <v>989.92000000000007</v>
      </c>
      <c r="F32" s="78">
        <f>VLOOKUP($B$3,'Data for Bill Impacts'!$A$3:$Y$15,25,0)</f>
        <v>5.8999999999999999E-3</v>
      </c>
      <c r="G32" s="22">
        <f>E32*F32</f>
        <v>5.8405279999999999</v>
      </c>
      <c r="H32" s="22">
        <f t="shared" si="2"/>
        <v>-0.13066943999999925</v>
      </c>
      <c r="I32" s="23">
        <f t="shared" si="10"/>
        <v>-2.1883289124668311E-2</v>
      </c>
      <c r="J32" s="23">
        <f t="shared" si="12"/>
        <v>3.1146868522450327E-2</v>
      </c>
      <c r="K32" s="108">
        <f t="shared" si="13"/>
        <v>3.1041625167659469E-2</v>
      </c>
    </row>
    <row r="33" spans="1:11" s="1" customFormat="1" x14ac:dyDescent="0.2">
      <c r="A33" s="110" t="s">
        <v>76</v>
      </c>
      <c r="B33" s="74"/>
      <c r="C33" s="35"/>
      <c r="D33" s="35">
        <f>SUM(D31:D32)</f>
        <v>13.105550879999999</v>
      </c>
      <c r="E33" s="73"/>
      <c r="F33" s="35"/>
      <c r="G33" s="35">
        <f>SUM(G31:G32)</f>
        <v>12.967952</v>
      </c>
      <c r="H33" s="35">
        <f t="shared" si="2"/>
        <v>-0.13759887999999876</v>
      </c>
      <c r="I33" s="36">
        <f t="shared" si="10"/>
        <v>-1.0499282423143647E-2</v>
      </c>
      <c r="J33" s="36">
        <f t="shared" si="12"/>
        <v>6.9156606380355812E-2</v>
      </c>
      <c r="K33" s="111">
        <f t="shared" si="13"/>
        <v>6.892293045700662E-2</v>
      </c>
    </row>
    <row r="34" spans="1:11" s="1" customFormat="1" x14ac:dyDescent="0.2">
      <c r="A34" s="110" t="s">
        <v>95</v>
      </c>
      <c r="B34" s="74"/>
      <c r="C34" s="35"/>
      <c r="D34" s="35">
        <f>D29+D33</f>
        <v>83.109470880000003</v>
      </c>
      <c r="E34" s="73"/>
      <c r="F34" s="35"/>
      <c r="G34" s="35">
        <f>G29+G33</f>
        <v>84.173872000000003</v>
      </c>
      <c r="H34" s="35">
        <f t="shared" si="2"/>
        <v>1.0644011199999994</v>
      </c>
      <c r="I34" s="36">
        <f t="shared" si="10"/>
        <v>1.2807218103179427E-2</v>
      </c>
      <c r="J34" s="36">
        <f t="shared" si="12"/>
        <v>0.44888964220521893</v>
      </c>
      <c r="K34" s="111">
        <f t="shared" si="13"/>
        <v>0.44737287168806428</v>
      </c>
    </row>
    <row r="35" spans="1:11" s="1" customFormat="1" x14ac:dyDescent="0.2">
      <c r="A35" s="110" t="s">
        <v>96</v>
      </c>
      <c r="B35" s="74"/>
      <c r="C35" s="35"/>
      <c r="D35" s="35">
        <f>D30+D33</f>
        <v>82.516549280000007</v>
      </c>
      <c r="E35" s="73"/>
      <c r="F35" s="35"/>
      <c r="G35" s="35">
        <f>G30+G33</f>
        <v>83.580950400000006</v>
      </c>
      <c r="H35" s="35">
        <f t="shared" si="2"/>
        <v>1.0644011199999994</v>
      </c>
      <c r="I35" s="36">
        <f t="shared" si="10"/>
        <v>1.2899244203586494E-2</v>
      </c>
      <c r="J35" s="36">
        <f t="shared" si="12"/>
        <v>0.44572765905586659</v>
      </c>
      <c r="K35" s="111">
        <f t="shared" si="13"/>
        <v>0.44422157268547263</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2"/>
        <v>0</v>
      </c>
      <c r="I36" s="23">
        <f t="shared" si="10"/>
        <v>0</v>
      </c>
      <c r="J36" s="23">
        <f t="shared" si="12"/>
        <v>1.9004868928952742E-2</v>
      </c>
      <c r="K36" s="108">
        <f t="shared" si="13"/>
        <v>1.8940652644673577E-2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10"/>
        <v>0</v>
      </c>
      <c r="J37" s="23">
        <f t="shared" si="12"/>
        <v>1.1086173541889101E-2</v>
      </c>
      <c r="K37" s="108">
        <f t="shared" si="13"/>
        <v>1.1048714042726253E-2</v>
      </c>
    </row>
    <row r="38" spans="1:11" x14ac:dyDescent="0.2">
      <c r="A38" s="107" t="s">
        <v>100</v>
      </c>
      <c r="B38" s="73">
        <f>B8</f>
        <v>989.92000000000007</v>
      </c>
      <c r="C38" s="34">
        <v>0</v>
      </c>
      <c r="D38" s="22">
        <f>B38*C38</f>
        <v>0</v>
      </c>
      <c r="E38" s="73">
        <f t="shared" si="6"/>
        <v>989.92000000000007</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1.3332214365914489E-3</v>
      </c>
      <c r="K39" s="108">
        <f t="shared" si="13"/>
        <v>1.3287165632824408E-3</v>
      </c>
    </row>
    <row r="40" spans="1:11" s="1" customFormat="1" x14ac:dyDescent="0.2">
      <c r="A40" s="110" t="s">
        <v>45</v>
      </c>
      <c r="B40" s="74"/>
      <c r="C40" s="35"/>
      <c r="D40" s="35">
        <f>SUM(D36:D39)</f>
        <v>5.8925440000000009</v>
      </c>
      <c r="E40" s="73"/>
      <c r="F40" s="35"/>
      <c r="G40" s="35">
        <f>SUM(G36:G39)</f>
        <v>5.8925440000000009</v>
      </c>
      <c r="H40" s="35">
        <f t="shared" si="2"/>
        <v>0</v>
      </c>
      <c r="I40" s="36">
        <f t="shared" si="10"/>
        <v>0</v>
      </c>
      <c r="J40" s="36">
        <f t="shared" si="12"/>
        <v>3.1424263907433296E-2</v>
      </c>
      <c r="K40" s="111">
        <f t="shared" si="13"/>
        <v>3.131808325068227E-2</v>
      </c>
    </row>
    <row r="41" spans="1:11" s="1" customFormat="1" ht="13.5" thickBot="1" x14ac:dyDescent="0.25">
      <c r="A41" s="112" t="s">
        <v>46</v>
      </c>
      <c r="B41" s="113">
        <f>B4</f>
        <v>920</v>
      </c>
      <c r="C41" s="114">
        <v>0</v>
      </c>
      <c r="D41" s="115">
        <f>B41*C41</f>
        <v>0</v>
      </c>
      <c r="E41" s="116">
        <f t="shared" si="6"/>
        <v>920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177.52201488000003</v>
      </c>
      <c r="E42" s="38"/>
      <c r="F42" s="39"/>
      <c r="G42" s="39">
        <f>SUM(G14,G25,G26,G27,G33,G40,G41)</f>
        <v>178.58641599999999</v>
      </c>
      <c r="H42" s="39">
        <f t="shared" si="2"/>
        <v>1.0644011199999568</v>
      </c>
      <c r="I42" s="40">
        <f t="shared" si="10"/>
        <v>5.9958823739098641E-3</v>
      </c>
      <c r="J42" s="40">
        <f t="shared" si="12"/>
        <v>0.95238095238095233</v>
      </c>
      <c r="K42" s="41"/>
    </row>
    <row r="43" spans="1:11" x14ac:dyDescent="0.2">
      <c r="A43" s="149" t="s">
        <v>138</v>
      </c>
      <c r="B43" s="43"/>
      <c r="C43" s="26">
        <v>0.13</v>
      </c>
      <c r="D43" s="26">
        <f>D42*C43</f>
        <v>23.077861934400005</v>
      </c>
      <c r="E43" s="26"/>
      <c r="F43" s="26">
        <f>C43</f>
        <v>0.13</v>
      </c>
      <c r="G43" s="26">
        <f>G42*F43</f>
        <v>23.21623408</v>
      </c>
      <c r="H43" s="26">
        <f t="shared" si="2"/>
        <v>0.13837214559999467</v>
      </c>
      <c r="I43" s="44">
        <f t="shared" si="10"/>
        <v>5.9958823739098763E-3</v>
      </c>
      <c r="J43" s="44">
        <f t="shared" si="12"/>
        <v>0.12380952380952381</v>
      </c>
      <c r="K43" s="45"/>
    </row>
    <row r="44" spans="1:11" s="1" customFormat="1" x14ac:dyDescent="0.2">
      <c r="A44" s="46" t="s">
        <v>139</v>
      </c>
      <c r="B44" s="24"/>
      <c r="C44" s="25"/>
      <c r="D44" s="25">
        <f>SUM(D42:D43)</f>
        <v>200.59987681440003</v>
      </c>
      <c r="E44" s="25"/>
      <c r="F44" s="25"/>
      <c r="G44" s="25">
        <f>SUM(G42:G43)</f>
        <v>201.80265007999998</v>
      </c>
      <c r="H44" s="25">
        <f t="shared" si="2"/>
        <v>1.2027732655999444</v>
      </c>
      <c r="I44" s="27">
        <f t="shared" si="10"/>
        <v>5.9958823739098303E-3</v>
      </c>
      <c r="J44" s="27">
        <f t="shared" si="12"/>
        <v>1.0761904761904761</v>
      </c>
      <c r="K44" s="47"/>
    </row>
    <row r="45" spans="1:11" x14ac:dyDescent="0.2">
      <c r="A45" s="42" t="s">
        <v>140</v>
      </c>
      <c r="B45" s="43"/>
      <c r="C45" s="26">
        <v>-0.08</v>
      </c>
      <c r="D45" s="26">
        <f>D42*C45</f>
        <v>-14.201761190400003</v>
      </c>
      <c r="E45" s="26"/>
      <c r="F45" s="26">
        <f>C45</f>
        <v>-0.08</v>
      </c>
      <c r="G45" s="26">
        <f>G42*F45</f>
        <v>-14.286913279999998</v>
      </c>
      <c r="H45" s="26">
        <f t="shared" si="2"/>
        <v>-8.5152089599995762E-2</v>
      </c>
      <c r="I45" s="44">
        <f t="shared" si="10"/>
        <v>-5.9958823739098086E-3</v>
      </c>
      <c r="J45" s="44">
        <f t="shared" si="12"/>
        <v>-7.6190476190476183E-2</v>
      </c>
      <c r="K45" s="45"/>
    </row>
    <row r="46" spans="1:11" s="1" customFormat="1" ht="13.5" thickBot="1" x14ac:dyDescent="0.25">
      <c r="A46" s="48" t="s">
        <v>141</v>
      </c>
      <c r="B46" s="49"/>
      <c r="C46" s="50"/>
      <c r="D46" s="50">
        <f>SUM(D44:D45)</f>
        <v>186.39811562400004</v>
      </c>
      <c r="E46" s="50"/>
      <c r="F46" s="50"/>
      <c r="G46" s="50">
        <f>SUM(G44:G45)</f>
        <v>187.51573679999998</v>
      </c>
      <c r="H46" s="50">
        <f t="shared" si="2"/>
        <v>1.1176211759999433</v>
      </c>
      <c r="I46" s="51">
        <f t="shared" si="10"/>
        <v>5.9958823739098025E-3</v>
      </c>
      <c r="J46" s="51">
        <f t="shared" si="12"/>
        <v>1</v>
      </c>
      <c r="K46" s="52"/>
    </row>
    <row r="47" spans="1:11" x14ac:dyDescent="0.2">
      <c r="A47" s="53" t="s">
        <v>142</v>
      </c>
      <c r="B47" s="54"/>
      <c r="C47" s="55"/>
      <c r="D47" s="55">
        <f>SUM(D18,D25,D26,D28,D33,D40,D41)</f>
        <v>178.12749328000001</v>
      </c>
      <c r="E47" s="55"/>
      <c r="F47" s="55"/>
      <c r="G47" s="55">
        <f>SUM(G18,G25,G26,G28,G33,G40,G41)</f>
        <v>179.19189440000002</v>
      </c>
      <c r="H47" s="55">
        <f>G47-D47</f>
        <v>1.0644011200000136</v>
      </c>
      <c r="I47" s="56">
        <f t="shared" si="10"/>
        <v>5.9755015938324193E-3</v>
      </c>
      <c r="J47" s="56"/>
      <c r="K47" s="57">
        <f>G47/$G$51</f>
        <v>0.95238095238095233</v>
      </c>
    </row>
    <row r="48" spans="1:11" x14ac:dyDescent="0.2">
      <c r="A48" s="58" t="s">
        <v>138</v>
      </c>
      <c r="B48" s="59"/>
      <c r="C48" s="31">
        <v>0.13</v>
      </c>
      <c r="D48" s="31">
        <f>D47*C48</f>
        <v>23.156574126400002</v>
      </c>
      <c r="E48" s="31"/>
      <c r="F48" s="31">
        <f>C48</f>
        <v>0.13</v>
      </c>
      <c r="G48" s="31">
        <f>G47*F48</f>
        <v>23.294946272000004</v>
      </c>
      <c r="H48" s="31">
        <f>G48-D48</f>
        <v>0.13837214560000177</v>
      </c>
      <c r="I48" s="32">
        <f t="shared" si="10"/>
        <v>5.9755015938324193E-3</v>
      </c>
      <c r="J48" s="32"/>
      <c r="K48" s="60">
        <f>G48/$G$51</f>
        <v>0.12380952380952381</v>
      </c>
    </row>
    <row r="49" spans="1:11" x14ac:dyDescent="0.2">
      <c r="A49" s="61" t="s">
        <v>143</v>
      </c>
      <c r="B49" s="29"/>
      <c r="C49" s="30"/>
      <c r="D49" s="30">
        <f>SUM(D47:D48)</f>
        <v>201.28406740640003</v>
      </c>
      <c r="E49" s="30"/>
      <c r="F49" s="30"/>
      <c r="G49" s="30">
        <f>SUM(G47:G48)</f>
        <v>202.48684067200003</v>
      </c>
      <c r="H49" s="30">
        <f>G49-D49</f>
        <v>1.2027732656000012</v>
      </c>
      <c r="I49" s="33">
        <f t="shared" si="10"/>
        <v>5.9755015938323481E-3</v>
      </c>
      <c r="J49" s="33"/>
      <c r="K49" s="62">
        <f>G49/$G$51</f>
        <v>1.0761904761904761</v>
      </c>
    </row>
    <row r="50" spans="1:11" x14ac:dyDescent="0.2">
      <c r="A50" s="58" t="s">
        <v>140</v>
      </c>
      <c r="B50" s="59"/>
      <c r="C50" s="31">
        <v>-0.08</v>
      </c>
      <c r="D50" s="31">
        <f>D47*C50</f>
        <v>-14.250199462400001</v>
      </c>
      <c r="E50" s="31"/>
      <c r="F50" s="31">
        <f>C50</f>
        <v>-0.08</v>
      </c>
      <c r="G50" s="31">
        <f>G47*F50</f>
        <v>-14.335351552000002</v>
      </c>
      <c r="H50" s="31">
        <f>G50-D50</f>
        <v>-8.5152089600001091E-2</v>
      </c>
      <c r="I50" s="32">
        <f t="shared" si="10"/>
        <v>-5.9755015938324193E-3</v>
      </c>
      <c r="J50" s="32"/>
      <c r="K50" s="60">
        <f>G50/$G$51</f>
        <v>-7.6190476190476183E-2</v>
      </c>
    </row>
    <row r="51" spans="1:11" ht="13.5" thickBot="1" x14ac:dyDescent="0.25">
      <c r="A51" s="63" t="s">
        <v>144</v>
      </c>
      <c r="B51" s="64"/>
      <c r="C51" s="65"/>
      <c r="D51" s="65">
        <f>SUM(D49:D50)</f>
        <v>187.03386794400004</v>
      </c>
      <c r="E51" s="65"/>
      <c r="F51" s="65"/>
      <c r="G51" s="65">
        <f>SUM(G49:G50)</f>
        <v>188.15148912000004</v>
      </c>
      <c r="H51" s="65">
        <f>G51-D51</f>
        <v>1.1176211760000001</v>
      </c>
      <c r="I51" s="66">
        <f t="shared" si="10"/>
        <v>5.9755015938323429E-3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81">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9.0999999999999998E-2</v>
      </c>
      <c r="D12" s="104">
        <f>B12*C12</f>
        <v>40.949999999999996</v>
      </c>
      <c r="E12" s="102">
        <f>B12</f>
        <v>450</v>
      </c>
      <c r="F12" s="103">
        <f>C12</f>
        <v>9.0999999999999998E-2</v>
      </c>
      <c r="G12" s="104">
        <f>E12*F12</f>
        <v>40.949999999999996</v>
      </c>
      <c r="H12" s="104">
        <f>G12-D12</f>
        <v>0</v>
      </c>
      <c r="I12" s="105">
        <f t="shared" ref="I12:I18" si="0">IF(ISERROR(H12/ABS(D12)),"N/A",(H12/ABS(D12)))</f>
        <v>0</v>
      </c>
      <c r="J12" s="105">
        <f>G12/$G$46</f>
        <v>0.32628221212393443</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40.949999999999996</v>
      </c>
      <c r="E14" s="76"/>
      <c r="F14" s="25"/>
      <c r="G14" s="25">
        <f>SUM(G12:G13)</f>
        <v>40.949999999999996</v>
      </c>
      <c r="H14" s="25">
        <f t="shared" si="2"/>
        <v>0</v>
      </c>
      <c r="I14" s="27">
        <f t="shared" si="0"/>
        <v>0</v>
      </c>
      <c r="J14" s="27">
        <f>G14/$G$46</f>
        <v>0.32628221212393443</v>
      </c>
      <c r="K14" s="108"/>
    </row>
    <row r="15" spans="1:11" s="1" customFormat="1" x14ac:dyDescent="0.2">
      <c r="A15" s="109" t="s">
        <v>34</v>
      </c>
      <c r="B15" s="75">
        <f>B4*0.65</f>
        <v>292.5</v>
      </c>
      <c r="C15" s="28">
        <v>7.6999999999999999E-2</v>
      </c>
      <c r="D15" s="22">
        <f>B15*C15</f>
        <v>22.522500000000001</v>
      </c>
      <c r="E15" s="73">
        <f t="shared" ref="E15:F17" si="3">B15</f>
        <v>292.5</v>
      </c>
      <c r="F15" s="28">
        <f t="shared" si="3"/>
        <v>7.6999999999999999E-2</v>
      </c>
      <c r="G15" s="22">
        <f>E15*F15</f>
        <v>22.522500000000001</v>
      </c>
      <c r="H15" s="22">
        <f t="shared" si="2"/>
        <v>0</v>
      </c>
      <c r="I15" s="23">
        <f t="shared" si="0"/>
        <v>0</v>
      </c>
      <c r="J15" s="23"/>
      <c r="K15" s="108">
        <f t="shared" ref="K15:K26" si="4">G15/$G$51</f>
        <v>0.17471624124391991</v>
      </c>
    </row>
    <row r="16" spans="1:11" s="1" customFormat="1" x14ac:dyDescent="0.2">
      <c r="A16" s="109" t="s">
        <v>35</v>
      </c>
      <c r="B16" s="75">
        <f>B4*0.17</f>
        <v>76.5</v>
      </c>
      <c r="C16" s="28">
        <v>0.113</v>
      </c>
      <c r="D16" s="22">
        <f>B16*C16</f>
        <v>8.6445000000000007</v>
      </c>
      <c r="E16" s="73">
        <f t="shared" si="3"/>
        <v>76.5</v>
      </c>
      <c r="F16" s="28">
        <f t="shared" si="3"/>
        <v>0.113</v>
      </c>
      <c r="G16" s="22">
        <f>E16*F16</f>
        <v>8.6445000000000007</v>
      </c>
      <c r="H16" s="22">
        <f t="shared" si="2"/>
        <v>0</v>
      </c>
      <c r="I16" s="23">
        <f t="shared" si="0"/>
        <v>0</v>
      </c>
      <c r="J16" s="23"/>
      <c r="K16" s="108">
        <f t="shared" si="4"/>
        <v>6.7058920964949087E-2</v>
      </c>
    </row>
    <row r="17" spans="1:11" s="1" customFormat="1" x14ac:dyDescent="0.2">
      <c r="A17" s="109" t="s">
        <v>36</v>
      </c>
      <c r="B17" s="75">
        <f>B4*0.18</f>
        <v>81</v>
      </c>
      <c r="C17" s="28">
        <v>0.157</v>
      </c>
      <c r="D17" s="22">
        <f>B17*C17</f>
        <v>12.717000000000001</v>
      </c>
      <c r="E17" s="73">
        <f t="shared" si="3"/>
        <v>81</v>
      </c>
      <c r="F17" s="28">
        <f t="shared" si="3"/>
        <v>0.157</v>
      </c>
      <c r="G17" s="22">
        <f>E17*F17</f>
        <v>12.717000000000001</v>
      </c>
      <c r="H17" s="22">
        <f t="shared" si="2"/>
        <v>0</v>
      </c>
      <c r="I17" s="23">
        <f t="shared" si="0"/>
        <v>0</v>
      </c>
      <c r="J17" s="23"/>
      <c r="K17" s="108">
        <f t="shared" si="4"/>
        <v>9.8650968582481055E-2</v>
      </c>
    </row>
    <row r="18" spans="1:11" s="1" customFormat="1" x14ac:dyDescent="0.2">
      <c r="A18" s="61" t="s">
        <v>37</v>
      </c>
      <c r="B18" s="29"/>
      <c r="C18" s="30"/>
      <c r="D18" s="30">
        <f>SUM(D15:D17)</f>
        <v>43.884</v>
      </c>
      <c r="E18" s="77"/>
      <c r="F18" s="30"/>
      <c r="G18" s="30">
        <f>SUM(G15:G17)</f>
        <v>43.884</v>
      </c>
      <c r="H18" s="31">
        <f t="shared" si="2"/>
        <v>0</v>
      </c>
      <c r="I18" s="32">
        <f t="shared" si="0"/>
        <v>0</v>
      </c>
      <c r="J18" s="33">
        <f t="shared" ref="J18:J23" si="5">G18/$G$46</f>
        <v>0.3496597947947922</v>
      </c>
      <c r="K18" s="62">
        <f t="shared" si="4"/>
        <v>0.34042613079135003</v>
      </c>
    </row>
    <row r="19" spans="1:11" x14ac:dyDescent="0.2">
      <c r="A19" s="107" t="s">
        <v>38</v>
      </c>
      <c r="B19" s="73">
        <v>1</v>
      </c>
      <c r="C19" s="121">
        <f>VLOOKUP($B$3,'Data for Bill Impacts'!$A$3:$Y$15,7,0)</f>
        <v>44.119678307903925</v>
      </c>
      <c r="D19" s="22">
        <f>B19*C19</f>
        <v>44.119678307903925</v>
      </c>
      <c r="E19" s="73">
        <f t="shared" ref="E19:E41" si="6">B19</f>
        <v>1</v>
      </c>
      <c r="F19" s="121">
        <f>VLOOKUP($B$3,'Data for Bill Impacts'!$A$3:$Y$15,17,0)</f>
        <v>55.259678307903926</v>
      </c>
      <c r="G19" s="22">
        <f>E19*F19</f>
        <v>55.259678307903926</v>
      </c>
      <c r="H19" s="22">
        <f t="shared" si="2"/>
        <v>11.14</v>
      </c>
      <c r="I19" s="23">
        <f>IF(ISERROR(H19/ABS(D19)),"N/A",(H19/ABS(D19)))</f>
        <v>0.2524950413793996</v>
      </c>
      <c r="J19" s="23">
        <f t="shared" si="5"/>
        <v>0.4402991472419997</v>
      </c>
      <c r="K19" s="108">
        <f t="shared" si="4"/>
        <v>0.42867191858386727</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-2.1000000000000001E-2</v>
      </c>
      <c r="D22" s="22">
        <f t="shared" si="9"/>
        <v>-2.1000000000000001E-2</v>
      </c>
      <c r="E22" s="73">
        <f t="shared" si="6"/>
        <v>1</v>
      </c>
      <c r="F22" s="121">
        <f>VLOOKUP($B$3,'Data for Bill Impacts'!$A$3:$Y$15,22,0)</f>
        <v>-2.1000000000000001E-2</v>
      </c>
      <c r="G22" s="22">
        <f t="shared" si="7"/>
        <v>-2.1000000000000001E-2</v>
      </c>
      <c r="H22" s="22">
        <f t="shared" si="2"/>
        <v>0</v>
      </c>
      <c r="I22" s="23">
        <f t="shared" ref="I22:I51" si="10">IF(ISERROR(H22/ABS(D22)),"N/A",(H22/ABS(D22)))</f>
        <v>0</v>
      </c>
      <c r="J22" s="23">
        <f t="shared" si="5"/>
        <v>-1.6732421134560744E-4</v>
      </c>
      <c r="K22" s="108">
        <f t="shared" si="4"/>
        <v>-1.6290558624141717E-4</v>
      </c>
    </row>
    <row r="23" spans="1:11" x14ac:dyDescent="0.2">
      <c r="A23" s="107" t="s">
        <v>39</v>
      </c>
      <c r="B23" s="73">
        <f>IF($B$9="kWh",$B$4,$B$5)</f>
        <v>450</v>
      </c>
      <c r="C23" s="125">
        <f>VLOOKUP($B$3,'Data for Bill Impacts'!$A$3:$Y$15,10,0)</f>
        <v>2.69E-2</v>
      </c>
      <c r="D23" s="22">
        <f>B23*C23</f>
        <v>12.105</v>
      </c>
      <c r="E23" s="73">
        <f t="shared" si="6"/>
        <v>450</v>
      </c>
      <c r="F23" s="125">
        <f>VLOOKUP($B$3,'Data for Bill Impacts'!$A$3:$Y$15,19,0)</f>
        <v>2.01E-2</v>
      </c>
      <c r="G23" s="22">
        <f>E23*F23</f>
        <v>9.0449999999999999</v>
      </c>
      <c r="H23" s="22">
        <f t="shared" si="2"/>
        <v>-3.0600000000000005</v>
      </c>
      <c r="I23" s="23">
        <f t="shared" si="10"/>
        <v>-0.25278810408921937</v>
      </c>
      <c r="J23" s="23">
        <f t="shared" si="5"/>
        <v>7.2068928172429478E-2</v>
      </c>
      <c r="K23" s="108">
        <f t="shared" si="4"/>
        <v>7.0165763216838969E-2</v>
      </c>
    </row>
    <row r="24" spans="1:11" x14ac:dyDescent="0.2">
      <c r="A24" s="107" t="s">
        <v>199</v>
      </c>
      <c r="B24" s="73">
        <f>IF($B$9="kWh",$B$4,$B$5)</f>
        <v>450</v>
      </c>
      <c r="C24" s="125">
        <f>VLOOKUP($B$3,'Data for Bill Impacts'!$A$3:$Y$15,14,0)</f>
        <v>1.0000000000000003E-5</v>
      </c>
      <c r="D24" s="22">
        <f>B24*C24</f>
        <v>4.5000000000000014E-3</v>
      </c>
      <c r="E24" s="73">
        <f t="shared" si="6"/>
        <v>450</v>
      </c>
      <c r="F24" s="125">
        <f>VLOOKUP($B$3,'Data for Bill Impacts'!$A$3:$Y$15,23,0)</f>
        <v>1.0000000000000003E-5</v>
      </c>
      <c r="G24" s="22">
        <f>E24*F24</f>
        <v>4.5000000000000014E-3</v>
      </c>
      <c r="H24" s="22">
        <f t="shared" si="2"/>
        <v>0</v>
      </c>
      <c r="I24" s="23">
        <f t="shared" si="10"/>
        <v>0</v>
      </c>
      <c r="J24" s="23">
        <f t="shared" ref="J24" si="11">G24/$G$46</f>
        <v>3.5855188145487317E-5</v>
      </c>
      <c r="K24" s="108">
        <f t="shared" si="4"/>
        <v>3.490833990887512E-5</v>
      </c>
    </row>
    <row r="25" spans="1:11" s="1" customFormat="1" x14ac:dyDescent="0.2">
      <c r="A25" s="110" t="s">
        <v>72</v>
      </c>
      <c r="B25" s="74"/>
      <c r="C25" s="35"/>
      <c r="D25" s="35">
        <f>SUM(D19:D24)</f>
        <v>56.208178307903928</v>
      </c>
      <c r="E25" s="73"/>
      <c r="F25" s="35"/>
      <c r="G25" s="35">
        <f>SUM(G19:G24)</f>
        <v>64.28817830790392</v>
      </c>
      <c r="H25" s="35">
        <f t="shared" si="2"/>
        <v>8.0799999999999912</v>
      </c>
      <c r="I25" s="36">
        <f t="shared" si="10"/>
        <v>0.14375132308573307</v>
      </c>
      <c r="J25" s="36">
        <f>G25/$G$46</f>
        <v>0.51223660639122903</v>
      </c>
      <c r="K25" s="111">
        <f t="shared" si="4"/>
        <v>0.49870968455437364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6.2945774744299935E-3</v>
      </c>
      <c r="K26" s="108">
        <f t="shared" si="4"/>
        <v>6.1283530062247417E-3</v>
      </c>
    </row>
    <row r="27" spans="1:11" s="1" customFormat="1" x14ac:dyDescent="0.2">
      <c r="A27" s="119" t="s">
        <v>75</v>
      </c>
      <c r="B27" s="120">
        <f>B8-B4</f>
        <v>47.25</v>
      </c>
      <c r="C27" s="257">
        <f>IF(B4&gt;B7,C13,C12)</f>
        <v>9.0999999999999998E-2</v>
      </c>
      <c r="D27" s="22">
        <f>B27*C27</f>
        <v>4.2997499999999995</v>
      </c>
      <c r="E27" s="73">
        <f>B27</f>
        <v>47.25</v>
      </c>
      <c r="F27" s="257">
        <f>C27</f>
        <v>9.0999999999999998E-2</v>
      </c>
      <c r="G27" s="22">
        <f>E27*F27</f>
        <v>4.2997499999999995</v>
      </c>
      <c r="H27" s="22">
        <f t="shared" si="2"/>
        <v>0</v>
      </c>
      <c r="I27" s="23">
        <f t="shared" si="10"/>
        <v>0</v>
      </c>
      <c r="J27" s="23">
        <f t="shared" ref="J27:J46" si="12">G27/$G$46</f>
        <v>3.4259632273013117E-2</v>
      </c>
      <c r="K27" s="108">
        <f t="shared" ref="K27:K41" si="13">G27/$G$51</f>
        <v>3.3354918782930162E-2</v>
      </c>
    </row>
    <row r="28" spans="1:11" s="1" customFormat="1" x14ac:dyDescent="0.2">
      <c r="A28" s="119" t="s">
        <v>74</v>
      </c>
      <c r="B28" s="120">
        <f>B8-B4</f>
        <v>47.25</v>
      </c>
      <c r="C28" s="257">
        <f>0.65*C15+0.17*C16+0.18*C17</f>
        <v>9.7519999999999996E-2</v>
      </c>
      <c r="D28" s="22">
        <f>B28*C28</f>
        <v>4.6078199999999994</v>
      </c>
      <c r="E28" s="73">
        <f>B28</f>
        <v>47.25</v>
      </c>
      <c r="F28" s="257">
        <f>C28</f>
        <v>9.7519999999999996E-2</v>
      </c>
      <c r="G28" s="22">
        <f>E28*F28</f>
        <v>4.6078199999999994</v>
      </c>
      <c r="H28" s="22">
        <f t="shared" si="2"/>
        <v>0</v>
      </c>
      <c r="I28" s="23">
        <f t="shared" si="10"/>
        <v>0</v>
      </c>
      <c r="J28" s="23">
        <f t="shared" si="12"/>
        <v>3.6714278453453174E-2</v>
      </c>
      <c r="K28" s="108">
        <f t="shared" si="13"/>
        <v>3.5744743733091749E-2</v>
      </c>
    </row>
    <row r="29" spans="1:11" s="1" customFormat="1" x14ac:dyDescent="0.2">
      <c r="A29" s="110" t="s">
        <v>78</v>
      </c>
      <c r="B29" s="74"/>
      <c r="C29" s="35"/>
      <c r="D29" s="35">
        <f>SUM(D25,D26:D27)</f>
        <v>61.297928307903931</v>
      </c>
      <c r="E29" s="73"/>
      <c r="F29" s="35"/>
      <c r="G29" s="35">
        <f>SUM(G25,G26:G27)</f>
        <v>69.377928307903929</v>
      </c>
      <c r="H29" s="35">
        <f t="shared" si="2"/>
        <v>8.0799999999999983</v>
      </c>
      <c r="I29" s="36">
        <f t="shared" si="10"/>
        <v>0.13181522154245692</v>
      </c>
      <c r="J29" s="36">
        <f t="shared" si="12"/>
        <v>0.5527908161386722</v>
      </c>
      <c r="K29" s="111">
        <f t="shared" si="13"/>
        <v>0.53819295634352859</v>
      </c>
    </row>
    <row r="30" spans="1:11" s="1" customFormat="1" x14ac:dyDescent="0.2">
      <c r="A30" s="110" t="s">
        <v>77</v>
      </c>
      <c r="B30" s="74"/>
      <c r="C30" s="35"/>
      <c r="D30" s="35">
        <f>SUM(D25,D26,D28)</f>
        <v>61.605998307903924</v>
      </c>
      <c r="E30" s="73"/>
      <c r="F30" s="35"/>
      <c r="G30" s="35">
        <f>SUM(G25,G26,G28)</f>
        <v>69.68599830790393</v>
      </c>
      <c r="H30" s="35">
        <f t="shared" si="2"/>
        <v>8.0800000000000054</v>
      </c>
      <c r="I30" s="36">
        <f t="shared" si="10"/>
        <v>0.13115605983067655</v>
      </c>
      <c r="J30" s="36">
        <f t="shared" si="12"/>
        <v>0.55524546231911232</v>
      </c>
      <c r="K30" s="111">
        <f t="shared" si="13"/>
        <v>0.5405827812936902</v>
      </c>
    </row>
    <row r="31" spans="1:11" x14ac:dyDescent="0.2">
      <c r="A31" s="107" t="s">
        <v>40</v>
      </c>
      <c r="B31" s="73">
        <f>B8</f>
        <v>497.25</v>
      </c>
      <c r="C31" s="125">
        <f>VLOOKUP($B$3,'Data for Bill Impacts'!$A$3:$Y$15,15,0)</f>
        <v>6.7400000000000003E-3</v>
      </c>
      <c r="D31" s="22">
        <f>B31*C31</f>
        <v>3.3514650000000001</v>
      </c>
      <c r="E31" s="73">
        <f t="shared" si="6"/>
        <v>497.25</v>
      </c>
      <c r="F31" s="78">
        <f>VLOOKUP($B$3,'Data for Bill Impacts'!$A$3:$Y$15,24,0)</f>
        <v>6.7999999999999996E-3</v>
      </c>
      <c r="G31" s="22">
        <f>E31*F31</f>
        <v>3.3813</v>
      </c>
      <c r="H31" s="22">
        <f t="shared" si="2"/>
        <v>2.9834999999999834E-2</v>
      </c>
      <c r="I31" s="23">
        <f t="shared" si="10"/>
        <v>8.9020771513352616E-3</v>
      </c>
      <c r="J31" s="23">
        <f t="shared" si="12"/>
        <v>2.694158837251916E-2</v>
      </c>
      <c r="K31" s="108">
        <f t="shared" si="13"/>
        <v>2.6230126607528756E-2</v>
      </c>
    </row>
    <row r="32" spans="1:11" x14ac:dyDescent="0.2">
      <c r="A32" s="107" t="s">
        <v>41</v>
      </c>
      <c r="B32" s="73">
        <f>B8</f>
        <v>497.25</v>
      </c>
      <c r="C32" s="125">
        <f>VLOOKUP($B$3,'Data for Bill Impacts'!$A$3:$Y$15,16,0)</f>
        <v>5.6299999999999996E-3</v>
      </c>
      <c r="D32" s="22">
        <f>B32*C32</f>
        <v>2.7995174999999999</v>
      </c>
      <c r="E32" s="73">
        <f t="shared" si="6"/>
        <v>497.25</v>
      </c>
      <c r="F32" s="78">
        <f>VLOOKUP($B$3,'Data for Bill Impacts'!$A$3:$Y$15,25,0)</f>
        <v>5.4999999999999997E-3</v>
      </c>
      <c r="G32" s="22">
        <f>E32*F32</f>
        <v>2.7348749999999997</v>
      </c>
      <c r="H32" s="22">
        <f t="shared" si="2"/>
        <v>-6.4642500000000158E-2</v>
      </c>
      <c r="I32" s="23">
        <f t="shared" si="10"/>
        <v>-2.3090586145648372E-2</v>
      </c>
      <c r="J32" s="23">
        <f t="shared" si="12"/>
        <v>2.1790990595419907E-2</v>
      </c>
      <c r="K32" s="108">
        <f t="shared" si="13"/>
        <v>2.1215543579618842E-2</v>
      </c>
    </row>
    <row r="33" spans="1:11" s="1" customFormat="1" x14ac:dyDescent="0.2">
      <c r="A33" s="110" t="s">
        <v>76</v>
      </c>
      <c r="B33" s="74"/>
      <c r="C33" s="35"/>
      <c r="D33" s="35">
        <f>SUM(D31:D32)</f>
        <v>6.1509824999999996</v>
      </c>
      <c r="E33" s="73"/>
      <c r="F33" s="35"/>
      <c r="G33" s="35">
        <f>SUM(G31:G32)</f>
        <v>6.1161750000000001</v>
      </c>
      <c r="H33" s="35">
        <f t="shared" si="2"/>
        <v>-3.4807499999999436E-2</v>
      </c>
      <c r="I33" s="36">
        <f t="shared" si="10"/>
        <v>-5.6588520614388738E-3</v>
      </c>
      <c r="J33" s="36">
        <f t="shared" si="12"/>
        <v>4.8732578967939068E-2</v>
      </c>
      <c r="K33" s="111">
        <f t="shared" si="13"/>
        <v>4.7445670187147605E-2</v>
      </c>
    </row>
    <row r="34" spans="1:11" s="1" customFormat="1" x14ac:dyDescent="0.2">
      <c r="A34" s="110" t="s">
        <v>95</v>
      </c>
      <c r="B34" s="74"/>
      <c r="C34" s="35"/>
      <c r="D34" s="35">
        <f>D29+D33</f>
        <v>67.448910807903928</v>
      </c>
      <c r="E34" s="73"/>
      <c r="F34" s="35"/>
      <c r="G34" s="35">
        <f>G29+G33</f>
        <v>75.494103307903927</v>
      </c>
      <c r="H34" s="35">
        <f t="shared" si="2"/>
        <v>8.0451924999999989</v>
      </c>
      <c r="I34" s="36">
        <f t="shared" si="10"/>
        <v>0.11927831604149836</v>
      </c>
      <c r="J34" s="36">
        <f t="shared" si="12"/>
        <v>0.60152339510661124</v>
      </c>
      <c r="K34" s="111">
        <f t="shared" si="13"/>
        <v>0.58563862653067622</v>
      </c>
    </row>
    <row r="35" spans="1:11" s="1" customFormat="1" x14ac:dyDescent="0.2">
      <c r="A35" s="110" t="s">
        <v>96</v>
      </c>
      <c r="B35" s="74"/>
      <c r="C35" s="35"/>
      <c r="D35" s="35">
        <f>D30+D33</f>
        <v>67.756980807903929</v>
      </c>
      <c r="E35" s="73"/>
      <c r="F35" s="35"/>
      <c r="G35" s="35">
        <f>G30+G33</f>
        <v>75.802173307903928</v>
      </c>
      <c r="H35" s="35">
        <f t="shared" si="2"/>
        <v>8.0451924999999989</v>
      </c>
      <c r="I35" s="36">
        <f t="shared" si="10"/>
        <v>0.11873599449197296</v>
      </c>
      <c r="J35" s="36">
        <f t="shared" si="12"/>
        <v>0.60397804128705135</v>
      </c>
      <c r="K35" s="111">
        <f t="shared" si="13"/>
        <v>0.58802845148083782</v>
      </c>
    </row>
    <row r="36" spans="1:11" x14ac:dyDescent="0.2">
      <c r="A36" s="107" t="s">
        <v>42</v>
      </c>
      <c r="B36" s="73">
        <f>B8</f>
        <v>497.25</v>
      </c>
      <c r="C36" s="34">
        <v>3.5999999999999999E-3</v>
      </c>
      <c r="D36" s="22">
        <f>B36*C36</f>
        <v>1.7901</v>
      </c>
      <c r="E36" s="73">
        <f t="shared" si="6"/>
        <v>497.25</v>
      </c>
      <c r="F36" s="34">
        <v>3.5999999999999999E-3</v>
      </c>
      <c r="G36" s="22">
        <f>E36*F36</f>
        <v>1.7901</v>
      </c>
      <c r="H36" s="22">
        <f t="shared" si="2"/>
        <v>0</v>
      </c>
      <c r="I36" s="23">
        <f t="shared" si="10"/>
        <v>0</v>
      </c>
      <c r="J36" s="23">
        <f t="shared" si="12"/>
        <v>1.426319384427485E-2</v>
      </c>
      <c r="K36" s="108">
        <f t="shared" si="13"/>
        <v>1.3886537615750517E-2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10"/>
        <v>0</v>
      </c>
      <c r="J37" s="23">
        <f t="shared" si="12"/>
        <v>8.3201964091603291E-3</v>
      </c>
      <c r="K37" s="108">
        <f t="shared" si="13"/>
        <v>8.1004802758544679E-3</v>
      </c>
    </row>
    <row r="38" spans="1:11" x14ac:dyDescent="0.2">
      <c r="A38" s="107" t="s">
        <v>100</v>
      </c>
      <c r="B38" s="73">
        <f>B8</f>
        <v>497.25</v>
      </c>
      <c r="C38" s="34">
        <v>0</v>
      </c>
      <c r="D38" s="22">
        <f>B38*C38</f>
        <v>0</v>
      </c>
      <c r="E38" s="73">
        <f t="shared" si="6"/>
        <v>497.25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1.9919548969715168E-3</v>
      </c>
      <c r="K39" s="108">
        <f t="shared" si="13"/>
        <v>1.9393522171597282E-3</v>
      </c>
    </row>
    <row r="40" spans="1:11" s="1" customFormat="1" x14ac:dyDescent="0.2">
      <c r="A40" s="110" t="s">
        <v>45</v>
      </c>
      <c r="B40" s="74"/>
      <c r="C40" s="35"/>
      <c r="D40" s="35">
        <f>SUM(D36:D39)</f>
        <v>3.0843249999999998</v>
      </c>
      <c r="E40" s="73"/>
      <c r="F40" s="35"/>
      <c r="G40" s="35">
        <f>SUM(G36:G39)</f>
        <v>3.0843249999999998</v>
      </c>
      <c r="H40" s="35">
        <f t="shared" si="2"/>
        <v>0</v>
      </c>
      <c r="I40" s="36">
        <f t="shared" si="10"/>
        <v>0</v>
      </c>
      <c r="J40" s="36">
        <f t="shared" si="12"/>
        <v>2.4575345150406692E-2</v>
      </c>
      <c r="K40" s="111">
        <f t="shared" si="13"/>
        <v>2.3926370108764711E-2</v>
      </c>
    </row>
    <row r="41" spans="1:11" s="1" customFormat="1" ht="13.5" thickBot="1" x14ac:dyDescent="0.25">
      <c r="A41" s="112" t="s">
        <v>46</v>
      </c>
      <c r="B41" s="113">
        <f>B4</f>
        <v>450</v>
      </c>
      <c r="C41" s="114">
        <v>0</v>
      </c>
      <c r="D41" s="115">
        <f>B41*C41</f>
        <v>0</v>
      </c>
      <c r="E41" s="116">
        <f t="shared" si="6"/>
        <v>450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111.48323580790392</v>
      </c>
      <c r="E42" s="38"/>
      <c r="F42" s="39"/>
      <c r="G42" s="39">
        <f>SUM(G14,G25,G26,G27,G33,G40,G41)</f>
        <v>119.52842830790394</v>
      </c>
      <c r="H42" s="39">
        <f t="shared" si="2"/>
        <v>8.0451925000000131</v>
      </c>
      <c r="I42" s="40">
        <f t="shared" si="10"/>
        <v>7.2165042947467312E-2</v>
      </c>
      <c r="J42" s="40">
        <f t="shared" si="12"/>
        <v>0.95238095238095255</v>
      </c>
      <c r="K42" s="41"/>
    </row>
    <row r="43" spans="1:11" x14ac:dyDescent="0.2">
      <c r="A43" s="149" t="s">
        <v>138</v>
      </c>
      <c r="B43" s="43"/>
      <c r="C43" s="26">
        <v>0.13</v>
      </c>
      <c r="D43" s="26">
        <f>D42*C43</f>
        <v>14.492820655027511</v>
      </c>
      <c r="E43" s="26"/>
      <c r="F43" s="26">
        <f>C43</f>
        <v>0.13</v>
      </c>
      <c r="G43" s="26">
        <f>G42*F43</f>
        <v>15.538695680027512</v>
      </c>
      <c r="H43" s="26">
        <f t="shared" si="2"/>
        <v>1.0458750250000008</v>
      </c>
      <c r="I43" s="44">
        <f t="shared" si="10"/>
        <v>7.2165042947467256E-2</v>
      </c>
      <c r="J43" s="44">
        <f t="shared" si="12"/>
        <v>0.12380952380952383</v>
      </c>
      <c r="K43" s="45"/>
    </row>
    <row r="44" spans="1:11" s="1" customFormat="1" x14ac:dyDescent="0.2">
      <c r="A44" s="46" t="s">
        <v>139</v>
      </c>
      <c r="B44" s="24"/>
      <c r="C44" s="25"/>
      <c r="D44" s="25">
        <f>SUM(D42:D43)</f>
        <v>125.97605646293144</v>
      </c>
      <c r="E44" s="25"/>
      <c r="F44" s="25"/>
      <c r="G44" s="25">
        <f>SUM(G42:G43)</f>
        <v>135.06712398793144</v>
      </c>
      <c r="H44" s="25">
        <f t="shared" si="2"/>
        <v>9.0910675249999997</v>
      </c>
      <c r="I44" s="27">
        <f t="shared" si="10"/>
        <v>7.2165042947467201E-2</v>
      </c>
      <c r="J44" s="27">
        <f t="shared" si="12"/>
        <v>1.0761904761904764</v>
      </c>
      <c r="K44" s="47"/>
    </row>
    <row r="45" spans="1:11" x14ac:dyDescent="0.2">
      <c r="A45" s="42" t="s">
        <v>140</v>
      </c>
      <c r="B45" s="43"/>
      <c r="C45" s="26">
        <v>-0.08</v>
      </c>
      <c r="D45" s="26">
        <f>D42*C45</f>
        <v>-8.9186588646323148</v>
      </c>
      <c r="E45" s="26"/>
      <c r="F45" s="26">
        <f>C45</f>
        <v>-0.08</v>
      </c>
      <c r="G45" s="26">
        <f>G42*F45</f>
        <v>-9.5622742646323147</v>
      </c>
      <c r="H45" s="26">
        <f t="shared" si="2"/>
        <v>-0.64361539999999984</v>
      </c>
      <c r="I45" s="44">
        <f t="shared" si="10"/>
        <v>-7.2165042947467173E-2</v>
      </c>
      <c r="J45" s="44">
        <f t="shared" si="12"/>
        <v>-7.6190476190476197E-2</v>
      </c>
      <c r="K45" s="45"/>
    </row>
    <row r="46" spans="1:11" s="1" customFormat="1" ht="13.5" thickBot="1" x14ac:dyDescent="0.25">
      <c r="A46" s="48" t="s">
        <v>141</v>
      </c>
      <c r="B46" s="49"/>
      <c r="C46" s="50"/>
      <c r="D46" s="50">
        <f>SUM(D44:D45)</f>
        <v>117.05739759829912</v>
      </c>
      <c r="E46" s="50"/>
      <c r="F46" s="50"/>
      <c r="G46" s="50">
        <f>SUM(G44:G45)</f>
        <v>125.50484972329912</v>
      </c>
      <c r="H46" s="50">
        <f t="shared" si="2"/>
        <v>8.4474521249999981</v>
      </c>
      <c r="I46" s="51">
        <f t="shared" si="10"/>
        <v>7.2165042947467187E-2</v>
      </c>
      <c r="J46" s="51">
        <f t="shared" si="12"/>
        <v>1</v>
      </c>
      <c r="K46" s="52"/>
    </row>
    <row r="47" spans="1:11" x14ac:dyDescent="0.2">
      <c r="A47" s="53" t="s">
        <v>142</v>
      </c>
      <c r="B47" s="54"/>
      <c r="C47" s="55"/>
      <c r="D47" s="55">
        <f>SUM(D18,D25,D26,D28,D33,D40,D41)</f>
        <v>114.72530580790394</v>
      </c>
      <c r="E47" s="55"/>
      <c r="F47" s="55"/>
      <c r="G47" s="55">
        <f>SUM(G18,G25,G26,G28,G33,G40,G41)</f>
        <v>122.77049830790392</v>
      </c>
      <c r="H47" s="55">
        <f>G47-D47</f>
        <v>8.0451924999999846</v>
      </c>
      <c r="I47" s="56">
        <f t="shared" si="10"/>
        <v>7.0125701067825924E-2</v>
      </c>
      <c r="J47" s="56"/>
      <c r="K47" s="57">
        <f>G47/$G$51</f>
        <v>0.95238095238095255</v>
      </c>
    </row>
    <row r="48" spans="1:11" x14ac:dyDescent="0.2">
      <c r="A48" s="150" t="s">
        <v>138</v>
      </c>
      <c r="B48" s="59"/>
      <c r="C48" s="31">
        <v>0.13</v>
      </c>
      <c r="D48" s="31">
        <f>D47*C48</f>
        <v>14.914289755027513</v>
      </c>
      <c r="E48" s="31"/>
      <c r="F48" s="31">
        <f>C48</f>
        <v>0.13</v>
      </c>
      <c r="G48" s="31">
        <f>G47*F48</f>
        <v>15.96016478002751</v>
      </c>
      <c r="H48" s="31">
        <f>G48-D48</f>
        <v>1.0458750249999973</v>
      </c>
      <c r="I48" s="32">
        <f t="shared" si="10"/>
        <v>7.0125701067825869E-2</v>
      </c>
      <c r="J48" s="32"/>
      <c r="K48" s="60">
        <f>G48/$G$51</f>
        <v>0.12380952380952383</v>
      </c>
    </row>
    <row r="49" spans="1:11" x14ac:dyDescent="0.2">
      <c r="A49" s="61" t="s">
        <v>143</v>
      </c>
      <c r="B49" s="29"/>
      <c r="C49" s="30"/>
      <c r="D49" s="30">
        <f>SUM(D47:D48)</f>
        <v>129.63959556293145</v>
      </c>
      <c r="E49" s="30"/>
      <c r="F49" s="30"/>
      <c r="G49" s="30">
        <f>SUM(G47:G48)</f>
        <v>138.73066308793142</v>
      </c>
      <c r="H49" s="30">
        <f>G49-D49</f>
        <v>9.0910675249999713</v>
      </c>
      <c r="I49" s="33">
        <f t="shared" si="10"/>
        <v>7.0125701067825841E-2</v>
      </c>
      <c r="J49" s="33"/>
      <c r="K49" s="62">
        <f>G49/$G$51</f>
        <v>1.0761904761904761</v>
      </c>
    </row>
    <row r="50" spans="1:11" x14ac:dyDescent="0.2">
      <c r="A50" s="58" t="s">
        <v>140</v>
      </c>
      <c r="B50" s="59"/>
      <c r="C50" s="31">
        <v>-0.08</v>
      </c>
      <c r="D50" s="31">
        <f>D47*C50</f>
        <v>-9.1780244646323155</v>
      </c>
      <c r="E50" s="31"/>
      <c r="F50" s="31">
        <f>C50</f>
        <v>-0.08</v>
      </c>
      <c r="G50" s="31">
        <f>G47*F50</f>
        <v>-9.8216398646323135</v>
      </c>
      <c r="H50" s="31">
        <f>G50-D50</f>
        <v>-0.64361539999999806</v>
      </c>
      <c r="I50" s="32">
        <f t="shared" si="10"/>
        <v>-7.0125701067825841E-2</v>
      </c>
      <c r="J50" s="32"/>
      <c r="K50" s="60">
        <f>G50/$G$51</f>
        <v>-7.6190476190476197E-2</v>
      </c>
    </row>
    <row r="51" spans="1:11" ht="13.5" thickBot="1" x14ac:dyDescent="0.25">
      <c r="A51" s="63" t="s">
        <v>144</v>
      </c>
      <c r="B51" s="64"/>
      <c r="C51" s="65"/>
      <c r="D51" s="65">
        <f>SUM(D49:D50)</f>
        <v>120.46157109829913</v>
      </c>
      <c r="E51" s="65"/>
      <c r="F51" s="65"/>
      <c r="G51" s="65">
        <f>SUM(G49:G50)</f>
        <v>128.9090232232991</v>
      </c>
      <c r="H51" s="65">
        <f>G51-D51</f>
        <v>8.4474521249999697</v>
      </c>
      <c r="I51" s="66">
        <f t="shared" si="10"/>
        <v>7.0125701067825799E-2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BreakPreview" topLeftCell="A19"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81">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0.31491069758205009</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9.170476358158601E-2</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0.40661546116363612</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0.21394582258677125</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8.2115869168668851E-2</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0.12080137754849461</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3" si="5">G18/$G$46</f>
        <v>0.42184191247529573</v>
      </c>
      <c r="K18" s="62">
        <f t="shared" si="4"/>
        <v>0.4168630693039348</v>
      </c>
    </row>
    <row r="19" spans="1:11" x14ac:dyDescent="0.2">
      <c r="A19" s="107" t="s">
        <v>38</v>
      </c>
      <c r="B19" s="73">
        <v>1</v>
      </c>
      <c r="C19" s="121">
        <f>VLOOKUP($B$3,'Data for Bill Impacts'!$A$3:$Y$15,7,0)</f>
        <v>44.119678307903925</v>
      </c>
      <c r="D19" s="22">
        <f>B19*C19</f>
        <v>44.119678307903925</v>
      </c>
      <c r="E19" s="73">
        <f t="shared" ref="E19:E41" si="6">B19</f>
        <v>1</v>
      </c>
      <c r="F19" s="121">
        <f>VLOOKUP($B$3,'Data for Bill Impacts'!$A$3:$Y$15,17,0)</f>
        <v>55.259678307903926</v>
      </c>
      <c r="G19" s="22">
        <f>E19*F19</f>
        <v>55.259678307903926</v>
      </c>
      <c r="H19" s="22">
        <f t="shared" si="2"/>
        <v>11.14</v>
      </c>
      <c r="I19" s="23">
        <f>IF(ISERROR(H19/ABS(D19)),"N/A",(H19/ABS(D19)))</f>
        <v>0.2524950413793996</v>
      </c>
      <c r="J19" s="23">
        <f t="shared" si="5"/>
        <v>0.31871545502017778</v>
      </c>
      <c r="K19" s="108">
        <f t="shared" si="4"/>
        <v>0.31495377506399908</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-2.1000000000000001E-2</v>
      </c>
      <c r="D22" s="22">
        <f t="shared" si="9"/>
        <v>-2.1000000000000001E-2</v>
      </c>
      <c r="E22" s="73">
        <f t="shared" si="6"/>
        <v>1</v>
      </c>
      <c r="F22" s="121">
        <f>VLOOKUP($B$3,'Data for Bill Impacts'!$A$3:$Y$15,22,0)</f>
        <v>-2.1000000000000001E-2</v>
      </c>
      <c r="G22" s="22">
        <f t="shared" si="7"/>
        <v>-2.1000000000000001E-2</v>
      </c>
      <c r="H22" s="22">
        <f t="shared" si="2"/>
        <v>0</v>
      </c>
      <c r="I22" s="23">
        <f t="shared" ref="I22:I51" si="10">IF(ISERROR(H22/ABS(D22)),"N/A",(H22/ABS(D22)))</f>
        <v>0</v>
      </c>
      <c r="J22" s="23">
        <f t="shared" si="5"/>
        <v>-1.2111949907001927E-4</v>
      </c>
      <c r="K22" s="108">
        <f t="shared" si="4"/>
        <v>-1.19689970677914E-4</v>
      </c>
    </row>
    <row r="23" spans="1:11" x14ac:dyDescent="0.2">
      <c r="A23" s="107" t="s">
        <v>39</v>
      </c>
      <c r="B23" s="73">
        <f>IF($B$9="kWh",$B$4,$B$5)</f>
        <v>750</v>
      </c>
      <c r="C23" s="125">
        <f>VLOOKUP($B$3,'Data for Bill Impacts'!$A$3:$Y$15,10,0)</f>
        <v>2.69E-2</v>
      </c>
      <c r="D23" s="22">
        <f>B23*C23</f>
        <v>20.175000000000001</v>
      </c>
      <c r="E23" s="73">
        <f t="shared" si="6"/>
        <v>750</v>
      </c>
      <c r="F23" s="125">
        <f>VLOOKUP($B$3,'Data for Bill Impacts'!$A$3:$Y$15,19,0)</f>
        <v>2.01E-2</v>
      </c>
      <c r="G23" s="22">
        <f>E23*F23</f>
        <v>15.074999999999999</v>
      </c>
      <c r="H23" s="22">
        <f t="shared" si="2"/>
        <v>-5.1000000000000014</v>
      </c>
      <c r="I23" s="23">
        <f t="shared" si="10"/>
        <v>-0.25278810408921937</v>
      </c>
      <c r="J23" s="23">
        <f t="shared" si="5"/>
        <v>8.6946497546692397E-2</v>
      </c>
      <c r="K23" s="108">
        <f t="shared" si="4"/>
        <v>8.5920300379502532E-2</v>
      </c>
    </row>
    <row r="24" spans="1:11" x14ac:dyDescent="0.2">
      <c r="A24" s="107" t="s">
        <v>199</v>
      </c>
      <c r="B24" s="73">
        <f>IF($B$9="kWh",$B$4,$B$5)</f>
        <v>750</v>
      </c>
      <c r="C24" s="125">
        <f>VLOOKUP($B$3,'Data for Bill Impacts'!$A$3:$Y$15,14,0)</f>
        <v>1.0000000000000003E-5</v>
      </c>
      <c r="D24" s="22">
        <f>B24*C24</f>
        <v>7.5000000000000015E-3</v>
      </c>
      <c r="E24" s="73">
        <f t="shared" si="6"/>
        <v>750</v>
      </c>
      <c r="F24" s="125">
        <f>VLOOKUP($B$3,'Data for Bill Impacts'!$A$3:$Y$15,23,0)</f>
        <v>1.0000000000000003E-5</v>
      </c>
      <c r="G24" s="22">
        <f>E24*F24</f>
        <v>7.5000000000000015E-3</v>
      </c>
      <c r="H24" s="22">
        <f t="shared" si="2"/>
        <v>0</v>
      </c>
      <c r="I24" s="23">
        <f t="shared" si="10"/>
        <v>0</v>
      </c>
      <c r="J24" s="23">
        <f t="shared" ref="J24" si="11">G24/$G$46</f>
        <v>4.3256963953578316E-5</v>
      </c>
      <c r="K24" s="108">
        <f t="shared" si="4"/>
        <v>4.2746418099254999E-5</v>
      </c>
    </row>
    <row r="25" spans="1:11" s="1" customFormat="1" x14ac:dyDescent="0.2">
      <c r="A25" s="110" t="s">
        <v>72</v>
      </c>
      <c r="B25" s="74"/>
      <c r="C25" s="35"/>
      <c r="D25" s="35">
        <f>SUM(D19:D24)</f>
        <v>64.281178307903915</v>
      </c>
      <c r="E25" s="73"/>
      <c r="F25" s="35"/>
      <c r="G25" s="35">
        <f>SUM(G19:G24)</f>
        <v>70.321178307903921</v>
      </c>
      <c r="H25" s="35">
        <f t="shared" si="2"/>
        <v>6.0400000000000063</v>
      </c>
      <c r="I25" s="36">
        <f t="shared" si="10"/>
        <v>9.3962185494931058E-2</v>
      </c>
      <c r="J25" s="36">
        <f>G25/$G$46</f>
        <v>0.40558409003175372</v>
      </c>
      <c r="K25" s="111">
        <f t="shared" si="4"/>
        <v>0.40079713189092292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4.5564002031102486E-3</v>
      </c>
      <c r="K26" s="108">
        <f t="shared" si="4"/>
        <v>4.5026227064548594E-3</v>
      </c>
    </row>
    <row r="27" spans="1:11" s="1" customFormat="1" x14ac:dyDescent="0.2">
      <c r="A27" s="119" t="s">
        <v>75</v>
      </c>
      <c r="B27" s="120">
        <f>B8-B4</f>
        <v>78.75</v>
      </c>
      <c r="C27" s="257">
        <f>IF(B4&gt;B7,C13,C12)</f>
        <v>0.106</v>
      </c>
      <c r="D27" s="22">
        <f>B27*C27</f>
        <v>8.3475000000000001</v>
      </c>
      <c r="E27" s="73">
        <f>B27</f>
        <v>78.75</v>
      </c>
      <c r="F27" s="257">
        <f>C27</f>
        <v>0.106</v>
      </c>
      <c r="G27" s="22">
        <f>E27*F27</f>
        <v>8.3475000000000001</v>
      </c>
      <c r="H27" s="22">
        <f t="shared" si="2"/>
        <v>0</v>
      </c>
      <c r="I27" s="23">
        <f t="shared" si="10"/>
        <v>0</v>
      </c>
      <c r="J27" s="23">
        <f t="shared" ref="J27:J46" si="12">G27/$G$46</f>
        <v>4.8145000880332661E-2</v>
      </c>
      <c r="K27" s="108">
        <f t="shared" ref="K27:K41" si="13">G27/$G$51</f>
        <v>4.7576763344470807E-2</v>
      </c>
    </row>
    <row r="28" spans="1:11" s="1" customFormat="1" x14ac:dyDescent="0.2">
      <c r="A28" s="119" t="s">
        <v>74</v>
      </c>
      <c r="B28" s="120">
        <f>B8-B4</f>
        <v>78.75</v>
      </c>
      <c r="C28" s="257">
        <f>0.65*C15+0.17*C16+0.18*C17</f>
        <v>9.7519999999999996E-2</v>
      </c>
      <c r="D28" s="22">
        <f>B28*C28</f>
        <v>7.6796999999999995</v>
      </c>
      <c r="E28" s="73">
        <f>B28</f>
        <v>78.75</v>
      </c>
      <c r="F28" s="257">
        <f>C28</f>
        <v>9.7519999999999996E-2</v>
      </c>
      <c r="G28" s="22">
        <f>E28*F28</f>
        <v>7.6796999999999995</v>
      </c>
      <c r="H28" s="22">
        <f t="shared" si="2"/>
        <v>0</v>
      </c>
      <c r="I28" s="23">
        <f t="shared" si="10"/>
        <v>0</v>
      </c>
      <c r="J28" s="23">
        <f t="shared" si="12"/>
        <v>4.4293400809906042E-2</v>
      </c>
      <c r="K28" s="108">
        <f t="shared" si="13"/>
        <v>4.377062227691314E-2</v>
      </c>
    </row>
    <row r="29" spans="1:11" s="1" customFormat="1" x14ac:dyDescent="0.2">
      <c r="A29" s="110" t="s">
        <v>78</v>
      </c>
      <c r="B29" s="74"/>
      <c r="C29" s="35"/>
      <c r="D29" s="35">
        <f>SUM(D25,D26:D27)</f>
        <v>73.418678307903917</v>
      </c>
      <c r="E29" s="73"/>
      <c r="F29" s="35"/>
      <c r="G29" s="35">
        <f>SUM(G25,G26:G27)</f>
        <v>79.458678307903924</v>
      </c>
      <c r="H29" s="35">
        <f t="shared" si="2"/>
        <v>6.0400000000000063</v>
      </c>
      <c r="I29" s="36">
        <f t="shared" si="10"/>
        <v>8.2267893391779673E-2</v>
      </c>
      <c r="J29" s="36">
        <f t="shared" si="12"/>
        <v>0.45828549111519662</v>
      </c>
      <c r="K29" s="111">
        <f t="shared" si="13"/>
        <v>0.45287651794184858</v>
      </c>
    </row>
    <row r="30" spans="1:11" s="1" customFormat="1" x14ac:dyDescent="0.2">
      <c r="A30" s="110" t="s">
        <v>77</v>
      </c>
      <c r="B30" s="74"/>
      <c r="C30" s="35"/>
      <c r="D30" s="35">
        <f>SUM(D25,D26,D28)</f>
        <v>72.750878307903918</v>
      </c>
      <c r="E30" s="73"/>
      <c r="F30" s="35"/>
      <c r="G30" s="35">
        <f>SUM(G25,G26,G28)</f>
        <v>78.790878307903924</v>
      </c>
      <c r="H30" s="35">
        <f t="shared" si="2"/>
        <v>6.0400000000000063</v>
      </c>
      <c r="I30" s="36">
        <f t="shared" si="10"/>
        <v>8.3023052648751303E-2</v>
      </c>
      <c r="J30" s="36">
        <f t="shared" si="12"/>
        <v>0.45443389104477</v>
      </c>
      <c r="K30" s="111">
        <f t="shared" si="13"/>
        <v>0.44907037687429091</v>
      </c>
    </row>
    <row r="31" spans="1:11" x14ac:dyDescent="0.2">
      <c r="A31" s="107" t="s">
        <v>40</v>
      </c>
      <c r="B31" s="73">
        <f>B8</f>
        <v>828.75</v>
      </c>
      <c r="C31" s="125">
        <f>VLOOKUP($B$3,'Data for Bill Impacts'!$A$3:$Y$15,15,0)</f>
        <v>6.7400000000000003E-3</v>
      </c>
      <c r="D31" s="22">
        <f>B31*C31</f>
        <v>5.5857749999999999</v>
      </c>
      <c r="E31" s="73">
        <f t="shared" si="6"/>
        <v>828.75</v>
      </c>
      <c r="F31" s="78">
        <f>VLOOKUP($B$3,'Data for Bill Impacts'!$A$3:$Y$15,24,0)</f>
        <v>6.7999999999999996E-3</v>
      </c>
      <c r="G31" s="22">
        <f>E31*F31</f>
        <v>5.6354999999999995</v>
      </c>
      <c r="H31" s="22">
        <f t="shared" si="2"/>
        <v>4.9724999999999575E-2</v>
      </c>
      <c r="I31" s="23">
        <f t="shared" si="10"/>
        <v>8.9020771513352356E-3</v>
      </c>
      <c r="J31" s="23">
        <f t="shared" si="12"/>
        <v>3.2503282714718737E-2</v>
      </c>
      <c r="K31" s="108">
        <f t="shared" si="13"/>
        <v>3.2119658559780197E-2</v>
      </c>
    </row>
    <row r="32" spans="1:11" x14ac:dyDescent="0.2">
      <c r="A32" s="107" t="s">
        <v>41</v>
      </c>
      <c r="B32" s="73">
        <f>B8</f>
        <v>828.75</v>
      </c>
      <c r="C32" s="125">
        <f>VLOOKUP($B$3,'Data for Bill Impacts'!$A$3:$Y$15,16,0)</f>
        <v>5.6299999999999996E-3</v>
      </c>
      <c r="D32" s="22">
        <f>B32*C32</f>
        <v>4.6658624999999994</v>
      </c>
      <c r="E32" s="73">
        <f t="shared" si="6"/>
        <v>828.75</v>
      </c>
      <c r="F32" s="78">
        <f>VLOOKUP($B$3,'Data for Bill Impacts'!$A$3:$Y$15,25,0)</f>
        <v>5.4999999999999997E-3</v>
      </c>
      <c r="G32" s="22">
        <f>E32*F32</f>
        <v>4.5581249999999995</v>
      </c>
      <c r="H32" s="22">
        <f t="shared" si="2"/>
        <v>-0.10773749999999982</v>
      </c>
      <c r="I32" s="23">
        <f t="shared" si="10"/>
        <v>-2.3090586145648278E-2</v>
      </c>
      <c r="J32" s="23">
        <f t="shared" si="12"/>
        <v>2.6289419842787213E-2</v>
      </c>
      <c r="K32" s="108">
        <f t="shared" si="13"/>
        <v>2.597913559982222E-2</v>
      </c>
    </row>
    <row r="33" spans="1:11" s="1" customFormat="1" x14ac:dyDescent="0.2">
      <c r="A33" s="110" t="s">
        <v>76</v>
      </c>
      <c r="B33" s="74"/>
      <c r="C33" s="35"/>
      <c r="D33" s="35">
        <f>SUM(D31:D32)</f>
        <v>10.251637499999999</v>
      </c>
      <c r="E33" s="73"/>
      <c r="F33" s="35"/>
      <c r="G33" s="35">
        <f>SUM(G31:G32)</f>
        <v>10.193624999999999</v>
      </c>
      <c r="H33" s="35">
        <f t="shared" si="2"/>
        <v>-5.8012500000000244E-2</v>
      </c>
      <c r="I33" s="36">
        <f t="shared" si="10"/>
        <v>-5.6588520614389891E-3</v>
      </c>
      <c r="J33" s="36">
        <f t="shared" si="12"/>
        <v>5.8792702557505953E-2</v>
      </c>
      <c r="K33" s="111">
        <f t="shared" si="13"/>
        <v>5.8098794159602417E-2</v>
      </c>
    </row>
    <row r="34" spans="1:11" s="1" customFormat="1" x14ac:dyDescent="0.2">
      <c r="A34" s="110" t="s">
        <v>95</v>
      </c>
      <c r="B34" s="74"/>
      <c r="C34" s="35"/>
      <c r="D34" s="35">
        <f>D29+D33</f>
        <v>83.670315807903918</v>
      </c>
      <c r="E34" s="73"/>
      <c r="F34" s="35"/>
      <c r="G34" s="35">
        <f>G29+G33</f>
        <v>89.652303307903921</v>
      </c>
      <c r="H34" s="35">
        <f t="shared" si="2"/>
        <v>5.9819875000000025</v>
      </c>
      <c r="I34" s="36">
        <f t="shared" si="10"/>
        <v>7.1494740305915211E-2</v>
      </c>
      <c r="J34" s="36">
        <f t="shared" si="12"/>
        <v>0.51707819367270258</v>
      </c>
      <c r="K34" s="111">
        <f t="shared" si="13"/>
        <v>0.51097531210145097</v>
      </c>
    </row>
    <row r="35" spans="1:11" s="1" customFormat="1" x14ac:dyDescent="0.2">
      <c r="A35" s="110" t="s">
        <v>96</v>
      </c>
      <c r="B35" s="74"/>
      <c r="C35" s="35"/>
      <c r="D35" s="35">
        <f>D30+D33</f>
        <v>83.002515807903919</v>
      </c>
      <c r="E35" s="73"/>
      <c r="F35" s="35"/>
      <c r="G35" s="35">
        <f>G30+G33</f>
        <v>88.984503307903921</v>
      </c>
      <c r="H35" s="35">
        <f t="shared" si="2"/>
        <v>5.9819875000000025</v>
      </c>
      <c r="I35" s="36">
        <f t="shared" si="10"/>
        <v>7.2069954046264789E-2</v>
      </c>
      <c r="J35" s="36">
        <f t="shared" si="12"/>
        <v>0.51322659360227596</v>
      </c>
      <c r="K35" s="111">
        <f t="shared" si="13"/>
        <v>0.50716917103389336</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2"/>
        <v>0</v>
      </c>
      <c r="I36" s="23">
        <f t="shared" si="10"/>
        <v>0</v>
      </c>
      <c r="J36" s="23">
        <f t="shared" si="12"/>
        <v>1.7207620260733449E-2</v>
      </c>
      <c r="K36" s="108">
        <f t="shared" si="13"/>
        <v>1.7004525119883637E-2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10"/>
        <v>0</v>
      </c>
      <c r="J37" s="23">
        <f t="shared" si="12"/>
        <v>1.0037778485427846E-2</v>
      </c>
      <c r="K37" s="108">
        <f t="shared" si="13"/>
        <v>9.91930631993212E-3</v>
      </c>
    </row>
    <row r="38" spans="1:11" x14ac:dyDescent="0.2">
      <c r="A38" s="107" t="s">
        <v>100</v>
      </c>
      <c r="B38" s="73">
        <f>B8</f>
        <v>828.75</v>
      </c>
      <c r="C38" s="34">
        <v>0</v>
      </c>
      <c r="D38" s="22">
        <f>B38*C38</f>
        <v>0</v>
      </c>
      <c r="E38" s="73">
        <f t="shared" si="6"/>
        <v>828.75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1.4418987984526103E-3</v>
      </c>
      <c r="K39" s="108">
        <f t="shared" si="13"/>
        <v>1.4248806033084998E-3</v>
      </c>
    </row>
    <row r="40" spans="1:11" s="1" customFormat="1" x14ac:dyDescent="0.2">
      <c r="A40" s="110" t="s">
        <v>45</v>
      </c>
      <c r="B40" s="74"/>
      <c r="C40" s="35"/>
      <c r="D40" s="35">
        <f>SUM(D36:D39)</f>
        <v>4.9738749999999996</v>
      </c>
      <c r="E40" s="73"/>
      <c r="F40" s="35"/>
      <c r="G40" s="35">
        <f>SUM(G36:G39)</f>
        <v>4.9738749999999996</v>
      </c>
      <c r="H40" s="35">
        <f t="shared" si="2"/>
        <v>0</v>
      </c>
      <c r="I40" s="36">
        <f t="shared" si="10"/>
        <v>0</v>
      </c>
      <c r="J40" s="36">
        <f t="shared" si="12"/>
        <v>2.8687297544613907E-2</v>
      </c>
      <c r="K40" s="111">
        <f t="shared" si="13"/>
        <v>2.8348712043124256E-2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159.1441908079039</v>
      </c>
      <c r="E42" s="38"/>
      <c r="F42" s="39"/>
      <c r="G42" s="39">
        <f>SUM(G14,G25,G26,G27,G33,G40,G41)</f>
        <v>165.1261783079039</v>
      </c>
      <c r="H42" s="39">
        <f t="shared" si="2"/>
        <v>5.9819875000000025</v>
      </c>
      <c r="I42" s="40">
        <f t="shared" si="10"/>
        <v>3.758847539223472E-2</v>
      </c>
      <c r="J42" s="40">
        <f t="shared" si="12"/>
        <v>0.95238095238095244</v>
      </c>
      <c r="K42" s="41"/>
    </row>
    <row r="43" spans="1:11" x14ac:dyDescent="0.2">
      <c r="A43" s="149" t="s">
        <v>138</v>
      </c>
      <c r="B43" s="43"/>
      <c r="C43" s="26">
        <v>0.13</v>
      </c>
      <c r="D43" s="26">
        <f>D42*C43</f>
        <v>20.688744805027508</v>
      </c>
      <c r="E43" s="26"/>
      <c r="F43" s="26">
        <f>C43</f>
        <v>0.13</v>
      </c>
      <c r="G43" s="26">
        <f>G42*F43</f>
        <v>21.466403180027509</v>
      </c>
      <c r="H43" s="26">
        <f t="shared" si="2"/>
        <v>0.77765837500000146</v>
      </c>
      <c r="I43" s="44">
        <f t="shared" si="10"/>
        <v>3.7588475392234776E-2</v>
      </c>
      <c r="J43" s="44">
        <f t="shared" si="12"/>
        <v>0.12380952380952383</v>
      </c>
      <c r="K43" s="45"/>
    </row>
    <row r="44" spans="1:11" s="1" customFormat="1" x14ac:dyDescent="0.2">
      <c r="A44" s="46" t="s">
        <v>139</v>
      </c>
      <c r="B44" s="24"/>
      <c r="C44" s="25"/>
      <c r="D44" s="25">
        <f>SUM(D42:D43)</f>
        <v>179.83293561293141</v>
      </c>
      <c r="E44" s="25"/>
      <c r="F44" s="25"/>
      <c r="G44" s="25">
        <f>SUM(G42:G43)</f>
        <v>186.5925814879314</v>
      </c>
      <c r="H44" s="25">
        <f t="shared" si="2"/>
        <v>6.7596458749999897</v>
      </c>
      <c r="I44" s="27">
        <f t="shared" si="10"/>
        <v>3.7588475392234644E-2</v>
      </c>
      <c r="J44" s="27">
        <f t="shared" si="12"/>
        <v>1.0761904761904761</v>
      </c>
      <c r="K44" s="47"/>
    </row>
    <row r="45" spans="1:11" x14ac:dyDescent="0.2">
      <c r="A45" s="42" t="s">
        <v>140</v>
      </c>
      <c r="B45" s="43"/>
      <c r="C45" s="26">
        <v>-0.08</v>
      </c>
      <c r="D45" s="26">
        <f>D42*C45</f>
        <v>-12.731535264632312</v>
      </c>
      <c r="E45" s="26"/>
      <c r="F45" s="26">
        <f>C45</f>
        <v>-0.08</v>
      </c>
      <c r="G45" s="26">
        <f>G42*F45</f>
        <v>-13.210094264632312</v>
      </c>
      <c r="H45" s="26">
        <f t="shared" si="2"/>
        <v>-0.47855900000000062</v>
      </c>
      <c r="I45" s="44">
        <f t="shared" si="10"/>
        <v>-3.7588475392234755E-2</v>
      </c>
      <c r="J45" s="44">
        <f t="shared" si="12"/>
        <v>-7.6190476190476197E-2</v>
      </c>
      <c r="K45" s="45"/>
    </row>
    <row r="46" spans="1:11" s="1" customFormat="1" ht="13.5" thickBot="1" x14ac:dyDescent="0.25">
      <c r="A46" s="48" t="s">
        <v>141</v>
      </c>
      <c r="B46" s="49"/>
      <c r="C46" s="50"/>
      <c r="D46" s="50">
        <f>SUM(D44:D45)</f>
        <v>167.10140034829911</v>
      </c>
      <c r="E46" s="50"/>
      <c r="F46" s="50"/>
      <c r="G46" s="50">
        <f>SUM(G44:G45)</f>
        <v>173.38248722329908</v>
      </c>
      <c r="H46" s="50">
        <f t="shared" si="2"/>
        <v>6.2810868749999713</v>
      </c>
      <c r="I46" s="51">
        <f t="shared" si="10"/>
        <v>3.7588475392234526E-2</v>
      </c>
      <c r="J46" s="51">
        <f t="shared" si="12"/>
        <v>1</v>
      </c>
      <c r="K46" s="52"/>
    </row>
    <row r="47" spans="1:11" x14ac:dyDescent="0.2">
      <c r="A47" s="53" t="s">
        <v>142</v>
      </c>
      <c r="B47" s="54"/>
      <c r="C47" s="55"/>
      <c r="D47" s="55">
        <f>SUM(D18,D25,D26,D28,D33,D40,D41)</f>
        <v>161.11639080790388</v>
      </c>
      <c r="E47" s="55"/>
      <c r="F47" s="55"/>
      <c r="G47" s="55">
        <f>SUM(G18,G25,G26,G28,G33,G40,G41)</f>
        <v>167.09837830790391</v>
      </c>
      <c r="H47" s="55">
        <f>G47-D47</f>
        <v>5.9819875000000309</v>
      </c>
      <c r="I47" s="56">
        <f t="shared" si="10"/>
        <v>3.7128360870075872E-2</v>
      </c>
      <c r="J47" s="56"/>
      <c r="K47" s="57">
        <f>G47/$G$51</f>
        <v>0.95238095238095222</v>
      </c>
    </row>
    <row r="48" spans="1:11" x14ac:dyDescent="0.2">
      <c r="A48" s="58" t="s">
        <v>138</v>
      </c>
      <c r="B48" s="59"/>
      <c r="C48" s="31">
        <v>0.13</v>
      </c>
      <c r="D48" s="31">
        <f>D47*C48</f>
        <v>20.945130805027507</v>
      </c>
      <c r="E48" s="31"/>
      <c r="F48" s="31">
        <f>C48</f>
        <v>0.13</v>
      </c>
      <c r="G48" s="31">
        <f>G47*F48</f>
        <v>21.722789180027508</v>
      </c>
      <c r="H48" s="31">
        <f>G48-D48</f>
        <v>0.77765837500000146</v>
      </c>
      <c r="I48" s="32">
        <f t="shared" si="10"/>
        <v>3.7128360870075747E-2</v>
      </c>
      <c r="J48" s="32"/>
      <c r="K48" s="60">
        <f>G48/$G$51</f>
        <v>0.12380952380952379</v>
      </c>
    </row>
    <row r="49" spans="1:11" x14ac:dyDescent="0.2">
      <c r="A49" s="61" t="s">
        <v>143</v>
      </c>
      <c r="B49" s="29"/>
      <c r="C49" s="30"/>
      <c r="D49" s="30">
        <f>SUM(D47:D48)</f>
        <v>182.06152161293139</v>
      </c>
      <c r="E49" s="30"/>
      <c r="F49" s="30"/>
      <c r="G49" s="30">
        <f>SUM(G47:G48)</f>
        <v>188.82116748793143</v>
      </c>
      <c r="H49" s="30">
        <f>G49-D49</f>
        <v>6.7596458750000465</v>
      </c>
      <c r="I49" s="33">
        <f t="shared" si="10"/>
        <v>3.7128360870075941E-2</v>
      </c>
      <c r="J49" s="33"/>
      <c r="K49" s="62">
        <f>G49/$G$51</f>
        <v>1.0761904761904761</v>
      </c>
    </row>
    <row r="50" spans="1:11" x14ac:dyDescent="0.2">
      <c r="A50" s="58" t="s">
        <v>140</v>
      </c>
      <c r="B50" s="59"/>
      <c r="C50" s="31">
        <v>-0.08</v>
      </c>
      <c r="D50" s="31">
        <f>D47*C50</f>
        <v>-12.889311264632312</v>
      </c>
      <c r="E50" s="31"/>
      <c r="F50" s="31">
        <f>C50</f>
        <v>-0.08</v>
      </c>
      <c r="G50" s="31">
        <f>G47*F50</f>
        <v>-13.367870264632314</v>
      </c>
      <c r="H50" s="31">
        <f>G50-D50</f>
        <v>-0.4785590000000024</v>
      </c>
      <c r="I50" s="32">
        <f t="shared" si="10"/>
        <v>-3.7128360870075865E-2</v>
      </c>
      <c r="J50" s="32"/>
      <c r="K50" s="60">
        <f>G50/$G$51</f>
        <v>-7.6190476190476183E-2</v>
      </c>
    </row>
    <row r="51" spans="1:11" ht="13.5" thickBot="1" x14ac:dyDescent="0.25">
      <c r="A51" s="63" t="s">
        <v>144</v>
      </c>
      <c r="B51" s="64"/>
      <c r="C51" s="65"/>
      <c r="D51" s="65">
        <f>SUM(D49:D50)</f>
        <v>169.17221034829907</v>
      </c>
      <c r="E51" s="65"/>
      <c r="F51" s="65"/>
      <c r="G51" s="65">
        <f>SUM(G49:G50)</f>
        <v>175.45329722329913</v>
      </c>
      <c r="H51" s="65">
        <f>G51-D51</f>
        <v>6.2810868750000566</v>
      </c>
      <c r="I51" s="66">
        <f t="shared" si="10"/>
        <v>3.7128360870076017E-2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theme="1" tint="0.499984740745262"/>
    <pageSetUpPr fitToPage="1"/>
  </sheetPr>
  <dimension ref="A1:K68"/>
  <sheetViews>
    <sheetView tabSelected="1" view="pageBreakPreview" topLeftCell="A38" zoomScale="115" zoomScaleNormal="100" zoomScaleSheetLayoutView="115" workbookViewId="0">
      <selection activeCell="N7" sqref="N7"/>
    </sheetView>
  </sheetViews>
  <sheetFormatPr defaultRowHeight="12.75" x14ac:dyDescent="0.2"/>
  <cols>
    <col min="1" max="1" width="68.140625" bestFit="1" customWidth="1"/>
    <col min="2" max="2" width="15.5703125" bestFit="1" customWidth="1"/>
    <col min="3" max="3" width="10.5703125" customWidth="1"/>
    <col min="4" max="4" width="21.285156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2</v>
      </c>
    </row>
    <row r="4" spans="1:11" x14ac:dyDescent="0.2">
      <c r="A4" s="15" t="s">
        <v>62</v>
      </c>
      <c r="B4" s="79">
        <f>'Data for Bill Impacts_HONI Avg '!C5</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81">
        <f>B4*B6</f>
        <v>1272.96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0.22777802184523624</v>
      </c>
      <c r="K12" s="106"/>
    </row>
    <row r="13" spans="1:11" x14ac:dyDescent="0.2">
      <c r="A13" s="107" t="s">
        <v>32</v>
      </c>
      <c r="B13" s="73">
        <f>IF(B4&gt;B7,(B4)-B7,0)</f>
        <v>552</v>
      </c>
      <c r="C13" s="21">
        <v>0.106</v>
      </c>
      <c r="D13" s="22">
        <f>B13*C13</f>
        <v>58.512</v>
      </c>
      <c r="E13" s="73">
        <f t="shared" ref="E13" si="1">B13</f>
        <v>552</v>
      </c>
      <c r="F13" s="21">
        <f>C13</f>
        <v>0.106</v>
      </c>
      <c r="G13" s="22">
        <f>E13*F13</f>
        <v>58.512</v>
      </c>
      <c r="H13" s="22">
        <f t="shared" ref="H13:H46" si="2">G13-D13</f>
        <v>0</v>
      </c>
      <c r="I13" s="23">
        <f t="shared" si="0"/>
        <v>0</v>
      </c>
      <c r="J13" s="23">
        <f>G13/$G$46</f>
        <v>0.24409794165216966</v>
      </c>
      <c r="K13" s="108"/>
    </row>
    <row r="14" spans="1:11" s="1" customFormat="1" x14ac:dyDescent="0.2">
      <c r="A14" s="46" t="s">
        <v>33</v>
      </c>
      <c r="B14" s="24"/>
      <c r="C14" s="25"/>
      <c r="D14" s="25">
        <f>SUM(D12:D13)</f>
        <v>113.11199999999999</v>
      </c>
      <c r="E14" s="76"/>
      <c r="F14" s="25"/>
      <c r="G14" s="25">
        <f>SUM(G12:G13)</f>
        <v>113.11199999999999</v>
      </c>
      <c r="H14" s="25">
        <f t="shared" si="2"/>
        <v>0</v>
      </c>
      <c r="I14" s="27">
        <f t="shared" si="0"/>
        <v>0</v>
      </c>
      <c r="J14" s="27">
        <f>G14/$G$46</f>
        <v>0.47187596349740585</v>
      </c>
      <c r="K14" s="108"/>
    </row>
    <row r="15" spans="1:11" s="1" customFormat="1" x14ac:dyDescent="0.2">
      <c r="A15" s="109" t="s">
        <v>34</v>
      </c>
      <c r="B15" s="75">
        <f>B4*0.65</f>
        <v>748.80000000000007</v>
      </c>
      <c r="C15" s="28">
        <v>7.6999999999999999E-2</v>
      </c>
      <c r="D15" s="22">
        <f>B15*C15</f>
        <v>57.657600000000002</v>
      </c>
      <c r="E15" s="73">
        <f t="shared" ref="E15:F17" si="3">B15</f>
        <v>748.80000000000007</v>
      </c>
      <c r="F15" s="28">
        <f t="shared" si="3"/>
        <v>7.6999999999999999E-2</v>
      </c>
      <c r="G15" s="22">
        <f>E15*F15</f>
        <v>57.657600000000002</v>
      </c>
      <c r="H15" s="22">
        <f t="shared" si="2"/>
        <v>0</v>
      </c>
      <c r="I15" s="23">
        <f t="shared" si="0"/>
        <v>0</v>
      </c>
      <c r="J15" s="23"/>
      <c r="K15" s="108">
        <f t="shared" ref="K15:K26" si="4">G15/$G$51</f>
        <v>0.24243950780340032</v>
      </c>
    </row>
    <row r="16" spans="1:11" s="1" customFormat="1" x14ac:dyDescent="0.2">
      <c r="A16" s="109" t="s">
        <v>35</v>
      </c>
      <c r="B16" s="75">
        <f>B4*0.17</f>
        <v>195.84</v>
      </c>
      <c r="C16" s="28">
        <v>0.113</v>
      </c>
      <c r="D16" s="22">
        <f>B16*C16</f>
        <v>22.129920000000002</v>
      </c>
      <c r="E16" s="73">
        <f t="shared" si="3"/>
        <v>195.84</v>
      </c>
      <c r="F16" s="28">
        <f t="shared" si="3"/>
        <v>0.113</v>
      </c>
      <c r="G16" s="22">
        <f>E16*F16</f>
        <v>22.129920000000002</v>
      </c>
      <c r="H16" s="22">
        <f t="shared" si="2"/>
        <v>0</v>
      </c>
      <c r="I16" s="23">
        <f t="shared" si="0"/>
        <v>0</v>
      </c>
      <c r="J16" s="23"/>
      <c r="K16" s="108">
        <f t="shared" si="4"/>
        <v>9.3052206691375039E-2</v>
      </c>
    </row>
    <row r="17" spans="1:11" s="1" customFormat="1" x14ac:dyDescent="0.2">
      <c r="A17" s="109" t="s">
        <v>36</v>
      </c>
      <c r="B17" s="75">
        <f>B4*0.18</f>
        <v>207.35999999999999</v>
      </c>
      <c r="C17" s="28">
        <v>0.157</v>
      </c>
      <c r="D17" s="22">
        <f>B17*C17</f>
        <v>32.555520000000001</v>
      </c>
      <c r="E17" s="73">
        <f t="shared" si="3"/>
        <v>207.35999999999999</v>
      </c>
      <c r="F17" s="28">
        <f t="shared" si="3"/>
        <v>0.157</v>
      </c>
      <c r="G17" s="22">
        <f>E17*F17</f>
        <v>32.555520000000001</v>
      </c>
      <c r="H17" s="22">
        <f t="shared" si="2"/>
        <v>0</v>
      </c>
      <c r="I17" s="23">
        <f t="shared" si="0"/>
        <v>0</v>
      </c>
      <c r="J17" s="23"/>
      <c r="K17" s="108">
        <f t="shared" si="4"/>
        <v>0.13688991989059127</v>
      </c>
    </row>
    <row r="18" spans="1:11" s="1" customFormat="1" x14ac:dyDescent="0.2">
      <c r="A18" s="61" t="s">
        <v>37</v>
      </c>
      <c r="B18" s="29"/>
      <c r="C18" s="30"/>
      <c r="D18" s="30">
        <f>SUM(D15:D17)</f>
        <v>112.34304</v>
      </c>
      <c r="E18" s="77"/>
      <c r="F18" s="30"/>
      <c r="G18" s="30">
        <f>SUM(G15:G17)</f>
        <v>112.34304</v>
      </c>
      <c r="H18" s="31">
        <f t="shared" si="2"/>
        <v>0</v>
      </c>
      <c r="I18" s="32">
        <f t="shared" si="0"/>
        <v>0</v>
      </c>
      <c r="J18" s="33">
        <f t="shared" ref="J18:J23" si="5">G18/$G$46</f>
        <v>0.46866804797216571</v>
      </c>
      <c r="K18" s="62">
        <f t="shared" si="4"/>
        <v>0.47238163438536662</v>
      </c>
    </row>
    <row r="19" spans="1:11" x14ac:dyDescent="0.2">
      <c r="A19" s="107" t="s">
        <v>38</v>
      </c>
      <c r="B19" s="73">
        <v>1</v>
      </c>
      <c r="C19" s="121">
        <f>VLOOKUP($B$3,'Data for Bill Impacts'!$A$3:$Y$15,7,0)</f>
        <v>44.119678307903925</v>
      </c>
      <c r="D19" s="22">
        <f>B19*C19</f>
        <v>44.119678307903925</v>
      </c>
      <c r="E19" s="73">
        <f t="shared" ref="E19:E41" si="6">B19</f>
        <v>1</v>
      </c>
      <c r="F19" s="121">
        <f>VLOOKUP($B$3,'Data for Bill Impacts'!$A$3:$Y$15,17,0)</f>
        <v>55.259678307903926</v>
      </c>
      <c r="G19" s="22">
        <f>E19*F19</f>
        <v>55.259678307903926</v>
      </c>
      <c r="H19" s="22">
        <f t="shared" si="2"/>
        <v>11.14</v>
      </c>
      <c r="I19" s="23">
        <f>IF(ISERROR(H19/ABS(D19)),"N/A",(H19/ABS(D19)))</f>
        <v>0.2524950413793996</v>
      </c>
      <c r="J19" s="23">
        <f t="shared" si="5"/>
        <v>0.23053004052707815</v>
      </c>
      <c r="K19" s="108">
        <f t="shared" si="4"/>
        <v>0.23235669209856921</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-2.1000000000000001E-2</v>
      </c>
      <c r="D22" s="22">
        <f t="shared" si="9"/>
        <v>-2.1000000000000001E-2</v>
      </c>
      <c r="E22" s="73">
        <f t="shared" si="6"/>
        <v>1</v>
      </c>
      <c r="F22" s="121">
        <f>VLOOKUP($B$3,'Data for Bill Impacts'!$A$3:$Y$15,22,0)</f>
        <v>-2.1000000000000001E-2</v>
      </c>
      <c r="G22" s="22">
        <f t="shared" si="7"/>
        <v>-2.1000000000000001E-2</v>
      </c>
      <c r="H22" s="22">
        <f t="shared" si="2"/>
        <v>0</v>
      </c>
      <c r="I22" s="23">
        <f t="shared" ref="I22:I51" si="10">IF(ISERROR(H22/ABS(D22)),"N/A",(H22/ABS(D22)))</f>
        <v>0</v>
      </c>
      <c r="J22" s="23">
        <f t="shared" si="5"/>
        <v>-8.7606931478937021E-5</v>
      </c>
      <c r="K22" s="108">
        <f t="shared" si="4"/>
        <v>-8.8301102783872498E-5</v>
      </c>
    </row>
    <row r="23" spans="1:11" x14ac:dyDescent="0.2">
      <c r="A23" s="107" t="s">
        <v>39</v>
      </c>
      <c r="B23" s="73">
        <f>IF($B$9="kWh",$B$4,$B$5)</f>
        <v>1152</v>
      </c>
      <c r="C23" s="125">
        <f>VLOOKUP($B$3,'Data for Bill Impacts'!$A$3:$Y$15,10,0)</f>
        <v>2.69E-2</v>
      </c>
      <c r="D23" s="22">
        <f>B23*C23</f>
        <v>30.988800000000001</v>
      </c>
      <c r="E23" s="73">
        <f t="shared" si="6"/>
        <v>1152</v>
      </c>
      <c r="F23" s="125">
        <f>VLOOKUP($B$3,'Data for Bill Impacts'!$A$3:$Y$15,19,0)</f>
        <v>2.01E-2</v>
      </c>
      <c r="G23" s="22">
        <f>E23*F23</f>
        <v>23.155200000000001</v>
      </c>
      <c r="H23" s="22">
        <f t="shared" si="2"/>
        <v>-7.8336000000000006</v>
      </c>
      <c r="I23" s="23">
        <f t="shared" si="10"/>
        <v>-0.25278810408921931</v>
      </c>
      <c r="J23" s="23">
        <f t="shared" si="5"/>
        <v>9.6597905703861064E-2</v>
      </c>
      <c r="K23" s="108">
        <f t="shared" si="4"/>
        <v>9.7363318818148775E-2</v>
      </c>
    </row>
    <row r="24" spans="1:11" x14ac:dyDescent="0.2">
      <c r="A24" s="107" t="s">
        <v>199</v>
      </c>
      <c r="B24" s="73">
        <f>IF($B$9="kWh",$B$4,$B$5)</f>
        <v>1152</v>
      </c>
      <c r="C24" s="125">
        <f>VLOOKUP($B$3,'Data for Bill Impacts'!$A$3:$Y$15,14,0)</f>
        <v>1.0000000000000003E-5</v>
      </c>
      <c r="D24" s="22">
        <f>B24*C24</f>
        <v>1.1520000000000002E-2</v>
      </c>
      <c r="E24" s="73">
        <f t="shared" si="6"/>
        <v>1152</v>
      </c>
      <c r="F24" s="125">
        <f>VLOOKUP($B$3,'Data for Bill Impacts'!$A$3:$Y$15,23,0)</f>
        <v>1.0000000000000003E-5</v>
      </c>
      <c r="G24" s="22">
        <f>E24*F24</f>
        <v>1.1520000000000002E-2</v>
      </c>
      <c r="H24" s="22">
        <f t="shared" si="2"/>
        <v>0</v>
      </c>
      <c r="I24" s="23">
        <f t="shared" si="10"/>
        <v>0</v>
      </c>
      <c r="J24" s="23">
        <f t="shared" ref="J24" si="11">G24/$G$46</f>
        <v>4.8058659554159748E-5</v>
      </c>
      <c r="K24" s="108">
        <f t="shared" si="4"/>
        <v>4.8439462098581488E-5</v>
      </c>
    </row>
    <row r="25" spans="1:11" s="1" customFormat="1" x14ac:dyDescent="0.2">
      <c r="A25" s="110" t="s">
        <v>72</v>
      </c>
      <c r="B25" s="74"/>
      <c r="C25" s="35"/>
      <c r="D25" s="35">
        <f>SUM(D19:D24)</f>
        <v>75.098998307903926</v>
      </c>
      <c r="E25" s="73"/>
      <c r="F25" s="35"/>
      <c r="G25" s="35">
        <f>SUM(G19:G24)</f>
        <v>78.405398307903923</v>
      </c>
      <c r="H25" s="35">
        <f t="shared" si="2"/>
        <v>3.3063999999999965</v>
      </c>
      <c r="I25" s="36">
        <f t="shared" si="10"/>
        <v>4.4027218398357902E-2</v>
      </c>
      <c r="J25" s="36">
        <f>G25/$G$46</f>
        <v>0.32708839795901445</v>
      </c>
      <c r="K25" s="111">
        <f t="shared" si="4"/>
        <v>0.32968014927603267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3.2956893270647738E-3</v>
      </c>
      <c r="K26" s="108">
        <f t="shared" si="4"/>
        <v>3.3218033904409178E-3</v>
      </c>
    </row>
    <row r="27" spans="1:11" s="1" customFormat="1" x14ac:dyDescent="0.2">
      <c r="A27" s="119" t="s">
        <v>75</v>
      </c>
      <c r="B27" s="120">
        <f>B8-B4</f>
        <v>120.96000000000004</v>
      </c>
      <c r="C27" s="257">
        <f>IF(B4&gt;B7,C13,C12)</f>
        <v>0.106</v>
      </c>
      <c r="D27" s="22">
        <f>B27*C27</f>
        <v>12.821760000000003</v>
      </c>
      <c r="E27" s="73">
        <f>B27</f>
        <v>120.96000000000004</v>
      </c>
      <c r="F27" s="257">
        <f>C27</f>
        <v>0.106</v>
      </c>
      <c r="G27" s="22">
        <f>E27*F27</f>
        <v>12.821760000000003</v>
      </c>
      <c r="H27" s="22">
        <f t="shared" si="2"/>
        <v>0</v>
      </c>
      <c r="I27" s="23">
        <f t="shared" si="10"/>
        <v>0</v>
      </c>
      <c r="J27" s="23">
        <f t="shared" ref="J27:J46" si="12">G27/$G$46</f>
        <v>5.3489288083779798E-2</v>
      </c>
      <c r="K27" s="108">
        <f t="shared" ref="K27:K41" si="13">G27/$G$51</f>
        <v>5.3913121315721201E-2</v>
      </c>
    </row>
    <row r="28" spans="1:11" s="1" customFormat="1" x14ac:dyDescent="0.2">
      <c r="A28" s="119" t="s">
        <v>74</v>
      </c>
      <c r="B28" s="120">
        <f>B8-B4</f>
        <v>120.96000000000004</v>
      </c>
      <c r="C28" s="257">
        <f>0.65*C15+0.17*C16+0.18*C17</f>
        <v>9.7519999999999996E-2</v>
      </c>
      <c r="D28" s="22">
        <f>B28*C28</f>
        <v>11.796019200000003</v>
      </c>
      <c r="E28" s="73">
        <f>B28</f>
        <v>120.96000000000004</v>
      </c>
      <c r="F28" s="257">
        <f>C28</f>
        <v>9.7519999999999996E-2</v>
      </c>
      <c r="G28" s="22">
        <f>E28*F28</f>
        <v>11.796019200000003</v>
      </c>
      <c r="H28" s="22">
        <f t="shared" si="2"/>
        <v>0</v>
      </c>
      <c r="I28" s="23">
        <f t="shared" si="10"/>
        <v>0</v>
      </c>
      <c r="J28" s="23">
        <f t="shared" si="12"/>
        <v>4.9210145037077414E-2</v>
      </c>
      <c r="K28" s="108">
        <f t="shared" si="13"/>
        <v>4.9600071610463509E-2</v>
      </c>
    </row>
    <row r="29" spans="1:11" s="1" customFormat="1" x14ac:dyDescent="0.2">
      <c r="A29" s="110" t="s">
        <v>78</v>
      </c>
      <c r="B29" s="74"/>
      <c r="C29" s="35"/>
      <c r="D29" s="35">
        <f>SUM(D25,D26:D27)</f>
        <v>88.71075830790393</v>
      </c>
      <c r="E29" s="73"/>
      <c r="F29" s="35"/>
      <c r="G29" s="35">
        <f>SUM(G25,G26:G27)</f>
        <v>92.017158307903927</v>
      </c>
      <c r="H29" s="35">
        <f t="shared" si="2"/>
        <v>3.3063999999999965</v>
      </c>
      <c r="I29" s="36">
        <f t="shared" si="10"/>
        <v>3.7271691315318219E-2</v>
      </c>
      <c r="J29" s="36">
        <f t="shared" si="12"/>
        <v>0.38387337536985899</v>
      </c>
      <c r="K29" s="111">
        <f t="shared" si="13"/>
        <v>0.38691507398219482</v>
      </c>
    </row>
    <row r="30" spans="1:11" s="1" customFormat="1" x14ac:dyDescent="0.2">
      <c r="A30" s="110" t="s">
        <v>77</v>
      </c>
      <c r="B30" s="74"/>
      <c r="C30" s="35"/>
      <c r="D30" s="35">
        <f>SUM(D25,D26,D28)</f>
        <v>87.685017507903936</v>
      </c>
      <c r="E30" s="73"/>
      <c r="F30" s="35"/>
      <c r="G30" s="35">
        <f>SUM(G25,G26,G28)</f>
        <v>90.991417507903932</v>
      </c>
      <c r="H30" s="35">
        <f t="shared" si="2"/>
        <v>3.3063999999999965</v>
      </c>
      <c r="I30" s="36">
        <f t="shared" si="10"/>
        <v>3.7707696183124528E-2</v>
      </c>
      <c r="J30" s="36">
        <f t="shared" si="12"/>
        <v>0.37959423232315664</v>
      </c>
      <c r="K30" s="111">
        <f t="shared" si="13"/>
        <v>0.38260202427693712</v>
      </c>
    </row>
    <row r="31" spans="1:11" x14ac:dyDescent="0.2">
      <c r="A31" s="107" t="s">
        <v>40</v>
      </c>
      <c r="B31" s="73">
        <f>B8</f>
        <v>1272.96</v>
      </c>
      <c r="C31" s="125">
        <f>VLOOKUP($B$3,'Data for Bill Impacts'!$A$3:$Y$15,15,0)</f>
        <v>6.7400000000000003E-3</v>
      </c>
      <c r="D31" s="22">
        <f>B31*C31</f>
        <v>8.5797504</v>
      </c>
      <c r="E31" s="73">
        <f t="shared" si="6"/>
        <v>1272.96</v>
      </c>
      <c r="F31" s="78">
        <f>VLOOKUP($B$3,'Data for Bill Impacts'!$A$3:$Y$15,24,0)</f>
        <v>6.7999999999999996E-3</v>
      </c>
      <c r="G31" s="22">
        <f>E31*F31</f>
        <v>8.6561279999999989</v>
      </c>
      <c r="H31" s="22">
        <f t="shared" si="2"/>
        <v>7.6377599999998935E-2</v>
      </c>
      <c r="I31" s="23">
        <f t="shared" si="10"/>
        <v>8.902077151335187E-3</v>
      </c>
      <c r="J31" s="23">
        <f t="shared" si="12"/>
        <v>3.6111276788995623E-2</v>
      </c>
      <c r="K31" s="108">
        <f t="shared" si="13"/>
        <v>3.6397411820874123E-2</v>
      </c>
    </row>
    <row r="32" spans="1:11" x14ac:dyDescent="0.2">
      <c r="A32" s="107" t="s">
        <v>41</v>
      </c>
      <c r="B32" s="73">
        <f>B8</f>
        <v>1272.96</v>
      </c>
      <c r="C32" s="125">
        <f>VLOOKUP($B$3,'Data for Bill Impacts'!$A$3:$Y$15,16,0)</f>
        <v>5.6299999999999996E-3</v>
      </c>
      <c r="D32" s="22">
        <f>B32*C32</f>
        <v>7.1667647999999993</v>
      </c>
      <c r="E32" s="73">
        <f t="shared" si="6"/>
        <v>1272.96</v>
      </c>
      <c r="F32" s="78">
        <f>VLOOKUP($B$3,'Data for Bill Impacts'!$A$3:$Y$15,25,0)</f>
        <v>5.4999999999999997E-3</v>
      </c>
      <c r="G32" s="22">
        <f>E32*F32</f>
        <v>7.0012799999999995</v>
      </c>
      <c r="H32" s="22">
        <f t="shared" si="2"/>
        <v>-0.16548479999999977</v>
      </c>
      <c r="I32" s="23">
        <f t="shared" si="10"/>
        <v>-2.3090586145648281E-2</v>
      </c>
      <c r="J32" s="23">
        <f t="shared" si="12"/>
        <v>2.9207650344040575E-2</v>
      </c>
      <c r="K32" s="108">
        <f t="shared" si="13"/>
        <v>2.9439083090412894E-2</v>
      </c>
    </row>
    <row r="33" spans="1:11" s="1" customFormat="1" x14ac:dyDescent="0.2">
      <c r="A33" s="110" t="s">
        <v>76</v>
      </c>
      <c r="B33" s="74"/>
      <c r="C33" s="35"/>
      <c r="D33" s="35">
        <f>SUM(D31:D32)</f>
        <v>15.746515199999999</v>
      </c>
      <c r="E33" s="73"/>
      <c r="F33" s="35"/>
      <c r="G33" s="35">
        <f>SUM(G31:G32)</f>
        <v>15.657407999999998</v>
      </c>
      <c r="H33" s="35">
        <f t="shared" si="2"/>
        <v>-8.910720000000083E-2</v>
      </c>
      <c r="I33" s="36">
        <f t="shared" si="10"/>
        <v>-5.6588520614390186E-3</v>
      </c>
      <c r="J33" s="36">
        <f t="shared" si="12"/>
        <v>6.5318927133036192E-2</v>
      </c>
      <c r="K33" s="111">
        <f t="shared" si="13"/>
        <v>6.5836494911287013E-2</v>
      </c>
    </row>
    <row r="34" spans="1:11" s="1" customFormat="1" x14ac:dyDescent="0.2">
      <c r="A34" s="110" t="s">
        <v>95</v>
      </c>
      <c r="B34" s="74"/>
      <c r="C34" s="35"/>
      <c r="D34" s="35">
        <f>D29+D33</f>
        <v>104.45727350790393</v>
      </c>
      <c r="E34" s="73"/>
      <c r="F34" s="35"/>
      <c r="G34" s="35">
        <f>G29+G33</f>
        <v>107.67456630790393</v>
      </c>
      <c r="H34" s="35">
        <f t="shared" si="2"/>
        <v>3.2172927999999956</v>
      </c>
      <c r="I34" s="36">
        <f t="shared" si="10"/>
        <v>3.0800084014796288E-2</v>
      </c>
      <c r="J34" s="36">
        <f t="shared" si="12"/>
        <v>0.44919230250289521</v>
      </c>
      <c r="K34" s="111">
        <f t="shared" si="13"/>
        <v>0.45275156889348184</v>
      </c>
    </row>
    <row r="35" spans="1:11" s="1" customFormat="1" x14ac:dyDescent="0.2">
      <c r="A35" s="110" t="s">
        <v>96</v>
      </c>
      <c r="B35" s="74"/>
      <c r="C35" s="35"/>
      <c r="D35" s="35">
        <f>D30+D33</f>
        <v>103.43153270790394</v>
      </c>
      <c r="E35" s="73"/>
      <c r="F35" s="35"/>
      <c r="G35" s="35">
        <f>G30+G33</f>
        <v>106.64882550790394</v>
      </c>
      <c r="H35" s="35">
        <f t="shared" si="2"/>
        <v>3.2172927999999956</v>
      </c>
      <c r="I35" s="36">
        <f t="shared" si="10"/>
        <v>3.1105531512191729E-2</v>
      </c>
      <c r="J35" s="36">
        <f t="shared" si="12"/>
        <v>0.44491315945619286</v>
      </c>
      <c r="K35" s="111">
        <f t="shared" si="13"/>
        <v>0.44843851918822419</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2"/>
        <v>0</v>
      </c>
      <c r="I36" s="23">
        <f t="shared" si="10"/>
        <v>0</v>
      </c>
      <c r="J36" s="23">
        <f t="shared" si="12"/>
        <v>1.9117734770644743E-2</v>
      </c>
      <c r="K36" s="108">
        <f t="shared" si="13"/>
        <v>1.9269218022815712E-2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10"/>
        <v>0</v>
      </c>
      <c r="J37" s="23">
        <f t="shared" si="12"/>
        <v>1.1152011949542767E-2</v>
      </c>
      <c r="K37" s="108">
        <f t="shared" si="13"/>
        <v>1.1240377179975832E-2</v>
      </c>
    </row>
    <row r="38" spans="1:11" x14ac:dyDescent="0.2">
      <c r="A38" s="107" t="s">
        <v>100</v>
      </c>
      <c r="B38" s="73">
        <f>B8</f>
        <v>1272.96</v>
      </c>
      <c r="C38" s="34">
        <v>0</v>
      </c>
      <c r="D38" s="22">
        <f>B38*C38</f>
        <v>0</v>
      </c>
      <c r="E38" s="73">
        <f t="shared" si="6"/>
        <v>1272.96</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1.042939660463536E-3</v>
      </c>
      <c r="K39" s="108">
        <f t="shared" si="13"/>
        <v>1.0512036045699105E-3</v>
      </c>
    </row>
    <row r="40" spans="1:11" s="1" customFormat="1" x14ac:dyDescent="0.2">
      <c r="A40" s="110" t="s">
        <v>45</v>
      </c>
      <c r="B40" s="74"/>
      <c r="C40" s="35"/>
      <c r="D40" s="35">
        <f>SUM(D36:D39)</f>
        <v>7.5058720000000001</v>
      </c>
      <c r="E40" s="73"/>
      <c r="F40" s="35"/>
      <c r="G40" s="35">
        <f>SUM(G36:G39)</f>
        <v>7.5058720000000001</v>
      </c>
      <c r="H40" s="35">
        <f t="shared" si="2"/>
        <v>0</v>
      </c>
      <c r="I40" s="36">
        <f t="shared" si="10"/>
        <v>0</v>
      </c>
      <c r="J40" s="36">
        <f t="shared" si="12"/>
        <v>3.1312686380651045E-2</v>
      </c>
      <c r="K40" s="111">
        <f t="shared" si="13"/>
        <v>3.1560798807361456E-2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225.07514550790395</v>
      </c>
      <c r="E42" s="38"/>
      <c r="F42" s="39"/>
      <c r="G42" s="39">
        <f>SUM(G14,G25,G26,G27,G33,G40,G41)</f>
        <v>228.29243830790395</v>
      </c>
      <c r="H42" s="39">
        <f t="shared" si="2"/>
        <v>3.2172927999999956</v>
      </c>
      <c r="I42" s="40">
        <f t="shared" si="10"/>
        <v>1.4294305098592124E-2</v>
      </c>
      <c r="J42" s="40">
        <f t="shared" si="12"/>
        <v>0.95238095238095222</v>
      </c>
      <c r="K42" s="41"/>
    </row>
    <row r="43" spans="1:11" x14ac:dyDescent="0.2">
      <c r="A43" s="149" t="s">
        <v>138</v>
      </c>
      <c r="B43" s="43"/>
      <c r="C43" s="26">
        <v>0.13</v>
      </c>
      <c r="D43" s="26">
        <f>D42*C43</f>
        <v>29.259768916027515</v>
      </c>
      <c r="E43" s="26"/>
      <c r="F43" s="26">
        <f>C43</f>
        <v>0.13</v>
      </c>
      <c r="G43" s="26">
        <f>G42*F43</f>
        <v>29.678016980027515</v>
      </c>
      <c r="H43" s="26">
        <f t="shared" si="2"/>
        <v>0.41824806400000014</v>
      </c>
      <c r="I43" s="44">
        <f t="shared" si="10"/>
        <v>1.4294305098592149E-2</v>
      </c>
      <c r="J43" s="44">
        <f t="shared" si="12"/>
        <v>0.1238095238095238</v>
      </c>
      <c r="K43" s="45"/>
    </row>
    <row r="44" spans="1:11" s="1" customFormat="1" x14ac:dyDescent="0.2">
      <c r="A44" s="46" t="s">
        <v>139</v>
      </c>
      <c r="B44" s="24"/>
      <c r="C44" s="25"/>
      <c r="D44" s="25">
        <f>SUM(D42:D43)</f>
        <v>254.33491442393148</v>
      </c>
      <c r="E44" s="25"/>
      <c r="F44" s="25"/>
      <c r="G44" s="25">
        <f>SUM(G42:G43)</f>
        <v>257.97045528793149</v>
      </c>
      <c r="H44" s="25">
        <f t="shared" si="2"/>
        <v>3.6355408640000064</v>
      </c>
      <c r="I44" s="27">
        <f t="shared" si="10"/>
        <v>1.4294305098592168E-2</v>
      </c>
      <c r="J44" s="27">
        <f t="shared" si="12"/>
        <v>1.0761904761904761</v>
      </c>
      <c r="K44" s="47"/>
    </row>
    <row r="45" spans="1:11" x14ac:dyDescent="0.2">
      <c r="A45" s="42" t="s">
        <v>140</v>
      </c>
      <c r="B45" s="43"/>
      <c r="C45" s="26">
        <v>-0.08</v>
      </c>
      <c r="D45" s="26">
        <f>D42*C45</f>
        <v>-18.006011640632316</v>
      </c>
      <c r="E45" s="26"/>
      <c r="F45" s="26">
        <f>C45</f>
        <v>-0.08</v>
      </c>
      <c r="G45" s="26">
        <f>G42*F45</f>
        <v>-18.263395064632316</v>
      </c>
      <c r="H45" s="26">
        <f t="shared" si="2"/>
        <v>-0.25738342400000036</v>
      </c>
      <c r="I45" s="44">
        <f t="shared" si="10"/>
        <v>-1.4294305098592164E-2</v>
      </c>
      <c r="J45" s="44">
        <f t="shared" si="12"/>
        <v>-7.6190476190476183E-2</v>
      </c>
      <c r="K45" s="45"/>
    </row>
    <row r="46" spans="1:11" s="1" customFormat="1" ht="13.5" thickBot="1" x14ac:dyDescent="0.25">
      <c r="A46" s="48" t="s">
        <v>141</v>
      </c>
      <c r="B46" s="49"/>
      <c r="C46" s="50"/>
      <c r="D46" s="50">
        <f>SUM(D44:D45)</f>
        <v>236.32890278329916</v>
      </c>
      <c r="E46" s="50"/>
      <c r="F46" s="50"/>
      <c r="G46" s="50">
        <f>SUM(G44:G45)</f>
        <v>239.70706022329918</v>
      </c>
      <c r="H46" s="50">
        <f t="shared" si="2"/>
        <v>3.3781574400000238</v>
      </c>
      <c r="I46" s="51">
        <f t="shared" si="10"/>
        <v>1.4294305098592244E-2</v>
      </c>
      <c r="J46" s="51">
        <f t="shared" si="12"/>
        <v>1</v>
      </c>
      <c r="K46" s="52"/>
    </row>
    <row r="47" spans="1:11" x14ac:dyDescent="0.2">
      <c r="A47" s="53" t="s">
        <v>142</v>
      </c>
      <c r="B47" s="54"/>
      <c r="C47" s="55"/>
      <c r="D47" s="55">
        <f>SUM(D18,D25,D26,D28,D33,D40,D41)</f>
        <v>223.28044470790397</v>
      </c>
      <c r="E47" s="55"/>
      <c r="F47" s="55"/>
      <c r="G47" s="55">
        <f>SUM(G18,G25,G26,G28,G33,G40,G41)</f>
        <v>226.49773750790396</v>
      </c>
      <c r="H47" s="55">
        <f>G47-D47</f>
        <v>3.2172927999999956</v>
      </c>
      <c r="I47" s="56">
        <f t="shared" si="10"/>
        <v>1.4409200967907718E-2</v>
      </c>
      <c r="J47" s="56"/>
      <c r="K47" s="57">
        <f>G47/$G$51</f>
        <v>0.95238095238095233</v>
      </c>
    </row>
    <row r="48" spans="1:11" x14ac:dyDescent="0.2">
      <c r="A48" s="58" t="s">
        <v>138</v>
      </c>
      <c r="B48" s="59"/>
      <c r="C48" s="31">
        <v>0.13</v>
      </c>
      <c r="D48" s="31">
        <f>D47*C48</f>
        <v>29.026457812027516</v>
      </c>
      <c r="E48" s="31"/>
      <c r="F48" s="31">
        <f>C48</f>
        <v>0.13</v>
      </c>
      <c r="G48" s="31">
        <f>G47*F48</f>
        <v>29.444705876027516</v>
      </c>
      <c r="H48" s="31">
        <f>G48-D48</f>
        <v>0.41824806400000014</v>
      </c>
      <c r="I48" s="32">
        <f t="shared" si="10"/>
        <v>1.4409200967907742E-2</v>
      </c>
      <c r="J48" s="32"/>
      <c r="K48" s="60">
        <f>G48/$G$51</f>
        <v>0.12380952380952381</v>
      </c>
    </row>
    <row r="49" spans="1:11" x14ac:dyDescent="0.2">
      <c r="A49" s="61" t="s">
        <v>143</v>
      </c>
      <c r="B49" s="29"/>
      <c r="C49" s="30"/>
      <c r="D49" s="30">
        <f>SUM(D47:D48)</f>
        <v>252.3069025199315</v>
      </c>
      <c r="E49" s="30"/>
      <c r="F49" s="30"/>
      <c r="G49" s="30">
        <f>SUM(G47:G48)</f>
        <v>255.94244338393148</v>
      </c>
      <c r="H49" s="30">
        <f>G49-D49</f>
        <v>3.635540863999978</v>
      </c>
      <c r="I49" s="33">
        <f t="shared" si="10"/>
        <v>1.440920096790765E-2</v>
      </c>
      <c r="J49" s="33"/>
      <c r="K49" s="62">
        <f>G49/$G$51</f>
        <v>1.0761904761904761</v>
      </c>
    </row>
    <row r="50" spans="1:11" x14ac:dyDescent="0.2">
      <c r="A50" s="58" t="s">
        <v>140</v>
      </c>
      <c r="B50" s="59"/>
      <c r="C50" s="31">
        <v>-0.08</v>
      </c>
      <c r="D50" s="31">
        <f>D47*C50</f>
        <v>-17.862435576632318</v>
      </c>
      <c r="E50" s="31"/>
      <c r="F50" s="31">
        <f>C50</f>
        <v>-0.08</v>
      </c>
      <c r="G50" s="31">
        <f>G47*F50</f>
        <v>-18.119819000632319</v>
      </c>
      <c r="H50" s="31">
        <f>G50-D50</f>
        <v>-0.25738342400000036</v>
      </c>
      <c r="I50" s="32">
        <f t="shared" si="10"/>
        <v>-1.4409200967907758E-2</v>
      </c>
      <c r="J50" s="32"/>
      <c r="K50" s="60">
        <f>G50/$G$51</f>
        <v>-7.6190476190476197E-2</v>
      </c>
    </row>
    <row r="51" spans="1:11" ht="13.5" thickBot="1" x14ac:dyDescent="0.25">
      <c r="A51" s="63" t="s">
        <v>144</v>
      </c>
      <c r="B51" s="64"/>
      <c r="C51" s="65"/>
      <c r="D51" s="65">
        <f>SUM(D49:D50)</f>
        <v>234.44446694329918</v>
      </c>
      <c r="E51" s="65"/>
      <c r="F51" s="65"/>
      <c r="G51" s="65">
        <f>SUM(G49:G50)</f>
        <v>237.82262438329917</v>
      </c>
      <c r="H51" s="65">
        <f>G51-D51</f>
        <v>3.3781574399999954</v>
      </c>
      <c r="I51" s="66">
        <f t="shared" si="10"/>
        <v>1.4409200967907718E-2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65"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tint="0.499984740745262"/>
    <pageSetUpPr fitToPage="1"/>
  </sheetPr>
  <dimension ref="A1:K68"/>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81">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0.12723963837541041</v>
      </c>
      <c r="K12" s="106"/>
    </row>
    <row r="13" spans="1:11" x14ac:dyDescent="0.2">
      <c r="A13" s="107" t="s">
        <v>32</v>
      </c>
      <c r="B13" s="73">
        <f>IF(B4&gt;B7,(B4)-B7,0)</f>
        <v>1700</v>
      </c>
      <c r="C13" s="21">
        <v>0.106</v>
      </c>
      <c r="D13" s="22">
        <f>B13*C13</f>
        <v>180.2</v>
      </c>
      <c r="E13" s="73">
        <f t="shared" ref="E13" si="1">B13</f>
        <v>1700</v>
      </c>
      <c r="F13" s="21">
        <f>C13</f>
        <v>0.106</v>
      </c>
      <c r="G13" s="22">
        <f>E13*F13</f>
        <v>180.2</v>
      </c>
      <c r="H13" s="22">
        <f t="shared" ref="H13:H46" si="2">G13-D13</f>
        <v>0</v>
      </c>
      <c r="I13" s="23">
        <f t="shared" si="0"/>
        <v>0</v>
      </c>
      <c r="J13" s="23">
        <f>G13/$G$46</f>
        <v>0.41993741456499911</v>
      </c>
      <c r="K13" s="108"/>
    </row>
    <row r="14" spans="1:11" s="1" customFormat="1" x14ac:dyDescent="0.2">
      <c r="A14" s="46" t="s">
        <v>33</v>
      </c>
      <c r="B14" s="24"/>
      <c r="C14" s="25"/>
      <c r="D14" s="25">
        <f>SUM(D12:D13)</f>
        <v>234.79999999999998</v>
      </c>
      <c r="E14" s="76"/>
      <c r="F14" s="25"/>
      <c r="G14" s="25">
        <f>SUM(G12:G13)</f>
        <v>234.79999999999998</v>
      </c>
      <c r="H14" s="25">
        <f t="shared" si="2"/>
        <v>0</v>
      </c>
      <c r="I14" s="27">
        <f t="shared" si="0"/>
        <v>0</v>
      </c>
      <c r="J14" s="27">
        <f>G14/$G$46</f>
        <v>0.54717705294040953</v>
      </c>
      <c r="K14" s="108"/>
    </row>
    <row r="15" spans="1:11" s="1" customFormat="1" x14ac:dyDescent="0.2">
      <c r="A15" s="109" t="s">
        <v>34</v>
      </c>
      <c r="B15" s="75">
        <f>B4*0.65</f>
        <v>1495</v>
      </c>
      <c r="C15" s="28">
        <v>7.6999999999999999E-2</v>
      </c>
      <c r="D15" s="22">
        <f>B15*C15</f>
        <v>115.11499999999999</v>
      </c>
      <c r="E15" s="73">
        <f t="shared" ref="E15:F17" si="3">B15</f>
        <v>1495</v>
      </c>
      <c r="F15" s="28">
        <f t="shared" si="3"/>
        <v>7.6999999999999999E-2</v>
      </c>
      <c r="G15" s="22">
        <f>E15*F15</f>
        <v>115.11499999999999</v>
      </c>
      <c r="H15" s="22">
        <f t="shared" si="2"/>
        <v>0</v>
      </c>
      <c r="I15" s="23">
        <f t="shared" si="0"/>
        <v>0</v>
      </c>
      <c r="J15" s="23"/>
      <c r="K15" s="108">
        <f t="shared" ref="K15:K26" si="4">G15/$G$51</f>
        <v>0.27676395951034471</v>
      </c>
    </row>
    <row r="16" spans="1:11" s="1" customFormat="1" x14ac:dyDescent="0.2">
      <c r="A16" s="109" t="s">
        <v>35</v>
      </c>
      <c r="B16" s="75">
        <f>B4*0.17</f>
        <v>391</v>
      </c>
      <c r="C16" s="28">
        <v>0.113</v>
      </c>
      <c r="D16" s="22">
        <f>B16*C16</f>
        <v>44.183</v>
      </c>
      <c r="E16" s="73">
        <f t="shared" si="3"/>
        <v>391</v>
      </c>
      <c r="F16" s="28">
        <f t="shared" si="3"/>
        <v>0.113</v>
      </c>
      <c r="G16" s="22">
        <f>E16*F16</f>
        <v>44.183</v>
      </c>
      <c r="H16" s="22">
        <f t="shared" si="2"/>
        <v>0</v>
      </c>
      <c r="I16" s="23">
        <f t="shared" si="0"/>
        <v>0</v>
      </c>
      <c r="J16" s="23"/>
      <c r="K16" s="108">
        <f t="shared" si="4"/>
        <v>0.10622648675711732</v>
      </c>
    </row>
    <row r="17" spans="1:11" s="1" customFormat="1" x14ac:dyDescent="0.2">
      <c r="A17" s="109" t="s">
        <v>36</v>
      </c>
      <c r="B17" s="75">
        <f>B4*0.18</f>
        <v>414</v>
      </c>
      <c r="C17" s="28">
        <v>0.157</v>
      </c>
      <c r="D17" s="22">
        <f>B17*C17</f>
        <v>64.998000000000005</v>
      </c>
      <c r="E17" s="73">
        <f t="shared" si="3"/>
        <v>414</v>
      </c>
      <c r="F17" s="28">
        <f t="shared" si="3"/>
        <v>0.157</v>
      </c>
      <c r="G17" s="22">
        <f>E17*F17</f>
        <v>64.998000000000005</v>
      </c>
      <c r="H17" s="22">
        <f t="shared" si="2"/>
        <v>0</v>
      </c>
      <c r="I17" s="23">
        <f t="shared" si="0"/>
        <v>0</v>
      </c>
      <c r="J17" s="23"/>
      <c r="K17" s="108">
        <f t="shared" si="4"/>
        <v>0.15627071919605079</v>
      </c>
    </row>
    <row r="18" spans="1:11" s="1" customFormat="1" x14ac:dyDescent="0.2">
      <c r="A18" s="61" t="s">
        <v>37</v>
      </c>
      <c r="B18" s="29"/>
      <c r="C18" s="30"/>
      <c r="D18" s="30">
        <f>SUM(D15:D17)</f>
        <v>224.29599999999999</v>
      </c>
      <c r="E18" s="77"/>
      <c r="F18" s="30"/>
      <c r="G18" s="30">
        <f>SUM(G15:G17)</f>
        <v>224.29599999999999</v>
      </c>
      <c r="H18" s="31">
        <f t="shared" si="2"/>
        <v>0</v>
      </c>
      <c r="I18" s="32">
        <f t="shared" si="0"/>
        <v>0</v>
      </c>
      <c r="J18" s="33">
        <f t="shared" ref="J18:J23" si="5">G18/$G$46</f>
        <v>0.52269857012914012</v>
      </c>
      <c r="K18" s="62">
        <f t="shared" si="4"/>
        <v>0.53926116546351288</v>
      </c>
    </row>
    <row r="19" spans="1:11" x14ac:dyDescent="0.2">
      <c r="A19" s="107" t="s">
        <v>38</v>
      </c>
      <c r="B19" s="73">
        <v>1</v>
      </c>
      <c r="C19" s="121">
        <f>VLOOKUP($B$3,'Data for Bill Impacts'!$A$3:$Y$15,7,0)</f>
        <v>44.119678307903925</v>
      </c>
      <c r="D19" s="22">
        <f>B19*C19</f>
        <v>44.119678307903925</v>
      </c>
      <c r="E19" s="73">
        <f t="shared" ref="E19:E41" si="6">B19</f>
        <v>1</v>
      </c>
      <c r="F19" s="121">
        <f>VLOOKUP($B$3,'Data for Bill Impacts'!$A$3:$Y$15,17,0)</f>
        <v>55.259678307903926</v>
      </c>
      <c r="G19" s="22">
        <f>E19*F19</f>
        <v>55.259678307903926</v>
      </c>
      <c r="H19" s="22">
        <f t="shared" si="2"/>
        <v>11.14</v>
      </c>
      <c r="I19" s="23">
        <f>IF(ISERROR(H19/ABS(D19)),"N/A",(H19/ABS(D19)))</f>
        <v>0.2524950413793996</v>
      </c>
      <c r="J19" s="23">
        <f t="shared" si="5"/>
        <v>0.12877695026811734</v>
      </c>
      <c r="K19" s="108">
        <f t="shared" si="4"/>
        <v>0.13285746748697735</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-2.1000000000000001E-2</v>
      </c>
      <c r="D22" s="22">
        <f t="shared" si="9"/>
        <v>-2.1000000000000001E-2</v>
      </c>
      <c r="E22" s="73">
        <f t="shared" si="6"/>
        <v>1</v>
      </c>
      <c r="F22" s="121">
        <f>VLOOKUP($B$3,'Data for Bill Impacts'!$A$3:$Y$15,22,0)</f>
        <v>-2.1000000000000001E-2</v>
      </c>
      <c r="G22" s="22">
        <f t="shared" si="7"/>
        <v>-2.1000000000000001E-2</v>
      </c>
      <c r="H22" s="22">
        <f t="shared" si="2"/>
        <v>0</v>
      </c>
      <c r="I22" s="23">
        <f t="shared" ref="I22:I51" si="10">IF(ISERROR(H22/ABS(D22)),"N/A",(H22/ABS(D22)))</f>
        <v>0</v>
      </c>
      <c r="J22" s="23">
        <f t="shared" si="5"/>
        <v>-4.8938322452080924E-5</v>
      </c>
      <c r="K22" s="108">
        <f t="shared" si="4"/>
        <v>-5.0489016633082048E-5</v>
      </c>
    </row>
    <row r="23" spans="1:11" x14ac:dyDescent="0.2">
      <c r="A23" s="107" t="s">
        <v>39</v>
      </c>
      <c r="B23" s="73">
        <f>IF($B$9="kWh",$B$4,$B$5)</f>
        <v>2300</v>
      </c>
      <c r="C23" s="125">
        <f>VLOOKUP($B$3,'Data for Bill Impacts'!$A$3:$Y$15,10,0)</f>
        <v>2.69E-2</v>
      </c>
      <c r="D23" s="22">
        <f>B23*C23</f>
        <v>61.87</v>
      </c>
      <c r="E23" s="73">
        <f t="shared" si="6"/>
        <v>2300</v>
      </c>
      <c r="F23" s="125">
        <f>VLOOKUP($B$3,'Data for Bill Impacts'!$A$3:$Y$15,19,0)</f>
        <v>2.01E-2</v>
      </c>
      <c r="G23" s="22">
        <f>E23*F23</f>
        <v>46.23</v>
      </c>
      <c r="H23" s="22">
        <f t="shared" si="2"/>
        <v>-15.64</v>
      </c>
      <c r="I23" s="23">
        <f t="shared" si="10"/>
        <v>-0.25278810408921937</v>
      </c>
      <c r="J23" s="23">
        <f t="shared" si="5"/>
        <v>0.10773422128379528</v>
      </c>
      <c r="K23" s="108">
        <f t="shared" si="4"/>
        <v>0.11114796375939917</v>
      </c>
    </row>
    <row r="24" spans="1:11" x14ac:dyDescent="0.2">
      <c r="A24" s="107" t="s">
        <v>199</v>
      </c>
      <c r="B24" s="73">
        <f>IF($B$9="kWh",$B$4,$B$5)</f>
        <v>2300</v>
      </c>
      <c r="C24" s="125">
        <f>VLOOKUP($B$3,'Data for Bill Impacts'!$A$3:$Y$15,14,0)</f>
        <v>1.0000000000000003E-5</v>
      </c>
      <c r="D24" s="22">
        <f>B24*C24</f>
        <v>2.3000000000000007E-2</v>
      </c>
      <c r="E24" s="73">
        <f t="shared" si="6"/>
        <v>2300</v>
      </c>
      <c r="F24" s="125">
        <f>VLOOKUP($B$3,'Data for Bill Impacts'!$A$3:$Y$15,23,0)</f>
        <v>1.0000000000000003E-5</v>
      </c>
      <c r="G24" s="22">
        <f>E24*F24</f>
        <v>2.3000000000000007E-2</v>
      </c>
      <c r="H24" s="22">
        <f t="shared" si="2"/>
        <v>0</v>
      </c>
      <c r="I24" s="23">
        <f t="shared" si="10"/>
        <v>0</v>
      </c>
      <c r="J24" s="23">
        <f t="shared" ref="J24" si="11">G24/$G$46</f>
        <v>5.3599115066564837E-5</v>
      </c>
      <c r="K24" s="108">
        <f t="shared" si="4"/>
        <v>5.5297494407661298E-5</v>
      </c>
    </row>
    <row r="25" spans="1:11" s="1" customFormat="1" x14ac:dyDescent="0.2">
      <c r="A25" s="110" t="s">
        <v>72</v>
      </c>
      <c r="B25" s="74"/>
      <c r="C25" s="35"/>
      <c r="D25" s="35">
        <f>SUM(D19:D24)</f>
        <v>105.99167830790392</v>
      </c>
      <c r="E25" s="73"/>
      <c r="F25" s="35"/>
      <c r="G25" s="35">
        <f>SUM(G19:G24)</f>
        <v>101.49167830790392</v>
      </c>
      <c r="H25" s="35">
        <f t="shared" si="2"/>
        <v>-4.5</v>
      </c>
      <c r="I25" s="36">
        <f t="shared" si="10"/>
        <v>-4.245616327470144E-2</v>
      </c>
      <c r="J25" s="36">
        <f>G25/$G$46</f>
        <v>0.23651583234452711</v>
      </c>
      <c r="K25" s="111">
        <f t="shared" si="4"/>
        <v>0.24401023972415112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1.8410130827211395E-3</v>
      </c>
      <c r="K26" s="108">
        <f t="shared" si="4"/>
        <v>1.8993487209588008E-3</v>
      </c>
    </row>
    <row r="27" spans="1:11" s="1" customFormat="1" x14ac:dyDescent="0.2">
      <c r="A27" s="119" t="s">
        <v>75</v>
      </c>
      <c r="B27" s="120">
        <f>B8-B4</f>
        <v>241.5</v>
      </c>
      <c r="C27" s="257">
        <f>IF(B4&gt;B7,C13,C12)</f>
        <v>0.106</v>
      </c>
      <c r="D27" s="22">
        <f>B27*C27</f>
        <v>25.599</v>
      </c>
      <c r="E27" s="73">
        <f>B27</f>
        <v>241.5</v>
      </c>
      <c r="F27" s="257">
        <f>C27</f>
        <v>0.106</v>
      </c>
      <c r="G27" s="22">
        <f>E27*F27</f>
        <v>25.599</v>
      </c>
      <c r="H27" s="22">
        <f t="shared" si="2"/>
        <v>0</v>
      </c>
      <c r="I27" s="23">
        <f t="shared" si="10"/>
        <v>0</v>
      </c>
      <c r="J27" s="23">
        <f t="shared" ref="J27:J46" si="12">G27/$G$46</f>
        <v>5.9655815069086647E-2</v>
      </c>
      <c r="K27" s="108">
        <f t="shared" ref="K27:K41" si="13">G27/$G$51</f>
        <v>6.1546111275727011E-2</v>
      </c>
    </row>
    <row r="28" spans="1:11" s="1" customFormat="1" x14ac:dyDescent="0.2">
      <c r="A28" s="119" t="s">
        <v>74</v>
      </c>
      <c r="B28" s="120">
        <f>B8-B4</f>
        <v>241.5</v>
      </c>
      <c r="C28" s="257">
        <f>0.65*C15+0.17*C16+0.18*C17</f>
        <v>9.7519999999999996E-2</v>
      </c>
      <c r="D28" s="22">
        <f>B28*C28</f>
        <v>23.551079999999999</v>
      </c>
      <c r="E28" s="73">
        <f>B28</f>
        <v>241.5</v>
      </c>
      <c r="F28" s="257">
        <f>C28</f>
        <v>9.7519999999999996E-2</v>
      </c>
      <c r="G28" s="22">
        <f>E28*F28</f>
        <v>23.551079999999999</v>
      </c>
      <c r="H28" s="22">
        <f t="shared" si="2"/>
        <v>0</v>
      </c>
      <c r="I28" s="23">
        <f t="shared" si="10"/>
        <v>0</v>
      </c>
      <c r="J28" s="23">
        <f t="shared" si="12"/>
        <v>5.4883349863559708E-2</v>
      </c>
      <c r="K28" s="108">
        <f t="shared" si="13"/>
        <v>5.6622422373668845E-2</v>
      </c>
    </row>
    <row r="29" spans="1:11" s="1" customFormat="1" x14ac:dyDescent="0.2">
      <c r="A29" s="110" t="s">
        <v>78</v>
      </c>
      <c r="B29" s="74"/>
      <c r="C29" s="35"/>
      <c r="D29" s="35">
        <f>SUM(D25,D26:D27)</f>
        <v>132.38067830790393</v>
      </c>
      <c r="E29" s="73"/>
      <c r="F29" s="35"/>
      <c r="G29" s="35">
        <f>SUM(G25,G26:G27)</f>
        <v>127.88067830790393</v>
      </c>
      <c r="H29" s="35">
        <f t="shared" si="2"/>
        <v>-4.5</v>
      </c>
      <c r="I29" s="36">
        <f t="shared" si="10"/>
        <v>-3.3992876132070117E-2</v>
      </c>
      <c r="J29" s="36">
        <f t="shared" si="12"/>
        <v>0.2980126604963349</v>
      </c>
      <c r="K29" s="111">
        <f t="shared" si="13"/>
        <v>0.30745569972083692</v>
      </c>
    </row>
    <row r="30" spans="1:11" s="1" customFormat="1" x14ac:dyDescent="0.2">
      <c r="A30" s="110" t="s">
        <v>77</v>
      </c>
      <c r="B30" s="74"/>
      <c r="C30" s="35"/>
      <c r="D30" s="35">
        <f>SUM(D25,D26,D28)</f>
        <v>130.33275830790393</v>
      </c>
      <c r="E30" s="73"/>
      <c r="F30" s="35"/>
      <c r="G30" s="35">
        <f>SUM(G25,G26,G28)</f>
        <v>125.83275830790393</v>
      </c>
      <c r="H30" s="35">
        <f t="shared" si="2"/>
        <v>-4.5</v>
      </c>
      <c r="I30" s="36">
        <f t="shared" si="10"/>
        <v>-3.4527006551714333E-2</v>
      </c>
      <c r="J30" s="36">
        <f t="shared" si="12"/>
        <v>0.29324019529080797</v>
      </c>
      <c r="K30" s="111">
        <f t="shared" si="13"/>
        <v>0.30253201081877878</v>
      </c>
    </row>
    <row r="31" spans="1:11" x14ac:dyDescent="0.2">
      <c r="A31" s="107" t="s">
        <v>40</v>
      </c>
      <c r="B31" s="73">
        <f>B8</f>
        <v>2541.5</v>
      </c>
      <c r="C31" s="125">
        <f>VLOOKUP($B$3,'Data for Bill Impacts'!$A$3:$Y$15,15,0)</f>
        <v>6.7400000000000003E-3</v>
      </c>
      <c r="D31" s="22">
        <f>B31*C31</f>
        <v>17.129709999999999</v>
      </c>
      <c r="E31" s="73">
        <f t="shared" si="6"/>
        <v>2541.5</v>
      </c>
      <c r="F31" s="78">
        <f>VLOOKUP($B$3,'Data for Bill Impacts'!$A$3:$Y$15,24,0)</f>
        <v>6.7999999999999996E-3</v>
      </c>
      <c r="G31" s="22">
        <f>E31*F31</f>
        <v>17.2822</v>
      </c>
      <c r="H31" s="22">
        <f t="shared" si="2"/>
        <v>0.15249000000000024</v>
      </c>
      <c r="I31" s="23">
        <f t="shared" si="10"/>
        <v>8.9020771513353258E-3</v>
      </c>
      <c r="J31" s="23">
        <f t="shared" si="12"/>
        <v>4.0274375061016804E-2</v>
      </c>
      <c r="K31" s="108">
        <f t="shared" si="13"/>
        <v>4.155053729791669E-2</v>
      </c>
    </row>
    <row r="32" spans="1:11" x14ac:dyDescent="0.2">
      <c r="A32" s="107" t="s">
        <v>41</v>
      </c>
      <c r="B32" s="73">
        <f>B8</f>
        <v>2541.5</v>
      </c>
      <c r="C32" s="125">
        <f>VLOOKUP($B$3,'Data for Bill Impacts'!$A$3:$Y$15,16,0)</f>
        <v>5.6299999999999996E-3</v>
      </c>
      <c r="D32" s="22">
        <f>B32*C32</f>
        <v>14.308644999999999</v>
      </c>
      <c r="E32" s="73">
        <f t="shared" si="6"/>
        <v>2541.5</v>
      </c>
      <c r="F32" s="78">
        <f>VLOOKUP($B$3,'Data for Bill Impacts'!$A$3:$Y$15,25,0)</f>
        <v>5.4999999999999997E-3</v>
      </c>
      <c r="G32" s="22">
        <f>E32*F32</f>
        <v>13.978249999999999</v>
      </c>
      <c r="H32" s="22">
        <f t="shared" si="2"/>
        <v>-0.33039499999999933</v>
      </c>
      <c r="I32" s="23">
        <f t="shared" si="10"/>
        <v>-2.3090586145648268E-2</v>
      </c>
      <c r="J32" s="23">
        <f t="shared" si="12"/>
        <v>3.2574862181704765E-2</v>
      </c>
      <c r="K32" s="108">
        <f t="shared" si="13"/>
        <v>3.3607052226256144E-2</v>
      </c>
    </row>
    <row r="33" spans="1:11" s="1" customFormat="1" x14ac:dyDescent="0.2">
      <c r="A33" s="110" t="s">
        <v>76</v>
      </c>
      <c r="B33" s="74"/>
      <c r="C33" s="35"/>
      <c r="D33" s="35">
        <f>SUM(D31:D32)</f>
        <v>31.438354999999998</v>
      </c>
      <c r="E33" s="73"/>
      <c r="F33" s="35"/>
      <c r="G33" s="35">
        <f>SUM(G31:G32)</f>
        <v>31.260449999999999</v>
      </c>
      <c r="H33" s="35">
        <f t="shared" si="2"/>
        <v>-0.17790499999999909</v>
      </c>
      <c r="I33" s="36">
        <f t="shared" si="10"/>
        <v>-5.6588520614389371E-3</v>
      </c>
      <c r="J33" s="36">
        <f t="shared" si="12"/>
        <v>7.2849237242721576E-2</v>
      </c>
      <c r="K33" s="111">
        <f t="shared" si="13"/>
        <v>7.5157589524172827E-2</v>
      </c>
    </row>
    <row r="34" spans="1:11" s="1" customFormat="1" x14ac:dyDescent="0.2">
      <c r="A34" s="110" t="s">
        <v>95</v>
      </c>
      <c r="B34" s="74"/>
      <c r="C34" s="35"/>
      <c r="D34" s="35">
        <f>D29+D33</f>
        <v>163.81903330790394</v>
      </c>
      <c r="E34" s="73"/>
      <c r="F34" s="35"/>
      <c r="G34" s="35">
        <f>G29+G33</f>
        <v>159.14112830790393</v>
      </c>
      <c r="H34" s="35">
        <f t="shared" si="2"/>
        <v>-4.6779050000000097</v>
      </c>
      <c r="I34" s="36">
        <f t="shared" si="10"/>
        <v>-2.8555320499344627E-2</v>
      </c>
      <c r="J34" s="36">
        <f t="shared" si="12"/>
        <v>0.37086189773905648</v>
      </c>
      <c r="K34" s="111">
        <f t="shared" si="13"/>
        <v>0.38261328924500976</v>
      </c>
    </row>
    <row r="35" spans="1:11" s="1" customFormat="1" x14ac:dyDescent="0.2">
      <c r="A35" s="110" t="s">
        <v>96</v>
      </c>
      <c r="B35" s="74"/>
      <c r="C35" s="35"/>
      <c r="D35" s="35">
        <f>D30+D33</f>
        <v>161.77111330790393</v>
      </c>
      <c r="E35" s="73"/>
      <c r="F35" s="35"/>
      <c r="G35" s="35">
        <f>G30+G33</f>
        <v>157.09320830790392</v>
      </c>
      <c r="H35" s="35">
        <f t="shared" si="2"/>
        <v>-4.6779050000000097</v>
      </c>
      <c r="I35" s="36">
        <f t="shared" si="10"/>
        <v>-2.891681280017162E-2</v>
      </c>
      <c r="J35" s="36">
        <f t="shared" si="12"/>
        <v>0.36608943253352955</v>
      </c>
      <c r="K35" s="111">
        <f t="shared" si="13"/>
        <v>0.37768960034295157</v>
      </c>
    </row>
    <row r="36" spans="1:11" x14ac:dyDescent="0.2">
      <c r="A36" s="107" t="s">
        <v>42</v>
      </c>
      <c r="B36" s="73">
        <f>B8</f>
        <v>2541.5</v>
      </c>
      <c r="C36" s="34">
        <v>3.5999999999999999E-3</v>
      </c>
      <c r="D36" s="22">
        <f>B36*C36</f>
        <v>9.1494</v>
      </c>
      <c r="E36" s="73">
        <f t="shared" si="6"/>
        <v>2541.5</v>
      </c>
      <c r="F36" s="34">
        <v>3.5999999999999999E-3</v>
      </c>
      <c r="G36" s="22">
        <f>E36*F36</f>
        <v>9.1494</v>
      </c>
      <c r="H36" s="22">
        <f t="shared" si="2"/>
        <v>0</v>
      </c>
      <c r="I36" s="23">
        <f t="shared" si="10"/>
        <v>0</v>
      </c>
      <c r="J36" s="23">
        <f t="shared" si="12"/>
        <v>2.1321727973479487E-2</v>
      </c>
      <c r="K36" s="108">
        <f t="shared" si="13"/>
        <v>2.1997343275367658E-2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10"/>
        <v>0</v>
      </c>
      <c r="J37" s="23">
        <f t="shared" si="12"/>
        <v>1.2437674651196365E-2</v>
      </c>
      <c r="K37" s="108">
        <f t="shared" si="13"/>
        <v>1.2831783577297799E-2</v>
      </c>
    </row>
    <row r="38" spans="1:11" x14ac:dyDescent="0.2">
      <c r="A38" s="107" t="s">
        <v>100</v>
      </c>
      <c r="B38" s="73">
        <f>B8</f>
        <v>2541.5</v>
      </c>
      <c r="C38" s="34">
        <v>0</v>
      </c>
      <c r="D38" s="22">
        <f>B38*C38</f>
        <v>0</v>
      </c>
      <c r="E38" s="73">
        <f t="shared" si="6"/>
        <v>2541.5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5.8259907681048717E-4</v>
      </c>
      <c r="K39" s="108">
        <f t="shared" si="13"/>
        <v>6.0105972182240527E-4</v>
      </c>
    </row>
    <row r="40" spans="1:11" s="1" customFormat="1" x14ac:dyDescent="0.2">
      <c r="A40" s="110" t="s">
        <v>45</v>
      </c>
      <c r="B40" s="74"/>
      <c r="C40" s="35"/>
      <c r="D40" s="35">
        <f>SUM(D36:D39)</f>
        <v>14.736549999999999</v>
      </c>
      <c r="E40" s="73"/>
      <c r="F40" s="35"/>
      <c r="G40" s="35">
        <f>SUM(G36:G39)</f>
        <v>14.736549999999999</v>
      </c>
      <c r="H40" s="35">
        <f t="shared" si="2"/>
        <v>0</v>
      </c>
      <c r="I40" s="36">
        <f t="shared" si="10"/>
        <v>0</v>
      </c>
      <c r="J40" s="36">
        <f t="shared" si="12"/>
        <v>3.4342001701486338E-2</v>
      </c>
      <c r="K40" s="111">
        <f t="shared" si="13"/>
        <v>3.5430186574487862E-2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413.35558330790394</v>
      </c>
      <c r="E42" s="38"/>
      <c r="F42" s="39"/>
      <c r="G42" s="39">
        <f>SUM(G14,G25,G26,G27,G33,G40,G41)</f>
        <v>408.67767830790393</v>
      </c>
      <c r="H42" s="39">
        <f t="shared" si="2"/>
        <v>-4.6779050000000097</v>
      </c>
      <c r="I42" s="40">
        <f t="shared" si="10"/>
        <v>-1.131690290128606E-2</v>
      </c>
      <c r="J42" s="40">
        <f t="shared" si="12"/>
        <v>0.95238095238095233</v>
      </c>
      <c r="K42" s="41"/>
    </row>
    <row r="43" spans="1:11" x14ac:dyDescent="0.2">
      <c r="A43" s="149" t="s">
        <v>138</v>
      </c>
      <c r="B43" s="43"/>
      <c r="C43" s="26">
        <v>0.13</v>
      </c>
      <c r="D43" s="26">
        <f>D42*C43</f>
        <v>53.736225830027514</v>
      </c>
      <c r="E43" s="26"/>
      <c r="F43" s="26">
        <f>C43</f>
        <v>0.13</v>
      </c>
      <c r="G43" s="26">
        <f>G42*F43</f>
        <v>53.128098180027514</v>
      </c>
      <c r="H43" s="26">
        <f t="shared" si="2"/>
        <v>-0.60812765000000013</v>
      </c>
      <c r="I43" s="44">
        <f t="shared" si="10"/>
        <v>-1.1316902901286039E-2</v>
      </c>
      <c r="J43" s="44">
        <f t="shared" si="12"/>
        <v>0.12380952380952381</v>
      </c>
      <c r="K43" s="45"/>
    </row>
    <row r="44" spans="1:11" s="1" customFormat="1" x14ac:dyDescent="0.2">
      <c r="A44" s="46" t="s">
        <v>139</v>
      </c>
      <c r="B44" s="24"/>
      <c r="C44" s="25"/>
      <c r="D44" s="25">
        <f>SUM(D42:D43)</f>
        <v>467.09180913793148</v>
      </c>
      <c r="E44" s="25"/>
      <c r="F44" s="25"/>
      <c r="G44" s="25">
        <f>SUM(G42:G43)</f>
        <v>461.80577648793144</v>
      </c>
      <c r="H44" s="25">
        <f t="shared" si="2"/>
        <v>-5.2860326500000383</v>
      </c>
      <c r="I44" s="27">
        <f t="shared" si="10"/>
        <v>-1.1316902901286117E-2</v>
      </c>
      <c r="J44" s="27">
        <f t="shared" si="12"/>
        <v>1.0761904761904761</v>
      </c>
      <c r="K44" s="47"/>
    </row>
    <row r="45" spans="1:11" x14ac:dyDescent="0.2">
      <c r="A45" s="42" t="s">
        <v>140</v>
      </c>
      <c r="B45" s="43"/>
      <c r="C45" s="26">
        <v>-0.08</v>
      </c>
      <c r="D45" s="26">
        <f>D42*C45</f>
        <v>-33.068446664632319</v>
      </c>
      <c r="E45" s="26"/>
      <c r="F45" s="26">
        <f>C45</f>
        <v>-0.08</v>
      </c>
      <c r="G45" s="26">
        <f>G42*F45</f>
        <v>-32.694214264632315</v>
      </c>
      <c r="H45" s="26">
        <f t="shared" si="2"/>
        <v>0.37423240000000391</v>
      </c>
      <c r="I45" s="44">
        <f t="shared" si="10"/>
        <v>1.1316902901286154E-2</v>
      </c>
      <c r="J45" s="44">
        <f t="shared" si="12"/>
        <v>-7.6190476190476197E-2</v>
      </c>
      <c r="K45" s="45"/>
    </row>
    <row r="46" spans="1:11" s="1" customFormat="1" ht="13.5" thickBot="1" x14ac:dyDescent="0.25">
      <c r="A46" s="48" t="s">
        <v>141</v>
      </c>
      <c r="B46" s="49"/>
      <c r="C46" s="50"/>
      <c r="D46" s="50">
        <f>SUM(D44:D45)</f>
        <v>434.02336247329913</v>
      </c>
      <c r="E46" s="50"/>
      <c r="F46" s="50"/>
      <c r="G46" s="50">
        <f>SUM(G44:G45)</f>
        <v>429.11156222329913</v>
      </c>
      <c r="H46" s="50">
        <f t="shared" si="2"/>
        <v>-4.9118002499999989</v>
      </c>
      <c r="I46" s="51">
        <f t="shared" si="10"/>
        <v>-1.1316902901286034E-2</v>
      </c>
      <c r="J46" s="51">
        <f t="shared" si="12"/>
        <v>1</v>
      </c>
      <c r="K46" s="52"/>
    </row>
    <row r="47" spans="1:11" x14ac:dyDescent="0.2">
      <c r="A47" s="53" t="s">
        <v>142</v>
      </c>
      <c r="B47" s="54"/>
      <c r="C47" s="55"/>
      <c r="D47" s="55">
        <f>SUM(D18,D25,D26,D28,D33,D40,D41)</f>
        <v>400.80366330790395</v>
      </c>
      <c r="E47" s="55"/>
      <c r="F47" s="55"/>
      <c r="G47" s="55">
        <f>SUM(G18,G25,G26,G28,G33,G40,G41)</f>
        <v>396.12575830790394</v>
      </c>
      <c r="H47" s="55">
        <f>G47-D47</f>
        <v>-4.6779050000000097</v>
      </c>
      <c r="I47" s="56">
        <f t="shared" si="10"/>
        <v>-1.1671312984997262E-2</v>
      </c>
      <c r="J47" s="56"/>
      <c r="K47" s="57">
        <f>G47/$G$51</f>
        <v>0.95238095238095233</v>
      </c>
    </row>
    <row r="48" spans="1:11" x14ac:dyDescent="0.2">
      <c r="A48" s="58" t="s">
        <v>138</v>
      </c>
      <c r="B48" s="59"/>
      <c r="C48" s="31">
        <v>0.13</v>
      </c>
      <c r="D48" s="31">
        <f>D47*C48</f>
        <v>52.104476230027515</v>
      </c>
      <c r="E48" s="31"/>
      <c r="F48" s="31">
        <f>C48</f>
        <v>0.13</v>
      </c>
      <c r="G48" s="31">
        <f>G47*F48</f>
        <v>51.496348580027515</v>
      </c>
      <c r="H48" s="31">
        <f>G48-D48</f>
        <v>-0.60812765000000013</v>
      </c>
      <c r="I48" s="32">
        <f t="shared" si="10"/>
        <v>-1.167131298499724E-2</v>
      </c>
      <c r="J48" s="32"/>
      <c r="K48" s="60">
        <f>G48/$G$51</f>
        <v>0.12380952380952381</v>
      </c>
    </row>
    <row r="49" spans="1:11" x14ac:dyDescent="0.2">
      <c r="A49" s="61" t="s">
        <v>143</v>
      </c>
      <c r="B49" s="29"/>
      <c r="C49" s="30"/>
      <c r="D49" s="30">
        <f>SUM(D47:D48)</f>
        <v>452.90813953793145</v>
      </c>
      <c r="E49" s="30"/>
      <c r="F49" s="30"/>
      <c r="G49" s="30">
        <f>SUM(G47:G48)</f>
        <v>447.62210688793147</v>
      </c>
      <c r="H49" s="30">
        <f>G49-D49</f>
        <v>-5.2860326499999815</v>
      </c>
      <c r="I49" s="33">
        <f t="shared" si="10"/>
        <v>-1.1671312984997196E-2</v>
      </c>
      <c r="J49" s="33"/>
      <c r="K49" s="62">
        <f>G49/$G$51</f>
        <v>1.0761904761904761</v>
      </c>
    </row>
    <row r="50" spans="1:11" x14ac:dyDescent="0.2">
      <c r="A50" s="58" t="s">
        <v>140</v>
      </c>
      <c r="B50" s="59"/>
      <c r="C50" s="31">
        <v>-0.08</v>
      </c>
      <c r="D50" s="31">
        <f>D47*C50</f>
        <v>-32.064293064632317</v>
      </c>
      <c r="E50" s="31"/>
      <c r="F50" s="31">
        <f>C50</f>
        <v>-0.08</v>
      </c>
      <c r="G50" s="31">
        <f>G47*F50</f>
        <v>-31.690060664632316</v>
      </c>
      <c r="H50" s="31">
        <f>G50-D50</f>
        <v>0.37423240000000035</v>
      </c>
      <c r="I50" s="32">
        <f t="shared" si="10"/>
        <v>1.1671312984997248E-2</v>
      </c>
      <c r="J50" s="32"/>
      <c r="K50" s="60">
        <f>G50/$G$51</f>
        <v>-7.6190476190476183E-2</v>
      </c>
    </row>
    <row r="51" spans="1:11" ht="13.5" thickBot="1" x14ac:dyDescent="0.25">
      <c r="A51" s="63" t="s">
        <v>144</v>
      </c>
      <c r="B51" s="64"/>
      <c r="C51" s="65"/>
      <c r="D51" s="65">
        <f>SUM(D49:D50)</f>
        <v>420.84384647329915</v>
      </c>
      <c r="E51" s="65"/>
      <c r="F51" s="65"/>
      <c r="G51" s="65">
        <f>SUM(G49:G50)</f>
        <v>415.93204622329915</v>
      </c>
      <c r="H51" s="65">
        <f>G51-D51</f>
        <v>-4.9118002499999989</v>
      </c>
      <c r="I51" s="66">
        <f t="shared" si="10"/>
        <v>-1.1671312984997234E-2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81">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9.0999999999999998E-2</v>
      </c>
      <c r="D12" s="104">
        <f>B12*C12</f>
        <v>4.55</v>
      </c>
      <c r="E12" s="102">
        <f>B12</f>
        <v>50</v>
      </c>
      <c r="F12" s="103">
        <f>C12</f>
        <v>9.0999999999999998E-2</v>
      </c>
      <c r="G12" s="104">
        <f>E12*F12</f>
        <v>4.55</v>
      </c>
      <c r="H12" s="104">
        <f>G12-D12</f>
        <v>0</v>
      </c>
      <c r="I12" s="105">
        <f t="shared" ref="I12:I18" si="0">IF(ISERROR(H12/ABS(D12)),"N/A",(H12/ABS(D12)))</f>
        <v>0</v>
      </c>
      <c r="J12" s="105">
        <f>G12/$G$46</f>
        <v>6.7802685007188654E-2</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4.55</v>
      </c>
      <c r="E14" s="76"/>
      <c r="F14" s="25"/>
      <c r="G14" s="25">
        <f>SUM(G12:G13)</f>
        <v>4.55</v>
      </c>
      <c r="H14" s="25">
        <f t="shared" si="2"/>
        <v>0</v>
      </c>
      <c r="I14" s="27">
        <f t="shared" si="0"/>
        <v>0</v>
      </c>
      <c r="J14" s="27">
        <f>G14/$G$46</f>
        <v>6.7802685007188654E-2</v>
      </c>
      <c r="K14" s="108"/>
    </row>
    <row r="15" spans="1:11" s="1" customFormat="1" x14ac:dyDescent="0.2">
      <c r="A15" s="109" t="s">
        <v>34</v>
      </c>
      <c r="B15" s="75">
        <f>B4*0.65</f>
        <v>32.5</v>
      </c>
      <c r="C15" s="28">
        <v>7.6999999999999999E-2</v>
      </c>
      <c r="D15" s="22">
        <f>B15*C15</f>
        <v>2.5024999999999999</v>
      </c>
      <c r="E15" s="73">
        <f t="shared" ref="E15:F17" si="3">B15</f>
        <v>32.5</v>
      </c>
      <c r="F15" s="28">
        <f t="shared" si="3"/>
        <v>7.6999999999999999E-2</v>
      </c>
      <c r="G15" s="22">
        <f>E15*F15</f>
        <v>2.5024999999999999</v>
      </c>
      <c r="H15" s="22">
        <f t="shared" si="2"/>
        <v>0</v>
      </c>
      <c r="I15" s="23">
        <f t="shared" si="0"/>
        <v>0</v>
      </c>
      <c r="J15" s="23"/>
      <c r="K15" s="108">
        <f t="shared" ref="K15:K26" si="4">G15/$G$51</f>
        <v>3.708265186829246E-2</v>
      </c>
    </row>
    <row r="16" spans="1:11" s="1" customFormat="1" x14ac:dyDescent="0.2">
      <c r="A16" s="109" t="s">
        <v>35</v>
      </c>
      <c r="B16" s="75">
        <f>B4*0.17</f>
        <v>8.5</v>
      </c>
      <c r="C16" s="28">
        <v>0.113</v>
      </c>
      <c r="D16" s="22">
        <f>B16*C16</f>
        <v>0.96050000000000002</v>
      </c>
      <c r="E16" s="73">
        <f t="shared" si="3"/>
        <v>8.5</v>
      </c>
      <c r="F16" s="28">
        <f t="shared" si="3"/>
        <v>0.113</v>
      </c>
      <c r="G16" s="22">
        <f>E16*F16</f>
        <v>0.96050000000000002</v>
      </c>
      <c r="H16" s="22">
        <f t="shared" si="2"/>
        <v>0</v>
      </c>
      <c r="I16" s="23">
        <f t="shared" si="0"/>
        <v>0</v>
      </c>
      <c r="J16" s="23"/>
      <c r="K16" s="108">
        <f t="shared" si="4"/>
        <v>1.4232921925872092E-2</v>
      </c>
    </row>
    <row r="17" spans="1:11" s="1" customFormat="1" x14ac:dyDescent="0.2">
      <c r="A17" s="109" t="s">
        <v>36</v>
      </c>
      <c r="B17" s="75">
        <f>B4*0.18</f>
        <v>9</v>
      </c>
      <c r="C17" s="28">
        <v>0.157</v>
      </c>
      <c r="D17" s="22">
        <f>B17*C17</f>
        <v>1.413</v>
      </c>
      <c r="E17" s="73">
        <f t="shared" si="3"/>
        <v>9</v>
      </c>
      <c r="F17" s="28">
        <f t="shared" si="3"/>
        <v>0.157</v>
      </c>
      <c r="G17" s="22">
        <f>E17*F17</f>
        <v>1.413</v>
      </c>
      <c r="H17" s="22">
        <f t="shared" si="2"/>
        <v>0</v>
      </c>
      <c r="I17" s="23">
        <f t="shared" si="0"/>
        <v>0</v>
      </c>
      <c r="J17" s="23"/>
      <c r="K17" s="108">
        <f t="shared" si="4"/>
        <v>2.09381766592996E-2</v>
      </c>
    </row>
    <row r="18" spans="1:11" s="1" customFormat="1" x14ac:dyDescent="0.2">
      <c r="A18" s="61" t="s">
        <v>37</v>
      </c>
      <c r="B18" s="29"/>
      <c r="C18" s="30"/>
      <c r="D18" s="30">
        <f>SUM(D15:D17)</f>
        <v>4.8760000000000003</v>
      </c>
      <c r="E18" s="77"/>
      <c r="F18" s="30"/>
      <c r="G18" s="30">
        <f>SUM(G15:G17)</f>
        <v>4.8760000000000003</v>
      </c>
      <c r="H18" s="31">
        <f t="shared" si="2"/>
        <v>0</v>
      </c>
      <c r="I18" s="32">
        <f t="shared" si="0"/>
        <v>0</v>
      </c>
      <c r="J18" s="33">
        <f t="shared" ref="J18:J23" si="5">G18/$G$46</f>
        <v>7.2660635625286144E-2</v>
      </c>
      <c r="K18" s="62">
        <f t="shared" si="4"/>
        <v>7.2253750453464161E-2</v>
      </c>
    </row>
    <row r="19" spans="1:11" x14ac:dyDescent="0.2">
      <c r="A19" s="107" t="s">
        <v>38</v>
      </c>
      <c r="B19" s="73">
        <v>1</v>
      </c>
      <c r="C19" s="78">
        <f>VLOOKUP($B$3,'Data for Bill Impacts'!$A$3:$Y$15,7,0)</f>
        <v>50.05</v>
      </c>
      <c r="D19" s="22">
        <f>B19*C19</f>
        <v>50.05</v>
      </c>
      <c r="E19" s="73">
        <f t="shared" ref="E19:E41" si="6">B19</f>
        <v>1</v>
      </c>
      <c r="F19" s="78">
        <f>VLOOKUP($B$3,'Data for Bill Impacts'!$A$3:$Y$15,17,0)</f>
        <v>55.37</v>
      </c>
      <c r="G19" s="22">
        <f>E19*F19</f>
        <v>55.37</v>
      </c>
      <c r="H19" s="22">
        <f t="shared" si="2"/>
        <v>5.32</v>
      </c>
      <c r="I19" s="23">
        <f>IF(ISERROR(H19/ABS(D19)),"N/A",(H19/ABS(D19)))</f>
        <v>0.10629370629370631</v>
      </c>
      <c r="J19" s="23">
        <f t="shared" si="5"/>
        <v>0.82510652062594203</v>
      </c>
      <c r="K19" s="108">
        <f t="shared" si="4"/>
        <v>0.82048608749144991</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-2.9803378025137874E-5</v>
      </c>
      <c r="K22" s="108">
        <f t="shared" si="4"/>
        <v>-2.9636485009624343E-5</v>
      </c>
    </row>
    <row r="23" spans="1:11" x14ac:dyDescent="0.2">
      <c r="A23" s="107" t="s">
        <v>39</v>
      </c>
      <c r="B23" s="73">
        <f>IF($B$9="kWh",$B$4,$B$5)</f>
        <v>50</v>
      </c>
      <c r="C23" s="125">
        <f>VLOOKUP($B$3,'Data for Bill Impacts'!$A$3:$Y$15,10,0)</f>
        <v>4.3900000000000002E-2</v>
      </c>
      <c r="D23" s="22">
        <f>B23*C23</f>
        <v>2.1950000000000003</v>
      </c>
      <c r="E23" s="73">
        <f t="shared" si="6"/>
        <v>50</v>
      </c>
      <c r="F23" s="78">
        <f>VLOOKUP($B$3,'Data for Bill Impacts'!$A$3:$Y$15,19,0)</f>
        <v>3.1699999999999999E-2</v>
      </c>
      <c r="G23" s="22">
        <f>E23*F23</f>
        <v>1.585</v>
      </c>
      <c r="H23" s="22">
        <f t="shared" si="2"/>
        <v>-0.61000000000000032</v>
      </c>
      <c r="I23" s="23">
        <f t="shared" si="10"/>
        <v>-0.27790432801822335</v>
      </c>
      <c r="J23" s="23">
        <f t="shared" si="5"/>
        <v>2.3619177084921766E-2</v>
      </c>
      <c r="K23" s="108">
        <f t="shared" si="4"/>
        <v>2.3486914370127291E-2</v>
      </c>
    </row>
    <row r="24" spans="1:11" x14ac:dyDescent="0.2">
      <c r="A24" s="107" t="s">
        <v>199</v>
      </c>
      <c r="B24" s="73">
        <f>IF($B$9="kWh",$B$4,$B$5)</f>
        <v>50</v>
      </c>
      <c r="C24" s="125">
        <f>VLOOKUP($B$3,'Data for Bill Impacts'!$A$3:$Y$15,14,0)</f>
        <v>1.0000000000000003E-5</v>
      </c>
      <c r="D24" s="22">
        <f>B24*C24</f>
        <v>5.0000000000000012E-4</v>
      </c>
      <c r="E24" s="73">
        <f t="shared" si="6"/>
        <v>50</v>
      </c>
      <c r="F24" s="125">
        <f>VLOOKUP($B$3,'Data for Bill Impacts'!$A$3:$Y$15,23,0)</f>
        <v>1.0000000000000003E-5</v>
      </c>
      <c r="G24" s="22">
        <f>E24*F24</f>
        <v>5.0000000000000012E-4</v>
      </c>
      <c r="H24" s="22">
        <f t="shared" si="2"/>
        <v>0</v>
      </c>
      <c r="I24" s="23">
        <f t="shared" si="10"/>
        <v>0</v>
      </c>
      <c r="J24" s="23">
        <f t="shared" ref="J24" si="11">G24/$G$46</f>
        <v>7.4508445062844703E-6</v>
      </c>
      <c r="K24" s="108">
        <f t="shared" si="4"/>
        <v>7.4091212524060874E-6</v>
      </c>
    </row>
    <row r="25" spans="1:11" s="1" customFormat="1" x14ac:dyDescent="0.2">
      <c r="A25" s="110" t="s">
        <v>72</v>
      </c>
      <c r="B25" s="74"/>
      <c r="C25" s="35"/>
      <c r="D25" s="35">
        <f>SUM(D19:D24)</f>
        <v>52.243499999999997</v>
      </c>
      <c r="E25" s="73"/>
      <c r="F25" s="35"/>
      <c r="G25" s="35">
        <f>SUM(G19:G24)</f>
        <v>56.953499999999998</v>
      </c>
      <c r="H25" s="35">
        <f t="shared" si="2"/>
        <v>4.7100000000000009</v>
      </c>
      <c r="I25" s="36">
        <f t="shared" si="10"/>
        <v>9.0154756094059568E-2</v>
      </c>
      <c r="J25" s="36">
        <f>G25/$G$46</f>
        <v>0.84870334517734491</v>
      </c>
      <c r="K25" s="111">
        <f t="shared" si="4"/>
        <v>0.84395077449781997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1.177233431992946E-2</v>
      </c>
      <c r="K26" s="108">
        <f t="shared" si="4"/>
        <v>1.1706411578801616E-2</v>
      </c>
    </row>
    <row r="27" spans="1:11" s="1" customFormat="1" x14ac:dyDescent="0.2">
      <c r="A27" s="119" t="s">
        <v>75</v>
      </c>
      <c r="B27" s="120">
        <f>B8-B4</f>
        <v>5.2000000000000028</v>
      </c>
      <c r="C27" s="257">
        <f>IF(B4&gt;B7,C13,C12)</f>
        <v>9.0999999999999998E-2</v>
      </c>
      <c r="D27" s="22">
        <f>B27*C27</f>
        <v>0.47320000000000023</v>
      </c>
      <c r="E27" s="73">
        <f>B27</f>
        <v>5.2000000000000028</v>
      </c>
      <c r="F27" s="257">
        <f>C27</f>
        <v>9.0999999999999998E-2</v>
      </c>
      <c r="G27" s="22">
        <f>E27*F27</f>
        <v>0.47320000000000023</v>
      </c>
      <c r="H27" s="22">
        <f t="shared" si="2"/>
        <v>0</v>
      </c>
      <c r="I27" s="23">
        <f t="shared" si="10"/>
        <v>0</v>
      </c>
      <c r="J27" s="23">
        <f t="shared" ref="J27:J46" si="12">G27/$G$46</f>
        <v>7.0514792407476243E-3</v>
      </c>
      <c r="K27" s="108">
        <f t="shared" ref="K27:K41" si="13">G27/$G$51</f>
        <v>7.0119923532771227E-3</v>
      </c>
    </row>
    <row r="28" spans="1:11" s="1" customFormat="1" x14ac:dyDescent="0.2">
      <c r="A28" s="119" t="s">
        <v>74</v>
      </c>
      <c r="B28" s="120">
        <f>B8-B4</f>
        <v>5.2000000000000028</v>
      </c>
      <c r="C28" s="257">
        <f>0.65*C15+0.17*C16+0.18*C17</f>
        <v>9.7519999999999996E-2</v>
      </c>
      <c r="D28" s="22">
        <f>B28*C28</f>
        <v>0.50710400000000022</v>
      </c>
      <c r="E28" s="73">
        <f>B28</f>
        <v>5.2000000000000028</v>
      </c>
      <c r="F28" s="257">
        <f>C28</f>
        <v>9.7519999999999996E-2</v>
      </c>
      <c r="G28" s="22">
        <f>E28*F28</f>
        <v>0.50710400000000022</v>
      </c>
      <c r="H28" s="22">
        <f t="shared" si="2"/>
        <v>0</v>
      </c>
      <c r="I28" s="23">
        <f t="shared" si="10"/>
        <v>0</v>
      </c>
      <c r="J28" s="23">
        <f t="shared" si="12"/>
        <v>7.5567061050297616E-3</v>
      </c>
      <c r="K28" s="108">
        <f t="shared" si="13"/>
        <v>7.5143900471602749E-3</v>
      </c>
    </row>
    <row r="29" spans="1:11" s="1" customFormat="1" x14ac:dyDescent="0.2">
      <c r="A29" s="110" t="s">
        <v>78</v>
      </c>
      <c r="B29" s="74"/>
      <c r="C29" s="35"/>
      <c r="D29" s="35">
        <f>SUM(D25,D26:D27)</f>
        <v>53.506699999999995</v>
      </c>
      <c r="E29" s="73"/>
      <c r="F29" s="35"/>
      <c r="G29" s="35">
        <f>SUM(G25,G26:G27)</f>
        <v>58.216699999999996</v>
      </c>
      <c r="H29" s="35">
        <f t="shared" si="2"/>
        <v>4.7100000000000009</v>
      </c>
      <c r="I29" s="36">
        <f t="shared" si="10"/>
        <v>8.8026359315749272E-2</v>
      </c>
      <c r="J29" s="36">
        <f t="shared" si="12"/>
        <v>0.867527158738022</v>
      </c>
      <c r="K29" s="111">
        <f t="shared" si="13"/>
        <v>0.86266917842989865</v>
      </c>
    </row>
    <row r="30" spans="1:11" s="1" customFormat="1" x14ac:dyDescent="0.2">
      <c r="A30" s="110" t="s">
        <v>77</v>
      </c>
      <c r="B30" s="74"/>
      <c r="C30" s="35"/>
      <c r="D30" s="35">
        <f>SUM(D25,D26,D28)</f>
        <v>53.540603999999995</v>
      </c>
      <c r="E30" s="73"/>
      <c r="F30" s="35"/>
      <c r="G30" s="35">
        <f>SUM(G25,G26,G28)</f>
        <v>58.250603999999996</v>
      </c>
      <c r="H30" s="35">
        <f t="shared" si="2"/>
        <v>4.7100000000000009</v>
      </c>
      <c r="I30" s="36">
        <f t="shared" si="10"/>
        <v>8.7970617589596137E-2</v>
      </c>
      <c r="J30" s="36">
        <f t="shared" si="12"/>
        <v>0.86803238560230411</v>
      </c>
      <c r="K30" s="111">
        <f t="shared" si="13"/>
        <v>0.86317157612378181</v>
      </c>
    </row>
    <row r="31" spans="1:11" x14ac:dyDescent="0.2">
      <c r="A31" s="107" t="s">
        <v>40</v>
      </c>
      <c r="B31" s="73">
        <f>B8</f>
        <v>55.2</v>
      </c>
      <c r="C31" s="125">
        <f>VLOOKUP($B$3,'Data for Bill Impacts'!$A$3:$Y$15,15,0)</f>
        <v>5.6559999999999996E-3</v>
      </c>
      <c r="D31" s="22">
        <f>B31*C31</f>
        <v>0.31221119999999997</v>
      </c>
      <c r="E31" s="73">
        <f t="shared" si="6"/>
        <v>55.2</v>
      </c>
      <c r="F31" s="78">
        <f>VLOOKUP($B$3,'Data for Bill Impacts'!$A$3:$Y$15,24,0)</f>
        <v>5.7999999999999996E-3</v>
      </c>
      <c r="G31" s="22">
        <f>E31*F31</f>
        <v>0.32016</v>
      </c>
      <c r="H31" s="22">
        <f t="shared" si="2"/>
        <v>7.9488000000000336E-3</v>
      </c>
      <c r="I31" s="23">
        <f t="shared" si="10"/>
        <v>2.5459688826025569E-2</v>
      </c>
      <c r="J31" s="23">
        <f t="shared" si="12"/>
        <v>4.7709247542640706E-3</v>
      </c>
      <c r="K31" s="108">
        <f t="shared" si="13"/>
        <v>4.7442085203406653E-3</v>
      </c>
    </row>
    <row r="32" spans="1:11" x14ac:dyDescent="0.2">
      <c r="A32" s="107" t="s">
        <v>41</v>
      </c>
      <c r="B32" s="73">
        <f>B8</f>
        <v>55.2</v>
      </c>
      <c r="C32" s="125">
        <f>VLOOKUP($B$3,'Data for Bill Impacts'!$A$3:$Y$15,16,0)</f>
        <v>4.8209999999999998E-3</v>
      </c>
      <c r="D32" s="22">
        <f>B32*C32</f>
        <v>0.2661192</v>
      </c>
      <c r="E32" s="73">
        <f t="shared" si="6"/>
        <v>55.2</v>
      </c>
      <c r="F32" s="78">
        <f>VLOOKUP($B$3,'Data for Bill Impacts'!$A$3:$Y$15,25,0)</f>
        <v>4.7000000000000002E-3</v>
      </c>
      <c r="G32" s="22">
        <f>E32*F32</f>
        <v>0.25944</v>
      </c>
      <c r="H32" s="22">
        <f t="shared" si="2"/>
        <v>-6.6791999999999963E-3</v>
      </c>
      <c r="I32" s="23">
        <f t="shared" si="10"/>
        <v>-2.5098527276498639E-2</v>
      </c>
      <c r="J32" s="23">
        <f t="shared" si="12"/>
        <v>3.8660941974208848E-3</v>
      </c>
      <c r="K32" s="108">
        <f t="shared" si="13"/>
        <v>3.8444448354484698E-3</v>
      </c>
    </row>
    <row r="33" spans="1:11" s="1" customFormat="1" x14ac:dyDescent="0.2">
      <c r="A33" s="110" t="s">
        <v>76</v>
      </c>
      <c r="B33" s="74"/>
      <c r="C33" s="35"/>
      <c r="D33" s="35">
        <f>SUM(D31:D32)</f>
        <v>0.57833040000000002</v>
      </c>
      <c r="E33" s="73"/>
      <c r="F33" s="35"/>
      <c r="G33" s="35">
        <f>SUM(G31:G32)</f>
        <v>0.5796</v>
      </c>
      <c r="H33" s="35">
        <f t="shared" si="2"/>
        <v>1.2695999999999819E-3</v>
      </c>
      <c r="I33" s="36">
        <f t="shared" si="10"/>
        <v>2.1952849098023927E-3</v>
      </c>
      <c r="J33" s="36">
        <f t="shared" si="12"/>
        <v>8.6370189516849563E-3</v>
      </c>
      <c r="K33" s="111">
        <f t="shared" si="13"/>
        <v>8.5886533557891342E-3</v>
      </c>
    </row>
    <row r="34" spans="1:11" s="1" customFormat="1" x14ac:dyDescent="0.2">
      <c r="A34" s="110" t="s">
        <v>95</v>
      </c>
      <c r="B34" s="74"/>
      <c r="C34" s="35"/>
      <c r="D34" s="35">
        <f>D29+D33</f>
        <v>54.085030399999994</v>
      </c>
      <c r="E34" s="73"/>
      <c r="F34" s="35"/>
      <c r="G34" s="35">
        <f>G29+G33</f>
        <v>58.796299999999995</v>
      </c>
      <c r="H34" s="35">
        <f t="shared" si="2"/>
        <v>4.7112696000000014</v>
      </c>
      <c r="I34" s="36">
        <f t="shared" si="10"/>
        <v>8.7108568954414448E-2</v>
      </c>
      <c r="J34" s="36">
        <f t="shared" si="12"/>
        <v>0.87616417768970689</v>
      </c>
      <c r="K34" s="111">
        <f t="shared" si="13"/>
        <v>0.87125783178568783</v>
      </c>
    </row>
    <row r="35" spans="1:11" s="1" customFormat="1" x14ac:dyDescent="0.2">
      <c r="A35" s="110" t="s">
        <v>96</v>
      </c>
      <c r="B35" s="74"/>
      <c r="C35" s="35"/>
      <c r="D35" s="35">
        <f>D30+D33</f>
        <v>54.118934399999993</v>
      </c>
      <c r="E35" s="73"/>
      <c r="F35" s="35"/>
      <c r="G35" s="35">
        <f>G30+G33</f>
        <v>58.830203999999995</v>
      </c>
      <c r="H35" s="35">
        <f t="shared" si="2"/>
        <v>4.7112696000000014</v>
      </c>
      <c r="I35" s="36">
        <f t="shared" si="10"/>
        <v>8.7053997870290695E-2</v>
      </c>
      <c r="J35" s="36">
        <f t="shared" si="12"/>
        <v>0.87666940455398901</v>
      </c>
      <c r="K35" s="111">
        <f t="shared" si="13"/>
        <v>0.87176022947957099</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2"/>
        <v>0</v>
      </c>
      <c r="I36" s="23">
        <f t="shared" si="10"/>
        <v>0</v>
      </c>
      <c r="J36" s="23">
        <f t="shared" si="12"/>
        <v>2.9612636405776994E-3</v>
      </c>
      <c r="K36" s="108">
        <f t="shared" si="13"/>
        <v>2.9446811505562747E-3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10"/>
        <v>0</v>
      </c>
      <c r="J37" s="23">
        <f t="shared" si="12"/>
        <v>1.7274037903369911E-3</v>
      </c>
      <c r="K37" s="108">
        <f t="shared" si="13"/>
        <v>1.7177306711578268E-3</v>
      </c>
    </row>
    <row r="38" spans="1:11" x14ac:dyDescent="0.2">
      <c r="A38" s="107" t="s">
        <v>100</v>
      </c>
      <c r="B38" s="73">
        <f>B8</f>
        <v>55.2</v>
      </c>
      <c r="C38" s="34">
        <v>0</v>
      </c>
      <c r="D38" s="22">
        <f>B38*C38</f>
        <v>0</v>
      </c>
      <c r="E38" s="73">
        <f t="shared" si="6"/>
        <v>55.2</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3.7254222531422341E-3</v>
      </c>
      <c r="K39" s="108">
        <f t="shared" si="13"/>
        <v>3.7045606262030429E-3</v>
      </c>
    </row>
    <row r="40" spans="1:11" s="1" customFormat="1" x14ac:dyDescent="0.2">
      <c r="A40" s="110" t="s">
        <v>45</v>
      </c>
      <c r="B40" s="74"/>
      <c r="C40" s="35"/>
      <c r="D40" s="35">
        <f>SUM(D36:D39)</f>
        <v>0.56464000000000003</v>
      </c>
      <c r="E40" s="73"/>
      <c r="F40" s="35"/>
      <c r="G40" s="35">
        <f>SUM(G36:G39)</f>
        <v>0.56464000000000003</v>
      </c>
      <c r="H40" s="35">
        <f t="shared" si="2"/>
        <v>0</v>
      </c>
      <c r="I40" s="36">
        <f t="shared" si="10"/>
        <v>0</v>
      </c>
      <c r="J40" s="36">
        <f t="shared" si="12"/>
        <v>8.4140896840569253E-3</v>
      </c>
      <c r="K40" s="111">
        <f t="shared" si="13"/>
        <v>8.3669724479171446E-3</v>
      </c>
    </row>
    <row r="41" spans="1:11" s="1" customFormat="1" ht="13.5" thickBot="1" x14ac:dyDescent="0.25">
      <c r="A41" s="112" t="s">
        <v>46</v>
      </c>
      <c r="B41" s="113">
        <f>B4</f>
        <v>50</v>
      </c>
      <c r="C41" s="114">
        <v>0</v>
      </c>
      <c r="D41" s="115">
        <f>B41*C41</f>
        <v>0</v>
      </c>
      <c r="E41" s="116">
        <f t="shared" si="6"/>
        <v>50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59.199670399999988</v>
      </c>
      <c r="E42" s="38"/>
      <c r="F42" s="39"/>
      <c r="G42" s="39">
        <f>SUM(G14,G25,G26,G27,G33,G40,G41)</f>
        <v>63.910939999999989</v>
      </c>
      <c r="H42" s="39">
        <f t="shared" si="2"/>
        <v>4.7112696000000014</v>
      </c>
      <c r="I42" s="40">
        <f t="shared" si="10"/>
        <v>7.9582699838815357E-2</v>
      </c>
      <c r="J42" s="40">
        <f t="shared" si="12"/>
        <v>0.95238095238095244</v>
      </c>
      <c r="K42" s="41"/>
    </row>
    <row r="43" spans="1:11" x14ac:dyDescent="0.2">
      <c r="A43" s="149" t="s">
        <v>138</v>
      </c>
      <c r="B43" s="43"/>
      <c r="C43" s="26">
        <v>0.13</v>
      </c>
      <c r="D43" s="26">
        <f>D42*C43</f>
        <v>7.6959571519999983</v>
      </c>
      <c r="E43" s="26"/>
      <c r="F43" s="26">
        <f>C43</f>
        <v>0.13</v>
      </c>
      <c r="G43" s="26">
        <f>G42*F43</f>
        <v>8.308422199999999</v>
      </c>
      <c r="H43" s="26">
        <f t="shared" si="2"/>
        <v>0.61246504800000068</v>
      </c>
      <c r="I43" s="44">
        <f t="shared" si="10"/>
        <v>7.9582699838815427E-2</v>
      </c>
      <c r="J43" s="44">
        <f t="shared" si="12"/>
        <v>0.12380952380952381</v>
      </c>
      <c r="K43" s="45"/>
    </row>
    <row r="44" spans="1:11" s="1" customFormat="1" x14ac:dyDescent="0.2">
      <c r="A44" s="46" t="s">
        <v>139</v>
      </c>
      <c r="B44" s="24"/>
      <c r="C44" s="25"/>
      <c r="D44" s="25">
        <f>SUM(D42:D43)</f>
        <v>66.895627551999979</v>
      </c>
      <c r="E44" s="25"/>
      <c r="F44" s="25"/>
      <c r="G44" s="25">
        <f>SUM(G42:G43)</f>
        <v>72.219362199999992</v>
      </c>
      <c r="H44" s="25">
        <f t="shared" si="2"/>
        <v>5.3237346480000127</v>
      </c>
      <c r="I44" s="27">
        <f t="shared" si="10"/>
        <v>7.9582699838815538E-2</v>
      </c>
      <c r="J44" s="27">
        <f t="shared" si="12"/>
        <v>1.0761904761904764</v>
      </c>
      <c r="K44" s="47"/>
    </row>
    <row r="45" spans="1:11" x14ac:dyDescent="0.2">
      <c r="A45" s="42" t="s">
        <v>140</v>
      </c>
      <c r="B45" s="43"/>
      <c r="C45" s="26">
        <v>-0.08</v>
      </c>
      <c r="D45" s="26">
        <f>D42*C45</f>
        <v>-4.7359736319999994</v>
      </c>
      <c r="E45" s="26"/>
      <c r="F45" s="26">
        <f>C45</f>
        <v>-0.08</v>
      </c>
      <c r="G45" s="26">
        <f>G42*F45</f>
        <v>-5.1128751999999995</v>
      </c>
      <c r="H45" s="26">
        <f t="shared" si="2"/>
        <v>-0.37690156800000008</v>
      </c>
      <c r="I45" s="44">
        <f t="shared" si="10"/>
        <v>-7.9582699838815343E-2</v>
      </c>
      <c r="J45" s="44">
        <f t="shared" si="12"/>
        <v>-7.6190476190476197E-2</v>
      </c>
      <c r="K45" s="45"/>
    </row>
    <row r="46" spans="1:11" s="1" customFormat="1" ht="13.5" thickBot="1" x14ac:dyDescent="0.25">
      <c r="A46" s="48" t="s">
        <v>141</v>
      </c>
      <c r="B46" s="49"/>
      <c r="C46" s="50"/>
      <c r="D46" s="50">
        <f>SUM(D44:D45)</f>
        <v>62.159653919999982</v>
      </c>
      <c r="E46" s="50"/>
      <c r="F46" s="50"/>
      <c r="G46" s="50">
        <f>SUM(G44:G45)</f>
        <v>67.106486999999987</v>
      </c>
      <c r="H46" s="50">
        <f t="shared" si="2"/>
        <v>4.9468330800000047</v>
      </c>
      <c r="I46" s="51">
        <f t="shared" si="10"/>
        <v>7.9582699838815413E-2</v>
      </c>
      <c r="J46" s="51">
        <f t="shared" si="12"/>
        <v>1</v>
      </c>
      <c r="K46" s="52"/>
    </row>
    <row r="47" spans="1:11" x14ac:dyDescent="0.2">
      <c r="A47" s="53" t="s">
        <v>142</v>
      </c>
      <c r="B47" s="54"/>
      <c r="C47" s="55"/>
      <c r="D47" s="55">
        <f>SUM(D18,D25,D26,D28,D33,D40,D41)</f>
        <v>59.559574399999988</v>
      </c>
      <c r="E47" s="55"/>
      <c r="F47" s="55"/>
      <c r="G47" s="55">
        <f>SUM(G18,G25,G26,G28,G33,G40,G41)</f>
        <v>64.270843999999997</v>
      </c>
      <c r="H47" s="55">
        <f>G47-D47</f>
        <v>4.7112696000000085</v>
      </c>
      <c r="I47" s="56">
        <f t="shared" si="10"/>
        <v>7.9101800969215944E-2</v>
      </c>
      <c r="J47" s="56"/>
      <c r="K47" s="57">
        <f>G47/$G$51</f>
        <v>0.95238095238095233</v>
      </c>
    </row>
    <row r="48" spans="1:11" x14ac:dyDescent="0.2">
      <c r="A48" s="58" t="s">
        <v>138</v>
      </c>
      <c r="B48" s="59"/>
      <c r="C48" s="31">
        <v>0.13</v>
      </c>
      <c r="D48" s="31">
        <f>D47*C48</f>
        <v>7.7427446719999988</v>
      </c>
      <c r="E48" s="31"/>
      <c r="F48" s="31">
        <f>C48</f>
        <v>0.13</v>
      </c>
      <c r="G48" s="31">
        <f>G47*F48</f>
        <v>8.3552097199999995</v>
      </c>
      <c r="H48" s="31">
        <f>G48-D48</f>
        <v>0.61246504800000068</v>
      </c>
      <c r="I48" s="32">
        <f t="shared" si="10"/>
        <v>7.9101800969215888E-2</v>
      </c>
      <c r="J48" s="32"/>
      <c r="K48" s="60">
        <f>G48/$G$51</f>
        <v>0.1238095238095238</v>
      </c>
    </row>
    <row r="49" spans="1:11" x14ac:dyDescent="0.2">
      <c r="A49" s="61" t="s">
        <v>143</v>
      </c>
      <c r="B49" s="29"/>
      <c r="C49" s="30"/>
      <c r="D49" s="30">
        <f>SUM(D47:D48)</f>
        <v>67.302319071999989</v>
      </c>
      <c r="E49" s="30"/>
      <c r="F49" s="30"/>
      <c r="G49" s="30">
        <f>SUM(G47:G48)</f>
        <v>72.626053720000002</v>
      </c>
      <c r="H49" s="30">
        <f>G49-D49</f>
        <v>5.3237346480000127</v>
      </c>
      <c r="I49" s="33">
        <f t="shared" si="10"/>
        <v>7.9101800969215999E-2</v>
      </c>
      <c r="J49" s="33"/>
      <c r="K49" s="62">
        <f>G49/$G$51</f>
        <v>1.0761904761904761</v>
      </c>
    </row>
    <row r="50" spans="1:11" x14ac:dyDescent="0.2">
      <c r="A50" s="58" t="s">
        <v>140</v>
      </c>
      <c r="B50" s="59"/>
      <c r="C50" s="31">
        <v>-0.08</v>
      </c>
      <c r="D50" s="31">
        <f>D47*C50</f>
        <v>-4.7647659519999994</v>
      </c>
      <c r="E50" s="31"/>
      <c r="F50" s="31">
        <f>C50</f>
        <v>-0.08</v>
      </c>
      <c r="G50" s="31">
        <f>G47*F50</f>
        <v>-5.1416675199999995</v>
      </c>
      <c r="H50" s="31">
        <f>G50-D50</f>
        <v>-0.37690156800000008</v>
      </c>
      <c r="I50" s="32">
        <f t="shared" si="10"/>
        <v>-7.9101800969215819E-2</v>
      </c>
      <c r="J50" s="32"/>
      <c r="K50" s="60">
        <f>G50/$G$51</f>
        <v>-7.6190476190476183E-2</v>
      </c>
    </row>
    <row r="51" spans="1:11" ht="13.5" thickBot="1" x14ac:dyDescent="0.25">
      <c r="A51" s="63" t="s">
        <v>144</v>
      </c>
      <c r="B51" s="64"/>
      <c r="C51" s="65"/>
      <c r="D51" s="65">
        <f>SUM(D49:D50)</f>
        <v>62.537553119999991</v>
      </c>
      <c r="E51" s="65"/>
      <c r="F51" s="65"/>
      <c r="G51" s="65">
        <f>SUM(G49:G50)</f>
        <v>67.484386200000003</v>
      </c>
      <c r="H51" s="65">
        <f>G51-D51</f>
        <v>4.9468330800000118</v>
      </c>
      <c r="I51" s="66">
        <f t="shared" si="10"/>
        <v>7.9101800969215985E-2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499984740745262"/>
    <pageSetUpPr fitToPage="1"/>
  </sheetPr>
  <dimension ref="A1:K68"/>
  <sheetViews>
    <sheetView tabSelected="1" topLeftCell="A16"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3</v>
      </c>
    </row>
    <row r="4" spans="1:11" x14ac:dyDescent="0.2">
      <c r="A4" s="15" t="s">
        <v>62</v>
      </c>
      <c r="B4" s="79">
        <f>'Data for Bill Impacts_HONI Avg '!C6</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81">
        <f>B4*B6</f>
        <v>388.60800000000006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9.0999999999999998E-2</v>
      </c>
      <c r="D12" s="104">
        <f>B12*C12</f>
        <v>32.031999999999996</v>
      </c>
      <c r="E12" s="102">
        <f>B12</f>
        <v>352</v>
      </c>
      <c r="F12" s="103">
        <f>C12</f>
        <v>9.0999999999999998E-2</v>
      </c>
      <c r="G12" s="104">
        <f>E12*F12</f>
        <v>32.031999999999996</v>
      </c>
      <c r="H12" s="104">
        <f>G12-D12</f>
        <v>0</v>
      </c>
      <c r="I12" s="105">
        <f t="shared" ref="I12:I18" si="0">IF(ISERROR(H12/ABS(D12)),"N/A",(H12/ABS(D12)))</f>
        <v>0</v>
      </c>
      <c r="J12" s="105">
        <f>G12/$G$46</f>
        <v>0.2792916819202893</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32.031999999999996</v>
      </c>
      <c r="E14" s="76"/>
      <c r="F14" s="25"/>
      <c r="G14" s="25">
        <f>SUM(G12:G13)</f>
        <v>32.031999999999996</v>
      </c>
      <c r="H14" s="25">
        <f t="shared" si="2"/>
        <v>0</v>
      </c>
      <c r="I14" s="27">
        <f t="shared" si="0"/>
        <v>0</v>
      </c>
      <c r="J14" s="27">
        <f>G14/$G$46</f>
        <v>0.2792916819202893</v>
      </c>
      <c r="K14" s="108"/>
    </row>
    <row r="15" spans="1:11" s="1" customFormat="1" x14ac:dyDescent="0.2">
      <c r="A15" s="109" t="s">
        <v>34</v>
      </c>
      <c r="B15" s="75">
        <f>B4*0.65</f>
        <v>228.8</v>
      </c>
      <c r="C15" s="28">
        <v>7.6999999999999999E-2</v>
      </c>
      <c r="D15" s="22">
        <f>B15*C15</f>
        <v>17.617599999999999</v>
      </c>
      <c r="E15" s="73">
        <f t="shared" ref="E15:F17" si="3">B15</f>
        <v>228.8</v>
      </c>
      <c r="F15" s="28">
        <f t="shared" si="3"/>
        <v>7.6999999999999999E-2</v>
      </c>
      <c r="G15" s="22">
        <f>E15*F15</f>
        <v>17.617599999999999</v>
      </c>
      <c r="H15" s="22">
        <f t="shared" si="2"/>
        <v>0</v>
      </c>
      <c r="I15" s="23">
        <f t="shared" si="0"/>
        <v>0</v>
      </c>
      <c r="J15" s="23"/>
      <c r="K15" s="108">
        <f t="shared" ref="K15:K26" si="4">G15/$G$51</f>
        <v>0.15012798042885453</v>
      </c>
    </row>
    <row r="16" spans="1:11" s="1" customFormat="1" x14ac:dyDescent="0.2">
      <c r="A16" s="109" t="s">
        <v>35</v>
      </c>
      <c r="B16" s="75">
        <f>B4*0.17</f>
        <v>59.84</v>
      </c>
      <c r="C16" s="28">
        <v>0.113</v>
      </c>
      <c r="D16" s="22">
        <f>B16*C16</f>
        <v>6.7619200000000008</v>
      </c>
      <c r="E16" s="73">
        <f t="shared" si="3"/>
        <v>59.84</v>
      </c>
      <c r="F16" s="28">
        <f t="shared" si="3"/>
        <v>0.113</v>
      </c>
      <c r="G16" s="22">
        <f>E16*F16</f>
        <v>6.7619200000000008</v>
      </c>
      <c r="H16" s="22">
        <f t="shared" si="2"/>
        <v>0</v>
      </c>
      <c r="I16" s="23">
        <f t="shared" si="0"/>
        <v>0</v>
      </c>
      <c r="J16" s="23"/>
      <c r="K16" s="108">
        <f t="shared" si="4"/>
        <v>5.7621548532233682E-2</v>
      </c>
    </row>
    <row r="17" spans="1:11" s="1" customFormat="1" x14ac:dyDescent="0.2">
      <c r="A17" s="109" t="s">
        <v>36</v>
      </c>
      <c r="B17" s="75">
        <f>B4*0.18</f>
        <v>63.36</v>
      </c>
      <c r="C17" s="28">
        <v>0.157</v>
      </c>
      <c r="D17" s="22">
        <f>B17*C17</f>
        <v>9.9475200000000008</v>
      </c>
      <c r="E17" s="73">
        <f t="shared" si="3"/>
        <v>63.36</v>
      </c>
      <c r="F17" s="28">
        <f t="shared" si="3"/>
        <v>0.157</v>
      </c>
      <c r="G17" s="22">
        <f>E17*F17</f>
        <v>9.9475200000000008</v>
      </c>
      <c r="H17" s="22">
        <f t="shared" si="2"/>
        <v>0</v>
      </c>
      <c r="I17" s="23">
        <f t="shared" si="0"/>
        <v>0</v>
      </c>
      <c r="J17" s="23"/>
      <c r="K17" s="108">
        <f t="shared" si="4"/>
        <v>8.4767566971417171E-2</v>
      </c>
    </row>
    <row r="18" spans="1:11" s="1" customFormat="1" x14ac:dyDescent="0.2">
      <c r="A18" s="61" t="s">
        <v>37</v>
      </c>
      <c r="B18" s="29"/>
      <c r="C18" s="30"/>
      <c r="D18" s="30">
        <f>SUM(D15:D17)</f>
        <v>34.327039999999997</v>
      </c>
      <c r="E18" s="77"/>
      <c r="F18" s="30"/>
      <c r="G18" s="30">
        <f>SUM(G15:G17)</f>
        <v>34.327039999999997</v>
      </c>
      <c r="H18" s="31">
        <f t="shared" si="2"/>
        <v>0</v>
      </c>
      <c r="I18" s="32">
        <f t="shared" si="0"/>
        <v>0</v>
      </c>
      <c r="J18" s="33">
        <f t="shared" ref="J18:J23" si="5">G18/$G$46</f>
        <v>0.29930247055897374</v>
      </c>
      <c r="K18" s="62">
        <f t="shared" si="4"/>
        <v>0.29251709593250536</v>
      </c>
    </row>
    <row r="19" spans="1:11" x14ac:dyDescent="0.2">
      <c r="A19" s="107" t="s">
        <v>38</v>
      </c>
      <c r="B19" s="73">
        <v>1</v>
      </c>
      <c r="C19" s="78">
        <f>VLOOKUP($B$3,'Data for Bill Impacts'!$A$3:$Y$15,7,0)</f>
        <v>50.05</v>
      </c>
      <c r="D19" s="22">
        <f>B19*C19</f>
        <v>50.05</v>
      </c>
      <c r="E19" s="73">
        <f t="shared" ref="E19:E41" si="6">B19</f>
        <v>1</v>
      </c>
      <c r="F19" s="78">
        <f>VLOOKUP($B$3,'Data for Bill Impacts'!$A$3:$Y$15,17,0)</f>
        <v>55.37</v>
      </c>
      <c r="G19" s="22">
        <f>E19*F19</f>
        <v>55.37</v>
      </c>
      <c r="H19" s="22">
        <f t="shared" si="2"/>
        <v>5.32</v>
      </c>
      <c r="I19" s="23">
        <f>IF(ISERROR(H19/ABS(D19)),"N/A",(H19/ABS(D19)))</f>
        <v>0.10629370629370631</v>
      </c>
      <c r="J19" s="23">
        <f t="shared" si="5"/>
        <v>0.48277910926343715</v>
      </c>
      <c r="K19" s="108">
        <f t="shared" si="4"/>
        <v>0.47183420422450706</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-1.7438291828189894E-5</v>
      </c>
      <c r="K22" s="108">
        <f t="shared" si="4"/>
        <v>-1.7042954821185012E-5</v>
      </c>
    </row>
    <row r="23" spans="1:11" x14ac:dyDescent="0.2">
      <c r="A23" s="107" t="s">
        <v>39</v>
      </c>
      <c r="B23" s="73">
        <f>IF($B$9="kWh",$B$4,$B$5)</f>
        <v>352</v>
      </c>
      <c r="C23" s="125">
        <f>VLOOKUP($B$3,'Data for Bill Impacts'!$A$3:$Y$15,10,0)</f>
        <v>4.3900000000000002E-2</v>
      </c>
      <c r="D23" s="22">
        <f>B23*C23</f>
        <v>15.4528</v>
      </c>
      <c r="E23" s="73">
        <f t="shared" si="6"/>
        <v>352</v>
      </c>
      <c r="F23" s="78">
        <f>VLOOKUP($B$3,'Data for Bill Impacts'!$A$3:$Y$15,19,0)</f>
        <v>3.1699999999999999E-2</v>
      </c>
      <c r="G23" s="22">
        <f>E23*F23</f>
        <v>11.1584</v>
      </c>
      <c r="H23" s="22">
        <f t="shared" si="2"/>
        <v>-4.2943999999999996</v>
      </c>
      <c r="I23" s="23">
        <f t="shared" si="10"/>
        <v>-0.27790432801822323</v>
      </c>
      <c r="J23" s="23">
        <f t="shared" si="5"/>
        <v>9.7291717767837058E-2</v>
      </c>
      <c r="K23" s="108">
        <f t="shared" si="4"/>
        <v>9.508605353835542E-2</v>
      </c>
    </row>
    <row r="24" spans="1:11" x14ac:dyDescent="0.2">
      <c r="A24" s="107" t="s">
        <v>199</v>
      </c>
      <c r="B24" s="73">
        <f>IF($B$9="kWh",$B$4,$B$5)</f>
        <v>352</v>
      </c>
      <c r="C24" s="125">
        <f>VLOOKUP($B$3,'Data for Bill Impacts'!$A$3:$Y$15,14,0)</f>
        <v>1.0000000000000003E-5</v>
      </c>
      <c r="D24" s="22">
        <f>B24*C24</f>
        <v>3.520000000000001E-3</v>
      </c>
      <c r="E24" s="73">
        <f t="shared" si="6"/>
        <v>352</v>
      </c>
      <c r="F24" s="125">
        <f>VLOOKUP($B$3,'Data for Bill Impacts'!$A$3:$Y$15,23,0)</f>
        <v>1.0000000000000003E-5</v>
      </c>
      <c r="G24" s="22">
        <f>E24*F24</f>
        <v>3.520000000000001E-3</v>
      </c>
      <c r="H24" s="22">
        <f t="shared" si="2"/>
        <v>0</v>
      </c>
      <c r="I24" s="23">
        <f t="shared" si="10"/>
        <v>0</v>
      </c>
      <c r="J24" s="23">
        <f t="shared" ref="J24" si="11">G24/$G$46</f>
        <v>3.0691393617614219E-5</v>
      </c>
      <c r="K24" s="108">
        <f t="shared" si="4"/>
        <v>2.9995600485285631E-5</v>
      </c>
    </row>
    <row r="25" spans="1:11" s="1" customFormat="1" x14ac:dyDescent="0.2">
      <c r="A25" s="110" t="s">
        <v>72</v>
      </c>
      <c r="B25" s="74"/>
      <c r="C25" s="35"/>
      <c r="D25" s="35">
        <f>SUM(D19:D24)</f>
        <v>65.504319999999993</v>
      </c>
      <c r="E25" s="73"/>
      <c r="F25" s="35"/>
      <c r="G25" s="35">
        <f>SUM(G19:G24)</f>
        <v>66.52991999999999</v>
      </c>
      <c r="H25" s="35">
        <f t="shared" si="2"/>
        <v>1.0255999999999972</v>
      </c>
      <c r="I25" s="36">
        <f t="shared" si="10"/>
        <v>1.5656982623436091E-2</v>
      </c>
      <c r="J25" s="36">
        <f>G25/$G$46</f>
        <v>0.58008408013306356</v>
      </c>
      <c r="K25" s="111">
        <f t="shared" si="4"/>
        <v>0.56693321040852651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6.8881252721350083E-3</v>
      </c>
      <c r="K26" s="108">
        <f t="shared" si="4"/>
        <v>6.7319671543680801E-3</v>
      </c>
    </row>
    <row r="27" spans="1:11" s="1" customFormat="1" x14ac:dyDescent="0.2">
      <c r="A27" s="119" t="s">
        <v>75</v>
      </c>
      <c r="B27" s="120">
        <f>B8-B4</f>
        <v>36.608000000000061</v>
      </c>
      <c r="C27" s="257">
        <f>IF(B4&gt;B7,C13,C12)</f>
        <v>9.0999999999999998E-2</v>
      </c>
      <c r="D27" s="22">
        <f>B27*C27</f>
        <v>3.3313280000000054</v>
      </c>
      <c r="E27" s="73">
        <f>B27</f>
        <v>36.608000000000061</v>
      </c>
      <c r="F27" s="257">
        <f>C27</f>
        <v>9.0999999999999998E-2</v>
      </c>
      <c r="G27" s="22">
        <f>E27*F27</f>
        <v>3.3313280000000054</v>
      </c>
      <c r="H27" s="22">
        <f t="shared" si="2"/>
        <v>0</v>
      </c>
      <c r="I27" s="23">
        <f t="shared" si="10"/>
        <v>0</v>
      </c>
      <c r="J27" s="23">
        <f t="shared" ref="J27:J46" si="12">G27/$G$46</f>
        <v>2.9046334919710138E-2</v>
      </c>
      <c r="K27" s="108">
        <f t="shared" ref="K27:K41" si="13">G27/$G$51</f>
        <v>2.8387836299274358E-2</v>
      </c>
    </row>
    <row r="28" spans="1:11" s="1" customFormat="1" x14ac:dyDescent="0.2">
      <c r="A28" s="119" t="s">
        <v>74</v>
      </c>
      <c r="B28" s="120">
        <f>B8-B4</f>
        <v>36.608000000000061</v>
      </c>
      <c r="C28" s="257">
        <f>0.65*C15+0.17*C16+0.18*C17</f>
        <v>9.7519999999999996E-2</v>
      </c>
      <c r="D28" s="22">
        <f>B28*C28</f>
        <v>3.5700121600000059</v>
      </c>
      <c r="E28" s="73">
        <f>B28</f>
        <v>36.608000000000061</v>
      </c>
      <c r="F28" s="257">
        <f>C28</f>
        <v>9.7519999999999996E-2</v>
      </c>
      <c r="G28" s="22">
        <f>E28*F28</f>
        <v>3.5700121600000059</v>
      </c>
      <c r="H28" s="22">
        <f t="shared" si="2"/>
        <v>0</v>
      </c>
      <c r="I28" s="23">
        <f t="shared" si="10"/>
        <v>0</v>
      </c>
      <c r="J28" s="23">
        <f t="shared" si="12"/>
        <v>3.1127456938133326E-2</v>
      </c>
      <c r="K28" s="108">
        <f t="shared" si="13"/>
        <v>3.0421777976980608E-2</v>
      </c>
    </row>
    <row r="29" spans="1:11" s="1" customFormat="1" x14ac:dyDescent="0.2">
      <c r="A29" s="110" t="s">
        <v>78</v>
      </c>
      <c r="B29" s="74"/>
      <c r="C29" s="35"/>
      <c r="D29" s="35">
        <f>SUM(D25,D26:D27)</f>
        <v>69.625647999999998</v>
      </c>
      <c r="E29" s="73"/>
      <c r="F29" s="35"/>
      <c r="G29" s="35">
        <f>SUM(G25,G26:G27)</f>
        <v>70.651247999999995</v>
      </c>
      <c r="H29" s="35">
        <f t="shared" si="2"/>
        <v>1.0255999999999972</v>
      </c>
      <c r="I29" s="36">
        <f t="shared" si="10"/>
        <v>1.4730204019070634E-2</v>
      </c>
      <c r="J29" s="36">
        <f t="shared" si="12"/>
        <v>0.61601854032490866</v>
      </c>
      <c r="K29" s="111">
        <f t="shared" si="13"/>
        <v>0.60205301386216892</v>
      </c>
    </row>
    <row r="30" spans="1:11" s="1" customFormat="1" x14ac:dyDescent="0.2">
      <c r="A30" s="110" t="s">
        <v>77</v>
      </c>
      <c r="B30" s="74"/>
      <c r="C30" s="35"/>
      <c r="D30" s="35">
        <f>SUM(D25,D26,D28)</f>
        <v>69.864332160000004</v>
      </c>
      <c r="E30" s="73"/>
      <c r="F30" s="35"/>
      <c r="G30" s="35">
        <f>SUM(G25,G26,G28)</f>
        <v>70.889932160000001</v>
      </c>
      <c r="H30" s="35">
        <f t="shared" si="2"/>
        <v>1.0255999999999972</v>
      </c>
      <c r="I30" s="36">
        <f t="shared" si="10"/>
        <v>1.4679879822671408E-2</v>
      </c>
      <c r="J30" s="36">
        <f t="shared" si="12"/>
        <v>0.61809966234333191</v>
      </c>
      <c r="K30" s="111">
        <f t="shared" si="13"/>
        <v>0.60408695553987524</v>
      </c>
    </row>
    <row r="31" spans="1:11" x14ac:dyDescent="0.2">
      <c r="A31" s="107" t="s">
        <v>40</v>
      </c>
      <c r="B31" s="73">
        <f>B8</f>
        <v>388.60800000000006</v>
      </c>
      <c r="C31" s="125">
        <f>VLOOKUP($B$3,'Data for Bill Impacts'!$A$3:$Y$15,15,0)</f>
        <v>5.6559999999999996E-3</v>
      </c>
      <c r="D31" s="22">
        <f>B31*C31</f>
        <v>2.1979668480000001</v>
      </c>
      <c r="E31" s="73">
        <f t="shared" si="6"/>
        <v>388.60800000000006</v>
      </c>
      <c r="F31" s="78">
        <f>VLOOKUP($B$3,'Data for Bill Impacts'!$A$3:$Y$15,24,0)</f>
        <v>5.7999999999999996E-3</v>
      </c>
      <c r="G31" s="22">
        <f>E31*F31</f>
        <v>2.2539264000000001</v>
      </c>
      <c r="H31" s="22">
        <f t="shared" si="2"/>
        <v>5.5959552000000023E-2</v>
      </c>
      <c r="I31" s="23">
        <f t="shared" si="10"/>
        <v>2.5459688826025468E-2</v>
      </c>
      <c r="J31" s="23">
        <f t="shared" si="12"/>
        <v>1.9652313161230731E-2</v>
      </c>
      <c r="K31" s="108">
        <f t="shared" si="13"/>
        <v>1.9206782902738091E-2</v>
      </c>
    </row>
    <row r="32" spans="1:11" x14ac:dyDescent="0.2">
      <c r="A32" s="107" t="s">
        <v>41</v>
      </c>
      <c r="B32" s="73">
        <f>B8</f>
        <v>388.60800000000006</v>
      </c>
      <c r="C32" s="125">
        <f>VLOOKUP($B$3,'Data for Bill Impacts'!$A$3:$Y$15,16,0)</f>
        <v>4.8209999999999998E-3</v>
      </c>
      <c r="D32" s="22">
        <f>B32*C32</f>
        <v>1.8734791680000003</v>
      </c>
      <c r="E32" s="73">
        <f t="shared" si="6"/>
        <v>388.60800000000006</v>
      </c>
      <c r="F32" s="78">
        <f>VLOOKUP($B$3,'Data for Bill Impacts'!$A$3:$Y$15,25,0)</f>
        <v>4.7000000000000002E-3</v>
      </c>
      <c r="G32" s="22">
        <f>E32*F32</f>
        <v>1.8264576000000003</v>
      </c>
      <c r="H32" s="22">
        <f t="shared" si="2"/>
        <v>-4.7021567999999903E-2</v>
      </c>
      <c r="I32" s="23">
        <f t="shared" si="10"/>
        <v>-2.5098527276498597E-2</v>
      </c>
      <c r="J32" s="23">
        <f t="shared" si="12"/>
        <v>1.5925150320307665E-2</v>
      </c>
      <c r="K32" s="108">
        <f t="shared" si="13"/>
        <v>1.5564117179805007E-2</v>
      </c>
    </row>
    <row r="33" spans="1:11" s="1" customFormat="1" x14ac:dyDescent="0.2">
      <c r="A33" s="110" t="s">
        <v>76</v>
      </c>
      <c r="B33" s="74"/>
      <c r="C33" s="35"/>
      <c r="D33" s="35">
        <f>SUM(D31:D32)</f>
        <v>4.0714460160000003</v>
      </c>
      <c r="E33" s="73"/>
      <c r="F33" s="35"/>
      <c r="G33" s="35">
        <f>SUM(G31:G32)</f>
        <v>4.0803840000000005</v>
      </c>
      <c r="H33" s="35">
        <f t="shared" si="2"/>
        <v>8.9379840000001209E-3</v>
      </c>
      <c r="I33" s="36">
        <f t="shared" si="10"/>
        <v>2.1952849098024539E-3</v>
      </c>
      <c r="J33" s="36">
        <f t="shared" si="12"/>
        <v>3.5577463481538396E-2</v>
      </c>
      <c r="K33" s="111">
        <f t="shared" si="13"/>
        <v>3.4770900082543098E-2</v>
      </c>
    </row>
    <row r="34" spans="1:11" s="1" customFormat="1" x14ac:dyDescent="0.2">
      <c r="A34" s="110" t="s">
        <v>95</v>
      </c>
      <c r="B34" s="74"/>
      <c r="C34" s="35"/>
      <c r="D34" s="35">
        <f>D29+D33</f>
        <v>73.697094015999994</v>
      </c>
      <c r="E34" s="73"/>
      <c r="F34" s="35"/>
      <c r="G34" s="35">
        <f>G29+G33</f>
        <v>74.731631999999991</v>
      </c>
      <c r="H34" s="35">
        <f t="shared" si="2"/>
        <v>1.0345379839999964</v>
      </c>
      <c r="I34" s="36">
        <f t="shared" si="10"/>
        <v>1.4037703898818497E-2</v>
      </c>
      <c r="J34" s="36">
        <f t="shared" si="12"/>
        <v>0.65159600380644711</v>
      </c>
      <c r="K34" s="111">
        <f t="shared" si="13"/>
        <v>0.63682391394471194</v>
      </c>
    </row>
    <row r="35" spans="1:11" s="1" customFormat="1" x14ac:dyDescent="0.2">
      <c r="A35" s="110" t="s">
        <v>96</v>
      </c>
      <c r="B35" s="74"/>
      <c r="C35" s="35"/>
      <c r="D35" s="35">
        <f>D30+D33</f>
        <v>73.935778175999999</v>
      </c>
      <c r="E35" s="73"/>
      <c r="F35" s="35"/>
      <c r="G35" s="35">
        <f>G30+G33</f>
        <v>74.970316159999996</v>
      </c>
      <c r="H35" s="35">
        <f t="shared" si="2"/>
        <v>1.0345379839999964</v>
      </c>
      <c r="I35" s="36">
        <f t="shared" si="10"/>
        <v>1.3992386494361856E-2</v>
      </c>
      <c r="J35" s="36">
        <f t="shared" si="12"/>
        <v>0.65367712582487025</v>
      </c>
      <c r="K35" s="111">
        <f t="shared" si="13"/>
        <v>0.63885785562241826</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2"/>
        <v>0</v>
      </c>
      <c r="I36" s="23">
        <f t="shared" si="10"/>
        <v>0</v>
      </c>
      <c r="J36" s="23">
        <f t="shared" si="12"/>
        <v>1.2197987479384593E-2</v>
      </c>
      <c r="K36" s="108">
        <f t="shared" si="13"/>
        <v>1.1921451456871918E-2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10"/>
        <v>0</v>
      </c>
      <c r="J37" s="23">
        <f t="shared" si="12"/>
        <v>7.1154926963076792E-3</v>
      </c>
      <c r="K37" s="108">
        <f t="shared" si="13"/>
        <v>6.954180016508619E-3</v>
      </c>
    </row>
    <row r="38" spans="1:11" x14ac:dyDescent="0.2">
      <c r="A38" s="107" t="s">
        <v>100</v>
      </c>
      <c r="B38" s="73">
        <f>B8</f>
        <v>388.60800000000006</v>
      </c>
      <c r="C38" s="34">
        <v>0</v>
      </c>
      <c r="D38" s="22">
        <f>B38*C38</f>
        <v>0</v>
      </c>
      <c r="E38" s="73">
        <f t="shared" si="6"/>
        <v>388.60800000000006</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2.1797864785237367E-3</v>
      </c>
      <c r="K39" s="108">
        <f t="shared" si="13"/>
        <v>2.1303693526481264E-3</v>
      </c>
    </row>
    <row r="40" spans="1:11" s="1" customFormat="1" x14ac:dyDescent="0.2">
      <c r="A40" s="110" t="s">
        <v>45</v>
      </c>
      <c r="B40" s="74"/>
      <c r="C40" s="35"/>
      <c r="D40" s="35">
        <f>SUM(D36:D39)</f>
        <v>2.4650656</v>
      </c>
      <c r="E40" s="73"/>
      <c r="F40" s="35"/>
      <c r="G40" s="35">
        <f>SUM(G36:G39)</f>
        <v>2.4650656</v>
      </c>
      <c r="H40" s="35">
        <f t="shared" si="2"/>
        <v>0</v>
      </c>
      <c r="I40" s="36">
        <f t="shared" si="10"/>
        <v>0</v>
      </c>
      <c r="J40" s="36">
        <f t="shared" si="12"/>
        <v>2.1493266654216008E-2</v>
      </c>
      <c r="K40" s="111">
        <f t="shared" si="13"/>
        <v>2.1006000826028663E-2</v>
      </c>
    </row>
    <row r="41" spans="1:11" s="1" customFormat="1" ht="13.5" thickBot="1" x14ac:dyDescent="0.25">
      <c r="A41" s="112" t="s">
        <v>46</v>
      </c>
      <c r="B41" s="113">
        <f>B4</f>
        <v>352</v>
      </c>
      <c r="C41" s="114">
        <v>0</v>
      </c>
      <c r="D41" s="115">
        <f>B41*C41</f>
        <v>0</v>
      </c>
      <c r="E41" s="116">
        <f t="shared" si="6"/>
        <v>352</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108.19415961599999</v>
      </c>
      <c r="E42" s="38"/>
      <c r="F42" s="39"/>
      <c r="G42" s="39">
        <f>SUM(G14,G25,G26,G27,G33,G40,G41)</f>
        <v>109.22869759999999</v>
      </c>
      <c r="H42" s="39">
        <f t="shared" si="2"/>
        <v>1.0345379839999964</v>
      </c>
      <c r="I42" s="40">
        <f t="shared" si="10"/>
        <v>9.5618653323964325E-3</v>
      </c>
      <c r="J42" s="40">
        <f t="shared" si="12"/>
        <v>0.95238095238095244</v>
      </c>
      <c r="K42" s="41"/>
    </row>
    <row r="43" spans="1:11" x14ac:dyDescent="0.2">
      <c r="A43" s="149" t="s">
        <v>138</v>
      </c>
      <c r="B43" s="43"/>
      <c r="C43" s="26">
        <v>0.13</v>
      </c>
      <c r="D43" s="26">
        <f>D42*C43</f>
        <v>14.065240750079999</v>
      </c>
      <c r="E43" s="26"/>
      <c r="F43" s="26">
        <f>C43</f>
        <v>0.13</v>
      </c>
      <c r="G43" s="26">
        <f>G42*F43</f>
        <v>14.199730687999999</v>
      </c>
      <c r="H43" s="26">
        <f t="shared" si="2"/>
        <v>0.13448993791999975</v>
      </c>
      <c r="I43" s="44">
        <f t="shared" si="10"/>
        <v>9.5618653323964464E-3</v>
      </c>
      <c r="J43" s="44">
        <f t="shared" si="12"/>
        <v>0.12380952380952381</v>
      </c>
      <c r="K43" s="45"/>
    </row>
    <row r="44" spans="1:11" s="1" customFormat="1" x14ac:dyDescent="0.2">
      <c r="A44" s="46" t="s">
        <v>139</v>
      </c>
      <c r="B44" s="24"/>
      <c r="C44" s="25"/>
      <c r="D44" s="25">
        <f>SUM(D42:D43)</f>
        <v>122.25940036607999</v>
      </c>
      <c r="E44" s="25"/>
      <c r="F44" s="25"/>
      <c r="G44" s="25">
        <f>SUM(G42:G43)</f>
        <v>123.42842828799999</v>
      </c>
      <c r="H44" s="25">
        <f t="shared" si="2"/>
        <v>1.169027921920005</v>
      </c>
      <c r="I44" s="27">
        <f t="shared" si="10"/>
        <v>9.5618653323965071E-3</v>
      </c>
      <c r="J44" s="27">
        <f t="shared" si="12"/>
        <v>1.0761904761904761</v>
      </c>
      <c r="K44" s="47"/>
    </row>
    <row r="45" spans="1:11" x14ac:dyDescent="0.2">
      <c r="A45" s="42" t="s">
        <v>140</v>
      </c>
      <c r="B45" s="43"/>
      <c r="C45" s="26">
        <v>-0.08</v>
      </c>
      <c r="D45" s="26">
        <f>D42*C45</f>
        <v>-8.6555327692799988</v>
      </c>
      <c r="E45" s="26"/>
      <c r="F45" s="26">
        <f>C45</f>
        <v>-0.08</v>
      </c>
      <c r="G45" s="26">
        <f>G42*F45</f>
        <v>-8.7382958080000002</v>
      </c>
      <c r="H45" s="26">
        <f t="shared" si="2"/>
        <v>-8.2763038720001347E-2</v>
      </c>
      <c r="I45" s="44">
        <f t="shared" si="10"/>
        <v>-9.5618653323966216E-3</v>
      </c>
      <c r="J45" s="44">
        <f t="shared" si="12"/>
        <v>-7.6190476190476197E-2</v>
      </c>
      <c r="K45" s="45"/>
    </row>
    <row r="46" spans="1:11" s="1" customFormat="1" ht="13.5" thickBot="1" x14ac:dyDescent="0.25">
      <c r="A46" s="48" t="s">
        <v>141</v>
      </c>
      <c r="B46" s="49"/>
      <c r="C46" s="50"/>
      <c r="D46" s="50">
        <f>SUM(D44:D45)</f>
        <v>113.60386759679999</v>
      </c>
      <c r="E46" s="50"/>
      <c r="F46" s="50"/>
      <c r="G46" s="50">
        <f>SUM(G44:G45)</f>
        <v>114.69013247999999</v>
      </c>
      <c r="H46" s="50">
        <f t="shared" si="2"/>
        <v>1.0862648832000019</v>
      </c>
      <c r="I46" s="51">
        <f t="shared" si="10"/>
        <v>9.5618653323964829E-3</v>
      </c>
      <c r="J46" s="51">
        <f t="shared" si="12"/>
        <v>1</v>
      </c>
      <c r="K46" s="52"/>
    </row>
    <row r="47" spans="1:11" x14ac:dyDescent="0.2">
      <c r="A47" s="53" t="s">
        <v>142</v>
      </c>
      <c r="B47" s="54"/>
      <c r="C47" s="55"/>
      <c r="D47" s="55">
        <f>SUM(D18,D25,D26,D28,D33,D40,D41)</f>
        <v>110.727883776</v>
      </c>
      <c r="E47" s="55"/>
      <c r="F47" s="55"/>
      <c r="G47" s="55">
        <f>SUM(G18,G25,G26,G28,G33,G40,G41)</f>
        <v>111.76242176</v>
      </c>
      <c r="H47" s="55">
        <f>G47-D47</f>
        <v>1.0345379839999964</v>
      </c>
      <c r="I47" s="56">
        <f t="shared" si="10"/>
        <v>9.3430665223661578E-3</v>
      </c>
      <c r="J47" s="56"/>
      <c r="K47" s="57">
        <f>G47/$G$51</f>
        <v>0.95238095238095233</v>
      </c>
    </row>
    <row r="48" spans="1:11" x14ac:dyDescent="0.2">
      <c r="A48" s="150" t="s">
        <v>138</v>
      </c>
      <c r="B48" s="59"/>
      <c r="C48" s="31">
        <v>0.13</v>
      </c>
      <c r="D48" s="31">
        <f>D47*C48</f>
        <v>14.394624890880001</v>
      </c>
      <c r="E48" s="31"/>
      <c r="F48" s="31">
        <f>C48</f>
        <v>0.13</v>
      </c>
      <c r="G48" s="31">
        <f>G47*F48</f>
        <v>14.529114828799999</v>
      </c>
      <c r="H48" s="31">
        <f>G48-D48</f>
        <v>0.13448993791999797</v>
      </c>
      <c r="I48" s="32">
        <f t="shared" si="10"/>
        <v>9.3430665223660486E-3</v>
      </c>
      <c r="J48" s="32"/>
      <c r="K48" s="60">
        <f>G48/$G$51</f>
        <v>0.1238095238095238</v>
      </c>
    </row>
    <row r="49" spans="1:11" x14ac:dyDescent="0.2">
      <c r="A49" s="61" t="s">
        <v>143</v>
      </c>
      <c r="B49" s="29"/>
      <c r="C49" s="30"/>
      <c r="D49" s="30">
        <f>SUM(D47:D48)</f>
        <v>125.12250866687999</v>
      </c>
      <c r="E49" s="30"/>
      <c r="F49" s="30"/>
      <c r="G49" s="30">
        <f>SUM(G47:G48)</f>
        <v>126.2915365888</v>
      </c>
      <c r="H49" s="30">
        <f>G49-D49</f>
        <v>1.169027921920005</v>
      </c>
      <c r="I49" s="33">
        <f t="shared" si="10"/>
        <v>9.3430665223662307E-3</v>
      </c>
      <c r="J49" s="33"/>
      <c r="K49" s="62">
        <f>G49/$G$51</f>
        <v>1.0761904761904761</v>
      </c>
    </row>
    <row r="50" spans="1:11" x14ac:dyDescent="0.2">
      <c r="A50" s="58" t="s">
        <v>140</v>
      </c>
      <c r="B50" s="59"/>
      <c r="C50" s="31">
        <v>-0.08</v>
      </c>
      <c r="D50" s="31">
        <f>D47*C50</f>
        <v>-8.8582307020800002</v>
      </c>
      <c r="E50" s="31"/>
      <c r="F50" s="31">
        <f>C50</f>
        <v>-0.08</v>
      </c>
      <c r="G50" s="31">
        <f>G47*F50</f>
        <v>-8.9409937407999998</v>
      </c>
      <c r="H50" s="31">
        <f>G50-D50</f>
        <v>-8.2763038719999571E-2</v>
      </c>
      <c r="I50" s="32">
        <f t="shared" si="10"/>
        <v>-9.3430665223661422E-3</v>
      </c>
      <c r="J50" s="32"/>
      <c r="K50" s="60">
        <f>G50/$G$51</f>
        <v>-7.6190476190476183E-2</v>
      </c>
    </row>
    <row r="51" spans="1:11" ht="13.5" thickBot="1" x14ac:dyDescent="0.25">
      <c r="A51" s="63" t="s">
        <v>144</v>
      </c>
      <c r="B51" s="64"/>
      <c r="C51" s="65"/>
      <c r="D51" s="65">
        <f>SUM(D49:D50)</f>
        <v>116.26427796479999</v>
      </c>
      <c r="E51" s="65"/>
      <c r="F51" s="65"/>
      <c r="G51" s="65">
        <f>SUM(G49:G50)</f>
        <v>117.350542848</v>
      </c>
      <c r="H51" s="65">
        <f>G51-D51</f>
        <v>1.0862648832000161</v>
      </c>
      <c r="I51" s="66">
        <f t="shared" si="10"/>
        <v>9.3430665223663296E-3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1" tint="0.499984740745262"/>
    <pageSetUpPr fitToPage="1"/>
  </sheetPr>
  <dimension ref="A1:K68"/>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81">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0.24296022741077283</v>
      </c>
      <c r="K12" s="106"/>
    </row>
    <row r="13" spans="1:11" x14ac:dyDescent="0.2">
      <c r="A13" s="107" t="s">
        <v>32</v>
      </c>
      <c r="B13" s="73">
        <f>IF(B4&gt;B7,(B4)-B7,0)</f>
        <v>400</v>
      </c>
      <c r="C13" s="21">
        <v>0.106</v>
      </c>
      <c r="D13" s="22">
        <f>B13*C13</f>
        <v>42.4</v>
      </c>
      <c r="E13" s="73">
        <f t="shared" ref="E13" si="1">B13</f>
        <v>400</v>
      </c>
      <c r="F13" s="21">
        <f>C13</f>
        <v>0.106</v>
      </c>
      <c r="G13" s="22">
        <f>E13*F13</f>
        <v>42.4</v>
      </c>
      <c r="H13" s="22">
        <f t="shared" ref="H13:H46" si="2">G13-D13</f>
        <v>0</v>
      </c>
      <c r="I13" s="23">
        <f t="shared" si="0"/>
        <v>0</v>
      </c>
      <c r="J13" s="23">
        <f>G13/$G$46</f>
        <v>0.18867241102961113</v>
      </c>
      <c r="K13" s="108"/>
    </row>
    <row r="14" spans="1:11" s="1" customFormat="1" x14ac:dyDescent="0.2">
      <c r="A14" s="46" t="s">
        <v>33</v>
      </c>
      <c r="B14" s="24"/>
      <c r="C14" s="25"/>
      <c r="D14" s="25">
        <f>SUM(D12:D13)</f>
        <v>97</v>
      </c>
      <c r="E14" s="76"/>
      <c r="F14" s="25"/>
      <c r="G14" s="25">
        <f>SUM(G12:G13)</f>
        <v>97</v>
      </c>
      <c r="H14" s="25">
        <f t="shared" si="2"/>
        <v>0</v>
      </c>
      <c r="I14" s="27">
        <f t="shared" si="0"/>
        <v>0</v>
      </c>
      <c r="J14" s="27">
        <f>G14/$G$46</f>
        <v>0.43163263844038396</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0.2230907890275026</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8.5625855289077429E-2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0.12596494900933516</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0.43394654536810562</v>
      </c>
      <c r="K18" s="62">
        <f t="shared" si="4"/>
        <v>0.43468159332591516</v>
      </c>
    </row>
    <row r="19" spans="1:11" x14ac:dyDescent="0.2">
      <c r="A19" s="107" t="s">
        <v>38</v>
      </c>
      <c r="B19" s="73">
        <v>1</v>
      </c>
      <c r="C19" s="78">
        <f>VLOOKUP($B$3,'Data for Bill Impacts'!$A$3:$Y$15,7,0)</f>
        <v>50.05</v>
      </c>
      <c r="D19" s="22">
        <f>B19*C19</f>
        <v>50.05</v>
      </c>
      <c r="E19" s="73">
        <f t="shared" ref="E19:E41" si="6">B19</f>
        <v>1</v>
      </c>
      <c r="F19" s="78">
        <f>VLOOKUP($B$3,'Data for Bill Impacts'!$A$3:$Y$15,17,0)</f>
        <v>55.37</v>
      </c>
      <c r="G19" s="22">
        <f>E19*F19</f>
        <v>55.37</v>
      </c>
      <c r="H19" s="22">
        <f t="shared" si="2"/>
        <v>5.32</v>
      </c>
      <c r="I19" s="23">
        <f>IF(ISERROR(H19/ABS(D19)),"N/A",(H19/ABS(D19)))</f>
        <v>0.10629370629370631</v>
      </c>
      <c r="J19" s="23">
        <f t="shared" si="5"/>
        <v>0.2463865895922068</v>
      </c>
      <c r="K19" s="108">
        <f t="shared" si="4"/>
        <v>0.24680393583322316</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-8.8996420296986389E-6</v>
      </c>
      <c r="K22" s="108">
        <f t="shared" si="4"/>
        <v>-8.9147168442558498E-6</v>
      </c>
    </row>
    <row r="23" spans="1:11" x14ac:dyDescent="0.2">
      <c r="A23" s="107" t="s">
        <v>39</v>
      </c>
      <c r="B23" s="73">
        <f>IF($B$9="kWh",$B$4,$B$5)</f>
        <v>1000</v>
      </c>
      <c r="C23" s="125">
        <f>VLOOKUP($B$3,'Data for Bill Impacts'!$A$3:$Y$15,10,0)</f>
        <v>4.3900000000000002E-2</v>
      </c>
      <c r="D23" s="22">
        <f>B23*C23</f>
        <v>43.9</v>
      </c>
      <c r="E23" s="73">
        <f t="shared" si="6"/>
        <v>1000</v>
      </c>
      <c r="F23" s="78">
        <f>VLOOKUP($B$3,'Data for Bill Impacts'!$A$3:$Y$15,19,0)</f>
        <v>3.1699999999999999E-2</v>
      </c>
      <c r="G23" s="22">
        <f>E23*F23</f>
        <v>31.7</v>
      </c>
      <c r="H23" s="22">
        <f t="shared" si="2"/>
        <v>-12.2</v>
      </c>
      <c r="I23" s="23">
        <f t="shared" si="10"/>
        <v>-0.27790432801822323</v>
      </c>
      <c r="J23" s="23">
        <f t="shared" si="5"/>
        <v>0.14105932617072342</v>
      </c>
      <c r="K23" s="108">
        <f t="shared" si="4"/>
        <v>0.1412982619814552</v>
      </c>
    </row>
    <row r="24" spans="1:11" x14ac:dyDescent="0.2">
      <c r="A24" s="107" t="s">
        <v>199</v>
      </c>
      <c r="B24" s="73">
        <f>IF($B$9="kWh",$B$4,$B$5)</f>
        <v>1000</v>
      </c>
      <c r="C24" s="125">
        <f>VLOOKUP($B$3,'Data for Bill Impacts'!$A$3:$Y$15,14,0)</f>
        <v>1.0000000000000003E-5</v>
      </c>
      <c r="D24" s="22">
        <f>B24*C24</f>
        <v>1.0000000000000002E-2</v>
      </c>
      <c r="E24" s="73">
        <f t="shared" si="6"/>
        <v>1000</v>
      </c>
      <c r="F24" s="125">
        <f>VLOOKUP($B$3,'Data for Bill Impacts'!$A$3:$Y$15,23,0)</f>
        <v>1.0000000000000003E-5</v>
      </c>
      <c r="G24" s="22">
        <f>E24*F24</f>
        <v>1.0000000000000002E-2</v>
      </c>
      <c r="H24" s="22">
        <f t="shared" si="2"/>
        <v>0</v>
      </c>
      <c r="I24" s="23">
        <f t="shared" si="10"/>
        <v>0</v>
      </c>
      <c r="J24" s="23">
        <f t="shared" ref="J24" si="11">G24/$G$46</f>
        <v>4.4498210148493198E-5</v>
      </c>
      <c r="K24" s="108">
        <f t="shared" si="4"/>
        <v>4.4573584221279252E-5</v>
      </c>
    </row>
    <row r="25" spans="1:11" s="1" customFormat="1" x14ac:dyDescent="0.2">
      <c r="A25" s="110" t="s">
        <v>72</v>
      </c>
      <c r="B25" s="74"/>
      <c r="C25" s="35"/>
      <c r="D25" s="35">
        <f>SUM(D19:D24)</f>
        <v>93.957999999999998</v>
      </c>
      <c r="E25" s="73"/>
      <c r="F25" s="35"/>
      <c r="G25" s="35">
        <f>SUM(G19:G24)</f>
        <v>87.078000000000003</v>
      </c>
      <c r="H25" s="35">
        <f t="shared" si="2"/>
        <v>-6.8799999999999955</v>
      </c>
      <c r="I25" s="36">
        <f t="shared" si="10"/>
        <v>-7.3224206560377994E-2</v>
      </c>
      <c r="J25" s="36">
        <f>G25/$G$46</f>
        <v>0.38748151433104905</v>
      </c>
      <c r="K25" s="111">
        <f t="shared" si="4"/>
        <v>0.38813785668205542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3.5153586017309625E-3</v>
      </c>
      <c r="K26" s="108">
        <f t="shared" si="4"/>
        <v>3.5213131534810606E-3</v>
      </c>
    </row>
    <row r="27" spans="1:11" s="1" customFormat="1" x14ac:dyDescent="0.2">
      <c r="A27" s="119" t="s">
        <v>75</v>
      </c>
      <c r="B27" s="120">
        <f>B8-B4</f>
        <v>104</v>
      </c>
      <c r="C27" s="257">
        <f>IF(B4&gt;B7,C13,C12)</f>
        <v>0.106</v>
      </c>
      <c r="D27" s="22">
        <f>B27*C27</f>
        <v>11.023999999999999</v>
      </c>
      <c r="E27" s="73">
        <f>B27</f>
        <v>104</v>
      </c>
      <c r="F27" s="257">
        <f>C27</f>
        <v>0.106</v>
      </c>
      <c r="G27" s="22">
        <f>E27*F27</f>
        <v>11.023999999999999</v>
      </c>
      <c r="H27" s="22">
        <f t="shared" si="2"/>
        <v>0</v>
      </c>
      <c r="I27" s="23">
        <f t="shared" si="10"/>
        <v>0</v>
      </c>
      <c r="J27" s="23">
        <f t="shared" ref="J27:J46" si="12">G27/$G$46</f>
        <v>4.9054826867698895E-2</v>
      </c>
      <c r="K27" s="108">
        <f t="shared" ref="K27:K41" si="13">G27/$G$51</f>
        <v>4.9137919245538238E-2</v>
      </c>
    </row>
    <row r="28" spans="1:11" s="1" customFormat="1" x14ac:dyDescent="0.2">
      <c r="A28" s="119" t="s">
        <v>74</v>
      </c>
      <c r="B28" s="120">
        <f>B8-B4</f>
        <v>104</v>
      </c>
      <c r="C28" s="257">
        <f>0.65*C15+0.17*C16+0.18*C17</f>
        <v>9.7519999999999996E-2</v>
      </c>
      <c r="D28" s="22">
        <f>B28*C28</f>
        <v>10.14208</v>
      </c>
      <c r="E28" s="73">
        <f>B28</f>
        <v>104</v>
      </c>
      <c r="F28" s="257">
        <f>C28</f>
        <v>9.7519999999999996E-2</v>
      </c>
      <c r="G28" s="22">
        <f>E28*F28</f>
        <v>10.14208</v>
      </c>
      <c r="H28" s="22">
        <f t="shared" si="2"/>
        <v>0</v>
      </c>
      <c r="I28" s="23">
        <f t="shared" si="10"/>
        <v>0</v>
      </c>
      <c r="J28" s="23">
        <f t="shared" si="12"/>
        <v>4.5130440718282983E-2</v>
      </c>
      <c r="K28" s="108">
        <f t="shared" si="13"/>
        <v>4.5206885705895178E-2</v>
      </c>
    </row>
    <row r="29" spans="1:11" s="1" customFormat="1" x14ac:dyDescent="0.2">
      <c r="A29" s="110" t="s">
        <v>78</v>
      </c>
      <c r="B29" s="74"/>
      <c r="C29" s="35"/>
      <c r="D29" s="35">
        <f>SUM(D25,D26:D27)</f>
        <v>105.77200000000001</v>
      </c>
      <c r="E29" s="73"/>
      <c r="F29" s="35"/>
      <c r="G29" s="35">
        <f>SUM(G25,G26:G27)</f>
        <v>98.89200000000001</v>
      </c>
      <c r="H29" s="35">
        <f t="shared" si="2"/>
        <v>-6.8799999999999955</v>
      </c>
      <c r="I29" s="36">
        <f t="shared" si="10"/>
        <v>-6.5045569715992846E-2</v>
      </c>
      <c r="J29" s="36">
        <f t="shared" si="12"/>
        <v>0.44005169980047892</v>
      </c>
      <c r="K29" s="111">
        <f t="shared" si="13"/>
        <v>0.44079708908107473</v>
      </c>
    </row>
    <row r="30" spans="1:11" s="1" customFormat="1" x14ac:dyDescent="0.2">
      <c r="A30" s="110" t="s">
        <v>77</v>
      </c>
      <c r="B30" s="74"/>
      <c r="C30" s="35"/>
      <c r="D30" s="35">
        <f>SUM(D25,D26,D28)</f>
        <v>104.89008000000001</v>
      </c>
      <c r="E30" s="73"/>
      <c r="F30" s="35"/>
      <c r="G30" s="35">
        <f>SUM(G25,G26,G28)</f>
        <v>98.010080000000016</v>
      </c>
      <c r="H30" s="35">
        <f t="shared" si="2"/>
        <v>-6.8799999999999955</v>
      </c>
      <c r="I30" s="36">
        <f t="shared" si="10"/>
        <v>-6.5592475475278453E-2</v>
      </c>
      <c r="J30" s="36">
        <f t="shared" si="12"/>
        <v>0.43612731365106305</v>
      </c>
      <c r="K30" s="111">
        <f t="shared" si="13"/>
        <v>0.43686605554143171</v>
      </c>
    </row>
    <row r="31" spans="1:11" x14ac:dyDescent="0.2">
      <c r="A31" s="107" t="s">
        <v>40</v>
      </c>
      <c r="B31" s="73">
        <f>B8</f>
        <v>1104</v>
      </c>
      <c r="C31" s="125">
        <f>VLOOKUP($B$3,'Data for Bill Impacts'!$A$3:$Y$15,15,0)</f>
        <v>5.6559999999999996E-3</v>
      </c>
      <c r="D31" s="22">
        <f>B31*C31</f>
        <v>6.2442239999999991</v>
      </c>
      <c r="E31" s="73">
        <f t="shared" si="6"/>
        <v>1104</v>
      </c>
      <c r="F31" s="78">
        <f>VLOOKUP($B$3,'Data for Bill Impacts'!$A$3:$Y$15,24,0)</f>
        <v>5.7999999999999996E-3</v>
      </c>
      <c r="G31" s="22">
        <f>E31*F31</f>
        <v>6.4032</v>
      </c>
      <c r="H31" s="22">
        <f t="shared" si="2"/>
        <v>0.15897600000000089</v>
      </c>
      <c r="I31" s="23">
        <f t="shared" si="10"/>
        <v>2.5459688826025607E-2</v>
      </c>
      <c r="J31" s="23">
        <f t="shared" si="12"/>
        <v>2.849309392228316E-2</v>
      </c>
      <c r="K31" s="108">
        <f t="shared" si="13"/>
        <v>2.8541357448569525E-2</v>
      </c>
    </row>
    <row r="32" spans="1:11" x14ac:dyDescent="0.2">
      <c r="A32" s="107" t="s">
        <v>41</v>
      </c>
      <c r="B32" s="73">
        <f>B8</f>
        <v>1104</v>
      </c>
      <c r="C32" s="125">
        <f>VLOOKUP($B$3,'Data for Bill Impacts'!$A$3:$Y$15,16,0)</f>
        <v>4.8209999999999998E-3</v>
      </c>
      <c r="D32" s="22">
        <f>B32*C32</f>
        <v>5.3223839999999996</v>
      </c>
      <c r="E32" s="73">
        <f t="shared" si="6"/>
        <v>1104</v>
      </c>
      <c r="F32" s="78">
        <f>VLOOKUP($B$3,'Data for Bill Impacts'!$A$3:$Y$15,25,0)</f>
        <v>4.7000000000000002E-3</v>
      </c>
      <c r="G32" s="22">
        <f>E32*F32</f>
        <v>5.1888000000000005</v>
      </c>
      <c r="H32" s="22">
        <f t="shared" si="2"/>
        <v>-0.13358399999999904</v>
      </c>
      <c r="I32" s="23">
        <f t="shared" si="10"/>
        <v>-2.5098527276498472E-2</v>
      </c>
      <c r="J32" s="23">
        <f t="shared" si="12"/>
        <v>2.3089231281850149E-2</v>
      </c>
      <c r="K32" s="108">
        <f t="shared" si="13"/>
        <v>2.3128341380737376E-2</v>
      </c>
    </row>
    <row r="33" spans="1:11" s="1" customFormat="1" x14ac:dyDescent="0.2">
      <c r="A33" s="110" t="s">
        <v>76</v>
      </c>
      <c r="B33" s="74"/>
      <c r="C33" s="35"/>
      <c r="D33" s="35">
        <f>SUM(D31:D32)</f>
        <v>11.566607999999999</v>
      </c>
      <c r="E33" s="73"/>
      <c r="F33" s="35"/>
      <c r="G33" s="35">
        <f>SUM(G31:G32)</f>
        <v>11.592000000000001</v>
      </c>
      <c r="H33" s="35">
        <f t="shared" si="2"/>
        <v>2.5392000000001858E-2</v>
      </c>
      <c r="I33" s="36">
        <f t="shared" si="10"/>
        <v>2.1952849098025853E-3</v>
      </c>
      <c r="J33" s="36">
        <f t="shared" si="12"/>
        <v>5.1582325204133313E-2</v>
      </c>
      <c r="K33" s="111">
        <f t="shared" si="13"/>
        <v>5.1669698829306901E-2</v>
      </c>
    </row>
    <row r="34" spans="1:11" s="1" customFormat="1" x14ac:dyDescent="0.2">
      <c r="A34" s="110" t="s">
        <v>95</v>
      </c>
      <c r="B34" s="74"/>
      <c r="C34" s="35"/>
      <c r="D34" s="35">
        <f>D29+D33</f>
        <v>117.33860800000001</v>
      </c>
      <c r="E34" s="73"/>
      <c r="F34" s="35"/>
      <c r="G34" s="35">
        <f>G29+G33</f>
        <v>110.48400000000001</v>
      </c>
      <c r="H34" s="35">
        <f t="shared" si="2"/>
        <v>-6.8546079999999989</v>
      </c>
      <c r="I34" s="36">
        <f t="shared" si="10"/>
        <v>-5.8417328421008698E-2</v>
      </c>
      <c r="J34" s="36">
        <f t="shared" si="12"/>
        <v>0.49163402500461223</v>
      </c>
      <c r="K34" s="111">
        <f t="shared" si="13"/>
        <v>0.49246678791038162</v>
      </c>
    </row>
    <row r="35" spans="1:11" s="1" customFormat="1" x14ac:dyDescent="0.2">
      <c r="A35" s="110" t="s">
        <v>96</v>
      </c>
      <c r="B35" s="74"/>
      <c r="C35" s="35"/>
      <c r="D35" s="35">
        <f>D30+D33</f>
        <v>116.45668800000001</v>
      </c>
      <c r="E35" s="73"/>
      <c r="F35" s="35"/>
      <c r="G35" s="35">
        <f>G30+G33</f>
        <v>109.60208000000002</v>
      </c>
      <c r="H35" s="35">
        <f t="shared" si="2"/>
        <v>-6.8546079999999989</v>
      </c>
      <c r="I35" s="36">
        <f t="shared" si="10"/>
        <v>-5.8859719589483758E-2</v>
      </c>
      <c r="J35" s="36">
        <f t="shared" si="12"/>
        <v>0.48770963885519636</v>
      </c>
      <c r="K35" s="111">
        <f t="shared" si="13"/>
        <v>0.4885357543707386</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2"/>
        <v>0</v>
      </c>
      <c r="I36" s="23">
        <f t="shared" si="10"/>
        <v>0</v>
      </c>
      <c r="J36" s="23">
        <f t="shared" si="12"/>
        <v>1.7685368641417135E-2</v>
      </c>
      <c r="K36" s="108">
        <f t="shared" si="13"/>
        <v>1.7715325312905223E-2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10"/>
        <v>0</v>
      </c>
      <c r="J37" s="23">
        <f t="shared" si="12"/>
        <v>1.0316465040826662E-2</v>
      </c>
      <c r="K37" s="108">
        <f t="shared" si="13"/>
        <v>1.033393976586138E-2</v>
      </c>
    </row>
    <row r="38" spans="1:11" x14ac:dyDescent="0.2">
      <c r="A38" s="107" t="s">
        <v>100</v>
      </c>
      <c r="B38" s="73">
        <f>B8</f>
        <v>1104</v>
      </c>
      <c r="C38" s="34">
        <v>0</v>
      </c>
      <c r="D38" s="22">
        <f>B38*C38</f>
        <v>0</v>
      </c>
      <c r="E38" s="73">
        <f t="shared" si="6"/>
        <v>1104</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1.1124552537123298E-3</v>
      </c>
      <c r="K39" s="108">
        <f t="shared" si="13"/>
        <v>1.1143396055319811E-3</v>
      </c>
    </row>
    <row r="40" spans="1:11" s="1" customFormat="1" x14ac:dyDescent="0.2">
      <c r="A40" s="110" t="s">
        <v>45</v>
      </c>
      <c r="B40" s="74"/>
      <c r="C40" s="35"/>
      <c r="D40" s="35">
        <f>SUM(D36:D39)</f>
        <v>6.5427999999999997</v>
      </c>
      <c r="E40" s="73"/>
      <c r="F40" s="35"/>
      <c r="G40" s="35">
        <f>SUM(G36:G39)</f>
        <v>6.5427999999999997</v>
      </c>
      <c r="H40" s="35">
        <f t="shared" si="2"/>
        <v>0</v>
      </c>
      <c r="I40" s="36">
        <f t="shared" si="10"/>
        <v>0</v>
      </c>
      <c r="J40" s="36">
        <f t="shared" si="12"/>
        <v>2.9114288935956124E-2</v>
      </c>
      <c r="K40" s="111">
        <f t="shared" si="13"/>
        <v>2.9163604684298582E-2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220.88140799999999</v>
      </c>
      <c r="E42" s="38"/>
      <c r="F42" s="39"/>
      <c r="G42" s="39">
        <f>SUM(G14,G25,G26,G27,G33,G40,G41)</f>
        <v>214.02680000000001</v>
      </c>
      <c r="H42" s="39">
        <f t="shared" si="2"/>
        <v>-6.8546079999999847</v>
      </c>
      <c r="I42" s="40">
        <f t="shared" si="10"/>
        <v>-3.1032978565583867E-2</v>
      </c>
      <c r="J42" s="40">
        <f t="shared" si="12"/>
        <v>0.95238095238095233</v>
      </c>
      <c r="K42" s="41"/>
    </row>
    <row r="43" spans="1:11" x14ac:dyDescent="0.2">
      <c r="A43" s="149" t="s">
        <v>138</v>
      </c>
      <c r="B43" s="43"/>
      <c r="C43" s="26">
        <v>0.13</v>
      </c>
      <c r="D43" s="26">
        <f>D42*C43</f>
        <v>28.714583040000001</v>
      </c>
      <c r="E43" s="26"/>
      <c r="F43" s="26">
        <f>C43</f>
        <v>0.13</v>
      </c>
      <c r="G43" s="26">
        <f>G42*F43</f>
        <v>27.823484000000001</v>
      </c>
      <c r="H43" s="26">
        <f t="shared" si="2"/>
        <v>-0.89109904000000029</v>
      </c>
      <c r="I43" s="44">
        <f t="shared" si="10"/>
        <v>-3.1032978565583944E-2</v>
      </c>
      <c r="J43" s="44">
        <f t="shared" si="12"/>
        <v>0.1238095238095238</v>
      </c>
      <c r="K43" s="45"/>
    </row>
    <row r="44" spans="1:11" s="1" customFormat="1" x14ac:dyDescent="0.2">
      <c r="A44" s="46" t="s">
        <v>139</v>
      </c>
      <c r="B44" s="24"/>
      <c r="C44" s="25"/>
      <c r="D44" s="25">
        <f>SUM(D42:D43)</f>
        <v>249.59599104</v>
      </c>
      <c r="E44" s="25"/>
      <c r="F44" s="25"/>
      <c r="G44" s="25">
        <f>SUM(G42:G43)</f>
        <v>241.85028400000002</v>
      </c>
      <c r="H44" s="25">
        <f t="shared" si="2"/>
        <v>-7.745707039999985</v>
      </c>
      <c r="I44" s="27">
        <f t="shared" si="10"/>
        <v>-3.1032978565583874E-2</v>
      </c>
      <c r="J44" s="27">
        <f t="shared" si="12"/>
        <v>1.0761904761904761</v>
      </c>
      <c r="K44" s="47"/>
    </row>
    <row r="45" spans="1:11" x14ac:dyDescent="0.2">
      <c r="A45" s="42" t="s">
        <v>140</v>
      </c>
      <c r="B45" s="43"/>
      <c r="C45" s="26">
        <v>-0.08</v>
      </c>
      <c r="D45" s="26">
        <f>D42*C45</f>
        <v>-17.670512639999998</v>
      </c>
      <c r="E45" s="26"/>
      <c r="F45" s="26">
        <f>C45</f>
        <v>-0.08</v>
      </c>
      <c r="G45" s="26">
        <f>G42*F45</f>
        <v>-17.122144000000002</v>
      </c>
      <c r="H45" s="26">
        <f t="shared" si="2"/>
        <v>0.54836863999999608</v>
      </c>
      <c r="I45" s="44">
        <f t="shared" si="10"/>
        <v>3.1032978565583718E-2</v>
      </c>
      <c r="J45" s="44">
        <f t="shared" si="12"/>
        <v>-7.6190476190476197E-2</v>
      </c>
      <c r="K45" s="45"/>
    </row>
    <row r="46" spans="1:11" s="1" customFormat="1" ht="13.5" thickBot="1" x14ac:dyDescent="0.25">
      <c r="A46" s="48" t="s">
        <v>141</v>
      </c>
      <c r="B46" s="49"/>
      <c r="C46" s="50"/>
      <c r="D46" s="50">
        <f>SUM(D44:D45)</f>
        <v>231.9254784</v>
      </c>
      <c r="E46" s="50"/>
      <c r="F46" s="50"/>
      <c r="G46" s="50">
        <f>SUM(G44:G45)</f>
        <v>224.72814000000002</v>
      </c>
      <c r="H46" s="50">
        <f t="shared" si="2"/>
        <v>-7.1973383999999783</v>
      </c>
      <c r="I46" s="51">
        <f t="shared" si="10"/>
        <v>-3.1032978565583843E-2</v>
      </c>
      <c r="J46" s="51">
        <f t="shared" si="12"/>
        <v>1</v>
      </c>
      <c r="K46" s="52"/>
    </row>
    <row r="47" spans="1:11" x14ac:dyDescent="0.2">
      <c r="A47" s="53" t="s">
        <v>142</v>
      </c>
      <c r="B47" s="54"/>
      <c r="C47" s="55"/>
      <c r="D47" s="55">
        <f>SUM(D18,D25,D26,D28,D33,D40,D41)</f>
        <v>220.519488</v>
      </c>
      <c r="E47" s="55"/>
      <c r="F47" s="55"/>
      <c r="G47" s="55">
        <f>SUM(G18,G25,G26,G28,G33,G40,G41)</f>
        <v>213.66488000000001</v>
      </c>
      <c r="H47" s="55">
        <f>G47-D47</f>
        <v>-6.8546079999999847</v>
      </c>
      <c r="I47" s="56">
        <f t="shared" si="10"/>
        <v>-3.1083910370769522E-2</v>
      </c>
      <c r="J47" s="56"/>
      <c r="K47" s="57">
        <f>G47/$G$51</f>
        <v>0.95238095238095233</v>
      </c>
    </row>
    <row r="48" spans="1:11" x14ac:dyDescent="0.2">
      <c r="A48" s="58" t="s">
        <v>138</v>
      </c>
      <c r="B48" s="59"/>
      <c r="C48" s="31">
        <v>0.13</v>
      </c>
      <c r="D48" s="31">
        <f>D47*C48</f>
        <v>28.66753344</v>
      </c>
      <c r="E48" s="31"/>
      <c r="F48" s="31">
        <f>C48</f>
        <v>0.13</v>
      </c>
      <c r="G48" s="31">
        <f>G47*F48</f>
        <v>27.776434400000003</v>
      </c>
      <c r="H48" s="31">
        <f>G48-D48</f>
        <v>-0.89109903999999673</v>
      </c>
      <c r="I48" s="32">
        <f t="shared" si="10"/>
        <v>-3.1083910370769477E-2</v>
      </c>
      <c r="J48" s="32"/>
      <c r="K48" s="60">
        <f>G48/$G$51</f>
        <v>0.12380952380952381</v>
      </c>
    </row>
    <row r="49" spans="1:11" x14ac:dyDescent="0.2">
      <c r="A49" s="140" t="s">
        <v>143</v>
      </c>
      <c r="B49" s="29"/>
      <c r="C49" s="30"/>
      <c r="D49" s="30">
        <f>SUM(D47:D48)</f>
        <v>249.18702144</v>
      </c>
      <c r="E49" s="30"/>
      <c r="F49" s="30"/>
      <c r="G49" s="30">
        <f>SUM(G47:G48)</f>
        <v>241.44131440000001</v>
      </c>
      <c r="H49" s="30">
        <f>G49-D49</f>
        <v>-7.745707039999985</v>
      </c>
      <c r="I49" s="33">
        <f t="shared" si="10"/>
        <v>-3.1083910370769529E-2</v>
      </c>
      <c r="J49" s="33"/>
      <c r="K49" s="62">
        <f>G49/$G$51</f>
        <v>1.0761904761904761</v>
      </c>
    </row>
    <row r="50" spans="1:11" x14ac:dyDescent="0.2">
      <c r="A50" s="58" t="s">
        <v>140</v>
      </c>
      <c r="B50" s="59"/>
      <c r="C50" s="31">
        <v>-0.08</v>
      </c>
      <c r="D50" s="31">
        <f>D47*C50</f>
        <v>-17.641559040000001</v>
      </c>
      <c r="E50" s="31"/>
      <c r="F50" s="31">
        <f>C50</f>
        <v>-0.08</v>
      </c>
      <c r="G50" s="31">
        <f>G47*F50</f>
        <v>-17.093190400000001</v>
      </c>
      <c r="H50" s="31">
        <f>G50-D50</f>
        <v>0.54836863999999963</v>
      </c>
      <c r="I50" s="32">
        <f t="shared" si="10"/>
        <v>3.1083910370769567E-2</v>
      </c>
      <c r="J50" s="32"/>
      <c r="K50" s="60">
        <f>G50/$G$51</f>
        <v>-7.6190476190476197E-2</v>
      </c>
    </row>
    <row r="51" spans="1:11" ht="13.5" thickBot="1" x14ac:dyDescent="0.25">
      <c r="A51" s="63" t="s">
        <v>144</v>
      </c>
      <c r="B51" s="64"/>
      <c r="C51" s="65"/>
      <c r="D51" s="65">
        <f>SUM(D49:D50)</f>
        <v>231.54546239999999</v>
      </c>
      <c r="E51" s="65"/>
      <c r="F51" s="65"/>
      <c r="G51" s="65">
        <f>SUM(G49:G50)</f>
        <v>224.34812400000001</v>
      </c>
      <c r="H51" s="65">
        <f>G51-D51</f>
        <v>-7.1973383999999783</v>
      </c>
      <c r="I51" s="66">
        <f t="shared" si="10"/>
        <v>-3.1083910370769498E-2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rgb="FFCCFFCC"/>
    <pageSetUpPr fitToPage="1"/>
  </sheetPr>
  <dimension ref="A1:J53"/>
  <sheetViews>
    <sheetView tabSelected="1" zoomScaleNormal="100" workbookViewId="0">
      <pane ySplit="1" topLeftCell="A14" activePane="bottomLeft" state="frozen"/>
      <selection activeCell="N7" sqref="N7"/>
      <selection pane="bottomLeft" activeCell="N7" sqref="N7"/>
    </sheetView>
  </sheetViews>
  <sheetFormatPr defaultColWidth="8.85546875" defaultRowHeight="12.75" x14ac:dyDescent="0.2"/>
  <cols>
    <col min="1" max="1" width="12.85546875" style="220" customWidth="1"/>
    <col min="2" max="2" width="13.42578125" style="220" customWidth="1"/>
    <col min="3" max="5" width="13.7109375" style="220" customWidth="1"/>
    <col min="6" max="6" width="12.140625" style="220" customWidth="1"/>
    <col min="7" max="7" width="13" style="220" customWidth="1"/>
    <col min="8" max="8" width="11.85546875" style="220" bestFit="1" customWidth="1"/>
    <col min="9" max="9" width="12.28515625" style="220" bestFit="1" customWidth="1"/>
    <col min="10" max="10" width="19.42578125" style="220" customWidth="1"/>
    <col min="11" max="16384" width="8.85546875" style="220"/>
  </cols>
  <sheetData>
    <row r="1" spans="1:10" ht="39" thickBot="1" x14ac:dyDescent="0.25">
      <c r="A1" s="95" t="s">
        <v>13</v>
      </c>
      <c r="B1" s="89" t="s">
        <v>67</v>
      </c>
      <c r="C1" s="315" t="s">
        <v>62</v>
      </c>
      <c r="D1" s="316" t="s">
        <v>68</v>
      </c>
      <c r="E1" s="95" t="s">
        <v>106</v>
      </c>
      <c r="F1" s="87" t="s">
        <v>63</v>
      </c>
      <c r="G1" s="88" t="s">
        <v>65</v>
      </c>
      <c r="H1" s="86" t="s">
        <v>64</v>
      </c>
      <c r="I1" s="136" t="s">
        <v>66</v>
      </c>
      <c r="J1" s="95" t="s">
        <v>69</v>
      </c>
    </row>
    <row r="2" spans="1:10" ht="13.5" thickBot="1" x14ac:dyDescent="0.25">
      <c r="A2" s="317" t="s">
        <v>133</v>
      </c>
      <c r="B2" s="167"/>
      <c r="C2" s="214"/>
      <c r="D2" s="168"/>
      <c r="E2" s="169"/>
      <c r="F2" s="170"/>
      <c r="G2" s="171"/>
      <c r="H2" s="172"/>
      <c r="I2" s="173"/>
      <c r="J2" s="169"/>
    </row>
    <row r="3" spans="1:10" x14ac:dyDescent="0.2">
      <c r="A3" s="328" t="s">
        <v>200</v>
      </c>
      <c r="B3" s="90" t="s">
        <v>60</v>
      </c>
      <c r="C3" s="215">
        <f>BI_AUR_Low!B4</f>
        <v>350</v>
      </c>
      <c r="D3" s="83"/>
      <c r="E3" s="137">
        <f>BI_AUR_Low!D49</f>
        <v>76.719094498684939</v>
      </c>
      <c r="F3" s="221">
        <f>BI_AUR_Low!H23</f>
        <v>1.1000000000000014</v>
      </c>
      <c r="G3" s="225">
        <f>BI_AUR_Low!I23</f>
        <v>3.706199460916447E-2</v>
      </c>
      <c r="H3" s="223">
        <f>BI_AUR_Low!H49</f>
        <v>2.0314977013150752</v>
      </c>
      <c r="I3" s="226">
        <f>BI_AUR_Low!I49</f>
        <v>2.6479688200046439E-2</v>
      </c>
      <c r="J3" s="330" t="s">
        <v>51</v>
      </c>
    </row>
    <row r="4" spans="1:10" x14ac:dyDescent="0.2">
      <c r="A4" s="328"/>
      <c r="B4" s="91" t="s">
        <v>94</v>
      </c>
      <c r="C4" s="216">
        <f>BI_AUR_Typical!B4</f>
        <v>750</v>
      </c>
      <c r="D4" s="84"/>
      <c r="E4" s="138">
        <f>BI_AUR_Typical!D49</f>
        <v>127.53405964003919</v>
      </c>
      <c r="F4" s="232">
        <f>BI_AUR_Typical!H23</f>
        <v>1.1000000000000014</v>
      </c>
      <c r="G4" s="233">
        <f>BI_AUR_Typical!I23</f>
        <v>3.706199460916447E-2</v>
      </c>
      <c r="H4" s="234">
        <f>BI_AUR_Typical!H49</f>
        <v>3.0332093599608498</v>
      </c>
      <c r="I4" s="235">
        <f>BI_AUR_Typical!I49</f>
        <v>2.3783523934876583E-2</v>
      </c>
      <c r="J4" s="331"/>
    </row>
    <row r="5" spans="1:10" x14ac:dyDescent="0.2">
      <c r="A5" s="328"/>
      <c r="B5" s="186" t="s">
        <v>136</v>
      </c>
      <c r="C5" s="216">
        <f>BI_AUR_Avg!B4</f>
        <v>600</v>
      </c>
      <c r="D5" s="188"/>
      <c r="E5" s="189">
        <f>BI_AUR_Avg!D49</f>
        <v>108.47844771203133</v>
      </c>
      <c r="F5" s="232">
        <f>BI_AUR_Avg!H23</f>
        <v>1.1000000000000014</v>
      </c>
      <c r="G5" s="233">
        <f>BI_AUR_Avg!I23</f>
        <v>3.706199460916447E-2</v>
      </c>
      <c r="H5" s="234">
        <f>BI_AUR_Avg!H49</f>
        <v>2.6575674879686773</v>
      </c>
      <c r="I5" s="235">
        <f>BI_AUR_Avg!I49</f>
        <v>2.4498575929326531E-2</v>
      </c>
      <c r="J5" s="331"/>
    </row>
    <row r="6" spans="1:10" ht="13.5" thickBot="1" x14ac:dyDescent="0.25">
      <c r="A6" s="329"/>
      <c r="B6" s="92" t="s">
        <v>61</v>
      </c>
      <c r="C6" s="217">
        <f>BI_AUR_High!B4</f>
        <v>1400</v>
      </c>
      <c r="D6" s="85"/>
      <c r="E6" s="139">
        <f>BI_AUR_High!D49</f>
        <v>210.1083779947397</v>
      </c>
      <c r="F6" s="236">
        <f>BI_AUR_High!H23</f>
        <v>1.1000000000000014</v>
      </c>
      <c r="G6" s="222">
        <f>BI_AUR_High!I23</f>
        <v>3.706199460916447E-2</v>
      </c>
      <c r="H6" s="237">
        <f>BI_AUR_High!H49</f>
        <v>4.6609908052603259</v>
      </c>
      <c r="I6" s="224">
        <f>BI_AUR_High!I49</f>
        <v>2.2183745597127113E-2</v>
      </c>
      <c r="J6" s="332"/>
    </row>
    <row r="7" spans="1:10" x14ac:dyDescent="0.2">
      <c r="A7" s="328" t="s">
        <v>201</v>
      </c>
      <c r="B7" s="90" t="s">
        <v>60</v>
      </c>
      <c r="C7" s="215">
        <f>BI_AUGE_Low!B4</f>
        <v>1000</v>
      </c>
      <c r="D7" s="83"/>
      <c r="E7" s="137">
        <f>BI_AUGE_Low!D50</f>
        <v>175.5758812366833</v>
      </c>
      <c r="F7" s="221">
        <f>BI_AUGE_Low!H24</f>
        <v>8.4200000000000017</v>
      </c>
      <c r="G7" s="225">
        <f>BI_AUGE_Low!I24</f>
        <v>0.21457696228338438</v>
      </c>
      <c r="H7" s="223">
        <f>BI_AUGE_Low!H50</f>
        <v>8.7883057633166857</v>
      </c>
      <c r="I7" s="226">
        <f>BI_AUGE_Low!I50</f>
        <v>5.0054174305807407E-2</v>
      </c>
      <c r="J7" s="330" t="s">
        <v>51</v>
      </c>
    </row>
    <row r="8" spans="1:10" x14ac:dyDescent="0.2">
      <c r="A8" s="328"/>
      <c r="B8" s="91" t="s">
        <v>94</v>
      </c>
      <c r="C8" s="216">
        <f>BI_AUGE_Typical!B4</f>
        <v>2000</v>
      </c>
      <c r="D8" s="84"/>
      <c r="E8" s="138">
        <f>BI_AUGE_Typical!D50</f>
        <v>323.87276247336661</v>
      </c>
      <c r="F8" s="232">
        <f>BI_AUGE_Typical!H24</f>
        <v>11.520000000000003</v>
      </c>
      <c r="G8" s="233">
        <f>BI_AUGE_Typical!I24</f>
        <v>0.21516623085543526</v>
      </c>
      <c r="H8" s="234">
        <f>BI_AUGE_Typical!H50</f>
        <v>11.990611526633415</v>
      </c>
      <c r="I8" s="235">
        <f>BI_AUGE_Typical!I50</f>
        <v>3.702259935371828E-2</v>
      </c>
      <c r="J8" s="331"/>
    </row>
    <row r="9" spans="1:10" x14ac:dyDescent="0.2">
      <c r="A9" s="328"/>
      <c r="B9" s="186" t="s">
        <v>136</v>
      </c>
      <c r="C9" s="216">
        <f>BI_AUGE_Avg!B4</f>
        <v>2695</v>
      </c>
      <c r="D9" s="188"/>
      <c r="E9" s="189">
        <f>BI_AUGE_Avg!D50</f>
        <v>426.93909493286151</v>
      </c>
      <c r="F9" s="232">
        <f>BI_AUGE_Avg!H24</f>
        <v>13.674499999999995</v>
      </c>
      <c r="G9" s="233">
        <f>BI_AUGE_Avg!I24</f>
        <v>0.21541939396803636</v>
      </c>
      <c r="H9" s="234">
        <f>BI_AUGE_Avg!H50</f>
        <v>14.216214032138453</v>
      </c>
      <c r="I9" s="235">
        <f>BI_AUGE_Avg!I50</f>
        <v>3.3297990745902596E-2</v>
      </c>
      <c r="J9" s="331"/>
    </row>
    <row r="10" spans="1:10" ht="13.5" thickBot="1" x14ac:dyDescent="0.25">
      <c r="A10" s="329"/>
      <c r="B10" s="92" t="s">
        <v>61</v>
      </c>
      <c r="C10" s="217">
        <f>BI_AUGE_High!B4</f>
        <v>15000</v>
      </c>
      <c r="D10" s="85"/>
      <c r="E10" s="139">
        <f>BI_AUGE_High!D50</f>
        <v>2251.7322185502499</v>
      </c>
      <c r="F10" s="236">
        <f>BI_AUGE_High!H24</f>
        <v>51.819999999999993</v>
      </c>
      <c r="G10" s="222">
        <f>BI_AUGE_High!I24</f>
        <v>0.21642165051787501</v>
      </c>
      <c r="H10" s="237">
        <f>BI_AUGE_High!H50</f>
        <v>53.62058644975059</v>
      </c>
      <c r="I10" s="224">
        <f>BI_AUGE_High!I50</f>
        <v>2.3813038694393929E-2</v>
      </c>
      <c r="J10" s="332"/>
    </row>
    <row r="11" spans="1:10" x14ac:dyDescent="0.2">
      <c r="A11" s="328" t="s">
        <v>202</v>
      </c>
      <c r="B11" s="90" t="s">
        <v>60</v>
      </c>
      <c r="C11" s="215">
        <f>BI_AUGd_Low!B4</f>
        <v>15000</v>
      </c>
      <c r="D11" s="83">
        <f>BI_AUGd_Low!B5</f>
        <v>60</v>
      </c>
      <c r="E11" s="137">
        <f>BI_AUGd_Low!D35</f>
        <v>2499.9198639625474</v>
      </c>
      <c r="F11" s="221">
        <f>BI_AUGd_Low!H20</f>
        <v>150.65800000000002</v>
      </c>
      <c r="G11" s="225">
        <f>BI_AUGd_Low!I20</f>
        <v>0.51652872727771426</v>
      </c>
      <c r="H11" s="223">
        <f>BI_AUGd_Low!H35</f>
        <v>62.439038537452234</v>
      </c>
      <c r="I11" s="226">
        <f>BI_AUGd_Low!I35</f>
        <v>2.4976416019384717E-2</v>
      </c>
      <c r="J11" s="333" t="s">
        <v>70</v>
      </c>
    </row>
    <row r="12" spans="1:10" x14ac:dyDescent="0.2">
      <c r="A12" s="328"/>
      <c r="B12" s="91" t="s">
        <v>136</v>
      </c>
      <c r="C12" s="216">
        <f>BI_AUGd_Avg!B4</f>
        <v>61239</v>
      </c>
      <c r="D12" s="84">
        <f>BI_AUGd_Avg!B5</f>
        <v>177</v>
      </c>
      <c r="E12" s="138">
        <f>BI_AUGd_Avg!D35</f>
        <v>9139.6948290084147</v>
      </c>
      <c r="F12" s="232">
        <f>BI_AUGd_Avg!H20</f>
        <v>309.46209999999996</v>
      </c>
      <c r="G12" s="238">
        <f>BI_AUGd_Avg!I20</f>
        <v>0.52429316371826462</v>
      </c>
      <c r="H12" s="234">
        <f>BI_AUGd_Avg!H35</f>
        <v>37.980670750084755</v>
      </c>
      <c r="I12" s="235">
        <f>BI_AUGd_Avg!I35</f>
        <v>4.1555731849534146E-3</v>
      </c>
      <c r="J12" s="334"/>
    </row>
    <row r="13" spans="1:10" ht="13.5" thickBot="1" x14ac:dyDescent="0.25">
      <c r="A13" s="329"/>
      <c r="B13" s="92" t="s">
        <v>61</v>
      </c>
      <c r="C13" s="217">
        <f>BI_AUGd_High!B4</f>
        <v>175000</v>
      </c>
      <c r="D13" s="85">
        <f>BI_AUGd_High!B5</f>
        <v>500</v>
      </c>
      <c r="E13" s="139">
        <f>BI_AUGd_High!D35</f>
        <v>25776.922338021228</v>
      </c>
      <c r="F13" s="236">
        <f>BI_AUGd_High!H20</f>
        <v>747.87000000000012</v>
      </c>
      <c r="G13" s="222">
        <f>BI_AUGd_High!I20</f>
        <v>0.52871312327237008</v>
      </c>
      <c r="H13" s="237">
        <f>BI_AUGd_High!H35</f>
        <v>-34.701675521224388</v>
      </c>
      <c r="I13" s="224">
        <f>BI_AUGd_High!I35</f>
        <v>-1.3462303631973573E-3</v>
      </c>
      <c r="J13" s="335"/>
    </row>
    <row r="14" spans="1:10" ht="13.5" thickBot="1" x14ac:dyDescent="0.25">
      <c r="A14" s="266" t="s">
        <v>8</v>
      </c>
      <c r="B14" s="275" t="s">
        <v>136</v>
      </c>
      <c r="C14" s="276">
        <f>'WHSI_BI_St Lgt_Avg'!B4</f>
        <v>76826.384713261112</v>
      </c>
      <c r="D14" s="277">
        <f>'WHSI_BI_St Lgt_Avg'!C5</f>
        <v>210.7703131136349</v>
      </c>
      <c r="E14" s="278">
        <f>'WHSI_BI_St Lgt_Avg'!D38</f>
        <v>16106.618135902168</v>
      </c>
      <c r="F14" s="279">
        <f>'WHSI_BI_St Lgt_Avg'!H21</f>
        <v>3139.2248391214926</v>
      </c>
      <c r="G14" s="280">
        <f>'WHSI_BI_St Lgt_Avg'!I21</f>
        <v>0.61825893440834168</v>
      </c>
      <c r="H14" s="281">
        <f>'WHSI_BI_St Lgt_Avg'!H38</f>
        <v>3570.793570829559</v>
      </c>
      <c r="I14" s="282">
        <f>'WHSI_BI_St Lgt_Avg'!I38</f>
        <v>0.22169728869837335</v>
      </c>
      <c r="J14" s="283" t="s">
        <v>99</v>
      </c>
    </row>
    <row r="15" spans="1:10" ht="13.5" thickBot="1" x14ac:dyDescent="0.25">
      <c r="A15" s="308" t="s">
        <v>12</v>
      </c>
      <c r="B15" s="267" t="s">
        <v>136</v>
      </c>
      <c r="C15" s="268">
        <f>WHSI_BI_USL_Avg!B4</f>
        <v>1544.8923697916664</v>
      </c>
      <c r="D15" s="269"/>
      <c r="E15" s="270">
        <f>WHSI_BI_USL_Avg!D38</f>
        <v>239.27359876962609</v>
      </c>
      <c r="F15" s="271">
        <f>WHSI_BI_USL_Avg!H21</f>
        <v>55.099938977604168</v>
      </c>
      <c r="G15" s="272">
        <f>WHSI_BI_USL_Avg!I21</f>
        <v>1.8926103409762218</v>
      </c>
      <c r="H15" s="273">
        <f>WHSI_BI_USL_Avg!H38</f>
        <v>61.874259295645828</v>
      </c>
      <c r="I15" s="274">
        <f>WHSI_BI_USL_Avg!I38</f>
        <v>0.25859208710785808</v>
      </c>
      <c r="J15" s="331" t="s">
        <v>99</v>
      </c>
    </row>
    <row r="16" spans="1:10" x14ac:dyDescent="0.2">
      <c r="A16" s="328" t="s">
        <v>11</v>
      </c>
      <c r="B16" s="90" t="s">
        <v>60</v>
      </c>
      <c r="C16" s="215">
        <f>WHSI_BI_ST_Low!B4</f>
        <v>750000</v>
      </c>
      <c r="D16" s="253">
        <f>WHSI_BI_ST_Low!B5</f>
        <v>1500</v>
      </c>
      <c r="E16" s="137">
        <f>WHSI_BI_ST_Low!D38</f>
        <v>95518.042273047206</v>
      </c>
      <c r="F16" s="221">
        <f>WHSI_BI_ST_Low!H23</f>
        <v>1373.820655845582</v>
      </c>
      <c r="G16" s="225">
        <f>WHSI_BI_ST_Low!I23</f>
        <v>0.73471845798379665</v>
      </c>
      <c r="H16" s="223">
        <f>WHSI_BI_ST_Low!H38</f>
        <v>9308.5893680583104</v>
      </c>
      <c r="I16" s="226">
        <f>WHSI_BI_ST_Low!I38</f>
        <v>9.7453728599763825E-2</v>
      </c>
      <c r="J16" s="333" t="s">
        <v>70</v>
      </c>
    </row>
    <row r="17" spans="1:10" x14ac:dyDescent="0.2">
      <c r="A17" s="328"/>
      <c r="B17" s="186" t="s">
        <v>136</v>
      </c>
      <c r="C17" s="216">
        <f>WHSI_BI_ST_Avg!B4</f>
        <v>1037333.9377380953</v>
      </c>
      <c r="D17" s="254">
        <f>WHSI_BI_ST_Avg!B5</f>
        <v>2075.0566666666664</v>
      </c>
      <c r="E17" s="138">
        <f>WHSI_BI_ST_Avg!D38</f>
        <v>144008.8464869411</v>
      </c>
      <c r="F17" s="232">
        <f>WHSI_BI_ST_Avg!H23</f>
        <v>-2143.3168423954999</v>
      </c>
      <c r="G17" s="238">
        <f>WHSI_BI_ST_Avg!I23</f>
        <v>-0.34895825333592873</v>
      </c>
      <c r="H17" s="234">
        <f>WHSI_BI_ST_Avg!H38</f>
        <v>429.6868110827636</v>
      </c>
      <c r="I17" s="235">
        <f>WHSI_BI_ST_Avg!I38</f>
        <v>2.9837528843877528E-3</v>
      </c>
      <c r="J17" s="334"/>
    </row>
    <row r="18" spans="1:10" ht="13.5" thickBot="1" x14ac:dyDescent="0.25">
      <c r="A18" s="329"/>
      <c r="B18" s="92" t="s">
        <v>61</v>
      </c>
      <c r="C18" s="217">
        <f>WHSI_BI_ST_High!B4</f>
        <v>2000000</v>
      </c>
      <c r="D18" s="255">
        <f>WHSI_BI_ST_High!B5</f>
        <v>3500</v>
      </c>
      <c r="E18" s="139">
        <f>WHSI_BI_ST_High!D38</f>
        <v>272726.47366133035</v>
      </c>
      <c r="F18" s="236">
        <f>WHSI_BI_ST_High!H23</f>
        <v>-4137.3904696936415</v>
      </c>
      <c r="G18" s="222">
        <f>WHSI_BI_ST_High!I23</f>
        <v>-0.4134471532791491</v>
      </c>
      <c r="H18" s="237">
        <f>WHSI_BI_ST_High!H38</f>
        <v>172.89890791586367</v>
      </c>
      <c r="I18" s="224">
        <f>WHSI_BI_ST_High!I38</f>
        <v>6.3396451981617382E-4</v>
      </c>
      <c r="J18" s="335"/>
    </row>
    <row r="19" spans="1:10" ht="13.5" thickBot="1" x14ac:dyDescent="0.25">
      <c r="A19" s="317" t="s">
        <v>227</v>
      </c>
      <c r="B19" s="174"/>
      <c r="C19" s="218"/>
      <c r="D19" s="175"/>
      <c r="E19" s="176"/>
      <c r="F19" s="227"/>
      <c r="G19" s="228"/>
      <c r="H19" s="229"/>
      <c r="I19" s="230"/>
      <c r="J19" s="318"/>
    </row>
    <row r="20" spans="1:10" x14ac:dyDescent="0.2">
      <c r="A20" s="328" t="s">
        <v>185</v>
      </c>
      <c r="B20" s="90" t="s">
        <v>60</v>
      </c>
      <c r="C20" s="215">
        <f>NPDI_BI_AR_Low!B4</f>
        <v>400</v>
      </c>
      <c r="D20" s="83"/>
      <c r="E20" s="137">
        <f>NPDI_BI_AR_Low!D50</f>
        <v>89.923330560000025</v>
      </c>
      <c r="F20" s="221">
        <f>NPDI_BI_AR_Low!H24</f>
        <v>3.8399999999999963</v>
      </c>
      <c r="G20" s="225">
        <f>NPDI_BI_AR_Low!I24</f>
        <v>0.10494670675047817</v>
      </c>
      <c r="H20" s="223">
        <f>NPDI_BI_AR_Low!H50</f>
        <v>5.7331579199999823</v>
      </c>
      <c r="I20" s="226">
        <f>NPDI_BI_AR_Low!I50</f>
        <v>6.3756067355341298E-2</v>
      </c>
      <c r="J20" s="330" t="s">
        <v>51</v>
      </c>
    </row>
    <row r="21" spans="1:10" x14ac:dyDescent="0.2">
      <c r="A21" s="328"/>
      <c r="B21" s="91" t="s">
        <v>94</v>
      </c>
      <c r="C21" s="216">
        <v>750</v>
      </c>
      <c r="D21" s="84"/>
      <c r="E21" s="138">
        <f>NPDI_BI_AR_Typical!D50</f>
        <v>134.3644323</v>
      </c>
      <c r="F21" s="232">
        <f>NPDI_BI_AR_Typical!H24</f>
        <v>3.5249999999999986</v>
      </c>
      <c r="G21" s="233">
        <f>NPDI_BI_AR_Typical!I24</f>
        <v>9.551551280314316E-2</v>
      </c>
      <c r="H21" s="234">
        <f>NPDI_BI_AR_Typical!H50</f>
        <v>6.8909211000000141</v>
      </c>
      <c r="I21" s="235">
        <f>NPDI_BI_AR_Typical!I50</f>
        <v>5.1285306550578967E-2</v>
      </c>
      <c r="J21" s="331"/>
    </row>
    <row r="22" spans="1:10" x14ac:dyDescent="0.2">
      <c r="A22" s="328"/>
      <c r="B22" s="186" t="s">
        <v>136</v>
      </c>
      <c r="C22" s="219">
        <f>NPDI_BI_AR_Avg!B4</f>
        <v>569.97605296090956</v>
      </c>
      <c r="D22" s="188"/>
      <c r="E22" s="189">
        <f>NPDI_BI_AR_Avg!D50</f>
        <v>111.50596788285547</v>
      </c>
      <c r="F22" s="232">
        <f>NPDI_BI_AR_Avg!H24</f>
        <v>3.6870215523351746</v>
      </c>
      <c r="G22" s="233">
        <f>NPDI_BI_AR_Avg!I24</f>
        <v>0.1003462894981912</v>
      </c>
      <c r="H22" s="234">
        <f>NPDI_BI_AR_Avg!H50</f>
        <v>6.2954208217139183</v>
      </c>
      <c r="I22" s="235">
        <f>NPDI_BI_AR_Avg!I50</f>
        <v>5.6458151444662423E-2</v>
      </c>
      <c r="J22" s="331"/>
    </row>
    <row r="23" spans="1:10" ht="13.5" thickBot="1" x14ac:dyDescent="0.25">
      <c r="A23" s="329"/>
      <c r="B23" s="92" t="s">
        <v>61</v>
      </c>
      <c r="C23" s="217">
        <f>NPDI_BI_AR_High!B4</f>
        <v>1800</v>
      </c>
      <c r="D23" s="85"/>
      <c r="E23" s="139">
        <f>NPDI_BI_AR_High!D50</f>
        <v>267.68773751999998</v>
      </c>
      <c r="F23" s="236">
        <f>NPDI_BI_AR_High!H24</f>
        <v>2.5799999999999983</v>
      </c>
      <c r="G23" s="222">
        <f>NPDI_BI_AR_High!I24</f>
        <v>6.8163804491413432E-2</v>
      </c>
      <c r="H23" s="237">
        <f>NPDI_BI_AR_High!H50</f>
        <v>10.36421064000001</v>
      </c>
      <c r="I23" s="224">
        <f>NPDI_BI_AR_High!I50</f>
        <v>3.8717539832117488E-2</v>
      </c>
      <c r="J23" s="332"/>
    </row>
    <row r="24" spans="1:10" x14ac:dyDescent="0.2">
      <c r="A24" s="328" t="s">
        <v>186</v>
      </c>
      <c r="B24" s="90" t="s">
        <v>60</v>
      </c>
      <c r="C24" s="215">
        <f>NPDI_BI_AGSE_Low!B4</f>
        <v>1000</v>
      </c>
      <c r="D24" s="83"/>
      <c r="E24" s="137">
        <f>NPDI_BI_AGSE_Low!D50</f>
        <v>203.02403519999996</v>
      </c>
      <c r="F24" s="221">
        <f>NPDI_BI_AGSE_Low!H24</f>
        <v>-5.6199999999999903</v>
      </c>
      <c r="G24" s="225">
        <f>NPDI_BI_AGSE_Low!I24</f>
        <v>-8.6011631466176783E-2</v>
      </c>
      <c r="H24" s="223">
        <f>NPDI_BI_AGSE_Low!H50</f>
        <v>-5.4016829999999629</v>
      </c>
      <c r="I24" s="226">
        <f>NPDI_BI_AGSE_Low!I50</f>
        <v>-2.660612569678629E-2</v>
      </c>
      <c r="J24" s="330" t="s">
        <v>51</v>
      </c>
    </row>
    <row r="25" spans="1:10" x14ac:dyDescent="0.2">
      <c r="A25" s="328"/>
      <c r="B25" s="91" t="s">
        <v>94</v>
      </c>
      <c r="C25" s="216">
        <f>NPDI_BI_AGSE_Typical!B4</f>
        <v>2000</v>
      </c>
      <c r="D25" s="84"/>
      <c r="E25" s="138">
        <f>NPDI_BI_AGSE_Typical!D50</f>
        <v>351.14471280000009</v>
      </c>
      <c r="F25" s="232">
        <f>NPDI_BI_AGSE_Typical!H24</f>
        <v>-2.9199999999999875</v>
      </c>
      <c r="G25" s="233">
        <f>NPDI_BI_AGSE_Typical!I24</f>
        <v>-3.585461689587411E-2</v>
      </c>
      <c r="H25" s="234">
        <f>NPDI_BI_AGSE_Typical!H50</f>
        <v>4.1991599999903428E-2</v>
      </c>
      <c r="I25" s="235">
        <f>NPDI_BI_AGSE_Typical!I50</f>
        <v>1.1958488471908274E-4</v>
      </c>
      <c r="J25" s="331"/>
    </row>
    <row r="26" spans="1:10" x14ac:dyDescent="0.2">
      <c r="A26" s="328"/>
      <c r="B26" s="186" t="s">
        <v>136</v>
      </c>
      <c r="C26" s="216">
        <f>NPDI_BI_AGSE_Avg!B4</f>
        <v>2182.4738954619888</v>
      </c>
      <c r="D26" s="84"/>
      <c r="E26" s="189">
        <f>NPDI_BI_AGSE_Avg!D50</f>
        <v>378.36532118923861</v>
      </c>
      <c r="F26" s="232">
        <f>NPDI_BI_AGSE_Avg!H24</f>
        <v>-2.4273204822526253</v>
      </c>
      <c r="G26" s="233">
        <f>NPDI_BI_AGSE_Avg!I24</f>
        <v>-2.8767277973320099E-2</v>
      </c>
      <c r="H26" s="234">
        <f>NPDI_BI_AGSE_Avg!H50</f>
        <v>0.84286876079221429</v>
      </c>
      <c r="I26" s="235">
        <f>NPDI_BI_AGSE_Avg!I50</f>
        <v>2.2276585976299221E-3</v>
      </c>
      <c r="J26" s="331"/>
    </row>
    <row r="27" spans="1:10" ht="13.5" thickBot="1" x14ac:dyDescent="0.25">
      <c r="A27" s="329"/>
      <c r="B27" s="92" t="s">
        <v>61</v>
      </c>
      <c r="C27" s="217">
        <f>NPDI_BI_AGSE_High!B4</f>
        <v>15000</v>
      </c>
      <c r="D27" s="85"/>
      <c r="E27" s="139">
        <f>NPDI_BI_AGSE_High!D50</f>
        <v>2290.4243460000002</v>
      </c>
      <c r="F27" s="236">
        <f>NPDI_BI_AGSE_High!H24</f>
        <v>32.180000000000007</v>
      </c>
      <c r="G27" s="222">
        <f>NPDI_BI_AGSE_High!I24</f>
        <v>0.11068308454289058</v>
      </c>
      <c r="H27" s="237">
        <f>NPDI_BI_AGSE_High!H50</f>
        <v>57.09893700000066</v>
      </c>
      <c r="I27" s="224">
        <f>NPDI_BI_AGSE_High!I50</f>
        <v>2.4929414106044722E-2</v>
      </c>
      <c r="J27" s="332"/>
    </row>
    <row r="28" spans="1:10" x14ac:dyDescent="0.2">
      <c r="A28" s="328" t="s">
        <v>187</v>
      </c>
      <c r="B28" s="90" t="s">
        <v>60</v>
      </c>
      <c r="C28" s="215">
        <f>NPDI_BI_AGSD_Low!B4</f>
        <v>15000</v>
      </c>
      <c r="D28" s="83">
        <f>NPDI_BI_AGSD_Low!C5</f>
        <v>60</v>
      </c>
      <c r="E28" s="137">
        <f>NPDI_BI_AGSD_Low!D36</f>
        <v>2665.6092060000001</v>
      </c>
      <c r="F28" s="221">
        <f>NPDI_BI_AGSD_Low!H21</f>
        <v>21.871999999999957</v>
      </c>
      <c r="G28" s="225">
        <f>NPDI_BI_AGSD_Low!I21</f>
        <v>4.4243598716708986E-2</v>
      </c>
      <c r="H28" s="223">
        <f>NPDI_BI_AGSD_Low!H36</f>
        <v>-4.2974465000002056</v>
      </c>
      <c r="I28" s="226">
        <f>NPDI_BI_AGSD_Low!I36</f>
        <v>-1.6121817445434669E-3</v>
      </c>
      <c r="J28" s="333" t="s">
        <v>70</v>
      </c>
    </row>
    <row r="29" spans="1:10" x14ac:dyDescent="0.2">
      <c r="A29" s="328"/>
      <c r="B29" s="91" t="s">
        <v>136</v>
      </c>
      <c r="C29" s="216">
        <f>NPDI_BI_AGSd_Avg!B4</f>
        <v>57222.704427374818</v>
      </c>
      <c r="D29" s="84">
        <f>NPDI_BI_AGSd_Avg!C5</f>
        <v>160.95335296165933</v>
      </c>
      <c r="E29" s="138">
        <f>NPDI_BI_AGSd_Avg!D36</f>
        <v>8785.0903796614984</v>
      </c>
      <c r="F29" s="232">
        <f>NPDI_BI_AGSd_Avg!H21</f>
        <v>118.75693283730436</v>
      </c>
      <c r="G29" s="238">
        <f>NPDI_BI_AGSd_Avg!I21</f>
        <v>0.12921639803565313</v>
      </c>
      <c r="H29" s="234">
        <f>NPDI_BI_AGSd_Avg!H36</f>
        <v>56.181269488344697</v>
      </c>
      <c r="I29" s="235">
        <f>NPDI_BI_AGSd_Avg!I36</f>
        <v>6.3950701769000399E-3</v>
      </c>
      <c r="J29" s="334"/>
    </row>
    <row r="30" spans="1:10" ht="13.5" thickBot="1" x14ac:dyDescent="0.25">
      <c r="A30" s="329"/>
      <c r="B30" s="92" t="s">
        <v>61</v>
      </c>
      <c r="C30" s="217">
        <f>NPDI_BI_AGSd_High!B4</f>
        <v>175000</v>
      </c>
      <c r="D30" s="85">
        <f>NPDI_BI_AGSd_High!C5</f>
        <v>500</v>
      </c>
      <c r="E30" s="139">
        <f>NPDI_BI_AGSd_High!D36</f>
        <v>26373.656470000002</v>
      </c>
      <c r="F30" s="236">
        <f>NPDI_BI_AGSd_High!H21</f>
        <v>444.13999999999987</v>
      </c>
      <c r="G30" s="222">
        <f>NPDI_BI_AGSd_High!I21</f>
        <v>0.18936722677251966</v>
      </c>
      <c r="H30" s="237">
        <f>NPDI_BI_AGSd_High!H36</f>
        <v>259.55845749999935</v>
      </c>
      <c r="I30" s="224">
        <f>NPDI_BI_AGSd_High!I36</f>
        <v>9.8415802827812957E-3</v>
      </c>
      <c r="J30" s="335"/>
    </row>
    <row r="31" spans="1:10" ht="13.5" thickBot="1" x14ac:dyDescent="0.25">
      <c r="A31" s="309" t="s">
        <v>8</v>
      </c>
      <c r="B31" s="289" t="s">
        <v>136</v>
      </c>
      <c r="C31" s="290">
        <f>'NPDI_BI_St Lgt_Avg'!B4</f>
        <v>1367.6845611291665</v>
      </c>
      <c r="D31" s="291">
        <f>'NPDI_BI_St Lgt_Avg'!C5</f>
        <v>4.1274030573589995</v>
      </c>
      <c r="E31" s="292">
        <f>'NPDI_BI_St Lgt_Avg'!D39</f>
        <v>255.9388477892206</v>
      </c>
      <c r="F31" s="293">
        <f>'NPDI_BI_St Lgt_Avg'!H22</f>
        <v>79.05328922594687</v>
      </c>
      <c r="G31" s="294">
        <f>'NPDI_BI_St Lgt_Avg'!I22</f>
        <v>1.0992522386910581</v>
      </c>
      <c r="H31" s="295">
        <f>'NPDI_BI_St Lgt_Avg'!H39</f>
        <v>87.946053567070265</v>
      </c>
      <c r="I31" s="296">
        <f>'NPDI_BI_St Lgt_Avg'!I39</f>
        <v>0.34362135458036669</v>
      </c>
      <c r="J31" s="310" t="s">
        <v>99</v>
      </c>
    </row>
    <row r="32" spans="1:10" ht="13.5" thickBot="1" x14ac:dyDescent="0.25">
      <c r="A32" s="266" t="s">
        <v>9</v>
      </c>
      <c r="B32" s="275" t="s">
        <v>136</v>
      </c>
      <c r="C32" s="276">
        <f>NPDI_BI_SenLgt_Avg!B4</f>
        <v>126.02277222660564</v>
      </c>
      <c r="D32" s="277">
        <f>NPDI_BI_SenLgt_Avg!C5</f>
        <v>0.45421640025856702</v>
      </c>
      <c r="E32" s="278">
        <f>NPDI_BI_SenLgt_Avg!D39</f>
        <v>32.100926811633556</v>
      </c>
      <c r="F32" s="279">
        <f>NPDI_BI_SenLgt_Avg!H22</f>
        <v>5.9012675725929959</v>
      </c>
      <c r="G32" s="280">
        <f>NPDI_BI_SenLgt_Avg!I22</f>
        <v>0.38706683369521117</v>
      </c>
      <c r="H32" s="281">
        <f>NPDI_BI_SenLgt_Avg!H39</f>
        <v>6.3434795382125557</v>
      </c>
      <c r="I32" s="282">
        <f>NPDI_BI_SenLgt_Avg!I39</f>
        <v>0.19761047945549171</v>
      </c>
      <c r="J32" s="283" t="s">
        <v>99</v>
      </c>
    </row>
    <row r="33" spans="1:10" ht="13.5" thickBot="1" x14ac:dyDescent="0.25">
      <c r="A33" s="308" t="s">
        <v>12</v>
      </c>
      <c r="B33" s="297" t="s">
        <v>136</v>
      </c>
      <c r="C33" s="298">
        <f>NPDI_BI_USL_Avg!B4</f>
        <v>945.37196740482466</v>
      </c>
      <c r="D33" s="299"/>
      <c r="E33" s="300">
        <f>NPDI_BI_USL_Avg!D39</f>
        <v>147.75135256393793</v>
      </c>
      <c r="F33" s="301">
        <f>NPDI_BI_USL_Avg!H22</f>
        <v>41.879181558108932</v>
      </c>
      <c r="G33" s="302">
        <f>NPDI_BI_USL_Avg!I22</f>
        <v>1.733661235568456</v>
      </c>
      <c r="H33" s="303">
        <f>NPDI_BI_USL_Avg!H39</f>
        <v>47.277005789517489</v>
      </c>
      <c r="I33" s="304">
        <f>NPDI_BI_USL_Avg!I39</f>
        <v>0.3199768054174586</v>
      </c>
      <c r="J33" s="311" t="s">
        <v>99</v>
      </c>
    </row>
    <row r="34" spans="1:10" ht="13.5" thickBot="1" x14ac:dyDescent="0.25">
      <c r="A34" s="319" t="s">
        <v>132</v>
      </c>
      <c r="B34" s="174"/>
      <c r="C34" s="218"/>
      <c r="D34" s="175"/>
      <c r="E34" s="284"/>
      <c r="F34" s="285"/>
      <c r="G34" s="286"/>
      <c r="H34" s="287"/>
      <c r="I34" s="288"/>
      <c r="J34" s="320"/>
    </row>
    <row r="35" spans="1:10" x14ac:dyDescent="0.2">
      <c r="A35" s="328" t="s">
        <v>185</v>
      </c>
      <c r="B35" s="90" t="s">
        <v>60</v>
      </c>
      <c r="C35" s="215">
        <f>HCHI_BI_AR_Low!B4</f>
        <v>400</v>
      </c>
      <c r="D35" s="83"/>
      <c r="E35" s="137">
        <f>HCHI_BI_AR_Low!D50</f>
        <v>89.827285364004922</v>
      </c>
      <c r="F35" s="221">
        <f>HCHI_BI_AR_Low!H24</f>
        <v>5.0100000000000051</v>
      </c>
      <c r="G35" s="225">
        <f>HCHI_BI_AR_Low!I24</f>
        <v>0.14144551101072858</v>
      </c>
      <c r="H35" s="223">
        <f>HCHI_BI_AR_Low!H50</f>
        <v>5.8292031159950852</v>
      </c>
      <c r="I35" s="226">
        <f>HCHI_BI_AR_Low!I50</f>
        <v>6.4893457398534832E-2</v>
      </c>
      <c r="J35" s="330" t="s">
        <v>51</v>
      </c>
    </row>
    <row r="36" spans="1:10" x14ac:dyDescent="0.2">
      <c r="A36" s="328"/>
      <c r="B36" s="91" t="s">
        <v>94</v>
      </c>
      <c r="C36" s="216">
        <f>HCHI_BI_AR_Typical!B4</f>
        <v>750</v>
      </c>
      <c r="D36" s="84"/>
      <c r="E36" s="138">
        <f>HCHI_BI_AR_Typical!D50</f>
        <v>135.07553505750923</v>
      </c>
      <c r="F36" s="232">
        <f>HCHI_BI_AR_Typical!H24</f>
        <v>4.8700000000000045</v>
      </c>
      <c r="G36" s="233">
        <f>HCHI_BI_AR_Typical!I24</f>
        <v>0.13695163104611938</v>
      </c>
      <c r="H36" s="234">
        <f>HCHI_BI_AR_Typical!H50</f>
        <v>6.1798183424907904</v>
      </c>
      <c r="I36" s="235">
        <f>HCHI_BI_AR_Typical!I50</f>
        <v>4.5750833708411334E-2</v>
      </c>
      <c r="J36" s="331"/>
    </row>
    <row r="37" spans="1:10" x14ac:dyDescent="0.2">
      <c r="A37" s="328"/>
      <c r="B37" s="186" t="s">
        <v>136</v>
      </c>
      <c r="C37" s="216">
        <f>HCHI_BI_AR_Avg!B4</f>
        <v>694.05105803452705</v>
      </c>
      <c r="D37" s="84"/>
      <c r="E37" s="189">
        <f>HCHI_BI_AR_Avg!D50</f>
        <v>127.84241592567749</v>
      </c>
      <c r="F37" s="232">
        <f>HCHI_BI_AR_Avg!H24</f>
        <v>4.8923795767861904</v>
      </c>
      <c r="G37" s="233">
        <f>HCHI_BI_AR_Avg!I24</f>
        <v>0.13766761866786106</v>
      </c>
      <c r="H37" s="234">
        <f>HCHI_BI_AR_Avg!H50</f>
        <v>6.1237710540353163</v>
      </c>
      <c r="I37" s="235">
        <f>HCHI_BI_AR_Avg!I50</f>
        <v>4.7900933424126109E-2</v>
      </c>
      <c r="J37" s="331"/>
    </row>
    <row r="38" spans="1:10" ht="13.5" thickBot="1" x14ac:dyDescent="0.25">
      <c r="A38" s="329"/>
      <c r="B38" s="92" t="s">
        <v>61</v>
      </c>
      <c r="C38" s="217">
        <f>HCHI_BI_AR_High!B4</f>
        <v>1800</v>
      </c>
      <c r="D38" s="85"/>
      <c r="E38" s="139">
        <f>HCHI_BI_AR_High!D50</f>
        <v>270.82028413802209</v>
      </c>
      <c r="F38" s="236">
        <f>HCHI_BI_AR_High!H24</f>
        <v>4.4500000000000028</v>
      </c>
      <c r="G38" s="222">
        <f>HCHI_BI_AR_High!I24</f>
        <v>0.12367982212340198</v>
      </c>
      <c r="H38" s="237">
        <f>HCHI_BI_AR_High!H50</f>
        <v>7.231664021977906</v>
      </c>
      <c r="I38" s="224">
        <f>HCHI_BI_AR_High!I50</f>
        <v>2.6702815282079566E-2</v>
      </c>
      <c r="J38" s="332"/>
    </row>
    <row r="39" spans="1:10" ht="12" customHeight="1" x14ac:dyDescent="0.2">
      <c r="A39" s="328" t="s">
        <v>186</v>
      </c>
      <c r="B39" s="90" t="s">
        <v>60</v>
      </c>
      <c r="C39" s="215">
        <f>HCHI_BI_AGSE_Low!B4</f>
        <v>1000</v>
      </c>
      <c r="D39" s="83"/>
      <c r="E39" s="137">
        <f>HCHI_BI_AGSE_Low!D50</f>
        <v>184.24642584214192</v>
      </c>
      <c r="F39" s="221">
        <f>HCHI_BI_AGSE_Low!H24</f>
        <v>13.850000000000001</v>
      </c>
      <c r="G39" s="225">
        <f>HCHI_BI_AGSE_Low!I24</f>
        <v>0.301940265969043</v>
      </c>
      <c r="H39" s="223">
        <f>HCHI_BI_AGSE_Low!H50</f>
        <v>13.375926357858077</v>
      </c>
      <c r="I39" s="226">
        <f>HCHI_BI_AGSE_Low!I50</f>
        <v>7.2598023525939456E-2</v>
      </c>
      <c r="J39" s="330" t="s">
        <v>51</v>
      </c>
    </row>
    <row r="40" spans="1:10" x14ac:dyDescent="0.2">
      <c r="A40" s="328"/>
      <c r="B40" s="91" t="s">
        <v>94</v>
      </c>
      <c r="C40" s="216">
        <f>NPDI_BI_AGSE_Typical!B4</f>
        <v>2000</v>
      </c>
      <c r="D40" s="84"/>
      <c r="E40" s="138">
        <f>HCHI_BI_AGSE_Typical!D50</f>
        <v>339.39735168428393</v>
      </c>
      <c r="F40" s="232">
        <f>HCHI_BI_AGSE_Typical!H24</f>
        <v>13.450000000000017</v>
      </c>
      <c r="G40" s="233">
        <f>HCHI_BI_AGSE_Typical!I24</f>
        <v>0.20670047641002026</v>
      </c>
      <c r="H40" s="234">
        <f>HCHI_BI_AGSE_Typical!H50</f>
        <v>11.789352715716063</v>
      </c>
      <c r="I40" s="235">
        <f>HCHI_BI_AGSE_Typical!I50</f>
        <v>3.4736136440695682E-2</v>
      </c>
      <c r="J40" s="331"/>
    </row>
    <row r="41" spans="1:10" x14ac:dyDescent="0.2">
      <c r="A41" s="328"/>
      <c r="B41" s="186" t="s">
        <v>136</v>
      </c>
      <c r="C41" s="216">
        <f>HCHI_BI_AGSE_Avg!B4</f>
        <v>1819.4414974238871</v>
      </c>
      <c r="D41" s="84"/>
      <c r="E41" s="189">
        <f>HCHI_BI_AGSE_Avg!D50</f>
        <v>311.38353284092926</v>
      </c>
      <c r="F41" s="232">
        <f>HCHI_BI_AGSE_Avg!H24</f>
        <v>13.522223401030438</v>
      </c>
      <c r="G41" s="233">
        <f>HCHI_BI_AGSE_Avg!I24</f>
        <v>0.21950493730696241</v>
      </c>
      <c r="H41" s="234">
        <f>HCHI_BI_AGSE_Avg!H50</f>
        <v>12.075822076767963</v>
      </c>
      <c r="I41" s="235">
        <f>HCHI_BI_AGSE_Avg!I50</f>
        <v>3.8781183984244003E-2</v>
      </c>
      <c r="J41" s="331"/>
    </row>
    <row r="42" spans="1:10" ht="13.5" thickBot="1" x14ac:dyDescent="0.25">
      <c r="A42" s="329"/>
      <c r="B42" s="92" t="s">
        <v>61</v>
      </c>
      <c r="C42" s="217">
        <f>HCHI_BI_AGSE_High!B4</f>
        <v>15000</v>
      </c>
      <c r="D42" s="85"/>
      <c r="E42" s="139">
        <f>HCHI_BI_AGSE_High!D50</f>
        <v>2356.3593876321293</v>
      </c>
      <c r="F42" s="236">
        <f>HCHI_BI_AGSE_High!H24</f>
        <v>8.25</v>
      </c>
      <c r="G42" s="222">
        <f>HCHI_BI_AGSE_High!I24</f>
        <v>2.6217942606540184E-2</v>
      </c>
      <c r="H42" s="237">
        <f>HCHI_BI_AGSE_High!H50</f>
        <v>-8.8361046321283538</v>
      </c>
      <c r="I42" s="224">
        <f>HCHI_BI_AGSE_High!I50</f>
        <v>-3.7498968444739768E-3</v>
      </c>
      <c r="J42" s="332"/>
    </row>
    <row r="43" spans="1:10" x14ac:dyDescent="0.2">
      <c r="A43" s="328" t="s">
        <v>187</v>
      </c>
      <c r="B43" s="90" t="s">
        <v>60</v>
      </c>
      <c r="C43" s="215">
        <f>HCHI_BI_AGSd_Low!B4</f>
        <v>15000</v>
      </c>
      <c r="D43" s="83">
        <f>HCHI_BI_AGSd_Low!B5</f>
        <v>60</v>
      </c>
      <c r="E43" s="137">
        <f>HCHI_BI_AGSd_Low!D36</f>
        <v>2546.757794205128</v>
      </c>
      <c r="F43" s="221">
        <f>HCHI_BI_AGSd_Low!H21</f>
        <v>190.48000000000002</v>
      </c>
      <c r="G43" s="225">
        <f>HCHI_BI_AGSd_Low!I21</f>
        <v>0.58475008135172812</v>
      </c>
      <c r="H43" s="223">
        <f>HCHI_BI_AGSd_Low!H36</f>
        <v>114.55396529487189</v>
      </c>
      <c r="I43" s="226">
        <f>HCHI_BI_AGSd_Low!I36</f>
        <v>4.4980314011613926E-2</v>
      </c>
      <c r="J43" s="333" t="s">
        <v>70</v>
      </c>
    </row>
    <row r="44" spans="1:10" x14ac:dyDescent="0.2">
      <c r="A44" s="328"/>
      <c r="B44" s="91" t="s">
        <v>136</v>
      </c>
      <c r="C44" s="216">
        <f>HCHI_BI_AGSd_Avg!B4</f>
        <v>50916.548053308041</v>
      </c>
      <c r="D44" s="84">
        <f>HCHI_BI_AGSd_Avg!B5</f>
        <v>143.21569056237885</v>
      </c>
      <c r="E44" s="138">
        <f>HCHI_BI_AGSd_Avg!D36</f>
        <v>7827.8940026078817</v>
      </c>
      <c r="F44" s="232">
        <f>HCHI_BI_AGSd_Avg!H21</f>
        <v>283.43192635817729</v>
      </c>
      <c r="G44" s="238">
        <f>HCHI_BI_AGSd_Avg!I21</f>
        <v>0.42766926038382136</v>
      </c>
      <c r="H44" s="234">
        <f>HCHI_BI_AGSd_Avg!H36</f>
        <v>64.749395424193608</v>
      </c>
      <c r="I44" s="235">
        <f>HCHI_BI_AGSd_Avg!I36</f>
        <v>8.2716239390342016E-3</v>
      </c>
      <c r="J44" s="334"/>
    </row>
    <row r="45" spans="1:10" ht="13.5" thickBot="1" x14ac:dyDescent="0.25">
      <c r="A45" s="329"/>
      <c r="B45" s="92" t="s">
        <v>61</v>
      </c>
      <c r="C45" s="217">
        <f>HCHI_BI_AGSd_High!B4</f>
        <v>175000</v>
      </c>
      <c r="D45" s="85">
        <f>HCHI_BI_AGSd_High!B5</f>
        <v>500</v>
      </c>
      <c r="E45" s="139">
        <f>HCHI_BI_AGSd_High!D36</f>
        <v>26751.9350767094</v>
      </c>
      <c r="F45" s="236">
        <f>HCHI_BI_AGSd_High!H21</f>
        <v>681.95999999999958</v>
      </c>
      <c r="G45" s="222">
        <f>HCHI_BI_AGSd_High!I21</f>
        <v>0.32357644111464839</v>
      </c>
      <c r="H45" s="237">
        <f>HCHI_BI_AGSd_High!H36</f>
        <v>-118.7201492093991</v>
      </c>
      <c r="I45" s="224">
        <f>HCHI_BI_AGSd_High!I36</f>
        <v>-4.4378153905120111E-3</v>
      </c>
      <c r="J45" s="335"/>
    </row>
    <row r="46" spans="1:10" ht="13.5" thickBot="1" x14ac:dyDescent="0.25">
      <c r="A46" s="309" t="s">
        <v>8</v>
      </c>
      <c r="B46" s="289" t="s">
        <v>136</v>
      </c>
      <c r="C46" s="290">
        <f>'HCHI_BI_St Lgt_Avg'!B4</f>
        <v>105611.58783602084</v>
      </c>
      <c r="D46" s="306">
        <f>'HCHI_BI_St Lgt_Avg'!C5</f>
        <v>274.09386280146123</v>
      </c>
      <c r="E46" s="292">
        <f>'HCHI_BI_St Lgt_Avg'!D39</f>
        <v>30047.82166216553</v>
      </c>
      <c r="F46" s="293">
        <f>'HCHI_BI_St Lgt_Avg'!H22</f>
        <v>-3112.9987774418405</v>
      </c>
      <c r="G46" s="294">
        <f>'HCHI_BI_St Lgt_Avg'!I22</f>
        <v>-0.21608145731161441</v>
      </c>
      <c r="H46" s="295">
        <f>'HCHI_BI_St Lgt_Avg'!H39</f>
        <v>-2995.2564602098537</v>
      </c>
      <c r="I46" s="296">
        <f>'HCHI_BI_St Lgt_Avg'!I39</f>
        <v>-9.9682981811001173E-2</v>
      </c>
      <c r="J46" s="310" t="s">
        <v>99</v>
      </c>
    </row>
    <row r="47" spans="1:10" ht="13.5" thickBot="1" x14ac:dyDescent="0.25">
      <c r="A47" s="266" t="s">
        <v>9</v>
      </c>
      <c r="B47" s="275" t="s">
        <v>136</v>
      </c>
      <c r="C47" s="276">
        <f>HCHI_BI_SenLgt_Avg!B4</f>
        <v>131.07998865929491</v>
      </c>
      <c r="D47" s="277">
        <f>HCHI_BI_SenLgt_Avg!C5</f>
        <v>0.34019202971725299</v>
      </c>
      <c r="E47" s="278">
        <f>HCHI_BI_SenLgt_Avg!D39</f>
        <v>44.432016195261369</v>
      </c>
      <c r="F47" s="279">
        <f>HCHI_BI_SenLgt_Avg!H22</f>
        <v>-4.6498634418886553</v>
      </c>
      <c r="G47" s="280">
        <f>HCHI_BI_SenLgt_Avg!I22</f>
        <v>-0.17549064299343206</v>
      </c>
      <c r="H47" s="281">
        <f>HCHI_BI_SenLgt_Avg!H39</f>
        <v>-4.6123915946803535</v>
      </c>
      <c r="I47" s="282">
        <f>HCHI_BI_SenLgt_Avg!I39</f>
        <v>-0.10380783924840802</v>
      </c>
      <c r="J47" s="283" t="s">
        <v>99</v>
      </c>
    </row>
    <row r="48" spans="1:10" ht="13.5" thickBot="1" x14ac:dyDescent="0.25">
      <c r="A48" s="308" t="s">
        <v>12</v>
      </c>
      <c r="B48" s="297" t="s">
        <v>136</v>
      </c>
      <c r="C48" s="298">
        <f>HCHI_BI_USL_Avg!B4</f>
        <v>550.73927083333308</v>
      </c>
      <c r="D48" s="299"/>
      <c r="E48" s="300">
        <f>HCHI_BI_USL_Avg!D39</f>
        <v>92.525145422836772</v>
      </c>
      <c r="F48" s="301">
        <f>HCHI_BI_USL_Avg!H22</f>
        <v>33.179792984374998</v>
      </c>
      <c r="G48" s="302">
        <f>HCHI_BI_USL_Avg!I22</f>
        <v>1.5882625921464999</v>
      </c>
      <c r="H48" s="303">
        <f>HCHI_BI_USL_Avg!H39</f>
        <v>34.990672207063184</v>
      </c>
      <c r="I48" s="304">
        <f>HCHI_BI_USL_Avg!I39</f>
        <v>0.37817473344307651</v>
      </c>
      <c r="J48" s="311" t="s">
        <v>99</v>
      </c>
    </row>
    <row r="49" spans="1:1" s="231" customFormat="1" x14ac:dyDescent="0.2">
      <c r="A49" s="336"/>
    </row>
    <row r="50" spans="1:1" s="231" customFormat="1" x14ac:dyDescent="0.2">
      <c r="A50" s="336"/>
    </row>
    <row r="51" spans="1:1" s="231" customFormat="1" x14ac:dyDescent="0.2">
      <c r="A51" s="336"/>
    </row>
    <row r="52" spans="1:1" s="231" customFormat="1" x14ac:dyDescent="0.2"/>
    <row r="53" spans="1:1" s="231" customFormat="1" x14ac:dyDescent="0.2"/>
  </sheetData>
  <mergeCells count="22">
    <mergeCell ref="J15"/>
    <mergeCell ref="J16:J18"/>
    <mergeCell ref="A3:A6"/>
    <mergeCell ref="J3:J6"/>
    <mergeCell ref="A7:A10"/>
    <mergeCell ref="J7:J10"/>
    <mergeCell ref="A11:A13"/>
    <mergeCell ref="J11:J13"/>
    <mergeCell ref="A20:A23"/>
    <mergeCell ref="J20:J23"/>
    <mergeCell ref="A24:A27"/>
    <mergeCell ref="J24:J27"/>
    <mergeCell ref="A16:A18"/>
    <mergeCell ref="A49:A51"/>
    <mergeCell ref="A43:A45"/>
    <mergeCell ref="J43:J45"/>
    <mergeCell ref="A28:A30"/>
    <mergeCell ref="J28:J30"/>
    <mergeCell ref="A35:A38"/>
    <mergeCell ref="J35:J38"/>
    <mergeCell ref="A39:A42"/>
    <mergeCell ref="J39:J42"/>
  </mergeCells>
  <pageMargins left="0.7" right="0.7" top="0.99875000000000003" bottom="0.75" header="0.3" footer="0.3"/>
  <pageSetup scale="71" orientation="landscape" r:id="rId1"/>
  <headerFooter>
    <oddHeader xml:space="preserve">&amp;RUpdated: 2017-06-07
EB-2017-0049
Exhibit H1-4-1
Attachment 4
Page &amp;P of &amp;N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1" tint="0.499984740745262"/>
    <pageSetUpPr fitToPage="1"/>
  </sheetPr>
  <dimension ref="A1:K68"/>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89</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0.35409723183127101</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6" si="2">G13-D13</f>
        <v>0</v>
      </c>
      <c r="I13" s="23">
        <f t="shared" si="0"/>
        <v>0</v>
      </c>
      <c r="J13" s="23">
        <f>G13/$G$46</f>
        <v>0.13748830246928473</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0.49158553430055574</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0.25659350199026837</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9.8484738725935189E-2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0.14488176555934038</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0.50595695308696775</v>
      </c>
      <c r="K18" s="62">
        <f t="shared" si="4"/>
        <v>0.49996000627554393</v>
      </c>
    </row>
    <row r="19" spans="1:11" x14ac:dyDescent="0.2">
      <c r="A19" s="107" t="s">
        <v>38</v>
      </c>
      <c r="B19" s="73">
        <v>1</v>
      </c>
      <c r="C19" s="78">
        <f>VLOOKUP($B$3,'Data for Bill Impacts'!$A$3:$Y$15,7,0)</f>
        <v>25.1</v>
      </c>
      <c r="D19" s="22">
        <f>B19*C19</f>
        <v>25.1</v>
      </c>
      <c r="E19" s="73">
        <f t="shared" ref="E19:E41" si="6">B19</f>
        <v>1</v>
      </c>
      <c r="F19" s="78">
        <f>VLOOKUP($B$3,'Data for Bill Impacts'!$A$3:$Y$15,17,0)</f>
        <v>25.55</v>
      </c>
      <c r="G19" s="22">
        <f>E19*F19</f>
        <v>25.55</v>
      </c>
      <c r="H19" s="22">
        <f t="shared" si="2"/>
        <v>0.44999999999999929</v>
      </c>
      <c r="I19" s="23">
        <f>IF(ISERROR(H19/ABS(D19)),"N/A",(H19/ABS(D19)))</f>
        <v>1.7928286852589612E-2</v>
      </c>
      <c r="J19" s="23">
        <f t="shared" si="5"/>
        <v>0.13255947653170658</v>
      </c>
      <c r="K19" s="108">
        <f t="shared" si="4"/>
        <v>0.13098829122580136</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8.0000000000000002E-3</v>
      </c>
      <c r="D22" s="22">
        <f t="shared" si="9"/>
        <v>8.0000000000000002E-3</v>
      </c>
      <c r="E22" s="73">
        <f t="shared" si="6"/>
        <v>1</v>
      </c>
      <c r="F22" s="121">
        <f>VLOOKUP($B$3,'Data for Bill Impacts'!$A$3:$Y$15,22,0)</f>
        <v>8.0000000000000002E-3</v>
      </c>
      <c r="G22" s="22">
        <f t="shared" si="7"/>
        <v>8.0000000000000002E-3</v>
      </c>
      <c r="H22" s="22">
        <f t="shared" si="2"/>
        <v>0</v>
      </c>
      <c r="I22" s="23">
        <f t="shared" ref="I22:I51" si="10">IF(ISERROR(H22/ABS(D22)),"N/A",(H22/ABS(D22)))</f>
        <v>0</v>
      </c>
      <c r="J22" s="23">
        <f t="shared" si="5"/>
        <v>4.1505902632236895E-5</v>
      </c>
      <c r="K22" s="108">
        <f t="shared" si="4"/>
        <v>4.1013946372070873E-5</v>
      </c>
    </row>
    <row r="23" spans="1:11" x14ac:dyDescent="0.2">
      <c r="A23" s="107" t="s">
        <v>39</v>
      </c>
      <c r="B23" s="73">
        <f>IF($B$9="kWh",$B$4,$B$5)</f>
        <v>1000</v>
      </c>
      <c r="C23" s="125">
        <f>VLOOKUP($B$3,'Data for Bill Impacts'!$A$3:$Y$15,10,0)</f>
        <v>2.9899999999999999E-2</v>
      </c>
      <c r="D23" s="22">
        <f>B23*C23</f>
        <v>29.9</v>
      </c>
      <c r="E23" s="73">
        <f t="shared" si="6"/>
        <v>1000</v>
      </c>
      <c r="F23" s="78">
        <f>VLOOKUP($B$3,'Data for Bill Impacts'!$A$3:$Y$15,19,0)</f>
        <v>3.0800000000000001E-2</v>
      </c>
      <c r="G23" s="22">
        <f>E23*F23</f>
        <v>30.8</v>
      </c>
      <c r="H23" s="22">
        <f t="shared" si="2"/>
        <v>0.90000000000000213</v>
      </c>
      <c r="I23" s="23">
        <f t="shared" si="10"/>
        <v>3.0100334448160609E-2</v>
      </c>
      <c r="J23" s="23">
        <f t="shared" si="5"/>
        <v>0.15979772513411206</v>
      </c>
      <c r="K23" s="108">
        <f t="shared" si="4"/>
        <v>0.15790369353247286</v>
      </c>
    </row>
    <row r="24" spans="1:11" x14ac:dyDescent="0.2">
      <c r="A24" s="107" t="s">
        <v>199</v>
      </c>
      <c r="B24" s="73">
        <f>IF($B$9="kWh",$B$4,$B$5)</f>
        <v>1000</v>
      </c>
      <c r="C24" s="125">
        <f>VLOOKUP($B$3,'Data for Bill Impacts'!$A$3:$Y$15,14,0)</f>
        <v>3.0000000000000004E-5</v>
      </c>
      <c r="D24" s="34">
        <f>B24*C24</f>
        <v>3.0000000000000006E-2</v>
      </c>
      <c r="E24" s="73">
        <f t="shared" si="6"/>
        <v>1000</v>
      </c>
      <c r="F24" s="125">
        <f>VLOOKUP($B$3,'Data for Bill Impacts'!$A$3:$Y$15,23,0)</f>
        <v>3.0000000000000004E-5</v>
      </c>
      <c r="G24" s="34">
        <f>E24*F24</f>
        <v>3.0000000000000006E-2</v>
      </c>
      <c r="H24" s="22">
        <f t="shared" si="2"/>
        <v>0</v>
      </c>
      <c r="I24" s="23">
        <f t="shared" si="10"/>
        <v>0</v>
      </c>
      <c r="J24" s="23">
        <f t="shared" ref="J24" si="11">G24/$G$46</f>
        <v>1.5564713487088838E-4</v>
      </c>
      <c r="K24" s="108">
        <f t="shared" si="4"/>
        <v>1.538022988952658E-4</v>
      </c>
    </row>
    <row r="25" spans="1:11" s="1" customFormat="1" x14ac:dyDescent="0.2">
      <c r="A25" s="110" t="s">
        <v>72</v>
      </c>
      <c r="B25" s="74"/>
      <c r="C25" s="35"/>
      <c r="D25" s="35">
        <f>SUM(D19:D24)</f>
        <v>55.037999999999997</v>
      </c>
      <c r="E25" s="73"/>
      <c r="F25" s="35"/>
      <c r="G25" s="35">
        <f>SUM(G19:G24)</f>
        <v>56.388000000000005</v>
      </c>
      <c r="H25" s="35">
        <f t="shared" si="2"/>
        <v>1.3500000000000085</v>
      </c>
      <c r="I25" s="36">
        <f t="shared" si="10"/>
        <v>2.4528507576583609E-2</v>
      </c>
      <c r="J25" s="36">
        <f>G25/$G$46</f>
        <v>0.29255435470332181</v>
      </c>
      <c r="K25" s="111">
        <f t="shared" si="4"/>
        <v>0.28908680100354156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4.098707884933394E-3</v>
      </c>
      <c r="K26" s="108">
        <f t="shared" si="4"/>
        <v>4.0501272042419989E-3</v>
      </c>
    </row>
    <row r="27" spans="1:11" s="1" customFormat="1" x14ac:dyDescent="0.2">
      <c r="A27" s="119" t="s">
        <v>75</v>
      </c>
      <c r="B27" s="120">
        <f>B8-B4</f>
        <v>67</v>
      </c>
      <c r="C27" s="257">
        <f>IF(B4&gt;B7,C13,C12)</f>
        <v>0.106</v>
      </c>
      <c r="D27" s="22">
        <f>B27*C27</f>
        <v>7.1019999999999994</v>
      </c>
      <c r="E27" s="73">
        <f>B27</f>
        <v>67</v>
      </c>
      <c r="F27" s="257">
        <f>C27</f>
        <v>0.106</v>
      </c>
      <c r="G27" s="22">
        <f>E27*F27</f>
        <v>7.1019999999999994</v>
      </c>
      <c r="H27" s="22">
        <f t="shared" si="2"/>
        <v>0</v>
      </c>
      <c r="I27" s="23">
        <f t="shared" si="10"/>
        <v>0</v>
      </c>
      <c r="J27" s="23">
        <f t="shared" ref="J27:J46" si="12">G27/$G$46</f>
        <v>3.6846865061768298E-2</v>
      </c>
      <c r="K27" s="108">
        <f t="shared" ref="K27:K41" si="13">G27/$G$51</f>
        <v>3.6410130891805913E-2</v>
      </c>
    </row>
    <row r="28" spans="1:11" s="1" customFormat="1" x14ac:dyDescent="0.2">
      <c r="A28" s="119" t="s">
        <v>74</v>
      </c>
      <c r="B28" s="120">
        <f>B8-B4</f>
        <v>67</v>
      </c>
      <c r="C28" s="257">
        <f>0.65*C15+0.17*C16+0.18*C17</f>
        <v>9.7519999999999996E-2</v>
      </c>
      <c r="D28" s="22">
        <f>B28*C28</f>
        <v>6.5338399999999996</v>
      </c>
      <c r="E28" s="73">
        <f>B28</f>
        <v>67</v>
      </c>
      <c r="F28" s="257">
        <f>C28</f>
        <v>9.7519999999999996E-2</v>
      </c>
      <c r="G28" s="22">
        <f>E28*F28</f>
        <v>6.5338399999999996</v>
      </c>
      <c r="H28" s="22">
        <f t="shared" si="2"/>
        <v>0</v>
      </c>
      <c r="I28" s="23">
        <f t="shared" si="10"/>
        <v>0</v>
      </c>
      <c r="J28" s="23">
        <f t="shared" si="12"/>
        <v>3.3899115856826839E-2</v>
      </c>
      <c r="K28" s="108">
        <f t="shared" si="13"/>
        <v>3.3497320420461441E-2</v>
      </c>
    </row>
    <row r="29" spans="1:11" s="1" customFormat="1" x14ac:dyDescent="0.2">
      <c r="A29" s="110" t="s">
        <v>78</v>
      </c>
      <c r="B29" s="74"/>
      <c r="C29" s="35"/>
      <c r="D29" s="35">
        <f>SUM(D25,D26:D27)</f>
        <v>62.929999999999993</v>
      </c>
      <c r="E29" s="73"/>
      <c r="F29" s="35"/>
      <c r="G29" s="35">
        <f>SUM(G25,G26:G27)</f>
        <v>64.28</v>
      </c>
      <c r="H29" s="35">
        <f t="shared" si="2"/>
        <v>1.3500000000000085</v>
      </c>
      <c r="I29" s="36">
        <f t="shared" si="10"/>
        <v>2.1452407436834717E-2</v>
      </c>
      <c r="J29" s="36">
        <f t="shared" si="12"/>
        <v>0.33349992765002345</v>
      </c>
      <c r="K29" s="111">
        <f t="shared" si="13"/>
        <v>0.32954705909958948</v>
      </c>
    </row>
    <row r="30" spans="1:11" s="1" customFormat="1" x14ac:dyDescent="0.2">
      <c r="A30" s="110" t="s">
        <v>77</v>
      </c>
      <c r="B30" s="74"/>
      <c r="C30" s="35"/>
      <c r="D30" s="35">
        <f>SUM(D25,D26,D28)</f>
        <v>62.361839999999994</v>
      </c>
      <c r="E30" s="73"/>
      <c r="F30" s="35"/>
      <c r="G30" s="35">
        <f>SUM(G25,G26,G28)</f>
        <v>63.711840000000002</v>
      </c>
      <c r="H30" s="35">
        <f t="shared" si="2"/>
        <v>1.3500000000000085</v>
      </c>
      <c r="I30" s="36">
        <f t="shared" si="10"/>
        <v>2.1647853879872829E-2</v>
      </c>
      <c r="J30" s="36">
        <f t="shared" si="12"/>
        <v>0.330552178445082</v>
      </c>
      <c r="K30" s="111">
        <f t="shared" si="13"/>
        <v>0.32663424862824503</v>
      </c>
    </row>
    <row r="31" spans="1:11" x14ac:dyDescent="0.2">
      <c r="A31" s="107" t="s">
        <v>40</v>
      </c>
      <c r="B31" s="73">
        <f>B8</f>
        <v>1067</v>
      </c>
      <c r="C31" s="125">
        <f>VLOOKUP($B$3,'Data for Bill Impacts'!$A$3:$Y$15,15,0)</f>
        <v>6.1060000000000003E-3</v>
      </c>
      <c r="D31" s="22">
        <f>B31*C31</f>
        <v>6.5151020000000006</v>
      </c>
      <c r="E31" s="73">
        <f t="shared" si="6"/>
        <v>1067</v>
      </c>
      <c r="F31" s="78">
        <f>VLOOKUP($B$3,'Data for Bill Impacts'!$A$3:$Y$15,24,0)</f>
        <v>5.7999999999999996E-3</v>
      </c>
      <c r="G31" s="22">
        <f>E31*F31</f>
        <v>6.1885999999999992</v>
      </c>
      <c r="H31" s="22">
        <f t="shared" si="2"/>
        <v>-0.3265020000000014</v>
      </c>
      <c r="I31" s="23">
        <f t="shared" si="10"/>
        <v>-5.0114641336390646E-2</v>
      </c>
      <c r="J31" s="23">
        <f t="shared" si="12"/>
        <v>3.210792862873265E-2</v>
      </c>
      <c r="K31" s="108">
        <f t="shared" si="13"/>
        <v>3.1727363564774722E-2</v>
      </c>
    </row>
    <row r="32" spans="1:11" x14ac:dyDescent="0.2">
      <c r="A32" s="107" t="s">
        <v>41</v>
      </c>
      <c r="B32" s="73">
        <f>B8</f>
        <v>1067</v>
      </c>
      <c r="C32" s="125">
        <f>VLOOKUP($B$3,'Data for Bill Impacts'!$A$3:$Y$15,16,0)</f>
        <v>4.6519999999999999E-3</v>
      </c>
      <c r="D32" s="22">
        <f>B32*C32</f>
        <v>4.9636839999999998</v>
      </c>
      <c r="E32" s="73">
        <f t="shared" si="6"/>
        <v>1067</v>
      </c>
      <c r="F32" s="78">
        <f>VLOOKUP($B$3,'Data for Bill Impacts'!$A$3:$Y$15,25,0)</f>
        <v>4.7000000000000002E-3</v>
      </c>
      <c r="G32" s="22">
        <f>E32*F32</f>
        <v>5.0148999999999999</v>
      </c>
      <c r="H32" s="22">
        <f t="shared" si="2"/>
        <v>5.121600000000015E-2</v>
      </c>
      <c r="I32" s="23">
        <f t="shared" si="10"/>
        <v>1.0318142734307855E-2</v>
      </c>
      <c r="J32" s="23">
        <f t="shared" si="12"/>
        <v>2.6018493888800599E-2</v>
      </c>
      <c r="K32" s="108">
        <f t="shared" si="13"/>
        <v>2.5710104957662277E-2</v>
      </c>
    </row>
    <row r="33" spans="1:11" s="1" customFormat="1" x14ac:dyDescent="0.2">
      <c r="A33" s="110" t="s">
        <v>76</v>
      </c>
      <c r="B33" s="74"/>
      <c r="C33" s="35"/>
      <c r="D33" s="35">
        <f>SUM(D31:D32)</f>
        <v>11.478785999999999</v>
      </c>
      <c r="E33" s="73"/>
      <c r="F33" s="35"/>
      <c r="G33" s="35">
        <f>SUM(G31:G32)</f>
        <v>11.203499999999998</v>
      </c>
      <c r="H33" s="35">
        <f t="shared" si="2"/>
        <v>-0.27528600000000125</v>
      </c>
      <c r="I33" s="36">
        <f t="shared" si="10"/>
        <v>-2.3982152816508756E-2</v>
      </c>
      <c r="J33" s="36">
        <f t="shared" si="12"/>
        <v>5.8126422517533249E-2</v>
      </c>
      <c r="K33" s="111">
        <f t="shared" si="13"/>
        <v>5.7437468522436995E-2</v>
      </c>
    </row>
    <row r="34" spans="1:11" s="1" customFormat="1" x14ac:dyDescent="0.2">
      <c r="A34" s="110" t="s">
        <v>95</v>
      </c>
      <c r="B34" s="74"/>
      <c r="C34" s="35"/>
      <c r="D34" s="35">
        <f>D29+D33</f>
        <v>74.408785999999992</v>
      </c>
      <c r="E34" s="73"/>
      <c r="F34" s="35"/>
      <c r="G34" s="35">
        <f>G29+G33</f>
        <v>75.483499999999992</v>
      </c>
      <c r="H34" s="35">
        <f t="shared" si="2"/>
        <v>1.0747140000000002</v>
      </c>
      <c r="I34" s="36">
        <f t="shared" si="10"/>
        <v>1.4443375006817074E-2</v>
      </c>
      <c r="J34" s="36">
        <f t="shared" si="12"/>
        <v>0.3916263501675567</v>
      </c>
      <c r="K34" s="111">
        <f t="shared" si="13"/>
        <v>0.38698452762202645</v>
      </c>
    </row>
    <row r="35" spans="1:11" s="1" customFormat="1" x14ac:dyDescent="0.2">
      <c r="A35" s="110" t="s">
        <v>96</v>
      </c>
      <c r="B35" s="74"/>
      <c r="C35" s="35"/>
      <c r="D35" s="35">
        <f>D30+D33</f>
        <v>73.840625999999986</v>
      </c>
      <c r="E35" s="73"/>
      <c r="F35" s="35"/>
      <c r="G35" s="35">
        <f>G30+G33</f>
        <v>74.91534</v>
      </c>
      <c r="H35" s="35">
        <f t="shared" si="2"/>
        <v>1.0747140000000144</v>
      </c>
      <c r="I35" s="36">
        <f t="shared" si="10"/>
        <v>1.4554508245908081E-2</v>
      </c>
      <c r="J35" s="36">
        <f t="shared" si="12"/>
        <v>0.38867860096261525</v>
      </c>
      <c r="K35" s="111">
        <f t="shared" si="13"/>
        <v>0.384071717150682</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2"/>
        <v>0</v>
      </c>
      <c r="I36" s="23">
        <f t="shared" si="10"/>
        <v>0</v>
      </c>
      <c r="J36" s="23">
        <f t="shared" si="12"/>
        <v>1.9929059148868545E-2</v>
      </c>
      <c r="K36" s="108">
        <f t="shared" si="13"/>
        <v>1.9692846350549829E-2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10"/>
        <v>0</v>
      </c>
      <c r="J37" s="23">
        <f t="shared" si="12"/>
        <v>1.1625284503506651E-2</v>
      </c>
      <c r="K37" s="108">
        <f t="shared" si="13"/>
        <v>1.14874937044874E-2</v>
      </c>
    </row>
    <row r="38" spans="1:11" x14ac:dyDescent="0.2">
      <c r="A38" s="107" t="s">
        <v>100</v>
      </c>
      <c r="B38" s="73">
        <f>B8</f>
        <v>1067</v>
      </c>
      <c r="C38" s="34">
        <v>0</v>
      </c>
      <c r="D38" s="22">
        <f>B38*C38</f>
        <v>0</v>
      </c>
      <c r="E38" s="73">
        <f t="shared" si="6"/>
        <v>1067</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1.2970594572574031E-3</v>
      </c>
      <c r="K39" s="108">
        <f t="shared" si="13"/>
        <v>1.2816858241272149E-3</v>
      </c>
    </row>
    <row r="40" spans="1:11" s="1" customFormat="1" x14ac:dyDescent="0.2">
      <c r="A40" s="110" t="s">
        <v>45</v>
      </c>
      <c r="B40" s="74"/>
      <c r="C40" s="35"/>
      <c r="D40" s="35">
        <f>SUM(D36:D39)</f>
        <v>6.3318999999999992</v>
      </c>
      <c r="E40" s="73"/>
      <c r="F40" s="35"/>
      <c r="G40" s="35">
        <f>SUM(G36:G39)</f>
        <v>6.3318999999999992</v>
      </c>
      <c r="H40" s="35">
        <f t="shared" si="2"/>
        <v>0</v>
      </c>
      <c r="I40" s="36">
        <f t="shared" si="10"/>
        <v>0</v>
      </c>
      <c r="J40" s="36">
        <f t="shared" si="12"/>
        <v>3.2851403109632596E-2</v>
      </c>
      <c r="K40" s="111">
        <f t="shared" si="13"/>
        <v>3.2462025879164441E-2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2"/>
        <v>0</v>
      </c>
      <c r="I41" s="117">
        <f t="shared" si="10"/>
        <v>0</v>
      </c>
      <c r="J41" s="117">
        <f t="shared" si="12"/>
        <v>3.6317664803207285E-2</v>
      </c>
      <c r="K41" s="118">
        <f t="shared" si="13"/>
        <v>3.5887203075562014E-2</v>
      </c>
    </row>
    <row r="42" spans="1:11" s="1" customFormat="1" x14ac:dyDescent="0.2">
      <c r="A42" s="37" t="s">
        <v>137</v>
      </c>
      <c r="B42" s="38"/>
      <c r="C42" s="39"/>
      <c r="D42" s="39">
        <f>SUM(D14,D25,D26,D27,D33,D40,D41)</f>
        <v>182.49068600000001</v>
      </c>
      <c r="E42" s="38"/>
      <c r="F42" s="39"/>
      <c r="G42" s="39">
        <f>SUM(G14,G25,G26,G27,G33,G40,G41)</f>
        <v>183.56539999999998</v>
      </c>
      <c r="H42" s="39">
        <f t="shared" si="2"/>
        <v>1.0747139999999717</v>
      </c>
      <c r="I42" s="40">
        <f t="shared" si="10"/>
        <v>5.8891443917306096E-3</v>
      </c>
      <c r="J42" s="40">
        <f t="shared" si="12"/>
        <v>0.95238095238095222</v>
      </c>
      <c r="K42" s="41"/>
    </row>
    <row r="43" spans="1:11" x14ac:dyDescent="0.2">
      <c r="A43" s="149" t="s">
        <v>138</v>
      </c>
      <c r="B43" s="43"/>
      <c r="C43" s="26">
        <v>0.13</v>
      </c>
      <c r="D43" s="26">
        <f>D42*C43</f>
        <v>23.723789180000001</v>
      </c>
      <c r="E43" s="26"/>
      <c r="F43" s="26">
        <f>C43</f>
        <v>0.13</v>
      </c>
      <c r="G43" s="26">
        <f>G42*F43</f>
        <v>23.863501999999997</v>
      </c>
      <c r="H43" s="26">
        <f t="shared" si="2"/>
        <v>0.13971281999999619</v>
      </c>
      <c r="I43" s="44">
        <f t="shared" si="10"/>
        <v>5.8891443917306035E-3</v>
      </c>
      <c r="J43" s="44">
        <f t="shared" si="12"/>
        <v>0.12380952380952379</v>
      </c>
      <c r="K43" s="45"/>
    </row>
    <row r="44" spans="1:11" s="1" customFormat="1" x14ac:dyDescent="0.2">
      <c r="A44" s="46" t="s">
        <v>139</v>
      </c>
      <c r="B44" s="24"/>
      <c r="C44" s="25"/>
      <c r="D44" s="25">
        <f>SUM(D42:D43)</f>
        <v>206.21447518000002</v>
      </c>
      <c r="E44" s="25"/>
      <c r="F44" s="25"/>
      <c r="G44" s="25">
        <f>SUM(G42:G43)</f>
        <v>207.42890199999999</v>
      </c>
      <c r="H44" s="25">
        <f t="shared" si="2"/>
        <v>1.2144268199999715</v>
      </c>
      <c r="I44" s="27">
        <f t="shared" si="10"/>
        <v>5.889144391730626E-3</v>
      </c>
      <c r="J44" s="27">
        <f t="shared" si="12"/>
        <v>1.0761904761904761</v>
      </c>
      <c r="K44" s="47"/>
    </row>
    <row r="45" spans="1:11" x14ac:dyDescent="0.2">
      <c r="A45" s="42" t="s">
        <v>140</v>
      </c>
      <c r="B45" s="43"/>
      <c r="C45" s="26">
        <v>-0.08</v>
      </c>
      <c r="D45" s="26">
        <f>D42*C45</f>
        <v>-14.599254880000002</v>
      </c>
      <c r="E45" s="26"/>
      <c r="F45" s="26">
        <f>C45</f>
        <v>-0.08</v>
      </c>
      <c r="G45" s="26">
        <f>G42*F45</f>
        <v>-14.685231999999999</v>
      </c>
      <c r="H45" s="26">
        <f t="shared" si="2"/>
        <v>-8.5977119999997242E-2</v>
      </c>
      <c r="I45" s="44">
        <f t="shared" si="10"/>
        <v>-5.8891443917305749E-3</v>
      </c>
      <c r="J45" s="44">
        <f t="shared" si="12"/>
        <v>-7.6190476190476183E-2</v>
      </c>
      <c r="K45" s="45"/>
    </row>
    <row r="46" spans="1:11" s="1" customFormat="1" ht="13.5" thickBot="1" x14ac:dyDescent="0.25">
      <c r="A46" s="48" t="s">
        <v>141</v>
      </c>
      <c r="B46" s="49"/>
      <c r="C46" s="50"/>
      <c r="D46" s="50">
        <f>SUM(D44:D45)</f>
        <v>191.61522030000003</v>
      </c>
      <c r="E46" s="50"/>
      <c r="F46" s="50"/>
      <c r="G46" s="50">
        <f>SUM(G44:G45)</f>
        <v>192.74367000000001</v>
      </c>
      <c r="H46" s="50">
        <f t="shared" si="2"/>
        <v>1.128449699999976</v>
      </c>
      <c r="I46" s="51">
        <f t="shared" si="10"/>
        <v>5.889144391730639E-3</v>
      </c>
      <c r="J46" s="51">
        <f t="shared" si="12"/>
        <v>1</v>
      </c>
      <c r="K46" s="52"/>
    </row>
    <row r="47" spans="1:11" x14ac:dyDescent="0.2">
      <c r="A47" s="53" t="s">
        <v>142</v>
      </c>
      <c r="B47" s="54"/>
      <c r="C47" s="55"/>
      <c r="D47" s="55">
        <f>SUM(D18,D25,D26,D28,D33,D40,D41)</f>
        <v>184.69252599999996</v>
      </c>
      <c r="E47" s="55"/>
      <c r="F47" s="55"/>
      <c r="G47" s="55">
        <f>SUM(G18,G25,G26,G28,G33,G40,G41)</f>
        <v>185.76723999999999</v>
      </c>
      <c r="H47" s="55">
        <f>G47-D47</f>
        <v>1.0747140000000286</v>
      </c>
      <c r="I47" s="56">
        <f t="shared" si="10"/>
        <v>5.8189360624155894E-3</v>
      </c>
      <c r="J47" s="56"/>
      <c r="K47" s="57">
        <f>G47/$G$51</f>
        <v>0.95238095238095233</v>
      </c>
    </row>
    <row r="48" spans="1:11" x14ac:dyDescent="0.2">
      <c r="A48" s="150" t="s">
        <v>138</v>
      </c>
      <c r="B48" s="59"/>
      <c r="C48" s="31">
        <v>0.13</v>
      </c>
      <c r="D48" s="31">
        <f>D47*C48</f>
        <v>24.010028379999994</v>
      </c>
      <c r="E48" s="31"/>
      <c r="F48" s="31">
        <f>C48</f>
        <v>0.13</v>
      </c>
      <c r="G48" s="31">
        <f>G47*F48</f>
        <v>24.149741199999998</v>
      </c>
      <c r="H48" s="31">
        <f>G48-D48</f>
        <v>0.13971282000000329</v>
      </c>
      <c r="I48" s="32">
        <f t="shared" si="10"/>
        <v>5.8189360624155712E-3</v>
      </c>
      <c r="J48" s="32"/>
      <c r="K48" s="60">
        <f>G48/$G$51</f>
        <v>0.1238095238095238</v>
      </c>
    </row>
    <row r="49" spans="1:11" x14ac:dyDescent="0.2">
      <c r="A49" s="140" t="s">
        <v>143</v>
      </c>
      <c r="B49" s="29"/>
      <c r="C49" s="30"/>
      <c r="D49" s="30">
        <f>SUM(D47:D48)</f>
        <v>208.70255437999995</v>
      </c>
      <c r="E49" s="30"/>
      <c r="F49" s="30"/>
      <c r="G49" s="30">
        <f>SUM(G47:G48)</f>
        <v>209.91698119999998</v>
      </c>
      <c r="H49" s="30">
        <f>G49-D49</f>
        <v>1.2144268200000283</v>
      </c>
      <c r="I49" s="33">
        <f t="shared" si="10"/>
        <v>5.8189360624155704E-3</v>
      </c>
      <c r="J49" s="33"/>
      <c r="K49" s="62">
        <f>G49/$G$51</f>
        <v>1.0761904761904761</v>
      </c>
    </row>
    <row r="50" spans="1:11" x14ac:dyDescent="0.2">
      <c r="A50" s="58" t="s">
        <v>140</v>
      </c>
      <c r="B50" s="59"/>
      <c r="C50" s="31">
        <v>-0.08</v>
      </c>
      <c r="D50" s="31">
        <f>D47*C50</f>
        <v>-14.775402079999997</v>
      </c>
      <c r="E50" s="31"/>
      <c r="F50" s="31">
        <f>C50</f>
        <v>-0.08</v>
      </c>
      <c r="G50" s="31">
        <f>G47*F50</f>
        <v>-14.8613792</v>
      </c>
      <c r="H50" s="31">
        <f>G50-D50</f>
        <v>-8.5977120000002571E-2</v>
      </c>
      <c r="I50" s="32">
        <f t="shared" si="10"/>
        <v>-5.8189360624156085E-3</v>
      </c>
      <c r="J50" s="32"/>
      <c r="K50" s="60">
        <f>G50/$G$51</f>
        <v>-7.6190476190476197E-2</v>
      </c>
    </row>
    <row r="51" spans="1:11" ht="13.5" thickBot="1" x14ac:dyDescent="0.25">
      <c r="A51" s="63" t="s">
        <v>144</v>
      </c>
      <c r="B51" s="64"/>
      <c r="C51" s="65"/>
      <c r="D51" s="65">
        <f>SUM(D49:D50)</f>
        <v>193.92715229999996</v>
      </c>
      <c r="E51" s="65"/>
      <c r="F51" s="65"/>
      <c r="G51" s="65">
        <f>SUM(G49:G50)</f>
        <v>195.05560199999999</v>
      </c>
      <c r="H51" s="65">
        <f>G51-D51</f>
        <v>1.1284497000000329</v>
      </c>
      <c r="I51" s="66">
        <f t="shared" si="10"/>
        <v>5.8189360624156033E-3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1" tint="0.499984740745262"/>
    <pageSetUpPr fitToPage="1"/>
  </sheetPr>
  <dimension ref="A1:K68"/>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89</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0.18477310431322963</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6" si="2">G13-D13</f>
        <v>0</v>
      </c>
      <c r="I13" s="23">
        <f t="shared" si="0"/>
        <v>0</v>
      </c>
      <c r="J13" s="23">
        <f>G13/$G$46</f>
        <v>0.35871701569967662</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0.5434901200129062</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6" si="4">G15/$G$51</f>
        <v>0.27637938826688713</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0.10607888209004798</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0.15605357667177283</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5">G18/$G$46</f>
        <v>0.52803144710992389</v>
      </c>
      <c r="K18" s="62">
        <f t="shared" si="4"/>
        <v>0.53851184702870791</v>
      </c>
    </row>
    <row r="19" spans="1:11" x14ac:dyDescent="0.2">
      <c r="A19" s="107" t="s">
        <v>38</v>
      </c>
      <c r="B19" s="73">
        <v>1</v>
      </c>
      <c r="C19" s="78">
        <f>VLOOKUP($B$3,'Data for Bill Impacts'!$A$3:$Y$15,7,0)</f>
        <v>25.1</v>
      </c>
      <c r="D19" s="22">
        <f>B19*C19</f>
        <v>25.1</v>
      </c>
      <c r="E19" s="73">
        <f t="shared" ref="E19:E41" si="6">B19</f>
        <v>1</v>
      </c>
      <c r="F19" s="78">
        <f>VLOOKUP($B$3,'Data for Bill Impacts'!$A$3:$Y$15,17,0)</f>
        <v>25.55</v>
      </c>
      <c r="G19" s="22">
        <f>E19*F19</f>
        <v>25.55</v>
      </c>
      <c r="H19" s="22">
        <f t="shared" si="2"/>
        <v>0.44999999999999929</v>
      </c>
      <c r="I19" s="23">
        <f>IF(ISERROR(H19/ABS(D19)),"N/A",(H19/ABS(D19)))</f>
        <v>1.7928286852589612E-2</v>
      </c>
      <c r="J19" s="23">
        <f t="shared" si="5"/>
        <v>6.917146981982443E-2</v>
      </c>
      <c r="K19" s="108">
        <f t="shared" si="4"/>
        <v>7.0544389312876779E-2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8.0000000000000002E-3</v>
      </c>
      <c r="D22" s="22">
        <f t="shared" si="9"/>
        <v>8.0000000000000002E-3</v>
      </c>
      <c r="E22" s="73">
        <f t="shared" si="6"/>
        <v>1</v>
      </c>
      <c r="F22" s="121">
        <f>VLOOKUP($B$3,'Data for Bill Impacts'!$A$3:$Y$15,22,0)</f>
        <v>8.0000000000000002E-3</v>
      </c>
      <c r="G22" s="22">
        <f t="shared" si="7"/>
        <v>8.0000000000000002E-3</v>
      </c>
      <c r="H22" s="22">
        <f t="shared" si="2"/>
        <v>0</v>
      </c>
      <c r="I22" s="23">
        <f t="shared" ref="I22:I51" si="10">IF(ISERROR(H22/ABS(D22)),"N/A",(H22/ABS(D22)))</f>
        <v>0</v>
      </c>
      <c r="J22" s="23">
        <f t="shared" si="5"/>
        <v>2.1658385853565379E-5</v>
      </c>
      <c r="K22" s="108">
        <f t="shared" si="4"/>
        <v>2.2088262798552416E-5</v>
      </c>
    </row>
    <row r="23" spans="1:11" x14ac:dyDescent="0.2">
      <c r="A23" s="107" t="s">
        <v>39</v>
      </c>
      <c r="B23" s="73">
        <f>IF($B$9="kWh",$B$4,$B$5)</f>
        <v>2000</v>
      </c>
      <c r="C23" s="125">
        <f>VLOOKUP($B$3,'Data for Bill Impacts'!$A$3:$Y$15,10,0)</f>
        <v>2.9899999999999999E-2</v>
      </c>
      <c r="D23" s="22">
        <f>B23*C23</f>
        <v>59.8</v>
      </c>
      <c r="E23" s="73">
        <f t="shared" si="6"/>
        <v>2000</v>
      </c>
      <c r="F23" s="78">
        <f>VLOOKUP($B$3,'Data for Bill Impacts'!$A$3:$Y$15,19,0)</f>
        <v>3.0800000000000001E-2</v>
      </c>
      <c r="G23" s="22">
        <f>E23*F23</f>
        <v>61.6</v>
      </c>
      <c r="H23" s="22">
        <f t="shared" si="2"/>
        <v>1.8000000000000043</v>
      </c>
      <c r="I23" s="23">
        <f t="shared" si="10"/>
        <v>3.0100334448160609E-2</v>
      </c>
      <c r="J23" s="23">
        <f t="shared" si="5"/>
        <v>0.16676957107245344</v>
      </c>
      <c r="K23" s="108">
        <f t="shared" si="4"/>
        <v>0.17007962354885361</v>
      </c>
    </row>
    <row r="24" spans="1:11" x14ac:dyDescent="0.2">
      <c r="A24" s="107" t="s">
        <v>199</v>
      </c>
      <c r="B24" s="73">
        <f>IF($B$9="kWh",$B$4,$B$5)</f>
        <v>2000</v>
      </c>
      <c r="C24" s="125">
        <f>VLOOKUP($B$3,'Data for Bill Impacts'!$A$3:$Y$15,14,0)</f>
        <v>3.0000000000000004E-5</v>
      </c>
      <c r="D24" s="34">
        <f>B24*C24</f>
        <v>6.0000000000000012E-2</v>
      </c>
      <c r="E24" s="73">
        <f t="shared" si="6"/>
        <v>2000</v>
      </c>
      <c r="F24" s="125">
        <f>VLOOKUP($B$3,'Data for Bill Impacts'!$A$3:$Y$15,23,0)</f>
        <v>3.0000000000000004E-5</v>
      </c>
      <c r="G24" s="34">
        <f>E24*F24</f>
        <v>6.0000000000000012E-2</v>
      </c>
      <c r="H24" s="22">
        <f t="shared" si="2"/>
        <v>0</v>
      </c>
      <c r="I24" s="23">
        <f t="shared" si="10"/>
        <v>0</v>
      </c>
      <c r="J24" s="23">
        <f t="shared" ref="J24" si="11">G24/$G$46</f>
        <v>1.6243789390174037E-4</v>
      </c>
      <c r="K24" s="108">
        <f t="shared" si="4"/>
        <v>1.6566197098914315E-4</v>
      </c>
    </row>
    <row r="25" spans="1:11" s="1" customFormat="1" x14ac:dyDescent="0.2">
      <c r="A25" s="110" t="s">
        <v>72</v>
      </c>
      <c r="B25" s="74"/>
      <c r="C25" s="35"/>
      <c r="D25" s="35">
        <f>SUM(D19:D24)</f>
        <v>84.968000000000004</v>
      </c>
      <c r="E25" s="73"/>
      <c r="F25" s="35"/>
      <c r="G25" s="35">
        <f>SUM(G19:G24)</f>
        <v>87.218000000000004</v>
      </c>
      <c r="H25" s="35">
        <f t="shared" si="2"/>
        <v>2.25</v>
      </c>
      <c r="I25" s="36">
        <f t="shared" si="10"/>
        <v>2.6480557386310138E-2</v>
      </c>
      <c r="J25" s="36">
        <f>G25/$G$46</f>
        <v>0.23612513717203318</v>
      </c>
      <c r="K25" s="111">
        <f t="shared" si="4"/>
        <v>0.24081176309551811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2.1387656030395813E-3</v>
      </c>
      <c r="K26" s="108">
        <f t="shared" si="4"/>
        <v>2.1812159513570511E-3</v>
      </c>
    </row>
    <row r="27" spans="1:11" s="1" customFormat="1" x14ac:dyDescent="0.2">
      <c r="A27" s="119" t="s">
        <v>75</v>
      </c>
      <c r="B27" s="120">
        <f>B8-B4</f>
        <v>134</v>
      </c>
      <c r="C27" s="257">
        <f>IF(B4&gt;B7,C13,C12)</f>
        <v>0.106</v>
      </c>
      <c r="D27" s="22">
        <f>B27*C27</f>
        <v>14.203999999999999</v>
      </c>
      <c r="E27" s="73">
        <f>B27</f>
        <v>134</v>
      </c>
      <c r="F27" s="257">
        <f>C27</f>
        <v>0.106</v>
      </c>
      <c r="G27" s="22">
        <f>E27*F27</f>
        <v>14.203999999999999</v>
      </c>
      <c r="H27" s="22">
        <f t="shared" si="2"/>
        <v>0</v>
      </c>
      <c r="I27" s="23">
        <f t="shared" si="10"/>
        <v>0</v>
      </c>
      <c r="J27" s="23">
        <f t="shared" ref="J27:J46" si="12">G27/$G$46</f>
        <v>3.8454464083005326E-2</v>
      </c>
      <c r="K27" s="108">
        <f t="shared" ref="K27:K41" si="13">G27/$G$51</f>
        <v>3.9217710598829815E-2</v>
      </c>
    </row>
    <row r="28" spans="1:11" s="1" customFormat="1" x14ac:dyDescent="0.2">
      <c r="A28" s="119" t="s">
        <v>74</v>
      </c>
      <c r="B28" s="120">
        <f>B8-B4</f>
        <v>134</v>
      </c>
      <c r="C28" s="257">
        <f>0.65*C15+0.17*C16+0.18*C17</f>
        <v>9.7519999999999996E-2</v>
      </c>
      <c r="D28" s="22">
        <f>B28*C28</f>
        <v>13.067679999999999</v>
      </c>
      <c r="E28" s="73">
        <f>B28</f>
        <v>134</v>
      </c>
      <c r="F28" s="257">
        <f>C28</f>
        <v>9.7519999999999996E-2</v>
      </c>
      <c r="G28" s="22">
        <f>E28*F28</f>
        <v>13.067679999999999</v>
      </c>
      <c r="H28" s="22">
        <f t="shared" si="2"/>
        <v>0</v>
      </c>
      <c r="I28" s="23">
        <f t="shared" si="10"/>
        <v>0</v>
      </c>
      <c r="J28" s="23">
        <f t="shared" si="12"/>
        <v>3.5378106956364903E-2</v>
      </c>
      <c r="K28" s="108">
        <f t="shared" si="13"/>
        <v>3.6080293750923427E-2</v>
      </c>
    </row>
    <row r="29" spans="1:11" s="1" customFormat="1" x14ac:dyDescent="0.2">
      <c r="A29" s="110" t="s">
        <v>78</v>
      </c>
      <c r="B29" s="74"/>
      <c r="C29" s="35"/>
      <c r="D29" s="35">
        <f>SUM(D25,D26:D27)</f>
        <v>99.962000000000003</v>
      </c>
      <c r="E29" s="73"/>
      <c r="F29" s="35"/>
      <c r="G29" s="35">
        <f>SUM(G25,G26:G27)</f>
        <v>102.212</v>
      </c>
      <c r="H29" s="35">
        <f t="shared" si="2"/>
        <v>2.25</v>
      </c>
      <c r="I29" s="36">
        <f t="shared" si="10"/>
        <v>2.250855325023509E-2</v>
      </c>
      <c r="J29" s="36">
        <f t="shared" si="12"/>
        <v>0.2767183668580781</v>
      </c>
      <c r="K29" s="111">
        <f t="shared" si="13"/>
        <v>0.28221068964570495</v>
      </c>
    </row>
    <row r="30" spans="1:11" s="1" customFormat="1" x14ac:dyDescent="0.2">
      <c r="A30" s="110" t="s">
        <v>77</v>
      </c>
      <c r="B30" s="74"/>
      <c r="C30" s="35"/>
      <c r="D30" s="35">
        <f>SUM(D25,D26,D28)</f>
        <v>98.825680000000006</v>
      </c>
      <c r="E30" s="73"/>
      <c r="F30" s="35"/>
      <c r="G30" s="35">
        <f>SUM(G25,G26,G28)</f>
        <v>101.07568000000001</v>
      </c>
      <c r="H30" s="35">
        <f t="shared" si="2"/>
        <v>2.25</v>
      </c>
      <c r="I30" s="36">
        <f t="shared" si="10"/>
        <v>2.2767361681700543E-2</v>
      </c>
      <c r="J30" s="36">
        <f t="shared" si="12"/>
        <v>0.27364200973143765</v>
      </c>
      <c r="K30" s="111">
        <f t="shared" si="13"/>
        <v>0.27907327279779859</v>
      </c>
    </row>
    <row r="31" spans="1:11" x14ac:dyDescent="0.2">
      <c r="A31" s="107" t="s">
        <v>40</v>
      </c>
      <c r="B31" s="73">
        <f>B8</f>
        <v>2134</v>
      </c>
      <c r="C31" s="125">
        <f>VLOOKUP($B$3,'Data for Bill Impacts'!$A$3:$Y$15,15,0)</f>
        <v>6.1060000000000003E-3</v>
      </c>
      <c r="D31" s="22">
        <f>B31*C31</f>
        <v>13.030204000000001</v>
      </c>
      <c r="E31" s="73">
        <f t="shared" si="6"/>
        <v>2134</v>
      </c>
      <c r="F31" s="78">
        <f>VLOOKUP($B$3,'Data for Bill Impacts'!$A$3:$Y$15,24,0)</f>
        <v>5.7999999999999996E-3</v>
      </c>
      <c r="G31" s="22">
        <f>E31*F31</f>
        <v>12.377199999999998</v>
      </c>
      <c r="H31" s="22">
        <f t="shared" si="2"/>
        <v>-0.6530040000000028</v>
      </c>
      <c r="I31" s="23">
        <f t="shared" si="10"/>
        <v>-5.0114641336390646E-2</v>
      </c>
      <c r="J31" s="23">
        <f t="shared" si="12"/>
        <v>3.3508771673343672E-2</v>
      </c>
      <c r="K31" s="108">
        <f t="shared" si="13"/>
        <v>3.417385578878037E-2</v>
      </c>
    </row>
    <row r="32" spans="1:11" x14ac:dyDescent="0.2">
      <c r="A32" s="107" t="s">
        <v>41</v>
      </c>
      <c r="B32" s="73">
        <f>B8</f>
        <v>2134</v>
      </c>
      <c r="C32" s="125">
        <f>VLOOKUP($B$3,'Data for Bill Impacts'!$A$3:$Y$15,16,0)</f>
        <v>4.6519999999999999E-3</v>
      </c>
      <c r="D32" s="22">
        <f>B32*C32</f>
        <v>9.9273679999999995</v>
      </c>
      <c r="E32" s="73">
        <f t="shared" si="6"/>
        <v>2134</v>
      </c>
      <c r="F32" s="78">
        <f>VLOOKUP($B$3,'Data for Bill Impacts'!$A$3:$Y$15,25,0)</f>
        <v>4.7000000000000002E-3</v>
      </c>
      <c r="G32" s="22">
        <f>E32*F32</f>
        <v>10.0298</v>
      </c>
      <c r="H32" s="22">
        <f t="shared" si="2"/>
        <v>0.1024320000000003</v>
      </c>
      <c r="I32" s="23">
        <f t="shared" si="10"/>
        <v>1.0318142734307855E-2</v>
      </c>
      <c r="J32" s="23">
        <f t="shared" si="12"/>
        <v>2.7153659804261255E-2</v>
      </c>
      <c r="K32" s="108">
        <f t="shared" si="13"/>
        <v>2.7692607277115127E-2</v>
      </c>
    </row>
    <row r="33" spans="1:11" s="1" customFormat="1" x14ac:dyDescent="0.2">
      <c r="A33" s="110" t="s">
        <v>76</v>
      </c>
      <c r="B33" s="74"/>
      <c r="C33" s="35"/>
      <c r="D33" s="35">
        <f>SUM(D31:D32)</f>
        <v>22.957571999999999</v>
      </c>
      <c r="E33" s="73"/>
      <c r="F33" s="35"/>
      <c r="G33" s="35">
        <f>SUM(G31:G32)</f>
        <v>22.406999999999996</v>
      </c>
      <c r="H33" s="35">
        <f t="shared" si="2"/>
        <v>-0.5505720000000025</v>
      </c>
      <c r="I33" s="36">
        <f t="shared" si="10"/>
        <v>-2.3982152816508756E-2</v>
      </c>
      <c r="J33" s="36">
        <f t="shared" si="12"/>
        <v>6.0662431477604924E-2</v>
      </c>
      <c r="K33" s="111">
        <f t="shared" si="13"/>
        <v>6.1866463065895494E-2</v>
      </c>
    </row>
    <row r="34" spans="1:11" s="1" customFormat="1" ht="13.5" customHeight="1" x14ac:dyDescent="0.2">
      <c r="A34" s="110" t="s">
        <v>95</v>
      </c>
      <c r="B34" s="74"/>
      <c r="C34" s="35"/>
      <c r="D34" s="35">
        <f>D29+D33</f>
        <v>122.919572</v>
      </c>
      <c r="E34" s="73"/>
      <c r="F34" s="35"/>
      <c r="G34" s="35">
        <f>G29+G33</f>
        <v>124.619</v>
      </c>
      <c r="H34" s="35">
        <f t="shared" si="2"/>
        <v>1.6994279999999975</v>
      </c>
      <c r="I34" s="36">
        <f t="shared" si="10"/>
        <v>1.3825528126635501E-2</v>
      </c>
      <c r="J34" s="36">
        <f t="shared" si="12"/>
        <v>0.33738079833568302</v>
      </c>
      <c r="K34" s="111">
        <f t="shared" si="13"/>
        <v>0.34407715271160044</v>
      </c>
    </row>
    <row r="35" spans="1:11" s="1" customFormat="1" ht="13.5" customHeight="1" x14ac:dyDescent="0.2">
      <c r="A35" s="110" t="s">
        <v>96</v>
      </c>
      <c r="B35" s="74"/>
      <c r="C35" s="35"/>
      <c r="D35" s="35">
        <f>D30+D33</f>
        <v>121.783252</v>
      </c>
      <c r="E35" s="73"/>
      <c r="F35" s="35"/>
      <c r="G35" s="35">
        <f>G30+G33</f>
        <v>123.48268</v>
      </c>
      <c r="H35" s="35">
        <f t="shared" si="2"/>
        <v>1.6994279999999975</v>
      </c>
      <c r="I35" s="36">
        <f t="shared" si="10"/>
        <v>1.3954529642548858E-2</v>
      </c>
      <c r="J35" s="36">
        <f t="shared" si="12"/>
        <v>0.33430444120904257</v>
      </c>
      <c r="K35" s="111">
        <f t="shared" si="13"/>
        <v>0.34093973586369408</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2"/>
        <v>0</v>
      </c>
      <c r="I36" s="23">
        <f t="shared" si="10"/>
        <v>0</v>
      </c>
      <c r="J36" s="23">
        <f t="shared" si="12"/>
        <v>2.0798547935178831E-2</v>
      </c>
      <c r="K36" s="108">
        <f t="shared" si="13"/>
        <v>2.1211358765449884E-2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10"/>
        <v>0</v>
      </c>
      <c r="J37" s="23">
        <f t="shared" si="12"/>
        <v>1.2132486295520986E-2</v>
      </c>
      <c r="K37" s="108">
        <f t="shared" si="13"/>
        <v>1.2373292613179101E-2</v>
      </c>
    </row>
    <row r="38" spans="1:11" x14ac:dyDescent="0.2">
      <c r="A38" s="107" t="s">
        <v>100</v>
      </c>
      <c r="B38" s="73">
        <f>B8</f>
        <v>2134</v>
      </c>
      <c r="C38" s="34">
        <v>0</v>
      </c>
      <c r="D38" s="22">
        <f>B38*C38</f>
        <v>0</v>
      </c>
      <c r="E38" s="73">
        <f t="shared" si="6"/>
        <v>2134</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6.7682455792391813E-4</v>
      </c>
      <c r="K39" s="108">
        <f t="shared" si="13"/>
        <v>6.90258212454763E-4</v>
      </c>
    </row>
    <row r="40" spans="1:11" s="1" customFormat="1" x14ac:dyDescent="0.2">
      <c r="A40" s="110" t="s">
        <v>45</v>
      </c>
      <c r="B40" s="74"/>
      <c r="C40" s="35"/>
      <c r="D40" s="35">
        <f>SUM(D36:D39)</f>
        <v>12.413799999999998</v>
      </c>
      <c r="E40" s="73"/>
      <c r="F40" s="35"/>
      <c r="G40" s="35">
        <f>SUM(G36:G39)</f>
        <v>12.413799999999998</v>
      </c>
      <c r="H40" s="35">
        <f t="shared" si="2"/>
        <v>0</v>
      </c>
      <c r="I40" s="36">
        <f t="shared" si="10"/>
        <v>0</v>
      </c>
      <c r="J40" s="36">
        <f t="shared" si="12"/>
        <v>3.3607858788623733E-2</v>
      </c>
      <c r="K40" s="111">
        <f t="shared" si="13"/>
        <v>3.4274909591083744E-2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2"/>
        <v>0</v>
      </c>
      <c r="I41" s="117">
        <f t="shared" si="10"/>
        <v>0</v>
      </c>
      <c r="J41" s="117">
        <f t="shared" si="12"/>
        <v>3.7902175243739414E-2</v>
      </c>
      <c r="K41" s="118">
        <f t="shared" si="13"/>
        <v>3.8654459897466728E-2</v>
      </c>
    </row>
    <row r="42" spans="1:11" s="1" customFormat="1" x14ac:dyDescent="0.2">
      <c r="A42" s="37" t="s">
        <v>137</v>
      </c>
      <c r="B42" s="38"/>
      <c r="C42" s="39"/>
      <c r="D42" s="39">
        <f>SUM(D14,D25,D26,D27,D33,D40,D41)</f>
        <v>350.083372</v>
      </c>
      <c r="E42" s="38"/>
      <c r="F42" s="39"/>
      <c r="G42" s="39">
        <f>SUM(G14,G25,G26,G27,G33,G40,G41)</f>
        <v>351.78280000000001</v>
      </c>
      <c r="H42" s="39">
        <f t="shared" si="2"/>
        <v>1.6994280000000117</v>
      </c>
      <c r="I42" s="40">
        <f t="shared" si="10"/>
        <v>4.8543522369865989E-3</v>
      </c>
      <c r="J42" s="40">
        <f t="shared" si="12"/>
        <v>0.95238095238095244</v>
      </c>
      <c r="K42" s="41"/>
    </row>
    <row r="43" spans="1:11" x14ac:dyDescent="0.2">
      <c r="A43" s="149" t="s">
        <v>138</v>
      </c>
      <c r="B43" s="43"/>
      <c r="C43" s="26">
        <v>0.13</v>
      </c>
      <c r="D43" s="26">
        <f>D42*C43</f>
        <v>45.510838360000001</v>
      </c>
      <c r="E43" s="26"/>
      <c r="F43" s="26">
        <f>C43</f>
        <v>0.13</v>
      </c>
      <c r="G43" s="26">
        <f>G42*F43</f>
        <v>45.731764000000005</v>
      </c>
      <c r="H43" s="26">
        <f t="shared" si="2"/>
        <v>0.22092564000000436</v>
      </c>
      <c r="I43" s="44">
        <f t="shared" si="10"/>
        <v>4.8543522369866613E-3</v>
      </c>
      <c r="J43" s="44">
        <f t="shared" si="12"/>
        <v>0.12380952380952383</v>
      </c>
      <c r="K43" s="45"/>
    </row>
    <row r="44" spans="1:11" s="1" customFormat="1" x14ac:dyDescent="0.2">
      <c r="A44" s="46" t="s">
        <v>139</v>
      </c>
      <c r="B44" s="24"/>
      <c r="C44" s="25"/>
      <c r="D44" s="25">
        <f>SUM(D42:D43)</f>
        <v>395.59421035999998</v>
      </c>
      <c r="E44" s="25"/>
      <c r="F44" s="25"/>
      <c r="G44" s="25">
        <f>SUM(G42:G43)</f>
        <v>397.51456400000001</v>
      </c>
      <c r="H44" s="25">
        <f t="shared" si="2"/>
        <v>1.9203536400000303</v>
      </c>
      <c r="I44" s="27">
        <f t="shared" si="10"/>
        <v>4.8543522369866423E-3</v>
      </c>
      <c r="J44" s="27">
        <f t="shared" si="12"/>
        <v>1.0761904761904761</v>
      </c>
      <c r="K44" s="47"/>
    </row>
    <row r="45" spans="1:11" x14ac:dyDescent="0.2">
      <c r="A45" s="42" t="s">
        <v>140</v>
      </c>
      <c r="B45" s="43"/>
      <c r="C45" s="26">
        <v>-0.08</v>
      </c>
      <c r="D45" s="26">
        <f>D42*C45</f>
        <v>-28.006669760000001</v>
      </c>
      <c r="E45" s="26"/>
      <c r="F45" s="26">
        <f>C45</f>
        <v>-0.08</v>
      </c>
      <c r="G45" s="26">
        <f>G42*F45</f>
        <v>-28.142624000000001</v>
      </c>
      <c r="H45" s="26">
        <f t="shared" si="2"/>
        <v>-0.13595424000000023</v>
      </c>
      <c r="I45" s="44">
        <f t="shared" si="10"/>
        <v>-4.8543522369865737E-3</v>
      </c>
      <c r="J45" s="44">
        <f t="shared" si="12"/>
        <v>-7.6190476190476197E-2</v>
      </c>
      <c r="K45" s="45"/>
    </row>
    <row r="46" spans="1:11" s="1" customFormat="1" ht="13.5" thickBot="1" x14ac:dyDescent="0.25">
      <c r="A46" s="48" t="s">
        <v>141</v>
      </c>
      <c r="B46" s="49"/>
      <c r="C46" s="50"/>
      <c r="D46" s="50">
        <f>SUM(D44:D45)</f>
        <v>367.58754059999995</v>
      </c>
      <c r="E46" s="50"/>
      <c r="F46" s="50"/>
      <c r="G46" s="50">
        <f>SUM(G44:G45)</f>
        <v>369.37194</v>
      </c>
      <c r="H46" s="50">
        <f t="shared" si="2"/>
        <v>1.7843994000000407</v>
      </c>
      <c r="I46" s="51">
        <f t="shared" si="10"/>
        <v>4.854352236986677E-3</v>
      </c>
      <c r="J46" s="51">
        <f t="shared" si="12"/>
        <v>1</v>
      </c>
      <c r="K46" s="52"/>
    </row>
    <row r="47" spans="1:11" x14ac:dyDescent="0.2">
      <c r="A47" s="53" t="s">
        <v>142</v>
      </c>
      <c r="B47" s="54"/>
      <c r="C47" s="55"/>
      <c r="D47" s="55">
        <f>SUM(D18,D25,D26,D28,D33,D40,D41)</f>
        <v>343.23705200000001</v>
      </c>
      <c r="E47" s="55"/>
      <c r="F47" s="55"/>
      <c r="G47" s="55">
        <f>SUM(G18,G25,G26,G28,G33,G40,G41)</f>
        <v>344.93647999999996</v>
      </c>
      <c r="H47" s="55">
        <f>G47-D47</f>
        <v>1.6994279999999549</v>
      </c>
      <c r="I47" s="56">
        <f t="shared" si="10"/>
        <v>4.9511787556081061E-3</v>
      </c>
      <c r="J47" s="56"/>
      <c r="K47" s="57">
        <f>G47/$G$51</f>
        <v>0.95238095238095233</v>
      </c>
    </row>
    <row r="48" spans="1:11" x14ac:dyDescent="0.2">
      <c r="A48" s="58" t="s">
        <v>138</v>
      </c>
      <c r="B48" s="59"/>
      <c r="C48" s="31">
        <v>0.13</v>
      </c>
      <c r="D48" s="31">
        <f>D47*C48</f>
        <v>44.620816760000004</v>
      </c>
      <c r="E48" s="31"/>
      <c r="F48" s="31">
        <f>C48</f>
        <v>0.13</v>
      </c>
      <c r="G48" s="31">
        <f>G47*F48</f>
        <v>44.841742399999994</v>
      </c>
      <c r="H48" s="31">
        <f>G48-D48</f>
        <v>0.22092563999999015</v>
      </c>
      <c r="I48" s="32">
        <f t="shared" si="10"/>
        <v>4.9511787556080168E-3</v>
      </c>
      <c r="J48" s="32"/>
      <c r="K48" s="60">
        <f>G48/$G$51</f>
        <v>0.1238095238095238</v>
      </c>
    </row>
    <row r="49" spans="1:11" x14ac:dyDescent="0.2">
      <c r="A49" s="140" t="s">
        <v>143</v>
      </c>
      <c r="B49" s="29"/>
      <c r="C49" s="30"/>
      <c r="D49" s="30">
        <f>SUM(D47:D48)</f>
        <v>387.85786876000003</v>
      </c>
      <c r="E49" s="30"/>
      <c r="F49" s="30"/>
      <c r="G49" s="30">
        <f>SUM(G47:G48)</f>
        <v>389.77822239999995</v>
      </c>
      <c r="H49" s="30">
        <f>G49-D49</f>
        <v>1.9203536399999166</v>
      </c>
      <c r="I49" s="33">
        <f t="shared" si="10"/>
        <v>4.951178755608022E-3</v>
      </c>
      <c r="J49" s="33"/>
      <c r="K49" s="62">
        <f>G49/$G$51</f>
        <v>1.0761904761904761</v>
      </c>
    </row>
    <row r="50" spans="1:11" x14ac:dyDescent="0.2">
      <c r="A50" s="58" t="s">
        <v>140</v>
      </c>
      <c r="B50" s="59"/>
      <c r="C50" s="31">
        <v>-0.08</v>
      </c>
      <c r="D50" s="31">
        <f>D47*C50</f>
        <v>-27.458964160000001</v>
      </c>
      <c r="E50" s="31"/>
      <c r="F50" s="31">
        <f>C50</f>
        <v>-0.08</v>
      </c>
      <c r="G50" s="31">
        <f>G47*F50</f>
        <v>-27.594918399999997</v>
      </c>
      <c r="H50" s="31">
        <f>G50-D50</f>
        <v>-0.13595423999999667</v>
      </c>
      <c r="I50" s="32">
        <f t="shared" si="10"/>
        <v>-4.9511787556081165E-3</v>
      </c>
      <c r="J50" s="32"/>
      <c r="K50" s="60">
        <f>G50/$G$51</f>
        <v>-7.6190476190476197E-2</v>
      </c>
    </row>
    <row r="51" spans="1:11" ht="13.5" thickBot="1" x14ac:dyDescent="0.25">
      <c r="A51" s="63" t="s">
        <v>144</v>
      </c>
      <c r="B51" s="64"/>
      <c r="C51" s="65"/>
      <c r="D51" s="65">
        <f>SUM(D49:D50)</f>
        <v>360.39890460000004</v>
      </c>
      <c r="E51" s="65"/>
      <c r="F51" s="65"/>
      <c r="G51" s="65">
        <f>SUM(G49:G50)</f>
        <v>362.18330399999996</v>
      </c>
      <c r="H51" s="65">
        <f>G51-D51</f>
        <v>1.784399399999927</v>
      </c>
      <c r="I51" s="66">
        <f t="shared" si="10"/>
        <v>4.951178755608035E-3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theme="1" tint="0.499984740745262"/>
    <pageSetUpPr fitToPage="1"/>
  </sheetPr>
  <dimension ref="A1:K68"/>
  <sheetViews>
    <sheetView tabSelected="1" topLeftCell="A19"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89</v>
      </c>
    </row>
    <row r="4" spans="1:11" x14ac:dyDescent="0.2">
      <c r="A4" s="15" t="s">
        <v>62</v>
      </c>
      <c r="B4" s="79">
        <f>'Data for Bill Impacts_HONI Avg '!C8</f>
        <v>2759</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2943.8530000000001</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0.13556923668103776</v>
      </c>
      <c r="K12" s="106"/>
    </row>
    <row r="13" spans="1:11" x14ac:dyDescent="0.2">
      <c r="A13" s="107" t="s">
        <v>32</v>
      </c>
      <c r="B13" s="73">
        <f>IF(B4&gt;B7,(B4)-B7,0)</f>
        <v>2009</v>
      </c>
      <c r="C13" s="21">
        <v>0.106</v>
      </c>
      <c r="D13" s="22">
        <f>B13*C13</f>
        <v>212.95400000000001</v>
      </c>
      <c r="E13" s="73">
        <f t="shared" ref="E13" si="1">B13</f>
        <v>2009</v>
      </c>
      <c r="F13" s="21">
        <f>C13</f>
        <v>0.106</v>
      </c>
      <c r="G13" s="22">
        <f>E13*F13</f>
        <v>212.95400000000001</v>
      </c>
      <c r="H13" s="22">
        <f t="shared" ref="H13:H46" si="2">G13-D13</f>
        <v>0</v>
      </c>
      <c r="I13" s="23">
        <f t="shared" si="0"/>
        <v>0</v>
      </c>
      <c r="J13" s="23">
        <f>G13/$G$46</f>
        <v>0.42300382751902882</v>
      </c>
      <c r="K13" s="108"/>
    </row>
    <row r="14" spans="1:11" s="1" customFormat="1" x14ac:dyDescent="0.2">
      <c r="A14" s="46" t="s">
        <v>33</v>
      </c>
      <c r="B14" s="24"/>
      <c r="C14" s="25"/>
      <c r="D14" s="25">
        <f>SUM(D12:D13)</f>
        <v>281.20400000000001</v>
      </c>
      <c r="E14" s="76"/>
      <c r="F14" s="25"/>
      <c r="G14" s="25">
        <f>SUM(G12:G13)</f>
        <v>281.20400000000001</v>
      </c>
      <c r="H14" s="25">
        <f t="shared" si="2"/>
        <v>0</v>
      </c>
      <c r="I14" s="27">
        <f t="shared" si="0"/>
        <v>0</v>
      </c>
      <c r="J14" s="27">
        <f>G14/$G$46</f>
        <v>0.55857306420006658</v>
      </c>
      <c r="K14" s="108"/>
    </row>
    <row r="15" spans="1:11" s="1" customFormat="1" x14ac:dyDescent="0.2">
      <c r="A15" s="109" t="s">
        <v>34</v>
      </c>
      <c r="B15" s="75">
        <f>B4*0.65</f>
        <v>1793.3500000000001</v>
      </c>
      <c r="C15" s="28">
        <v>7.6999999999999999E-2</v>
      </c>
      <c r="D15" s="22">
        <f>B15*C15</f>
        <v>138.08795000000001</v>
      </c>
      <c r="E15" s="73">
        <f t="shared" ref="E15:F17" si="3">B15</f>
        <v>1793.3500000000001</v>
      </c>
      <c r="F15" s="28">
        <f t="shared" si="3"/>
        <v>7.6999999999999999E-2</v>
      </c>
      <c r="G15" s="22">
        <f>E15*F15</f>
        <v>138.08795000000001</v>
      </c>
      <c r="H15" s="22">
        <f t="shared" si="2"/>
        <v>0</v>
      </c>
      <c r="I15" s="23">
        <f t="shared" si="0"/>
        <v>0</v>
      </c>
      <c r="J15" s="23"/>
      <c r="K15" s="108">
        <f t="shared" ref="K15:K26" si="4">G15/$G$51</f>
        <v>0.28236925750708441</v>
      </c>
    </row>
    <row r="16" spans="1:11" s="1" customFormat="1" x14ac:dyDescent="0.2">
      <c r="A16" s="109" t="s">
        <v>35</v>
      </c>
      <c r="B16" s="75">
        <f>B4*0.17</f>
        <v>469.03000000000003</v>
      </c>
      <c r="C16" s="28">
        <v>0.113</v>
      </c>
      <c r="D16" s="22">
        <f>B16*C16</f>
        <v>53.000390000000003</v>
      </c>
      <c r="E16" s="73">
        <f t="shared" si="3"/>
        <v>469.03000000000003</v>
      </c>
      <c r="F16" s="28">
        <f t="shared" si="3"/>
        <v>0.113</v>
      </c>
      <c r="G16" s="22">
        <f>E16*F16</f>
        <v>53.000390000000003</v>
      </c>
      <c r="H16" s="22">
        <f t="shared" si="2"/>
        <v>0</v>
      </c>
      <c r="I16" s="23">
        <f t="shared" si="0"/>
        <v>0</v>
      </c>
      <c r="J16" s="23"/>
      <c r="K16" s="108">
        <f t="shared" si="4"/>
        <v>0.10837789084337844</v>
      </c>
    </row>
    <row r="17" spans="1:11" s="1" customFormat="1" x14ac:dyDescent="0.2">
      <c r="A17" s="109" t="s">
        <v>36</v>
      </c>
      <c r="B17" s="75">
        <f>B4*0.18</f>
        <v>496.62</v>
      </c>
      <c r="C17" s="28">
        <v>0.157</v>
      </c>
      <c r="D17" s="22">
        <f>B17*C17</f>
        <v>77.969340000000003</v>
      </c>
      <c r="E17" s="73">
        <f t="shared" si="3"/>
        <v>496.62</v>
      </c>
      <c r="F17" s="28">
        <f t="shared" si="3"/>
        <v>0.157</v>
      </c>
      <c r="G17" s="22">
        <f>E17*F17</f>
        <v>77.969340000000003</v>
      </c>
      <c r="H17" s="22">
        <f t="shared" si="2"/>
        <v>0</v>
      </c>
      <c r="I17" s="23">
        <f t="shared" si="0"/>
        <v>0</v>
      </c>
      <c r="J17" s="23"/>
      <c r="K17" s="108">
        <f t="shared" si="4"/>
        <v>0.15943566867432976</v>
      </c>
    </row>
    <row r="18" spans="1:11" s="1" customFormat="1" x14ac:dyDescent="0.2">
      <c r="A18" s="61" t="s">
        <v>37</v>
      </c>
      <c r="B18" s="29"/>
      <c r="C18" s="30"/>
      <c r="D18" s="30">
        <f>SUM(D15:D17)</f>
        <v>269.05768</v>
      </c>
      <c r="E18" s="77"/>
      <c r="F18" s="30"/>
      <c r="G18" s="30">
        <f>SUM(G15:G17)</f>
        <v>269.05768</v>
      </c>
      <c r="H18" s="31">
        <f t="shared" si="2"/>
        <v>0</v>
      </c>
      <c r="I18" s="32">
        <f t="shared" si="0"/>
        <v>0</v>
      </c>
      <c r="J18" s="33">
        <f t="shared" ref="J18:J23" si="5">G18/$G$46</f>
        <v>0.53444607034096592</v>
      </c>
      <c r="K18" s="62">
        <f t="shared" si="4"/>
        <v>0.55018281702479255</v>
      </c>
    </row>
    <row r="19" spans="1:11" x14ac:dyDescent="0.2">
      <c r="A19" s="107" t="s">
        <v>38</v>
      </c>
      <c r="B19" s="73">
        <v>1</v>
      </c>
      <c r="C19" s="78">
        <f>VLOOKUP($B$3,'Data for Bill Impacts'!$A$3:$Y$15,7,0)</f>
        <v>25.1</v>
      </c>
      <c r="D19" s="22">
        <f>B19*C19</f>
        <v>25.1</v>
      </c>
      <c r="E19" s="73">
        <f t="shared" ref="E19:E41" si="6">B19</f>
        <v>1</v>
      </c>
      <c r="F19" s="78">
        <f>VLOOKUP($B$3,'Data for Bill Impacts'!$A$3:$Y$15,17,0)</f>
        <v>25.55</v>
      </c>
      <c r="G19" s="22">
        <f>E19*F19</f>
        <v>25.55</v>
      </c>
      <c r="H19" s="22">
        <f t="shared" si="2"/>
        <v>0.44999999999999929</v>
      </c>
      <c r="I19" s="23">
        <f>IF(ISERROR(H19/ABS(D19)),"N/A",(H19/ABS(D19)))</f>
        <v>1.7928286852589612E-2</v>
      </c>
      <c r="J19" s="23">
        <f t="shared" si="5"/>
        <v>5.0751560398542346E-2</v>
      </c>
      <c r="K19" s="108">
        <f t="shared" si="4"/>
        <v>5.224593839872347E-2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8.0000000000000002E-3</v>
      </c>
      <c r="D22" s="22">
        <f t="shared" si="9"/>
        <v>8.0000000000000002E-3</v>
      </c>
      <c r="E22" s="73">
        <f t="shared" si="6"/>
        <v>1</v>
      </c>
      <c r="F22" s="121">
        <f>VLOOKUP($B$3,'Data for Bill Impacts'!$A$3:$Y$15,22,0)</f>
        <v>8.0000000000000002E-3</v>
      </c>
      <c r="G22" s="22">
        <f t="shared" si="7"/>
        <v>8.0000000000000002E-3</v>
      </c>
      <c r="H22" s="22">
        <f t="shared" si="2"/>
        <v>0</v>
      </c>
      <c r="I22" s="23">
        <f t="shared" ref="I22:I51" si="10">IF(ISERROR(H22/ABS(D22)),"N/A",(H22/ABS(D22)))</f>
        <v>0</v>
      </c>
      <c r="J22" s="23">
        <f t="shared" si="5"/>
        <v>1.5890899537704062E-5</v>
      </c>
      <c r="K22" s="108">
        <f t="shared" si="4"/>
        <v>1.6358806543631614E-5</v>
      </c>
    </row>
    <row r="23" spans="1:11" x14ac:dyDescent="0.2">
      <c r="A23" s="107" t="s">
        <v>39</v>
      </c>
      <c r="B23" s="73">
        <f>IF($B$9="kWh",$B$4,$B$5)</f>
        <v>2759</v>
      </c>
      <c r="C23" s="125">
        <f>VLOOKUP($B$3,'Data for Bill Impacts'!$A$3:$Y$15,10,0)</f>
        <v>2.9899999999999999E-2</v>
      </c>
      <c r="D23" s="22">
        <f>B23*C23</f>
        <v>82.494100000000003</v>
      </c>
      <c r="E23" s="73">
        <f t="shared" si="6"/>
        <v>2759</v>
      </c>
      <c r="F23" s="78">
        <f>VLOOKUP($B$3,'Data for Bill Impacts'!$A$3:$Y$15,19,0)</f>
        <v>3.0800000000000001E-2</v>
      </c>
      <c r="G23" s="22">
        <f>E23*F23</f>
        <v>84.977199999999996</v>
      </c>
      <c r="H23" s="22">
        <f t="shared" si="2"/>
        <v>2.4830999999999932</v>
      </c>
      <c r="I23" s="23">
        <f t="shared" si="10"/>
        <v>3.0100334448160453E-2</v>
      </c>
      <c r="J23" s="23">
        <f t="shared" si="5"/>
        <v>0.16879551852442318</v>
      </c>
      <c r="K23" s="108">
        <f t="shared" si="4"/>
        <v>0.17376569692743654</v>
      </c>
    </row>
    <row r="24" spans="1:11" x14ac:dyDescent="0.2">
      <c r="A24" s="107" t="s">
        <v>199</v>
      </c>
      <c r="B24" s="73">
        <f>IF($B$9="kWh",$B$4,$B$5)</f>
        <v>2759</v>
      </c>
      <c r="C24" s="125">
        <f>VLOOKUP($B$3,'Data for Bill Impacts'!$A$3:$Y$15,14,0)</f>
        <v>3.0000000000000004E-5</v>
      </c>
      <c r="D24" s="34">
        <f>B24*C24</f>
        <v>8.277000000000001E-2</v>
      </c>
      <c r="E24" s="73">
        <f t="shared" si="6"/>
        <v>2759</v>
      </c>
      <c r="F24" s="125">
        <f>VLOOKUP($B$3,'Data for Bill Impacts'!$A$3:$Y$15,23,0)</f>
        <v>3.0000000000000004E-5</v>
      </c>
      <c r="G24" s="34">
        <f>E24*F24</f>
        <v>8.277000000000001E-2</v>
      </c>
      <c r="H24" s="22">
        <f t="shared" si="2"/>
        <v>0</v>
      </c>
      <c r="I24" s="23">
        <f t="shared" si="10"/>
        <v>0</v>
      </c>
      <c r="J24" s="23">
        <f t="shared" ref="J24" si="11">G24/$G$46</f>
        <v>1.6441121934197066E-4</v>
      </c>
      <c r="K24" s="108">
        <f t="shared" si="4"/>
        <v>1.6925230220204859E-4</v>
      </c>
    </row>
    <row r="25" spans="1:11" s="1" customFormat="1" x14ac:dyDescent="0.2">
      <c r="A25" s="110" t="s">
        <v>72</v>
      </c>
      <c r="B25" s="74"/>
      <c r="C25" s="35"/>
      <c r="D25" s="35">
        <f>SUM(D19:D24)</f>
        <v>107.68487</v>
      </c>
      <c r="E25" s="73"/>
      <c r="F25" s="35"/>
      <c r="G25" s="35">
        <f>SUM(G19:G24)</f>
        <v>110.61797</v>
      </c>
      <c r="H25" s="35">
        <f t="shared" si="2"/>
        <v>2.933099999999996</v>
      </c>
      <c r="I25" s="36">
        <f t="shared" si="10"/>
        <v>2.7237809731302048E-2</v>
      </c>
      <c r="J25" s="36">
        <f>G25/$G$46</f>
        <v>0.21972738104184519</v>
      </c>
      <c r="K25" s="111">
        <f t="shared" si="4"/>
        <v>0.22619724643490569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1.569226329348276E-3</v>
      </c>
      <c r="K26" s="108">
        <f t="shared" si="4"/>
        <v>1.6154321461836218E-3</v>
      </c>
    </row>
    <row r="27" spans="1:11" s="1" customFormat="1" x14ac:dyDescent="0.2">
      <c r="A27" s="119" t="s">
        <v>75</v>
      </c>
      <c r="B27" s="120">
        <f>B8-B4</f>
        <v>184.85300000000007</v>
      </c>
      <c r="C27" s="257">
        <f>IF(B4&gt;B7,C13,C12)</f>
        <v>0.106</v>
      </c>
      <c r="D27" s="22">
        <f>B27*C27</f>
        <v>19.594418000000008</v>
      </c>
      <c r="E27" s="73">
        <f>B27</f>
        <v>184.85300000000007</v>
      </c>
      <c r="F27" s="257">
        <f>C27</f>
        <v>0.106</v>
      </c>
      <c r="G27" s="22">
        <f>E27*F27</f>
        <v>19.594418000000008</v>
      </c>
      <c r="H27" s="22">
        <f t="shared" si="2"/>
        <v>0</v>
      </c>
      <c r="I27" s="23">
        <f t="shared" si="10"/>
        <v>0</v>
      </c>
      <c r="J27" s="23">
        <f t="shared" ref="J27:J46" si="12">G27/$G$46</f>
        <v>3.8921615992222533E-2</v>
      </c>
      <c r="K27" s="108">
        <f t="shared" ref="K27:K41" si="13">G27/$G$51</f>
        <v>4.0067661674631654E-2</v>
      </c>
    </row>
    <row r="28" spans="1:11" s="1" customFormat="1" x14ac:dyDescent="0.2">
      <c r="A28" s="119" t="s">
        <v>74</v>
      </c>
      <c r="B28" s="120">
        <f>B8-B4</f>
        <v>184.85300000000007</v>
      </c>
      <c r="C28" s="257">
        <f>0.65*C15+0.17*C16+0.18*C17</f>
        <v>9.7519999999999996E-2</v>
      </c>
      <c r="D28" s="22">
        <f>B28*C28</f>
        <v>18.026864560000007</v>
      </c>
      <c r="E28" s="73">
        <f>B28</f>
        <v>184.85300000000007</v>
      </c>
      <c r="F28" s="257">
        <f>C28</f>
        <v>9.7519999999999996E-2</v>
      </c>
      <c r="G28" s="22">
        <f>E28*F28</f>
        <v>18.026864560000007</v>
      </c>
      <c r="H28" s="22">
        <f t="shared" si="2"/>
        <v>0</v>
      </c>
      <c r="I28" s="23">
        <f t="shared" si="10"/>
        <v>0</v>
      </c>
      <c r="J28" s="23">
        <f t="shared" si="12"/>
        <v>3.5807886712844725E-2</v>
      </c>
      <c r="K28" s="108">
        <f t="shared" si="13"/>
        <v>3.6862248740661116E-2</v>
      </c>
    </row>
    <row r="29" spans="1:11" s="1" customFormat="1" x14ac:dyDescent="0.2">
      <c r="A29" s="110" t="s">
        <v>78</v>
      </c>
      <c r="B29" s="74"/>
      <c r="C29" s="35"/>
      <c r="D29" s="35">
        <f>SUM(D25,D26:D27)</f>
        <v>128.06928800000003</v>
      </c>
      <c r="E29" s="73"/>
      <c r="F29" s="35"/>
      <c r="G29" s="35">
        <f>SUM(G25,G26:G27)</f>
        <v>131.00238800000002</v>
      </c>
      <c r="H29" s="35">
        <f t="shared" si="2"/>
        <v>2.933099999999996</v>
      </c>
      <c r="I29" s="36">
        <f t="shared" si="10"/>
        <v>2.2902446369499573E-2</v>
      </c>
      <c r="J29" s="36">
        <f t="shared" si="12"/>
        <v>0.26021822336341605</v>
      </c>
      <c r="K29" s="111">
        <f t="shared" si="13"/>
        <v>0.26788034025572099</v>
      </c>
    </row>
    <row r="30" spans="1:11" s="1" customFormat="1" x14ac:dyDescent="0.2">
      <c r="A30" s="110" t="s">
        <v>77</v>
      </c>
      <c r="B30" s="74"/>
      <c r="C30" s="35"/>
      <c r="D30" s="35">
        <f>SUM(D25,D26,D28)</f>
        <v>126.50173456000002</v>
      </c>
      <c r="E30" s="73"/>
      <c r="F30" s="35"/>
      <c r="G30" s="35">
        <f>SUM(G25,G26,G28)</f>
        <v>129.43483456000001</v>
      </c>
      <c r="H30" s="35">
        <f t="shared" si="2"/>
        <v>2.933099999999996</v>
      </c>
      <c r="I30" s="36">
        <f t="shared" si="10"/>
        <v>2.3186243336519793E-2</v>
      </c>
      <c r="J30" s="36">
        <f t="shared" si="12"/>
        <v>0.25710449408403824</v>
      </c>
      <c r="K30" s="111">
        <f t="shared" si="13"/>
        <v>0.26467492732175046</v>
      </c>
    </row>
    <row r="31" spans="1:11" x14ac:dyDescent="0.2">
      <c r="A31" s="107" t="s">
        <v>40</v>
      </c>
      <c r="B31" s="73">
        <f>B8</f>
        <v>2943.8530000000001</v>
      </c>
      <c r="C31" s="125">
        <f>VLOOKUP($B$3,'Data for Bill Impacts'!$A$3:$Y$15,15,0)</f>
        <v>6.1060000000000003E-3</v>
      </c>
      <c r="D31" s="22">
        <f>B31*C31</f>
        <v>17.975166418000001</v>
      </c>
      <c r="E31" s="73">
        <f t="shared" si="6"/>
        <v>2943.8530000000001</v>
      </c>
      <c r="F31" s="78">
        <f>VLOOKUP($B$3,'Data for Bill Impacts'!$A$3:$Y$15,24,0)</f>
        <v>5.7999999999999996E-3</v>
      </c>
      <c r="G31" s="22">
        <f>E31*F31</f>
        <v>17.074347400000001</v>
      </c>
      <c r="H31" s="22">
        <f t="shared" si="2"/>
        <v>-0.90081901799999997</v>
      </c>
      <c r="I31" s="23">
        <f t="shared" si="10"/>
        <v>-5.0114641336390431E-2</v>
      </c>
      <c r="J31" s="23">
        <f t="shared" si="12"/>
        <v>3.3915842400657314E-2</v>
      </c>
      <c r="K31" s="108">
        <f t="shared" si="13"/>
        <v>3.4914493246919927E-2</v>
      </c>
    </row>
    <row r="32" spans="1:11" x14ac:dyDescent="0.2">
      <c r="A32" s="107" t="s">
        <v>41</v>
      </c>
      <c r="B32" s="73">
        <f>B8</f>
        <v>2943.8530000000001</v>
      </c>
      <c r="C32" s="125">
        <f>VLOOKUP($B$3,'Data for Bill Impacts'!$A$3:$Y$15,16,0)</f>
        <v>4.6519999999999999E-3</v>
      </c>
      <c r="D32" s="22">
        <f>B32*C32</f>
        <v>13.694804156</v>
      </c>
      <c r="E32" s="73">
        <f t="shared" si="6"/>
        <v>2943.8530000000001</v>
      </c>
      <c r="F32" s="78">
        <f>VLOOKUP($B$3,'Data for Bill Impacts'!$A$3:$Y$15,25,0)</f>
        <v>4.7000000000000002E-3</v>
      </c>
      <c r="G32" s="22">
        <f>E32*F32</f>
        <v>13.836109100000002</v>
      </c>
      <c r="H32" s="22">
        <f t="shared" si="2"/>
        <v>0.1413049440000016</v>
      </c>
      <c r="I32" s="23">
        <f t="shared" si="10"/>
        <v>1.0318142734307941E-2</v>
      </c>
      <c r="J32" s="23">
        <f t="shared" si="12"/>
        <v>2.7483527462601621E-2</v>
      </c>
      <c r="K32" s="108">
        <f t="shared" si="13"/>
        <v>2.8292779010435119E-2</v>
      </c>
    </row>
    <row r="33" spans="1:11" s="1" customFormat="1" x14ac:dyDescent="0.2">
      <c r="A33" s="110" t="s">
        <v>76</v>
      </c>
      <c r="B33" s="74"/>
      <c r="C33" s="35"/>
      <c r="D33" s="35">
        <f>SUM(D31:D32)</f>
        <v>31.669970574000001</v>
      </c>
      <c r="E33" s="73"/>
      <c r="F33" s="35"/>
      <c r="G33" s="35">
        <f>SUM(G31:G32)</f>
        <v>30.910456500000002</v>
      </c>
      <c r="H33" s="35">
        <f t="shared" si="2"/>
        <v>-0.75951407399999837</v>
      </c>
      <c r="I33" s="36">
        <f t="shared" si="10"/>
        <v>-2.3982152816508593E-2</v>
      </c>
      <c r="J33" s="36">
        <f t="shared" si="12"/>
        <v>6.1399369863258939E-2</v>
      </c>
      <c r="K33" s="111">
        <f t="shared" si="13"/>
        <v>6.3207272257355049E-2</v>
      </c>
    </row>
    <row r="34" spans="1:11" s="1" customFormat="1" ht="13.5" customHeight="1" x14ac:dyDescent="0.2">
      <c r="A34" s="110" t="s">
        <v>95</v>
      </c>
      <c r="B34" s="74"/>
      <c r="C34" s="35"/>
      <c r="D34" s="35">
        <f>D29+D33</f>
        <v>159.73925857400002</v>
      </c>
      <c r="E34" s="73"/>
      <c r="F34" s="35"/>
      <c r="G34" s="35">
        <f>G29+G33</f>
        <v>161.91284450000003</v>
      </c>
      <c r="H34" s="35">
        <f t="shared" si="2"/>
        <v>2.1735859260000154</v>
      </c>
      <c r="I34" s="36">
        <f t="shared" si="10"/>
        <v>1.3607086607285651E-2</v>
      </c>
      <c r="J34" s="36">
        <f t="shared" si="12"/>
        <v>0.32161759322667499</v>
      </c>
      <c r="K34" s="111">
        <f t="shared" si="13"/>
        <v>0.33108761251307606</v>
      </c>
    </row>
    <row r="35" spans="1:11" s="1" customFormat="1" ht="13.5" customHeight="1" x14ac:dyDescent="0.2">
      <c r="A35" s="110" t="s">
        <v>96</v>
      </c>
      <c r="B35" s="74"/>
      <c r="C35" s="35"/>
      <c r="D35" s="35">
        <f>D30+D33</f>
        <v>158.17170513400001</v>
      </c>
      <c r="E35" s="73"/>
      <c r="F35" s="35"/>
      <c r="G35" s="35">
        <f>G30+G33</f>
        <v>160.34529106000002</v>
      </c>
      <c r="H35" s="35">
        <f t="shared" si="2"/>
        <v>2.1735859260000154</v>
      </c>
      <c r="I35" s="36">
        <f t="shared" si="10"/>
        <v>1.3741939015948494E-2</v>
      </c>
      <c r="J35" s="36">
        <f t="shared" si="12"/>
        <v>0.31850386394729718</v>
      </c>
      <c r="K35" s="111">
        <f t="shared" si="13"/>
        <v>0.32788219957910553</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2"/>
        <v>0</v>
      </c>
      <c r="I36" s="23">
        <f t="shared" si="10"/>
        <v>0</v>
      </c>
      <c r="J36" s="23">
        <f t="shared" si="12"/>
        <v>2.105121252454592E-2</v>
      </c>
      <c r="K36" s="108">
        <f t="shared" si="13"/>
        <v>2.1671064773950303E-2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10"/>
        <v>0</v>
      </c>
      <c r="J37" s="23">
        <f t="shared" si="12"/>
        <v>1.2279873972651786E-2</v>
      </c>
      <c r="K37" s="108">
        <f t="shared" si="13"/>
        <v>1.2641454451471008E-2</v>
      </c>
    </row>
    <row r="38" spans="1:11" x14ac:dyDescent="0.2">
      <c r="A38" s="107" t="s">
        <v>100</v>
      </c>
      <c r="B38" s="73">
        <f>B8</f>
        <v>2943.8530000000001</v>
      </c>
      <c r="C38" s="34">
        <v>0</v>
      </c>
      <c r="D38" s="22">
        <f>B38*C38</f>
        <v>0</v>
      </c>
      <c r="E38" s="73">
        <f t="shared" si="6"/>
        <v>2943.8530000000001</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4.9659061055325193E-4</v>
      </c>
      <c r="K39" s="108">
        <f t="shared" si="13"/>
        <v>5.1121270448848787E-4</v>
      </c>
    </row>
    <row r="40" spans="1:11" s="1" customFormat="1" x14ac:dyDescent="0.2">
      <c r="A40" s="110" t="s">
        <v>45</v>
      </c>
      <c r="B40" s="74"/>
      <c r="C40" s="35"/>
      <c r="D40" s="35">
        <f>SUM(D36:D39)</f>
        <v>17.029962099999999</v>
      </c>
      <c r="E40" s="73"/>
      <c r="F40" s="35"/>
      <c r="G40" s="35">
        <f>SUM(G36:G39)</f>
        <v>17.029962099999999</v>
      </c>
      <c r="H40" s="35">
        <f t="shared" si="2"/>
        <v>0</v>
      </c>
      <c r="I40" s="36">
        <f t="shared" si="10"/>
        <v>0</v>
      </c>
      <c r="J40" s="36">
        <f t="shared" si="12"/>
        <v>3.3827677107750954E-2</v>
      </c>
      <c r="K40" s="111">
        <f t="shared" si="13"/>
        <v>3.4823731929909792E-2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2"/>
        <v>0</v>
      </c>
      <c r="I41" s="117">
        <f t="shared" si="10"/>
        <v>0</v>
      </c>
      <c r="J41" s="117">
        <f t="shared" si="12"/>
        <v>3.8362617846459814E-2</v>
      </c>
      <c r="K41" s="118">
        <f t="shared" si="13"/>
        <v>3.9492203847144663E-2</v>
      </c>
    </row>
    <row r="42" spans="1:11" s="1" customFormat="1" x14ac:dyDescent="0.2">
      <c r="A42" s="37" t="s">
        <v>137</v>
      </c>
      <c r="B42" s="38"/>
      <c r="C42" s="39"/>
      <c r="D42" s="39">
        <f>SUM(D14,D25,D26,D27,D33,D40,D41)</f>
        <v>477.28622067399999</v>
      </c>
      <c r="E42" s="38"/>
      <c r="F42" s="39"/>
      <c r="G42" s="39">
        <f>SUM(G14,G25,G26,G27,G33,G40,G41)</f>
        <v>479.45980660000004</v>
      </c>
      <c r="H42" s="39">
        <f t="shared" si="2"/>
        <v>2.1735859260000439</v>
      </c>
      <c r="I42" s="40">
        <f t="shared" si="10"/>
        <v>4.5540512837990866E-3</v>
      </c>
      <c r="J42" s="40">
        <f t="shared" si="12"/>
        <v>0.95238095238095233</v>
      </c>
      <c r="K42" s="41"/>
    </row>
    <row r="43" spans="1:11" x14ac:dyDescent="0.2">
      <c r="A43" s="149" t="s">
        <v>138</v>
      </c>
      <c r="B43" s="43"/>
      <c r="C43" s="26">
        <v>0.13</v>
      </c>
      <c r="D43" s="26">
        <f>D42*C43</f>
        <v>62.04720868762</v>
      </c>
      <c r="E43" s="26"/>
      <c r="F43" s="26">
        <f>C43</f>
        <v>0.13</v>
      </c>
      <c r="G43" s="26">
        <f>G42*F43</f>
        <v>62.329774858000007</v>
      </c>
      <c r="H43" s="26">
        <f t="shared" si="2"/>
        <v>0.28256617038000797</v>
      </c>
      <c r="I43" s="44">
        <f t="shared" si="10"/>
        <v>4.554051283799123E-3</v>
      </c>
      <c r="J43" s="44">
        <f t="shared" si="12"/>
        <v>0.12380952380952381</v>
      </c>
      <c r="K43" s="45"/>
    </row>
    <row r="44" spans="1:11" s="1" customFormat="1" x14ac:dyDescent="0.2">
      <c r="A44" s="46" t="s">
        <v>139</v>
      </c>
      <c r="B44" s="24"/>
      <c r="C44" s="25"/>
      <c r="D44" s="25">
        <f>SUM(D42:D43)</f>
        <v>539.33342936162001</v>
      </c>
      <c r="E44" s="25"/>
      <c r="F44" s="25"/>
      <c r="G44" s="25">
        <f>SUM(G42:G43)</f>
        <v>541.78958145800004</v>
      </c>
      <c r="H44" s="25">
        <f t="shared" si="2"/>
        <v>2.4561520963800376</v>
      </c>
      <c r="I44" s="27">
        <f t="shared" si="10"/>
        <v>4.554051283799064E-3</v>
      </c>
      <c r="J44" s="27">
        <f t="shared" si="12"/>
        <v>1.0761904761904761</v>
      </c>
      <c r="K44" s="47"/>
    </row>
    <row r="45" spans="1:11" x14ac:dyDescent="0.2">
      <c r="A45" s="42" t="s">
        <v>140</v>
      </c>
      <c r="B45" s="43"/>
      <c r="C45" s="26">
        <v>-0.08</v>
      </c>
      <c r="D45" s="26">
        <f>D42*C45</f>
        <v>-38.182897653920001</v>
      </c>
      <c r="E45" s="26"/>
      <c r="F45" s="26">
        <f>C45</f>
        <v>-0.08</v>
      </c>
      <c r="G45" s="26">
        <f>G42*F45</f>
        <v>-38.356784528000006</v>
      </c>
      <c r="H45" s="26">
        <f t="shared" si="2"/>
        <v>-0.17388687408000436</v>
      </c>
      <c r="I45" s="44">
        <f t="shared" si="10"/>
        <v>-4.5540512837991091E-3</v>
      </c>
      <c r="J45" s="44">
        <f t="shared" si="12"/>
        <v>-7.6190476190476197E-2</v>
      </c>
      <c r="K45" s="45"/>
    </row>
    <row r="46" spans="1:11" s="1" customFormat="1" ht="13.5" thickBot="1" x14ac:dyDescent="0.25">
      <c r="A46" s="48" t="s">
        <v>141</v>
      </c>
      <c r="B46" s="49"/>
      <c r="C46" s="50"/>
      <c r="D46" s="50">
        <f>SUM(D44:D45)</f>
        <v>501.1505317077</v>
      </c>
      <c r="E46" s="50"/>
      <c r="F46" s="50"/>
      <c r="G46" s="50">
        <f>SUM(G44:G45)</f>
        <v>503.43279693000005</v>
      </c>
      <c r="H46" s="50">
        <f t="shared" si="2"/>
        <v>2.2822652223000546</v>
      </c>
      <c r="I46" s="51">
        <f t="shared" si="10"/>
        <v>4.5540512837991039E-3</v>
      </c>
      <c r="J46" s="51">
        <f t="shared" si="12"/>
        <v>1</v>
      </c>
      <c r="K46" s="52"/>
    </row>
    <row r="47" spans="1:11" x14ac:dyDescent="0.2">
      <c r="A47" s="53" t="s">
        <v>142</v>
      </c>
      <c r="B47" s="54"/>
      <c r="C47" s="55"/>
      <c r="D47" s="55">
        <f>SUM(D18,D25,D26,D28,D33,D40,D41)</f>
        <v>463.57234723400001</v>
      </c>
      <c r="E47" s="55"/>
      <c r="F47" s="55"/>
      <c r="G47" s="55">
        <f>SUM(G18,G25,G26,G28,G33,G40,G41)</f>
        <v>465.74593315999999</v>
      </c>
      <c r="H47" s="55">
        <f>G47-D47</f>
        <v>2.173585925999987</v>
      </c>
      <c r="I47" s="56">
        <f t="shared" si="10"/>
        <v>4.6887739076093204E-3</v>
      </c>
      <c r="J47" s="56"/>
      <c r="K47" s="57">
        <f>G47/$G$51</f>
        <v>0.95238095238095244</v>
      </c>
    </row>
    <row r="48" spans="1:11" x14ac:dyDescent="0.2">
      <c r="A48" s="58" t="s">
        <v>138</v>
      </c>
      <c r="B48" s="59"/>
      <c r="C48" s="31">
        <v>0.13</v>
      </c>
      <c r="D48" s="31">
        <f>D47*C48</f>
        <v>60.264405140420003</v>
      </c>
      <c r="E48" s="31"/>
      <c r="F48" s="31">
        <f>C48</f>
        <v>0.13</v>
      </c>
      <c r="G48" s="31">
        <f>G47*F48</f>
        <v>60.546971310800004</v>
      </c>
      <c r="H48" s="31">
        <f>G48-D48</f>
        <v>0.28256617038000087</v>
      </c>
      <c r="I48" s="32">
        <f t="shared" si="10"/>
        <v>4.6887739076093629E-3</v>
      </c>
      <c r="J48" s="32"/>
      <c r="K48" s="60">
        <f>G48/$G$51</f>
        <v>0.12380952380952383</v>
      </c>
    </row>
    <row r="49" spans="1:11" x14ac:dyDescent="0.2">
      <c r="A49" s="140" t="s">
        <v>143</v>
      </c>
      <c r="B49" s="29"/>
      <c r="C49" s="30"/>
      <c r="D49" s="30">
        <f>SUM(D47:D48)</f>
        <v>523.83675237442003</v>
      </c>
      <c r="E49" s="30"/>
      <c r="F49" s="30"/>
      <c r="G49" s="30">
        <f>SUM(G47:G48)</f>
        <v>526.29290447079995</v>
      </c>
      <c r="H49" s="30">
        <f>G49-D49</f>
        <v>2.4561520963799239</v>
      </c>
      <c r="I49" s="33">
        <f t="shared" si="10"/>
        <v>4.6887739076092033E-3</v>
      </c>
      <c r="J49" s="33"/>
      <c r="K49" s="62">
        <f>G49/$G$51</f>
        <v>1.0761904761904761</v>
      </c>
    </row>
    <row r="50" spans="1:11" x14ac:dyDescent="0.2">
      <c r="A50" s="58" t="s">
        <v>140</v>
      </c>
      <c r="B50" s="59"/>
      <c r="C50" s="31">
        <v>-0.08</v>
      </c>
      <c r="D50" s="31">
        <f>D47*C50</f>
        <v>-37.085787778720004</v>
      </c>
      <c r="E50" s="31"/>
      <c r="F50" s="31">
        <f>C50</f>
        <v>-0.08</v>
      </c>
      <c r="G50" s="31">
        <f>G47*F50</f>
        <v>-37.259674652800001</v>
      </c>
      <c r="H50" s="31">
        <f>G50-D50</f>
        <v>-0.17388687407999726</v>
      </c>
      <c r="I50" s="32">
        <f t="shared" si="10"/>
        <v>-4.6887739076092744E-3</v>
      </c>
      <c r="J50" s="32"/>
      <c r="K50" s="60">
        <f>G50/$G$51</f>
        <v>-7.6190476190476197E-2</v>
      </c>
    </row>
    <row r="51" spans="1:11" ht="13.5" thickBot="1" x14ac:dyDescent="0.25">
      <c r="A51" s="63" t="s">
        <v>144</v>
      </c>
      <c r="B51" s="64"/>
      <c r="C51" s="65"/>
      <c r="D51" s="65">
        <f>SUM(D49:D50)</f>
        <v>486.7509645957</v>
      </c>
      <c r="E51" s="65"/>
      <c r="F51" s="65"/>
      <c r="G51" s="65">
        <f>SUM(G49:G50)</f>
        <v>489.03322981799994</v>
      </c>
      <c r="H51" s="65">
        <f>G51-D51</f>
        <v>2.2822652222999409</v>
      </c>
      <c r="I51" s="66">
        <f t="shared" si="10"/>
        <v>4.6887739076092276E-3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89</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2.5604573213125769E-2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6" si="2">G13-D13</f>
        <v>0</v>
      </c>
      <c r="I13" s="23">
        <f t="shared" si="0"/>
        <v>0</v>
      </c>
      <c r="J13" s="23">
        <f>G13/$G$46</f>
        <v>0.5666770379256626</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0.59228161113878841</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6" si="4">G15/$G$51</f>
        <v>0.29617213872653259</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0.11367566003869514</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0.16722926354469153</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5">G18/$G$46</f>
        <v>0.54878197357011549</v>
      </c>
      <c r="K18" s="62">
        <f t="shared" si="4"/>
        <v>0.5770770623099194</v>
      </c>
    </row>
    <row r="19" spans="1:11" x14ac:dyDescent="0.2">
      <c r="A19" s="107" t="s">
        <v>38</v>
      </c>
      <c r="B19" s="73">
        <v>1</v>
      </c>
      <c r="C19" s="78">
        <f>VLOOKUP($B$3,'Data for Bill Impacts'!$A$3:$Y$15,7,0)</f>
        <v>25.1</v>
      </c>
      <c r="D19" s="22">
        <f>B19*C19</f>
        <v>25.1</v>
      </c>
      <c r="E19" s="73">
        <f t="shared" ref="E19:E41" si="6">B19</f>
        <v>1</v>
      </c>
      <c r="F19" s="78">
        <f>VLOOKUP($B$3,'Data for Bill Impacts'!$A$3:$Y$15,17,0)</f>
        <v>25.55</v>
      </c>
      <c r="G19" s="22">
        <f>E19*F19</f>
        <v>25.55</v>
      </c>
      <c r="H19" s="22">
        <f t="shared" si="2"/>
        <v>0.44999999999999929</v>
      </c>
      <c r="I19" s="23">
        <f>IF(ISERROR(H19/ABS(D19)),"N/A",(H19/ABS(D19)))</f>
        <v>1.7928286852589612E-2</v>
      </c>
      <c r="J19" s="23">
        <f t="shared" si="5"/>
        <v>9.5853017669650323E-3</v>
      </c>
      <c r="K19" s="108">
        <f t="shared" si="4"/>
        <v>1.0079518007942602E-2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8.0000000000000002E-3</v>
      </c>
      <c r="D22" s="22">
        <f t="shared" si="9"/>
        <v>8.0000000000000002E-3</v>
      </c>
      <c r="E22" s="73">
        <f t="shared" si="6"/>
        <v>1</v>
      </c>
      <c r="F22" s="121">
        <f>VLOOKUP($B$3,'Data for Bill Impacts'!$A$3:$Y$15,22,0)</f>
        <v>8.0000000000000002E-3</v>
      </c>
      <c r="G22" s="22">
        <f t="shared" si="7"/>
        <v>8.0000000000000002E-3</v>
      </c>
      <c r="H22" s="22">
        <f t="shared" si="2"/>
        <v>0</v>
      </c>
      <c r="I22" s="23">
        <f t="shared" ref="I22:I51" si="10">IF(ISERROR(H22/ABS(D22)),"N/A",(H22/ABS(D22)))</f>
        <v>0</v>
      </c>
      <c r="J22" s="23">
        <f t="shared" si="5"/>
        <v>3.001268655018405E-6</v>
      </c>
      <c r="K22" s="108">
        <f t="shared" si="4"/>
        <v>3.156013466283398E-6</v>
      </c>
    </row>
    <row r="23" spans="1:11" x14ac:dyDescent="0.2">
      <c r="A23" s="107" t="s">
        <v>39</v>
      </c>
      <c r="B23" s="73">
        <f>IF($B$9="kWh",$B$4,$B$5)</f>
        <v>15000</v>
      </c>
      <c r="C23" s="125">
        <f>VLOOKUP($B$3,'Data for Bill Impacts'!$A$3:$Y$15,10,0)</f>
        <v>2.9899999999999999E-2</v>
      </c>
      <c r="D23" s="22">
        <f>B23*C23</f>
        <v>448.5</v>
      </c>
      <c r="E23" s="73">
        <f t="shared" si="6"/>
        <v>15000</v>
      </c>
      <c r="F23" s="78">
        <f>VLOOKUP($B$3,'Data for Bill Impacts'!$A$3:$Y$15,19,0)</f>
        <v>3.0800000000000001E-2</v>
      </c>
      <c r="G23" s="22">
        <f>E23*F23</f>
        <v>462</v>
      </c>
      <c r="H23" s="22">
        <f t="shared" si="2"/>
        <v>13.5</v>
      </c>
      <c r="I23" s="23">
        <f t="shared" si="10"/>
        <v>3.0100334448160536E-2</v>
      </c>
      <c r="J23" s="23">
        <f t="shared" si="5"/>
        <v>0.17332326482731289</v>
      </c>
      <c r="K23" s="108">
        <f t="shared" si="4"/>
        <v>0.18225977767786622</v>
      </c>
    </row>
    <row r="24" spans="1:11" x14ac:dyDescent="0.2">
      <c r="A24" s="107" t="s">
        <v>199</v>
      </c>
      <c r="B24" s="73">
        <f>IF($B$9="kWh",$B$4,$B$5)</f>
        <v>15000</v>
      </c>
      <c r="C24" s="125">
        <f>VLOOKUP($B$3,'Data for Bill Impacts'!$A$3:$Y$15,14,0)</f>
        <v>3.0000000000000004E-5</v>
      </c>
      <c r="D24" s="34">
        <f>B24*C24</f>
        <v>0.45000000000000007</v>
      </c>
      <c r="E24" s="73">
        <f t="shared" si="6"/>
        <v>15000</v>
      </c>
      <c r="F24" s="125">
        <f>VLOOKUP($B$3,'Data for Bill Impacts'!$A$3:$Y$15,23,0)</f>
        <v>3.0000000000000004E-5</v>
      </c>
      <c r="G24" s="34">
        <f>E24*F24</f>
        <v>0.45000000000000007</v>
      </c>
      <c r="H24" s="22">
        <f t="shared" si="2"/>
        <v>0</v>
      </c>
      <c r="I24" s="23">
        <f t="shared" si="10"/>
        <v>0</v>
      </c>
      <c r="J24" s="23">
        <f t="shared" ref="J24" si="11">G24/$G$46</f>
        <v>1.6882136184478532E-4</v>
      </c>
      <c r="K24" s="108">
        <f t="shared" si="4"/>
        <v>1.7752575747844116E-4</v>
      </c>
    </row>
    <row r="25" spans="1:11" s="1" customFormat="1" x14ac:dyDescent="0.2">
      <c r="A25" s="110" t="s">
        <v>72</v>
      </c>
      <c r="B25" s="74"/>
      <c r="C25" s="35"/>
      <c r="D25" s="35">
        <f>SUM(D19:D24)</f>
        <v>474.05799999999999</v>
      </c>
      <c r="E25" s="73"/>
      <c r="F25" s="35"/>
      <c r="G25" s="35">
        <f>SUM(G19:G24)</f>
        <v>488.00799999999998</v>
      </c>
      <c r="H25" s="35">
        <f t="shared" si="2"/>
        <v>13.949999999999989</v>
      </c>
      <c r="I25" s="36">
        <f t="shared" si="10"/>
        <v>2.9426779001725505E-2</v>
      </c>
      <c r="J25" s="36">
        <f>G25/$G$46</f>
        <v>0.18308038922477773</v>
      </c>
      <c r="K25" s="111">
        <f t="shared" si="4"/>
        <v>0.19251997745675353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2.9637527968306754E-4</v>
      </c>
      <c r="K26" s="108">
        <f t="shared" si="4"/>
        <v>3.1165632979548557E-4</v>
      </c>
    </row>
    <row r="27" spans="1:11" s="1" customFormat="1" x14ac:dyDescent="0.2">
      <c r="A27" s="119" t="s">
        <v>75</v>
      </c>
      <c r="B27" s="120">
        <f>B8-B4</f>
        <v>1005</v>
      </c>
      <c r="C27" s="257">
        <f>IF(B4&gt;B7,C13,C12)</f>
        <v>0.106</v>
      </c>
      <c r="D27" s="22">
        <f>B27*C27</f>
        <v>106.53</v>
      </c>
      <c r="E27" s="73">
        <f>B27</f>
        <v>1005</v>
      </c>
      <c r="F27" s="257">
        <f>C27</f>
        <v>0.106</v>
      </c>
      <c r="G27" s="22">
        <f>E27*F27</f>
        <v>106.53</v>
      </c>
      <c r="H27" s="22">
        <f t="shared" si="2"/>
        <v>0</v>
      </c>
      <c r="I27" s="23">
        <f t="shared" si="10"/>
        <v>0</v>
      </c>
      <c r="J27" s="23">
        <f t="shared" ref="J27:J46" si="12">G27/$G$46</f>
        <v>3.9965643727388839E-2</v>
      </c>
      <c r="K27" s="108">
        <f t="shared" ref="K27:K41" si="13">G27/$G$51</f>
        <v>4.2026264320396294E-2</v>
      </c>
    </row>
    <row r="28" spans="1:11" s="1" customFormat="1" x14ac:dyDescent="0.2">
      <c r="A28" s="119" t="s">
        <v>74</v>
      </c>
      <c r="B28" s="120">
        <f>B8-B4</f>
        <v>1005</v>
      </c>
      <c r="C28" s="257">
        <f>0.65*C15+0.17*C16+0.18*C17</f>
        <v>9.7519999999999996E-2</v>
      </c>
      <c r="D28" s="22">
        <f>B28*C28</f>
        <v>98.007599999999996</v>
      </c>
      <c r="E28" s="73">
        <f>B28</f>
        <v>1005</v>
      </c>
      <c r="F28" s="257">
        <f>C28</f>
        <v>9.7519999999999996E-2</v>
      </c>
      <c r="G28" s="22">
        <f>E28*F28</f>
        <v>98.007599999999996</v>
      </c>
      <c r="H28" s="22">
        <f t="shared" si="2"/>
        <v>0</v>
      </c>
      <c r="I28" s="23">
        <f t="shared" si="10"/>
        <v>0</v>
      </c>
      <c r="J28" s="23">
        <f t="shared" si="12"/>
        <v>3.6768392229197727E-2</v>
      </c>
      <c r="K28" s="108">
        <f t="shared" si="13"/>
        <v>3.8664163174764593E-2</v>
      </c>
    </row>
    <row r="29" spans="1:11" s="1" customFormat="1" x14ac:dyDescent="0.2">
      <c r="A29" s="110" t="s">
        <v>78</v>
      </c>
      <c r="B29" s="74"/>
      <c r="C29" s="35"/>
      <c r="D29" s="35">
        <f>SUM(D25,D26:D27)</f>
        <v>581.37800000000004</v>
      </c>
      <c r="E29" s="73"/>
      <c r="F29" s="35"/>
      <c r="G29" s="35">
        <f>SUM(G25,G26:G27)</f>
        <v>595.32799999999997</v>
      </c>
      <c r="H29" s="35">
        <f t="shared" si="2"/>
        <v>13.949999999999932</v>
      </c>
      <c r="I29" s="36">
        <f t="shared" si="10"/>
        <v>2.3994716002325389E-2</v>
      </c>
      <c r="J29" s="36">
        <f t="shared" si="12"/>
        <v>0.22334240823184962</v>
      </c>
      <c r="K29" s="111">
        <f t="shared" si="13"/>
        <v>0.23485789810694532</v>
      </c>
    </row>
    <row r="30" spans="1:11" s="1" customFormat="1" x14ac:dyDescent="0.2">
      <c r="A30" s="110" t="s">
        <v>77</v>
      </c>
      <c r="B30" s="74"/>
      <c r="C30" s="35"/>
      <c r="D30" s="35">
        <f>SUM(D25,D26,D28)</f>
        <v>572.85559999999998</v>
      </c>
      <c r="E30" s="73"/>
      <c r="F30" s="35"/>
      <c r="G30" s="35">
        <f>SUM(G25,G26,G28)</f>
        <v>586.80560000000003</v>
      </c>
      <c r="H30" s="35">
        <f t="shared" si="2"/>
        <v>13.950000000000045</v>
      </c>
      <c r="I30" s="36">
        <f t="shared" si="10"/>
        <v>2.435168653322067E-2</v>
      </c>
      <c r="J30" s="36">
        <f t="shared" si="12"/>
        <v>0.22014515673365853</v>
      </c>
      <c r="K30" s="111">
        <f t="shared" si="13"/>
        <v>0.23149579696131364</v>
      </c>
    </row>
    <row r="31" spans="1:11" x14ac:dyDescent="0.2">
      <c r="A31" s="107" t="s">
        <v>40</v>
      </c>
      <c r="B31" s="73">
        <f>B8</f>
        <v>16005</v>
      </c>
      <c r="C31" s="125">
        <f>VLOOKUP($B$3,'Data for Bill Impacts'!$A$3:$Y$15,15,0)</f>
        <v>6.1060000000000003E-3</v>
      </c>
      <c r="D31" s="22">
        <f>B31*C31</f>
        <v>97.726530000000011</v>
      </c>
      <c r="E31" s="73">
        <f t="shared" si="6"/>
        <v>16005</v>
      </c>
      <c r="F31" s="78">
        <f>VLOOKUP($B$3,'Data for Bill Impacts'!$A$3:$Y$15,24,0)</f>
        <v>5.7999999999999996E-3</v>
      </c>
      <c r="G31" s="22">
        <f>E31*F31</f>
        <v>92.828999999999994</v>
      </c>
      <c r="H31" s="22">
        <f t="shared" si="2"/>
        <v>-4.8975300000000175</v>
      </c>
      <c r="I31" s="23">
        <f t="shared" si="10"/>
        <v>-5.0114641336390611E-2</v>
      </c>
      <c r="J31" s="23">
        <f t="shared" si="12"/>
        <v>3.4825595997087941E-2</v>
      </c>
      <c r="K31" s="108">
        <f t="shared" si="13"/>
        <v>3.6621196757702687E-2</v>
      </c>
    </row>
    <row r="32" spans="1:11" x14ac:dyDescent="0.2">
      <c r="A32" s="107" t="s">
        <v>41</v>
      </c>
      <c r="B32" s="73">
        <f>B8</f>
        <v>16005</v>
      </c>
      <c r="C32" s="125">
        <f>VLOOKUP($B$3,'Data for Bill Impacts'!$A$3:$Y$15,16,0)</f>
        <v>4.6519999999999999E-3</v>
      </c>
      <c r="D32" s="22">
        <f>B32*C32</f>
        <v>74.455259999999996</v>
      </c>
      <c r="E32" s="73">
        <f t="shared" si="6"/>
        <v>16005</v>
      </c>
      <c r="F32" s="78">
        <f>VLOOKUP($B$3,'Data for Bill Impacts'!$A$3:$Y$15,25,0)</f>
        <v>4.7000000000000002E-3</v>
      </c>
      <c r="G32" s="22">
        <f>E32*F32</f>
        <v>75.223500000000001</v>
      </c>
      <c r="H32" s="22">
        <f t="shared" si="2"/>
        <v>0.76824000000000581</v>
      </c>
      <c r="I32" s="23">
        <f t="shared" si="10"/>
        <v>1.0318142734307903E-2</v>
      </c>
      <c r="J32" s="23">
        <f t="shared" si="12"/>
        <v>2.8220741583847124E-2</v>
      </c>
      <c r="K32" s="108">
        <f t="shared" si="13"/>
        <v>2.9675797372621146E-2</v>
      </c>
    </row>
    <row r="33" spans="1:11" s="1" customFormat="1" x14ac:dyDescent="0.2">
      <c r="A33" s="110" t="s">
        <v>76</v>
      </c>
      <c r="B33" s="74"/>
      <c r="C33" s="35"/>
      <c r="D33" s="35">
        <f>SUM(D31:D32)</f>
        <v>172.18179000000001</v>
      </c>
      <c r="E33" s="73"/>
      <c r="F33" s="35"/>
      <c r="G33" s="35">
        <f>SUM(G31:G32)</f>
        <v>168.05250000000001</v>
      </c>
      <c r="H33" s="35">
        <f t="shared" si="2"/>
        <v>-4.1292899999999975</v>
      </c>
      <c r="I33" s="36">
        <f t="shared" si="10"/>
        <v>-2.3982152816508628E-2</v>
      </c>
      <c r="J33" s="36">
        <f t="shared" si="12"/>
        <v>6.3046337580935072E-2</v>
      </c>
      <c r="K33" s="111">
        <f t="shared" si="13"/>
        <v>6.6296994130323847E-2</v>
      </c>
    </row>
    <row r="34" spans="1:11" s="1" customFormat="1" ht="13.5" customHeight="1" x14ac:dyDescent="0.2">
      <c r="A34" s="110" t="s">
        <v>95</v>
      </c>
      <c r="B34" s="74"/>
      <c r="C34" s="35"/>
      <c r="D34" s="35">
        <f>D29+D33</f>
        <v>753.55979000000002</v>
      </c>
      <c r="E34" s="73"/>
      <c r="F34" s="35"/>
      <c r="G34" s="35">
        <f>G29+G33</f>
        <v>763.38049999999998</v>
      </c>
      <c r="H34" s="35">
        <f t="shared" si="2"/>
        <v>9.8207099999999627</v>
      </c>
      <c r="I34" s="36">
        <f t="shared" si="10"/>
        <v>1.3032423080854623E-2</v>
      </c>
      <c r="J34" s="36">
        <f t="shared" si="12"/>
        <v>0.28638874581278467</v>
      </c>
      <c r="K34" s="111">
        <f t="shared" si="13"/>
        <v>0.30115489223726916</v>
      </c>
    </row>
    <row r="35" spans="1:11" s="1" customFormat="1" ht="13.5" customHeight="1" x14ac:dyDescent="0.2">
      <c r="A35" s="110" t="s">
        <v>96</v>
      </c>
      <c r="B35" s="74"/>
      <c r="C35" s="35"/>
      <c r="D35" s="35">
        <f>D30+D33</f>
        <v>745.03738999999996</v>
      </c>
      <c r="E35" s="73"/>
      <c r="F35" s="35"/>
      <c r="G35" s="35">
        <f>G30+G33</f>
        <v>754.85810000000004</v>
      </c>
      <c r="H35" s="35">
        <f t="shared" si="2"/>
        <v>9.8207100000000764</v>
      </c>
      <c r="I35" s="36">
        <f t="shared" si="10"/>
        <v>1.3181499521789205E-2</v>
      </c>
      <c r="J35" s="36">
        <f t="shared" si="12"/>
        <v>0.28319149431459362</v>
      </c>
      <c r="K35" s="111">
        <f t="shared" si="13"/>
        <v>0.29779279109163748</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2"/>
        <v>0</v>
      </c>
      <c r="I36" s="23">
        <f t="shared" si="10"/>
        <v>0</v>
      </c>
      <c r="J36" s="23">
        <f t="shared" si="12"/>
        <v>2.1615887170606307E-2</v>
      </c>
      <c r="K36" s="108">
        <f t="shared" si="13"/>
        <v>2.2730397987539602E-2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10"/>
        <v>0</v>
      </c>
      <c r="J37" s="23">
        <f t="shared" si="12"/>
        <v>1.2609267516187012E-2</v>
      </c>
      <c r="K37" s="108">
        <f t="shared" si="13"/>
        <v>1.3259398826064766E-2</v>
      </c>
    </row>
    <row r="38" spans="1:11" x14ac:dyDescent="0.2">
      <c r="A38" s="107" t="s">
        <v>100</v>
      </c>
      <c r="B38" s="73">
        <f>B8</f>
        <v>16005</v>
      </c>
      <c r="C38" s="34">
        <v>0</v>
      </c>
      <c r="D38" s="22">
        <f>B38*C38</f>
        <v>0</v>
      </c>
      <c r="E38" s="73">
        <f t="shared" si="6"/>
        <v>16005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9.3789645469325158E-5</v>
      </c>
      <c r="K39" s="108">
        <f t="shared" si="13"/>
        <v>9.8625420821356181E-5</v>
      </c>
    </row>
    <row r="40" spans="1:11" s="1" customFormat="1" x14ac:dyDescent="0.2">
      <c r="A40" s="110" t="s">
        <v>45</v>
      </c>
      <c r="B40" s="74"/>
      <c r="C40" s="35"/>
      <c r="D40" s="35">
        <f>SUM(D36:D39)</f>
        <v>91.478499999999997</v>
      </c>
      <c r="E40" s="73"/>
      <c r="F40" s="35"/>
      <c r="G40" s="35">
        <f>SUM(G36:G39)</f>
        <v>91.478499999999997</v>
      </c>
      <c r="H40" s="35">
        <f t="shared" si="2"/>
        <v>0</v>
      </c>
      <c r="I40" s="36">
        <f t="shared" si="10"/>
        <v>0</v>
      </c>
      <c r="J40" s="36">
        <f t="shared" si="12"/>
        <v>3.4318944332262645E-2</v>
      </c>
      <c r="K40" s="111">
        <f t="shared" si="13"/>
        <v>3.6088422234425724E-2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2"/>
        <v>0</v>
      </c>
      <c r="I41" s="117">
        <f t="shared" si="10"/>
        <v>0</v>
      </c>
      <c r="J41" s="117">
        <f t="shared" si="12"/>
        <v>3.9391651097116565E-2</v>
      </c>
      <c r="K41" s="118">
        <f t="shared" si="13"/>
        <v>4.1422676744969598E-2</v>
      </c>
    </row>
    <row r="42" spans="1:11" s="1" customFormat="1" x14ac:dyDescent="0.2">
      <c r="A42" s="37" t="s">
        <v>137</v>
      </c>
      <c r="B42" s="38"/>
      <c r="C42" s="39"/>
      <c r="D42" s="39">
        <f>SUM(D14,D25,D26,D27,D33,D40,D41)</f>
        <v>2528.7882900000004</v>
      </c>
      <c r="E42" s="38"/>
      <c r="F42" s="39"/>
      <c r="G42" s="39">
        <f>SUM(G14,G25,G26,G27,G33,G40,G41)</f>
        <v>2538.6090000000004</v>
      </c>
      <c r="H42" s="39">
        <f t="shared" si="2"/>
        <v>9.8207099999999627</v>
      </c>
      <c r="I42" s="40">
        <f t="shared" si="10"/>
        <v>3.8835635386463931E-3</v>
      </c>
      <c r="J42" s="40">
        <f t="shared" si="12"/>
        <v>0.95238095238095244</v>
      </c>
      <c r="K42" s="41"/>
    </row>
    <row r="43" spans="1:11" x14ac:dyDescent="0.2">
      <c r="A43" s="149" t="s">
        <v>138</v>
      </c>
      <c r="B43" s="43"/>
      <c r="C43" s="26">
        <v>0.13</v>
      </c>
      <c r="D43" s="26">
        <f>D42*C43</f>
        <v>328.74247770000005</v>
      </c>
      <c r="E43" s="26"/>
      <c r="F43" s="26">
        <f>C43</f>
        <v>0.13</v>
      </c>
      <c r="G43" s="26">
        <f>G42*F43</f>
        <v>330.01917000000009</v>
      </c>
      <c r="H43" s="26">
        <f t="shared" si="2"/>
        <v>1.2766923000000361</v>
      </c>
      <c r="I43" s="44">
        <f t="shared" si="10"/>
        <v>3.8835635386465176E-3</v>
      </c>
      <c r="J43" s="44">
        <f t="shared" si="12"/>
        <v>0.12380952380952383</v>
      </c>
      <c r="K43" s="45"/>
    </row>
    <row r="44" spans="1:11" s="1" customFormat="1" x14ac:dyDescent="0.2">
      <c r="A44" s="46" t="s">
        <v>139</v>
      </c>
      <c r="B44" s="24"/>
      <c r="C44" s="25"/>
      <c r="D44" s="25">
        <f>SUM(D42:D43)</f>
        <v>2857.5307677000005</v>
      </c>
      <c r="E44" s="25"/>
      <c r="F44" s="25"/>
      <c r="G44" s="25">
        <f>SUM(G42:G43)</f>
        <v>2868.6281700000004</v>
      </c>
      <c r="H44" s="25">
        <f t="shared" si="2"/>
        <v>11.097402299999885</v>
      </c>
      <c r="I44" s="27">
        <f t="shared" si="10"/>
        <v>3.8835635386463676E-3</v>
      </c>
      <c r="J44" s="27">
        <f t="shared" si="12"/>
        <v>1.0761904761904764</v>
      </c>
      <c r="K44" s="47"/>
    </row>
    <row r="45" spans="1:11" x14ac:dyDescent="0.2">
      <c r="A45" s="42" t="s">
        <v>140</v>
      </c>
      <c r="B45" s="43"/>
      <c r="C45" s="26">
        <v>-0.08</v>
      </c>
      <c r="D45" s="26">
        <f>D42*C45</f>
        <v>-202.30306320000003</v>
      </c>
      <c r="E45" s="26"/>
      <c r="F45" s="26">
        <f>C45</f>
        <v>-0.08</v>
      </c>
      <c r="G45" s="26">
        <f>G42*F45</f>
        <v>-203.08872000000002</v>
      </c>
      <c r="H45" s="26">
        <f t="shared" si="2"/>
        <v>-0.78565679999999816</v>
      </c>
      <c r="I45" s="44">
        <f t="shared" si="10"/>
        <v>-3.8835635386463988E-3</v>
      </c>
      <c r="J45" s="44">
        <f t="shared" si="12"/>
        <v>-7.6190476190476197E-2</v>
      </c>
      <c r="K45" s="45"/>
    </row>
    <row r="46" spans="1:11" s="1" customFormat="1" ht="13.5" thickBot="1" x14ac:dyDescent="0.25">
      <c r="A46" s="48" t="s">
        <v>141</v>
      </c>
      <c r="B46" s="49"/>
      <c r="C46" s="50"/>
      <c r="D46" s="50">
        <f>SUM(D44:D45)</f>
        <v>2655.2277045000005</v>
      </c>
      <c r="E46" s="50"/>
      <c r="F46" s="50"/>
      <c r="G46" s="50">
        <f>SUM(G44:G45)</f>
        <v>2665.5394500000002</v>
      </c>
      <c r="H46" s="50">
        <f t="shared" si="2"/>
        <v>10.311745499999688</v>
      </c>
      <c r="I46" s="51">
        <f t="shared" si="10"/>
        <v>3.8835635386462899E-3</v>
      </c>
      <c r="J46" s="51">
        <f t="shared" si="12"/>
        <v>1</v>
      </c>
      <c r="K46" s="52"/>
    </row>
    <row r="47" spans="1:11" x14ac:dyDescent="0.2">
      <c r="A47" s="53" t="s">
        <v>142</v>
      </c>
      <c r="B47" s="54"/>
      <c r="C47" s="55"/>
      <c r="D47" s="55">
        <f>SUM(D18,D25,D26,D28,D33,D40,D41)</f>
        <v>2404.3158900000003</v>
      </c>
      <c r="E47" s="55"/>
      <c r="F47" s="55"/>
      <c r="G47" s="55">
        <f>SUM(G18,G25,G26,G28,G33,G40,G41)</f>
        <v>2414.1366000000007</v>
      </c>
      <c r="H47" s="55">
        <f>G47-D47</f>
        <v>9.8207100000004175</v>
      </c>
      <c r="I47" s="56">
        <f t="shared" si="10"/>
        <v>4.0846171839759443E-3</v>
      </c>
      <c r="J47" s="56"/>
      <c r="K47" s="57">
        <f>G47/$G$51</f>
        <v>0.95238095238095233</v>
      </c>
    </row>
    <row r="48" spans="1:11" x14ac:dyDescent="0.2">
      <c r="A48" s="58" t="s">
        <v>138</v>
      </c>
      <c r="B48" s="59"/>
      <c r="C48" s="31">
        <v>0.13</v>
      </c>
      <c r="D48" s="31">
        <f>D47*C48</f>
        <v>312.56106570000003</v>
      </c>
      <c r="E48" s="31"/>
      <c r="F48" s="31">
        <f>C48</f>
        <v>0.13</v>
      </c>
      <c r="G48" s="31">
        <f>G47*F48</f>
        <v>313.83775800000012</v>
      </c>
      <c r="H48" s="31">
        <f>G48-D48</f>
        <v>1.2766923000000929</v>
      </c>
      <c r="I48" s="32">
        <f t="shared" si="10"/>
        <v>4.0846171839760683E-3</v>
      </c>
      <c r="J48" s="32"/>
      <c r="K48" s="60">
        <f>G48/$G$51</f>
        <v>0.12380952380952381</v>
      </c>
    </row>
    <row r="49" spans="1:11" x14ac:dyDescent="0.2">
      <c r="A49" s="140" t="s">
        <v>143</v>
      </c>
      <c r="B49" s="29"/>
      <c r="C49" s="30"/>
      <c r="D49" s="30">
        <f>SUM(D47:D48)</f>
        <v>2716.8769557000005</v>
      </c>
      <c r="E49" s="30"/>
      <c r="F49" s="30"/>
      <c r="G49" s="30">
        <f>SUM(G47:G48)</f>
        <v>2727.9743580000008</v>
      </c>
      <c r="H49" s="30">
        <f>G49-D49</f>
        <v>11.09740230000034</v>
      </c>
      <c r="I49" s="33">
        <f t="shared" si="10"/>
        <v>4.0846171839758957E-3</v>
      </c>
      <c r="J49" s="33"/>
      <c r="K49" s="62">
        <f>G49/$G$51</f>
        <v>1.0761904761904761</v>
      </c>
    </row>
    <row r="50" spans="1:11" x14ac:dyDescent="0.2">
      <c r="A50" s="58" t="s">
        <v>140</v>
      </c>
      <c r="B50" s="59"/>
      <c r="C50" s="31">
        <v>-0.08</v>
      </c>
      <c r="D50" s="31">
        <f>D47*C50</f>
        <v>-192.34527120000004</v>
      </c>
      <c r="E50" s="31"/>
      <c r="F50" s="31">
        <f>C50</f>
        <v>-0.08</v>
      </c>
      <c r="G50" s="31">
        <f>G47*F50</f>
        <v>-193.13092800000007</v>
      </c>
      <c r="H50" s="31">
        <f>G50-D50</f>
        <v>-0.78565680000002658</v>
      </c>
      <c r="I50" s="32">
        <f t="shared" si="10"/>
        <v>-4.0846171839759087E-3</v>
      </c>
      <c r="J50" s="32"/>
      <c r="K50" s="60">
        <f>G50/$G$51</f>
        <v>-7.6190476190476197E-2</v>
      </c>
    </row>
    <row r="51" spans="1:11" ht="13.5" thickBot="1" x14ac:dyDescent="0.25">
      <c r="A51" s="63" t="s">
        <v>144</v>
      </c>
      <c r="B51" s="64"/>
      <c r="C51" s="65"/>
      <c r="D51" s="65">
        <f>SUM(D49:D50)</f>
        <v>2524.5316845000007</v>
      </c>
      <c r="E51" s="65"/>
      <c r="F51" s="65"/>
      <c r="G51" s="65">
        <f>SUM(G49:G50)</f>
        <v>2534.8434300000008</v>
      </c>
      <c r="H51" s="65">
        <f>G51-D51</f>
        <v>10.311745500000143</v>
      </c>
      <c r="I51" s="66">
        <f t="shared" si="10"/>
        <v>4.0846171839758263E-3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88</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0.28662746190941518</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6" si="2">G13-D13</f>
        <v>0</v>
      </c>
      <c r="I13" s="23">
        <f t="shared" si="0"/>
        <v>0</v>
      </c>
      <c r="J13" s="23">
        <f>G13/$G$46</f>
        <v>0.11129124894651285</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0.39791871085592806</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0.20839607075183594</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7.9985784598257115E-2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0.11766779139754015</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0.40955179612316728</v>
      </c>
      <c r="K18" s="62">
        <f t="shared" si="4"/>
        <v>0.40604964674763316</v>
      </c>
    </row>
    <row r="19" spans="1:11" x14ac:dyDescent="0.2">
      <c r="A19" s="107" t="s">
        <v>38</v>
      </c>
      <c r="B19" s="73">
        <v>1</v>
      </c>
      <c r="C19" s="78">
        <f>VLOOKUP($B$3,'Data for Bill Impacts'!$A$3:$Y$15,7,0)</f>
        <v>30.88</v>
      </c>
      <c r="D19" s="22">
        <f>B19*C19</f>
        <v>30.88</v>
      </c>
      <c r="E19" s="73">
        <f t="shared" ref="E19:E41" si="6">B19</f>
        <v>1</v>
      </c>
      <c r="F19" s="78">
        <f>VLOOKUP($B$3,'Data for Bill Impacts'!$A$3:$Y$15,17,0)</f>
        <v>31.38</v>
      </c>
      <c r="G19" s="22">
        <f>E19*F19</f>
        <v>31.38</v>
      </c>
      <c r="H19" s="22">
        <f t="shared" si="2"/>
        <v>0.5</v>
      </c>
      <c r="I19" s="23">
        <f>IF(ISERROR(H19/ABS(D19)),"N/A",(H19/ABS(D19)))</f>
        <v>1.6191709844559588E-2</v>
      </c>
      <c r="J19" s="23">
        <f t="shared" si="5"/>
        <v>0.13178563743175747</v>
      </c>
      <c r="K19" s="108">
        <f t="shared" si="4"/>
        <v>0.13065871528856368</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8.3993395431330462E-6</v>
      </c>
      <c r="K22" s="108">
        <f t="shared" si="4"/>
        <v>8.3275153147586787E-6</v>
      </c>
    </row>
    <row r="23" spans="1:11" x14ac:dyDescent="0.2">
      <c r="A23" s="107" t="s">
        <v>39</v>
      </c>
      <c r="B23" s="73">
        <f>IF($B$9="kWh",$B$4,$B$5)</f>
        <v>1000</v>
      </c>
      <c r="C23" s="125">
        <f>VLOOKUP($B$3,'Data for Bill Impacts'!$A$3:$Y$15,10,0)</f>
        <v>6.3299999999999995E-2</v>
      </c>
      <c r="D23" s="22">
        <f>B23*C23</f>
        <v>63.3</v>
      </c>
      <c r="E23" s="73">
        <f t="shared" si="6"/>
        <v>1000</v>
      </c>
      <c r="F23" s="78">
        <f>VLOOKUP($B$3,'Data for Bill Impacts'!$A$3:$Y$15,19,0)</f>
        <v>6.5199999999999994E-2</v>
      </c>
      <c r="G23" s="22">
        <f>E23*F23</f>
        <v>65.199999999999989</v>
      </c>
      <c r="H23" s="22">
        <f t="shared" si="2"/>
        <v>1.8999999999999915</v>
      </c>
      <c r="I23" s="23">
        <f t="shared" si="10"/>
        <v>3.0015797788309505E-2</v>
      </c>
      <c r="J23" s="23">
        <f t="shared" si="5"/>
        <v>0.27381846910613722</v>
      </c>
      <c r="K23" s="108">
        <f t="shared" si="4"/>
        <v>0.27147699926113289</v>
      </c>
    </row>
    <row r="24" spans="1:11" x14ac:dyDescent="0.2">
      <c r="A24" s="107" t="s">
        <v>199</v>
      </c>
      <c r="B24" s="73">
        <f>IF($B$9="kWh",$B$4,$B$5)</f>
        <v>1000</v>
      </c>
      <c r="C24" s="125">
        <f>VLOOKUP($B$3,'Data for Bill Impacts'!$A$3:$Y$15,14,0)</f>
        <v>2.0000000000000002E-5</v>
      </c>
      <c r="D24" s="34">
        <f>B24*C24</f>
        <v>0.02</v>
      </c>
      <c r="E24" s="73">
        <f t="shared" si="6"/>
        <v>1000</v>
      </c>
      <c r="F24" s="125">
        <f>VLOOKUP($B$3,'Data for Bill Impacts'!$A$3:$Y$15,23,0)</f>
        <v>2.0000000000000002E-5</v>
      </c>
      <c r="G24" s="34">
        <f>E24*F24</f>
        <v>0.02</v>
      </c>
      <c r="H24" s="22">
        <f t="shared" si="2"/>
        <v>0</v>
      </c>
      <c r="I24" s="23">
        <f t="shared" si="10"/>
        <v>0</v>
      </c>
      <c r="J24" s="23">
        <f t="shared" ref="J24" si="11">G24/$G$46</f>
        <v>8.3993395431330455E-5</v>
      </c>
      <c r="K24" s="108">
        <f t="shared" si="4"/>
        <v>8.3275153147586794E-5</v>
      </c>
    </row>
    <row r="25" spans="1:11" s="1" customFormat="1" x14ac:dyDescent="0.2">
      <c r="A25" s="110" t="s">
        <v>72</v>
      </c>
      <c r="B25" s="74"/>
      <c r="C25" s="35"/>
      <c r="D25" s="35">
        <f>SUM(D19:D24)</f>
        <v>94.201999999999984</v>
      </c>
      <c r="E25" s="73"/>
      <c r="F25" s="35"/>
      <c r="G25" s="35">
        <f>SUM(G19:G24)</f>
        <v>96.60199999999999</v>
      </c>
      <c r="H25" s="35">
        <f t="shared" si="2"/>
        <v>2.4000000000000057</v>
      </c>
      <c r="I25" s="36">
        <f t="shared" si="10"/>
        <v>2.5477166089891999E-2</v>
      </c>
      <c r="J25" s="36">
        <f>G25/$G$46</f>
        <v>0.40569649927286922</v>
      </c>
      <c r="K25" s="111">
        <f t="shared" si="4"/>
        <v>0.40222731721815891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3.3177391195375531E-3</v>
      </c>
      <c r="K26" s="108">
        <f t="shared" si="4"/>
        <v>3.2893685493296785E-3</v>
      </c>
    </row>
    <row r="27" spans="1:11" s="1" customFormat="1" x14ac:dyDescent="0.2">
      <c r="A27" s="119" t="s">
        <v>75</v>
      </c>
      <c r="B27" s="120">
        <f>B8-B4</f>
        <v>96</v>
      </c>
      <c r="C27" s="257">
        <f>IF(B4&gt;B7,C13,C12)</f>
        <v>0.106</v>
      </c>
      <c r="D27" s="22">
        <f>B27*C27</f>
        <v>10.176</v>
      </c>
      <c r="E27" s="73">
        <f>B27</f>
        <v>96</v>
      </c>
      <c r="F27" s="257">
        <f>C27</f>
        <v>0.106</v>
      </c>
      <c r="G27" s="22">
        <f>E27*F27</f>
        <v>10.176</v>
      </c>
      <c r="H27" s="22">
        <f t="shared" si="2"/>
        <v>0</v>
      </c>
      <c r="I27" s="23">
        <f t="shared" si="10"/>
        <v>0</v>
      </c>
      <c r="J27" s="23">
        <f t="shared" ref="J27:J46" si="12">G27/$G$46</f>
        <v>4.2735839595460935E-2</v>
      </c>
      <c r="K27" s="108">
        <f t="shared" ref="K27:K41" si="13">G27/$G$51</f>
        <v>4.2370397921492158E-2</v>
      </c>
    </row>
    <row r="28" spans="1:11" s="1" customFormat="1" x14ac:dyDescent="0.2">
      <c r="A28" s="119" t="s">
        <v>74</v>
      </c>
      <c r="B28" s="120">
        <f>B8-B4</f>
        <v>96</v>
      </c>
      <c r="C28" s="257">
        <f>0.65*C15+0.17*C16+0.18*C17</f>
        <v>9.7519999999999996E-2</v>
      </c>
      <c r="D28" s="22">
        <f>B28*C28</f>
        <v>9.3619199999999996</v>
      </c>
      <c r="E28" s="73">
        <f>B28</f>
        <v>96</v>
      </c>
      <c r="F28" s="257">
        <f>C28</f>
        <v>9.7519999999999996E-2</v>
      </c>
      <c r="G28" s="22">
        <f>E28*F28</f>
        <v>9.3619199999999996</v>
      </c>
      <c r="H28" s="22">
        <f t="shared" si="2"/>
        <v>0</v>
      </c>
      <c r="I28" s="23">
        <f t="shared" si="10"/>
        <v>0</v>
      </c>
      <c r="J28" s="23">
        <f t="shared" si="12"/>
        <v>3.931697242782406E-2</v>
      </c>
      <c r="K28" s="108">
        <f t="shared" si="13"/>
        <v>3.8980766087772782E-2</v>
      </c>
    </row>
    <row r="29" spans="1:11" s="1" customFormat="1" x14ac:dyDescent="0.2">
      <c r="A29" s="110" t="s">
        <v>78</v>
      </c>
      <c r="B29" s="74"/>
      <c r="C29" s="35"/>
      <c r="D29" s="35">
        <f>SUM(D25,D26:D27)</f>
        <v>105.16799999999999</v>
      </c>
      <c r="E29" s="73"/>
      <c r="F29" s="35"/>
      <c r="G29" s="35">
        <f>SUM(G25,G26:G27)</f>
        <v>107.568</v>
      </c>
      <c r="H29" s="35">
        <f t="shared" si="2"/>
        <v>2.4000000000000057</v>
      </c>
      <c r="I29" s="36">
        <f t="shared" si="10"/>
        <v>2.2820629849383899E-2</v>
      </c>
      <c r="J29" s="36">
        <f t="shared" si="12"/>
        <v>0.4517500779878677</v>
      </c>
      <c r="K29" s="111">
        <f t="shared" si="13"/>
        <v>0.44788708368898078</v>
      </c>
    </row>
    <row r="30" spans="1:11" s="1" customFormat="1" x14ac:dyDescent="0.2">
      <c r="A30" s="110" t="s">
        <v>77</v>
      </c>
      <c r="B30" s="74"/>
      <c r="C30" s="35"/>
      <c r="D30" s="35">
        <f>SUM(D25,D26,D28)</f>
        <v>104.35391999999999</v>
      </c>
      <c r="E30" s="73"/>
      <c r="F30" s="35"/>
      <c r="G30" s="35">
        <f>SUM(G25,G26,G28)</f>
        <v>106.75391999999999</v>
      </c>
      <c r="H30" s="35">
        <f t="shared" si="2"/>
        <v>2.4000000000000057</v>
      </c>
      <c r="I30" s="36">
        <f t="shared" si="10"/>
        <v>2.2998656878438356E-2</v>
      </c>
      <c r="J30" s="36">
        <f t="shared" si="12"/>
        <v>0.44833121082023081</v>
      </c>
      <c r="K30" s="111">
        <f t="shared" si="13"/>
        <v>0.44449745185526141</v>
      </c>
    </row>
    <row r="31" spans="1:11" x14ac:dyDescent="0.2">
      <c r="A31" s="107" t="s">
        <v>40</v>
      </c>
      <c r="B31" s="73">
        <f>B8</f>
        <v>1096</v>
      </c>
      <c r="C31" s="125">
        <f>VLOOKUP($B$3,'Data for Bill Impacts'!$A$3:$Y$15,15,0)</f>
        <v>5.6930000000000001E-3</v>
      </c>
      <c r="D31" s="22">
        <f>B31*C31</f>
        <v>6.239528</v>
      </c>
      <c r="E31" s="73">
        <f t="shared" si="6"/>
        <v>1096</v>
      </c>
      <c r="F31" s="78">
        <f>VLOOKUP($B$3,'Data for Bill Impacts'!$A$3:$Y$15,24,0)</f>
        <v>5.4999999999999997E-3</v>
      </c>
      <c r="G31" s="22">
        <f>E31*F31</f>
        <v>6.0279999999999996</v>
      </c>
      <c r="H31" s="22">
        <f t="shared" si="2"/>
        <v>-0.21152800000000038</v>
      </c>
      <c r="I31" s="23">
        <f t="shared" si="10"/>
        <v>-3.3901282276479948E-2</v>
      </c>
      <c r="J31" s="23">
        <f t="shared" si="12"/>
        <v>2.5315609383002997E-2</v>
      </c>
      <c r="K31" s="108">
        <f t="shared" si="13"/>
        <v>2.5099131158682658E-2</v>
      </c>
    </row>
    <row r="32" spans="1:11" x14ac:dyDescent="0.2">
      <c r="A32" s="107" t="s">
        <v>41</v>
      </c>
      <c r="B32" s="73">
        <f>B8</f>
        <v>1096</v>
      </c>
      <c r="C32" s="125">
        <f>VLOOKUP($B$3,'Data for Bill Impacts'!$A$3:$Y$15,16,0)</f>
        <v>4.4740000000000005E-3</v>
      </c>
      <c r="D32" s="22">
        <f>B32*C32</f>
        <v>4.9035040000000008</v>
      </c>
      <c r="E32" s="73">
        <f t="shared" si="6"/>
        <v>1096</v>
      </c>
      <c r="F32" s="78">
        <f>VLOOKUP($B$3,'Data for Bill Impacts'!$A$3:$Y$15,25,0)</f>
        <v>4.4999999999999997E-3</v>
      </c>
      <c r="G32" s="22">
        <f>E32*F32</f>
        <v>4.9319999999999995</v>
      </c>
      <c r="H32" s="22">
        <f t="shared" si="2"/>
        <v>2.8495999999998745E-2</v>
      </c>
      <c r="I32" s="23">
        <f t="shared" si="10"/>
        <v>5.8113544926237928E-3</v>
      </c>
      <c r="J32" s="23">
        <f t="shared" si="12"/>
        <v>2.0712771313366088E-2</v>
      </c>
      <c r="K32" s="108">
        <f t="shared" si="13"/>
        <v>2.0535652766194901E-2</v>
      </c>
    </row>
    <row r="33" spans="1:11" s="1" customFormat="1" x14ac:dyDescent="0.2">
      <c r="A33" s="110" t="s">
        <v>76</v>
      </c>
      <c r="B33" s="74"/>
      <c r="C33" s="35"/>
      <c r="D33" s="35">
        <f>SUM(D31:D32)</f>
        <v>11.143032000000002</v>
      </c>
      <c r="E33" s="73"/>
      <c r="F33" s="35"/>
      <c r="G33" s="35">
        <f>SUM(G31:G32)</f>
        <v>10.959999999999999</v>
      </c>
      <c r="H33" s="35">
        <f t="shared" si="2"/>
        <v>-0.18303200000000253</v>
      </c>
      <c r="I33" s="36">
        <f t="shared" si="10"/>
        <v>-1.6425690960952324E-2</v>
      </c>
      <c r="J33" s="36">
        <f t="shared" si="12"/>
        <v>4.6028380696369088E-2</v>
      </c>
      <c r="K33" s="111">
        <f t="shared" si="13"/>
        <v>4.5634783924877555E-2</v>
      </c>
    </row>
    <row r="34" spans="1:11" s="1" customFormat="1" x14ac:dyDescent="0.2">
      <c r="A34" s="110" t="s">
        <v>95</v>
      </c>
      <c r="B34" s="74"/>
      <c r="C34" s="35"/>
      <c r="D34" s="35">
        <f>D29+D33</f>
        <v>116.311032</v>
      </c>
      <c r="E34" s="73"/>
      <c r="F34" s="35"/>
      <c r="G34" s="35">
        <f>G29+G33</f>
        <v>118.52799999999999</v>
      </c>
      <c r="H34" s="35">
        <f t="shared" si="2"/>
        <v>2.2169679999999943</v>
      </c>
      <c r="I34" s="36">
        <f t="shared" si="10"/>
        <v>1.9060685490263678E-2</v>
      </c>
      <c r="J34" s="36">
        <f t="shared" si="12"/>
        <v>0.49777845868423676</v>
      </c>
      <c r="K34" s="111">
        <f t="shared" si="13"/>
        <v>0.4935218676138583</v>
      </c>
    </row>
    <row r="35" spans="1:11" s="1" customFormat="1" x14ac:dyDescent="0.2">
      <c r="A35" s="110" t="s">
        <v>96</v>
      </c>
      <c r="B35" s="74"/>
      <c r="C35" s="35"/>
      <c r="D35" s="35">
        <f>D30+D33</f>
        <v>115.49695199999999</v>
      </c>
      <c r="E35" s="73"/>
      <c r="F35" s="35"/>
      <c r="G35" s="35">
        <f>G30+G33</f>
        <v>117.71391999999999</v>
      </c>
      <c r="H35" s="35">
        <f t="shared" si="2"/>
        <v>2.2169679999999943</v>
      </c>
      <c r="I35" s="36">
        <f t="shared" si="10"/>
        <v>1.9195034688014923E-2</v>
      </c>
      <c r="J35" s="36">
        <f t="shared" si="12"/>
        <v>0.49435959151659992</v>
      </c>
      <c r="K35" s="111">
        <f t="shared" si="13"/>
        <v>0.49013223578013893</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2"/>
        <v>0</v>
      </c>
      <c r="I36" s="23">
        <f t="shared" si="10"/>
        <v>0</v>
      </c>
      <c r="J36" s="23">
        <f t="shared" si="12"/>
        <v>1.6570217050692872E-2</v>
      </c>
      <c r="K36" s="108">
        <f t="shared" si="13"/>
        <v>1.6428522212955921E-2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10"/>
        <v>0</v>
      </c>
      <c r="J37" s="23">
        <f t="shared" si="12"/>
        <v>9.6659599462375068E-3</v>
      </c>
      <c r="K37" s="108">
        <f t="shared" si="13"/>
        <v>9.5833046242242859E-3</v>
      </c>
    </row>
    <row r="38" spans="1:11" x14ac:dyDescent="0.2">
      <c r="A38" s="107" t="s">
        <v>100</v>
      </c>
      <c r="B38" s="73">
        <f>B8</f>
        <v>1096</v>
      </c>
      <c r="C38" s="34">
        <v>0</v>
      </c>
      <c r="D38" s="22">
        <f>B38*C38</f>
        <v>0</v>
      </c>
      <c r="E38" s="73">
        <f t="shared" si="6"/>
        <v>1096</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1.0499174428916307E-3</v>
      </c>
      <c r="K39" s="108">
        <f t="shared" si="13"/>
        <v>1.040939414344835E-3</v>
      </c>
    </row>
    <row r="40" spans="1:11" s="1" customFormat="1" x14ac:dyDescent="0.2">
      <c r="A40" s="110" t="s">
        <v>45</v>
      </c>
      <c r="B40" s="74"/>
      <c r="C40" s="35"/>
      <c r="D40" s="35">
        <f>SUM(D36:D39)</f>
        <v>6.4971999999999994</v>
      </c>
      <c r="E40" s="73"/>
      <c r="F40" s="35"/>
      <c r="G40" s="35">
        <f>SUM(G36:G39)</f>
        <v>6.4971999999999994</v>
      </c>
      <c r="H40" s="35">
        <f t="shared" si="2"/>
        <v>0</v>
      </c>
      <c r="I40" s="36">
        <f t="shared" si="10"/>
        <v>0</v>
      </c>
      <c r="J40" s="36">
        <f t="shared" si="12"/>
        <v>2.7286094439822009E-2</v>
      </c>
      <c r="K40" s="111">
        <f t="shared" si="13"/>
        <v>2.7052766251525043E-2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2"/>
        <v>0</v>
      </c>
      <c r="I41" s="117">
        <f t="shared" si="10"/>
        <v>0</v>
      </c>
      <c r="J41" s="117">
        <f t="shared" si="12"/>
        <v>2.9397688400965658E-2</v>
      </c>
      <c r="K41" s="118">
        <f t="shared" si="13"/>
        <v>2.9146303601655377E-2</v>
      </c>
    </row>
    <row r="42" spans="1:11" s="1" customFormat="1" x14ac:dyDescent="0.2">
      <c r="A42" s="37" t="s">
        <v>137</v>
      </c>
      <c r="B42" s="38"/>
      <c r="C42" s="39"/>
      <c r="D42" s="39">
        <f>SUM(D14,D25,D26,D27,D33,D40,D41)</f>
        <v>224.55823199999998</v>
      </c>
      <c r="E42" s="38"/>
      <c r="F42" s="39"/>
      <c r="G42" s="39">
        <f>SUM(G14,G25,G26,G27,G33,G40,G41)</f>
        <v>226.77519999999996</v>
      </c>
      <c r="H42" s="39">
        <f t="shared" si="2"/>
        <v>2.2169679999999801</v>
      </c>
      <c r="I42" s="40">
        <f t="shared" si="10"/>
        <v>9.8725750566115086E-3</v>
      </c>
      <c r="J42" s="40">
        <f t="shared" si="12"/>
        <v>0.95238095238095233</v>
      </c>
      <c r="K42" s="41"/>
    </row>
    <row r="43" spans="1:11" x14ac:dyDescent="0.2">
      <c r="A43" s="149" t="s">
        <v>138</v>
      </c>
      <c r="B43" s="43"/>
      <c r="C43" s="26">
        <v>0.13</v>
      </c>
      <c r="D43" s="26">
        <f>D42*C43</f>
        <v>29.192570159999999</v>
      </c>
      <c r="E43" s="26"/>
      <c r="F43" s="26">
        <f>C43</f>
        <v>0.13</v>
      </c>
      <c r="G43" s="26">
        <f>G42*F43</f>
        <v>29.480775999999995</v>
      </c>
      <c r="H43" s="26">
        <f t="shared" si="2"/>
        <v>0.28820583999999627</v>
      </c>
      <c r="I43" s="44">
        <f t="shared" si="10"/>
        <v>9.8725750566114687E-3</v>
      </c>
      <c r="J43" s="44">
        <f t="shared" si="12"/>
        <v>0.12380952380952381</v>
      </c>
      <c r="K43" s="45"/>
    </row>
    <row r="44" spans="1:11" s="1" customFormat="1" x14ac:dyDescent="0.2">
      <c r="A44" s="46" t="s">
        <v>139</v>
      </c>
      <c r="B44" s="24"/>
      <c r="C44" s="25"/>
      <c r="D44" s="25">
        <f>SUM(D42:D43)</f>
        <v>253.75080215999998</v>
      </c>
      <c r="E44" s="25"/>
      <c r="F44" s="25"/>
      <c r="G44" s="25">
        <f>SUM(G42:G43)</f>
        <v>256.25597599999998</v>
      </c>
      <c r="H44" s="25">
        <f t="shared" si="2"/>
        <v>2.5051738399999977</v>
      </c>
      <c r="I44" s="27">
        <f t="shared" si="10"/>
        <v>9.8725750566115884E-3</v>
      </c>
      <c r="J44" s="27">
        <f t="shared" si="12"/>
        <v>1.0761904761904764</v>
      </c>
      <c r="K44" s="47"/>
    </row>
    <row r="45" spans="1:11" x14ac:dyDescent="0.2">
      <c r="A45" s="42" t="s">
        <v>140</v>
      </c>
      <c r="B45" s="43"/>
      <c r="C45" s="26">
        <v>-0.08</v>
      </c>
      <c r="D45" s="26">
        <f>D42*C45</f>
        <v>-17.96465856</v>
      </c>
      <c r="E45" s="26"/>
      <c r="F45" s="26">
        <f>C45</f>
        <v>-0.08</v>
      </c>
      <c r="G45" s="26">
        <f>G42*F45</f>
        <v>-18.142015999999998</v>
      </c>
      <c r="H45" s="26">
        <f t="shared" si="2"/>
        <v>-0.17735743999999798</v>
      </c>
      <c r="I45" s="44">
        <f t="shared" si="10"/>
        <v>-9.8725750566114844E-3</v>
      </c>
      <c r="J45" s="44">
        <f t="shared" si="12"/>
        <v>-7.6190476190476197E-2</v>
      </c>
      <c r="K45" s="45"/>
    </row>
    <row r="46" spans="1:11" s="1" customFormat="1" ht="13.5" thickBot="1" x14ac:dyDescent="0.25">
      <c r="A46" s="48" t="s">
        <v>141</v>
      </c>
      <c r="B46" s="49"/>
      <c r="C46" s="50"/>
      <c r="D46" s="50">
        <f>SUM(D44:D45)</f>
        <v>235.78614359999997</v>
      </c>
      <c r="E46" s="50"/>
      <c r="F46" s="50"/>
      <c r="G46" s="50">
        <f>SUM(G44:G45)</f>
        <v>238.11395999999996</v>
      </c>
      <c r="H46" s="50">
        <f t="shared" si="2"/>
        <v>2.327816399999989</v>
      </c>
      <c r="I46" s="51">
        <f t="shared" si="10"/>
        <v>9.8725750566115503E-3</v>
      </c>
      <c r="J46" s="51">
        <f t="shared" si="12"/>
        <v>1</v>
      </c>
      <c r="K46" s="52"/>
    </row>
    <row r="47" spans="1:11" x14ac:dyDescent="0.2">
      <c r="A47" s="53" t="s">
        <v>142</v>
      </c>
      <c r="B47" s="54"/>
      <c r="C47" s="55"/>
      <c r="D47" s="55">
        <f>SUM(D18,D25,D26,D28,D33,D40,D41)</f>
        <v>226.51415199999997</v>
      </c>
      <c r="E47" s="55"/>
      <c r="F47" s="55"/>
      <c r="G47" s="55">
        <f>SUM(G18,G25,G26,G28,G33,G40,G41)</f>
        <v>228.73111999999998</v>
      </c>
      <c r="H47" s="55">
        <f>G47-D47</f>
        <v>2.2169680000000085</v>
      </c>
      <c r="I47" s="56">
        <f t="shared" si="10"/>
        <v>9.7873266655763257E-3</v>
      </c>
      <c r="J47" s="56"/>
      <c r="K47" s="57">
        <f>G47/$G$51</f>
        <v>0.95238095238095255</v>
      </c>
    </row>
    <row r="48" spans="1:11" x14ac:dyDescent="0.2">
      <c r="A48" s="150" t="s">
        <v>138</v>
      </c>
      <c r="B48" s="59"/>
      <c r="C48" s="31">
        <v>0.13</v>
      </c>
      <c r="D48" s="31">
        <f>D47*C48</f>
        <v>29.446839759999996</v>
      </c>
      <c r="E48" s="31"/>
      <c r="F48" s="31">
        <f>C48</f>
        <v>0.13</v>
      </c>
      <c r="G48" s="31">
        <f>G47*F48</f>
        <v>29.735045599999999</v>
      </c>
      <c r="H48" s="31">
        <f>G48-D48</f>
        <v>0.28820584000000338</v>
      </c>
      <c r="I48" s="32">
        <f t="shared" si="10"/>
        <v>9.787326665576402E-3</v>
      </c>
      <c r="J48" s="32"/>
      <c r="K48" s="60">
        <f>G48/$G$51</f>
        <v>0.12380952380952384</v>
      </c>
    </row>
    <row r="49" spans="1:11" x14ac:dyDescent="0.2">
      <c r="A49" s="140" t="s">
        <v>143</v>
      </c>
      <c r="B49" s="29"/>
      <c r="C49" s="30"/>
      <c r="D49" s="30">
        <f>SUM(D47:D48)</f>
        <v>255.96099175999996</v>
      </c>
      <c r="E49" s="30"/>
      <c r="F49" s="30"/>
      <c r="G49" s="30">
        <f>SUM(G47:G48)</f>
        <v>258.46616559999995</v>
      </c>
      <c r="H49" s="30">
        <f>G49-D49</f>
        <v>2.5051738399999977</v>
      </c>
      <c r="I49" s="33">
        <f t="shared" si="10"/>
        <v>9.7873266655762788E-3</v>
      </c>
      <c r="J49" s="33"/>
      <c r="K49" s="62">
        <f>G49/$G$51</f>
        <v>1.0761904761904761</v>
      </c>
    </row>
    <row r="50" spans="1:11" x14ac:dyDescent="0.2">
      <c r="A50" s="58" t="s">
        <v>140</v>
      </c>
      <c r="B50" s="59"/>
      <c r="C50" s="31">
        <v>-0.08</v>
      </c>
      <c r="D50" s="31">
        <f>D47*C50</f>
        <v>-18.121132159999998</v>
      </c>
      <c r="E50" s="31"/>
      <c r="F50" s="31">
        <f>C50</f>
        <v>-0.08</v>
      </c>
      <c r="G50" s="31">
        <f>G47*F50</f>
        <v>-18.2984896</v>
      </c>
      <c r="H50" s="31">
        <f>G50-D50</f>
        <v>-0.17735744000000153</v>
      </c>
      <c r="I50" s="32">
        <f t="shared" si="10"/>
        <v>-9.7873266655763708E-3</v>
      </c>
      <c r="J50" s="32"/>
      <c r="K50" s="60">
        <f>G50/$G$51</f>
        <v>-7.6190476190476211E-2</v>
      </c>
    </row>
    <row r="51" spans="1:11" ht="13.5" thickBot="1" x14ac:dyDescent="0.25">
      <c r="A51" s="63" t="s">
        <v>144</v>
      </c>
      <c r="B51" s="64"/>
      <c r="C51" s="65"/>
      <c r="D51" s="65">
        <f>SUM(D49:D50)</f>
        <v>237.83985959999995</v>
      </c>
      <c r="E51" s="65"/>
      <c r="F51" s="65"/>
      <c r="G51" s="65">
        <f>SUM(G49:G50)</f>
        <v>240.16767599999994</v>
      </c>
      <c r="H51" s="65">
        <f>G51-D51</f>
        <v>2.327816399999989</v>
      </c>
      <c r="I51" s="66">
        <f t="shared" si="10"/>
        <v>9.7873266655762424E-3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BreakPreview" topLeftCell="A19"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88</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0.15033128389392256</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6" si="2">G13-D13</f>
        <v>0</v>
      </c>
      <c r="I13" s="23">
        <f t="shared" si="0"/>
        <v>0</v>
      </c>
      <c r="J13" s="23">
        <f>G13/$G$46</f>
        <v>0.2918519430907654</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0.44218322698468798</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6" si="4">G15/$G$51</f>
        <v>0.2242924889495953</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8.6087087167267262E-2</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0.12664347128302825</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5">G18/$G$46</f>
        <v>0.42960606022960668</v>
      </c>
      <c r="K18" s="62">
        <f t="shared" si="4"/>
        <v>0.43702304739989078</v>
      </c>
    </row>
    <row r="19" spans="1:11" x14ac:dyDescent="0.2">
      <c r="A19" s="107" t="s">
        <v>38</v>
      </c>
      <c r="B19" s="73">
        <v>1</v>
      </c>
      <c r="C19" s="78">
        <f>VLOOKUP($B$3,'Data for Bill Impacts'!$A$3:$Y$15,7,0)</f>
        <v>30.88</v>
      </c>
      <c r="D19" s="22">
        <f>B19*C19</f>
        <v>30.88</v>
      </c>
      <c r="E19" s="73">
        <f t="shared" ref="E19:E41" si="6">B19</f>
        <v>1</v>
      </c>
      <c r="F19" s="78">
        <f>VLOOKUP($B$3,'Data for Bill Impacts'!$A$3:$Y$15,17,0)</f>
        <v>31.38</v>
      </c>
      <c r="G19" s="22">
        <f>E19*F19</f>
        <v>31.38</v>
      </c>
      <c r="H19" s="22">
        <f t="shared" si="2"/>
        <v>0.5</v>
      </c>
      <c r="I19" s="23">
        <f>IF(ISERROR(H19/ABS(D19)),"N/A",(H19/ABS(D19)))</f>
        <v>1.6191709844559588E-2</v>
      </c>
      <c r="J19" s="23">
        <f t="shared" si="5"/>
        <v>6.9119350748590325E-2</v>
      </c>
      <c r="K19" s="108">
        <f t="shared" si="4"/>
        <v>7.031267036202099E-2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4.4053123485398551E-6</v>
      </c>
      <c r="K22" s="108">
        <f t="shared" si="4"/>
        <v>4.481368410581325E-6</v>
      </c>
    </row>
    <row r="23" spans="1:11" x14ac:dyDescent="0.2">
      <c r="A23" s="107" t="s">
        <v>39</v>
      </c>
      <c r="B23" s="73">
        <f>IF($B$9="kWh",$B$4,$B$5)</f>
        <v>2000</v>
      </c>
      <c r="C23" s="125">
        <f>VLOOKUP($B$3,'Data for Bill Impacts'!$A$3:$Y$15,10,0)</f>
        <v>6.3299999999999995E-2</v>
      </c>
      <c r="D23" s="22">
        <f>B23*C23</f>
        <v>126.6</v>
      </c>
      <c r="E23" s="73">
        <f t="shared" si="6"/>
        <v>2000</v>
      </c>
      <c r="F23" s="78">
        <f>VLOOKUP($B$3,'Data for Bill Impacts'!$A$3:$Y$15,19,0)</f>
        <v>6.5199999999999994E-2</v>
      </c>
      <c r="G23" s="22">
        <f>E23*F23</f>
        <v>130.39999999999998</v>
      </c>
      <c r="H23" s="22">
        <f t="shared" si="2"/>
        <v>3.7999999999999829</v>
      </c>
      <c r="I23" s="23">
        <f t="shared" si="10"/>
        <v>3.0015797788309505E-2</v>
      </c>
      <c r="J23" s="23">
        <f t="shared" si="5"/>
        <v>0.28722636512479854</v>
      </c>
      <c r="K23" s="108">
        <f t="shared" si="4"/>
        <v>0.29218522036990235</v>
      </c>
    </row>
    <row r="24" spans="1:11" x14ac:dyDescent="0.2">
      <c r="A24" s="107" t="s">
        <v>199</v>
      </c>
      <c r="B24" s="73">
        <f>IF($B$9="kWh",$B$4,$B$5)</f>
        <v>2000</v>
      </c>
      <c r="C24" s="125">
        <f>VLOOKUP($B$3,'Data for Bill Impacts'!$A$3:$Y$15,14,0)</f>
        <v>2.0000000000000002E-5</v>
      </c>
      <c r="D24" s="34">
        <f>B24*C24</f>
        <v>0.04</v>
      </c>
      <c r="E24" s="73">
        <f t="shared" si="6"/>
        <v>2000</v>
      </c>
      <c r="F24" s="125">
        <f>VLOOKUP($B$3,'Data for Bill Impacts'!$A$3:$Y$15,23,0)</f>
        <v>2.0000000000000002E-5</v>
      </c>
      <c r="G24" s="34">
        <f>E24*F24</f>
        <v>0.04</v>
      </c>
      <c r="H24" s="22">
        <f t="shared" si="2"/>
        <v>0</v>
      </c>
      <c r="I24" s="23">
        <f t="shared" si="10"/>
        <v>0</v>
      </c>
      <c r="J24" s="23">
        <f t="shared" ref="J24" si="11">G24/$G$46</f>
        <v>8.8106246970797111E-5</v>
      </c>
      <c r="K24" s="108">
        <f t="shared" si="4"/>
        <v>8.96273682116265E-5</v>
      </c>
    </row>
    <row r="25" spans="1:11" s="1" customFormat="1" x14ac:dyDescent="0.2">
      <c r="A25" s="110" t="s">
        <v>72</v>
      </c>
      <c r="B25" s="74"/>
      <c r="C25" s="35"/>
      <c r="D25" s="35">
        <f>SUM(D19:D24)</f>
        <v>157.52199999999999</v>
      </c>
      <c r="E25" s="73"/>
      <c r="F25" s="35"/>
      <c r="G25" s="35">
        <f>SUM(G19:G24)</f>
        <v>161.82199999999997</v>
      </c>
      <c r="H25" s="35">
        <f t="shared" si="2"/>
        <v>4.2999999999999829</v>
      </c>
      <c r="I25" s="36">
        <f t="shared" si="10"/>
        <v>2.7297774279148201E-2</v>
      </c>
      <c r="J25" s="36">
        <f>G25/$G$46</f>
        <v>0.3564382274327082</v>
      </c>
      <c r="K25" s="111">
        <f t="shared" si="4"/>
        <v>0.36259199946854553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1.740098377673243E-3</v>
      </c>
      <c r="K26" s="108">
        <f t="shared" si="4"/>
        <v>1.7701405221796235E-3</v>
      </c>
    </row>
    <row r="27" spans="1:11" s="1" customFormat="1" x14ac:dyDescent="0.2">
      <c r="A27" s="119" t="s">
        <v>75</v>
      </c>
      <c r="B27" s="120">
        <f>B8-B4</f>
        <v>192</v>
      </c>
      <c r="C27" s="257">
        <f>IF(B4&gt;B7,C13,C12)</f>
        <v>0.106</v>
      </c>
      <c r="D27" s="22">
        <f>B27*C27</f>
        <v>20.352</v>
      </c>
      <c r="E27" s="73">
        <f>B27</f>
        <v>192</v>
      </c>
      <c r="F27" s="257">
        <f>C27</f>
        <v>0.106</v>
      </c>
      <c r="G27" s="22">
        <f>E27*F27</f>
        <v>20.352</v>
      </c>
      <c r="H27" s="22">
        <f t="shared" si="2"/>
        <v>0</v>
      </c>
      <c r="I27" s="23">
        <f t="shared" si="10"/>
        <v>0</v>
      </c>
      <c r="J27" s="23">
        <f t="shared" ref="J27:J46" si="12">G27/$G$46</f>
        <v>4.4828458458741567E-2</v>
      </c>
      <c r="K27" s="108">
        <f t="shared" ref="K27:K41" si="13">G27/$G$51</f>
        <v>4.5602404946075564E-2</v>
      </c>
    </row>
    <row r="28" spans="1:11" s="1" customFormat="1" x14ac:dyDescent="0.2">
      <c r="A28" s="119" t="s">
        <v>74</v>
      </c>
      <c r="B28" s="120">
        <f>B8-B4</f>
        <v>192</v>
      </c>
      <c r="C28" s="257">
        <f>0.65*C15+0.17*C16+0.18*C17</f>
        <v>9.7519999999999996E-2</v>
      </c>
      <c r="D28" s="22">
        <f>B28*C28</f>
        <v>18.723839999999999</v>
      </c>
      <c r="E28" s="73">
        <f>B28</f>
        <v>192</v>
      </c>
      <c r="F28" s="257">
        <f>C28</f>
        <v>9.7519999999999996E-2</v>
      </c>
      <c r="G28" s="22">
        <f>E28*F28</f>
        <v>18.723839999999999</v>
      </c>
      <c r="H28" s="22">
        <f t="shared" si="2"/>
        <v>0</v>
      </c>
      <c r="I28" s="23">
        <f t="shared" si="10"/>
        <v>0</v>
      </c>
      <c r="J28" s="23">
        <f t="shared" si="12"/>
        <v>4.1242181782042239E-2</v>
      </c>
      <c r="K28" s="108">
        <f t="shared" si="13"/>
        <v>4.1954212550389516E-2</v>
      </c>
    </row>
    <row r="29" spans="1:11" s="1" customFormat="1" x14ac:dyDescent="0.2">
      <c r="A29" s="110" t="s">
        <v>78</v>
      </c>
      <c r="B29" s="74"/>
      <c r="C29" s="35"/>
      <c r="D29" s="35">
        <f>SUM(D25,D26:D27)</f>
        <v>178.66399999999999</v>
      </c>
      <c r="E29" s="73"/>
      <c r="F29" s="35"/>
      <c r="G29" s="35">
        <f>SUM(G25,G26:G27)</f>
        <v>182.96399999999997</v>
      </c>
      <c r="H29" s="35">
        <f t="shared" si="2"/>
        <v>4.2999999999999829</v>
      </c>
      <c r="I29" s="36">
        <f t="shared" si="10"/>
        <v>2.4067523395871485E-2</v>
      </c>
      <c r="J29" s="36">
        <f t="shared" si="12"/>
        <v>0.40300678426912301</v>
      </c>
      <c r="K29" s="111">
        <f t="shared" si="13"/>
        <v>0.40996454493680073</v>
      </c>
    </row>
    <row r="30" spans="1:11" s="1" customFormat="1" x14ac:dyDescent="0.2">
      <c r="A30" s="110" t="s">
        <v>77</v>
      </c>
      <c r="B30" s="74"/>
      <c r="C30" s="35"/>
      <c r="D30" s="35">
        <f>SUM(D25,D26,D28)</f>
        <v>177.03583999999998</v>
      </c>
      <c r="E30" s="73"/>
      <c r="F30" s="35"/>
      <c r="G30" s="35">
        <f>SUM(G25,G26,G28)</f>
        <v>181.33583999999996</v>
      </c>
      <c r="H30" s="35">
        <f t="shared" si="2"/>
        <v>4.2999999999999829</v>
      </c>
      <c r="I30" s="36">
        <f t="shared" si="10"/>
        <v>2.4288867158197929E-2</v>
      </c>
      <c r="J30" s="36">
        <f t="shared" si="12"/>
        <v>0.39942050759242365</v>
      </c>
      <c r="K30" s="111">
        <f t="shared" si="13"/>
        <v>0.40631635254111464</v>
      </c>
    </row>
    <row r="31" spans="1:11" x14ac:dyDescent="0.2">
      <c r="A31" s="107" t="s">
        <v>40</v>
      </c>
      <c r="B31" s="73">
        <f>B8</f>
        <v>2192</v>
      </c>
      <c r="C31" s="125">
        <f>VLOOKUP($B$3,'Data for Bill Impacts'!$A$3:$Y$15,15,0)</f>
        <v>5.6930000000000001E-3</v>
      </c>
      <c r="D31" s="22">
        <f>B31*C31</f>
        <v>12.479056</v>
      </c>
      <c r="E31" s="73">
        <f t="shared" si="6"/>
        <v>2192</v>
      </c>
      <c r="F31" s="78">
        <f>VLOOKUP($B$3,'Data for Bill Impacts'!$A$3:$Y$15,24,0)</f>
        <v>5.4999999999999997E-3</v>
      </c>
      <c r="G31" s="22">
        <f>E31*F31</f>
        <v>12.055999999999999</v>
      </c>
      <c r="H31" s="22">
        <f t="shared" si="2"/>
        <v>-0.42305600000000076</v>
      </c>
      <c r="I31" s="23">
        <f t="shared" si="10"/>
        <v>-3.3901282276479948E-2</v>
      </c>
      <c r="J31" s="23">
        <f t="shared" si="12"/>
        <v>2.6555222836998245E-2</v>
      </c>
      <c r="K31" s="108">
        <f t="shared" si="13"/>
        <v>2.7013688778984225E-2</v>
      </c>
    </row>
    <row r="32" spans="1:11" x14ac:dyDescent="0.2">
      <c r="A32" s="107" t="s">
        <v>41</v>
      </c>
      <c r="B32" s="73">
        <f>B8</f>
        <v>2192</v>
      </c>
      <c r="C32" s="125">
        <f>VLOOKUP($B$3,'Data for Bill Impacts'!$A$3:$Y$15,16,0)</f>
        <v>4.4740000000000005E-3</v>
      </c>
      <c r="D32" s="22">
        <f>B32*C32</f>
        <v>9.8070080000000015</v>
      </c>
      <c r="E32" s="73">
        <f t="shared" si="6"/>
        <v>2192</v>
      </c>
      <c r="F32" s="78">
        <f>VLOOKUP($B$3,'Data for Bill Impacts'!$A$3:$Y$15,25,0)</f>
        <v>4.4999999999999997E-3</v>
      </c>
      <c r="G32" s="22">
        <f>E32*F32</f>
        <v>9.863999999999999</v>
      </c>
      <c r="H32" s="22">
        <f t="shared" si="2"/>
        <v>5.6991999999997489E-2</v>
      </c>
      <c r="I32" s="23">
        <f t="shared" si="10"/>
        <v>5.8113544926237928E-3</v>
      </c>
      <c r="J32" s="23">
        <f t="shared" si="12"/>
        <v>2.1727000502998563E-2</v>
      </c>
      <c r="K32" s="108">
        <f t="shared" si="13"/>
        <v>2.2102109000987094E-2</v>
      </c>
    </row>
    <row r="33" spans="1:11" s="1" customFormat="1" x14ac:dyDescent="0.2">
      <c r="A33" s="110" t="s">
        <v>76</v>
      </c>
      <c r="B33" s="74"/>
      <c r="C33" s="35"/>
      <c r="D33" s="35">
        <f>SUM(D31:D32)</f>
        <v>22.286064000000003</v>
      </c>
      <c r="E33" s="73"/>
      <c r="F33" s="35"/>
      <c r="G33" s="35">
        <f>SUM(G31:G32)</f>
        <v>21.919999999999998</v>
      </c>
      <c r="H33" s="35">
        <f t="shared" si="2"/>
        <v>-0.36606400000000505</v>
      </c>
      <c r="I33" s="36">
        <f t="shared" si="10"/>
        <v>-1.6425690960952324E-2</v>
      </c>
      <c r="J33" s="36">
        <f t="shared" si="12"/>
        <v>4.8282223339996808E-2</v>
      </c>
      <c r="K33" s="111">
        <f t="shared" si="13"/>
        <v>4.9115797779971319E-2</v>
      </c>
    </row>
    <row r="34" spans="1:11" s="1" customFormat="1" x14ac:dyDescent="0.2">
      <c r="A34" s="110" t="s">
        <v>95</v>
      </c>
      <c r="B34" s="74"/>
      <c r="C34" s="35"/>
      <c r="D34" s="35">
        <f>D29+D33</f>
        <v>200.950064</v>
      </c>
      <c r="E34" s="73"/>
      <c r="F34" s="35"/>
      <c r="G34" s="35">
        <f>G29+G33</f>
        <v>204.88399999999996</v>
      </c>
      <c r="H34" s="35">
        <f t="shared" si="2"/>
        <v>3.9339359999999601</v>
      </c>
      <c r="I34" s="36">
        <f t="shared" si="10"/>
        <v>1.9576684484161E-2</v>
      </c>
      <c r="J34" s="36">
        <f t="shared" si="12"/>
        <v>0.45128900760911977</v>
      </c>
      <c r="K34" s="111">
        <f t="shared" si="13"/>
        <v>0.45908034271677201</v>
      </c>
    </row>
    <row r="35" spans="1:11" s="1" customFormat="1" x14ac:dyDescent="0.2">
      <c r="A35" s="110" t="s">
        <v>96</v>
      </c>
      <c r="B35" s="74"/>
      <c r="C35" s="35"/>
      <c r="D35" s="35">
        <f>D30+D33</f>
        <v>199.32190399999999</v>
      </c>
      <c r="E35" s="73"/>
      <c r="F35" s="35"/>
      <c r="G35" s="35">
        <f>G30+G33</f>
        <v>203.25583999999995</v>
      </c>
      <c r="H35" s="35">
        <f t="shared" si="2"/>
        <v>3.9339359999999601</v>
      </c>
      <c r="I35" s="36">
        <f t="shared" si="10"/>
        <v>1.9736596535822576E-2</v>
      </c>
      <c r="J35" s="36">
        <f t="shared" si="12"/>
        <v>0.44770273093242041</v>
      </c>
      <c r="K35" s="111">
        <f t="shared" si="13"/>
        <v>0.45543215032108592</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2"/>
        <v>0</v>
      </c>
      <c r="I36" s="23">
        <f t="shared" si="10"/>
        <v>0</v>
      </c>
      <c r="J36" s="23">
        <f t="shared" si="12"/>
        <v>1.7381600402398851E-2</v>
      </c>
      <c r="K36" s="108">
        <f t="shared" si="13"/>
        <v>1.7681687200789675E-2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10"/>
        <v>0</v>
      </c>
      <c r="J37" s="23">
        <f t="shared" si="12"/>
        <v>1.0139266901399329E-2</v>
      </c>
      <c r="K37" s="108">
        <f t="shared" si="13"/>
        <v>1.0314317533793976E-2</v>
      </c>
    </row>
    <row r="38" spans="1:11" x14ac:dyDescent="0.2">
      <c r="A38" s="107" t="s">
        <v>100</v>
      </c>
      <c r="B38" s="73">
        <f>B8</f>
        <v>2192</v>
      </c>
      <c r="C38" s="34">
        <v>0</v>
      </c>
      <c r="D38" s="22">
        <f>B38*C38</f>
        <v>0</v>
      </c>
      <c r="E38" s="73">
        <f t="shared" si="6"/>
        <v>2192</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5.5066404356748195E-4</v>
      </c>
      <c r="K39" s="108">
        <f t="shared" si="13"/>
        <v>5.6017105132266567E-4</v>
      </c>
    </row>
    <row r="40" spans="1:11" s="1" customFormat="1" x14ac:dyDescent="0.2">
      <c r="A40" s="110" t="s">
        <v>45</v>
      </c>
      <c r="B40" s="74"/>
      <c r="C40" s="35"/>
      <c r="D40" s="35">
        <f>SUM(D36:D39)</f>
        <v>12.744399999999999</v>
      </c>
      <c r="E40" s="73"/>
      <c r="F40" s="35"/>
      <c r="G40" s="35">
        <f>SUM(G36:G39)</f>
        <v>12.744399999999999</v>
      </c>
      <c r="H40" s="35">
        <f t="shared" si="2"/>
        <v>0</v>
      </c>
      <c r="I40" s="36">
        <f t="shared" si="10"/>
        <v>0</v>
      </c>
      <c r="J40" s="36">
        <f t="shared" si="12"/>
        <v>2.8071531347365664E-2</v>
      </c>
      <c r="K40" s="111">
        <f t="shared" si="13"/>
        <v>2.8556175785906315E-2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2"/>
        <v>0</v>
      </c>
      <c r="I41" s="117">
        <f t="shared" si="10"/>
        <v>0</v>
      </c>
      <c r="J41" s="117">
        <f t="shared" si="12"/>
        <v>3.0837186439778987E-2</v>
      </c>
      <c r="K41" s="118">
        <f t="shared" si="13"/>
        <v>3.1369578874069277E-2</v>
      </c>
    </row>
    <row r="42" spans="1:11" s="1" customFormat="1" x14ac:dyDescent="0.2">
      <c r="A42" s="37" t="s">
        <v>137</v>
      </c>
      <c r="B42" s="38"/>
      <c r="C42" s="39"/>
      <c r="D42" s="39">
        <f>SUM(D14,D25,D26,D27,D33,D40,D41)</f>
        <v>428.44446399999998</v>
      </c>
      <c r="E42" s="38"/>
      <c r="F42" s="39"/>
      <c r="G42" s="39">
        <f>SUM(G14,G25,G26,G27,G33,G40,G41)</f>
        <v>432.3784</v>
      </c>
      <c r="H42" s="39">
        <f t="shared" si="2"/>
        <v>3.933936000000017</v>
      </c>
      <c r="I42" s="40">
        <f t="shared" si="10"/>
        <v>9.181904145224332E-3</v>
      </c>
      <c r="J42" s="40">
        <f t="shared" si="12"/>
        <v>0.95238095238095244</v>
      </c>
      <c r="K42" s="41"/>
    </row>
    <row r="43" spans="1:11" x14ac:dyDescent="0.2">
      <c r="A43" s="149" t="s">
        <v>138</v>
      </c>
      <c r="B43" s="43"/>
      <c r="C43" s="26">
        <v>0.13</v>
      </c>
      <c r="D43" s="26">
        <f>D42*C43</f>
        <v>55.69778032</v>
      </c>
      <c r="E43" s="26"/>
      <c r="F43" s="26">
        <f>C43</f>
        <v>0.13</v>
      </c>
      <c r="G43" s="26">
        <f>G42*F43</f>
        <v>56.209192000000002</v>
      </c>
      <c r="H43" s="26">
        <f t="shared" si="2"/>
        <v>0.51141168000000192</v>
      </c>
      <c r="I43" s="44">
        <f t="shared" si="10"/>
        <v>9.1819041452243268E-3</v>
      </c>
      <c r="J43" s="44">
        <f t="shared" si="12"/>
        <v>0.12380952380952383</v>
      </c>
      <c r="K43" s="45"/>
    </row>
    <row r="44" spans="1:11" s="1" customFormat="1" x14ac:dyDescent="0.2">
      <c r="A44" s="46" t="s">
        <v>139</v>
      </c>
      <c r="B44" s="24"/>
      <c r="C44" s="25"/>
      <c r="D44" s="25">
        <f>SUM(D42:D43)</f>
        <v>484.14224431999997</v>
      </c>
      <c r="E44" s="25"/>
      <c r="F44" s="25"/>
      <c r="G44" s="25">
        <f>SUM(G42:G43)</f>
        <v>488.58759199999997</v>
      </c>
      <c r="H44" s="25">
        <f t="shared" si="2"/>
        <v>4.4453476799999976</v>
      </c>
      <c r="I44" s="27">
        <f t="shared" si="10"/>
        <v>9.1819041452242869E-3</v>
      </c>
      <c r="J44" s="27">
        <f t="shared" si="12"/>
        <v>1.0761904761904764</v>
      </c>
      <c r="K44" s="47"/>
    </row>
    <row r="45" spans="1:11" x14ac:dyDescent="0.2">
      <c r="A45" s="42" t="s">
        <v>140</v>
      </c>
      <c r="B45" s="43"/>
      <c r="C45" s="26">
        <v>-0.08</v>
      </c>
      <c r="D45" s="26">
        <f>D42*C45</f>
        <v>-34.275557120000002</v>
      </c>
      <c r="E45" s="26"/>
      <c r="F45" s="26">
        <f>C45</f>
        <v>-0.08</v>
      </c>
      <c r="G45" s="26">
        <f>G42*F45</f>
        <v>-34.590271999999999</v>
      </c>
      <c r="H45" s="26">
        <f t="shared" si="2"/>
        <v>-0.31471487999999681</v>
      </c>
      <c r="I45" s="44">
        <f t="shared" si="10"/>
        <v>-9.1819041452241984E-3</v>
      </c>
      <c r="J45" s="44">
        <f t="shared" si="12"/>
        <v>-7.6190476190476197E-2</v>
      </c>
      <c r="K45" s="45"/>
    </row>
    <row r="46" spans="1:11" s="1" customFormat="1" ht="13.5" thickBot="1" x14ac:dyDescent="0.25">
      <c r="A46" s="48" t="s">
        <v>141</v>
      </c>
      <c r="B46" s="49"/>
      <c r="C46" s="50"/>
      <c r="D46" s="50">
        <f>SUM(D44:D45)</f>
        <v>449.8666872</v>
      </c>
      <c r="E46" s="50"/>
      <c r="F46" s="50"/>
      <c r="G46" s="50">
        <f>SUM(G44:G45)</f>
        <v>453.99731999999995</v>
      </c>
      <c r="H46" s="50">
        <f t="shared" si="2"/>
        <v>4.1306327999999439</v>
      </c>
      <c r="I46" s="51">
        <f t="shared" si="10"/>
        <v>9.1819041452241672E-3</v>
      </c>
      <c r="J46" s="51">
        <f t="shared" si="12"/>
        <v>1</v>
      </c>
      <c r="K46" s="52"/>
    </row>
    <row r="47" spans="1:11" x14ac:dyDescent="0.2">
      <c r="A47" s="53" t="s">
        <v>142</v>
      </c>
      <c r="B47" s="54"/>
      <c r="C47" s="55"/>
      <c r="D47" s="55">
        <f>SUM(D18,D25,D26,D28,D33,D40,D41)</f>
        <v>421.10630400000002</v>
      </c>
      <c r="E47" s="55"/>
      <c r="F47" s="55"/>
      <c r="G47" s="55">
        <f>SUM(G18,G25,G26,G28,G33,G40,G41)</f>
        <v>425.04023999999998</v>
      </c>
      <c r="H47" s="55">
        <f>G47-D47</f>
        <v>3.9339359999999601</v>
      </c>
      <c r="I47" s="56">
        <f t="shared" si="10"/>
        <v>9.3419071684093333E-3</v>
      </c>
      <c r="J47" s="56"/>
      <c r="K47" s="57">
        <f>G47/$G$51</f>
        <v>0.95238095238095244</v>
      </c>
    </row>
    <row r="48" spans="1:11" x14ac:dyDescent="0.2">
      <c r="A48" s="58" t="s">
        <v>138</v>
      </c>
      <c r="B48" s="59"/>
      <c r="C48" s="31">
        <v>0.13</v>
      </c>
      <c r="D48" s="31">
        <f>D47*C48</f>
        <v>54.743819520000002</v>
      </c>
      <c r="E48" s="31"/>
      <c r="F48" s="31">
        <f>C48</f>
        <v>0.13</v>
      </c>
      <c r="G48" s="31">
        <f>G47*F48</f>
        <v>55.255231199999997</v>
      </c>
      <c r="H48" s="31">
        <f>G48-D48</f>
        <v>0.51141167999999482</v>
      </c>
      <c r="I48" s="32">
        <f t="shared" si="10"/>
        <v>9.3419071684093333E-3</v>
      </c>
      <c r="J48" s="32"/>
      <c r="K48" s="60">
        <f>G48/$G$51</f>
        <v>0.12380952380952381</v>
      </c>
    </row>
    <row r="49" spans="1:11" x14ac:dyDescent="0.2">
      <c r="A49" s="140" t="s">
        <v>143</v>
      </c>
      <c r="B49" s="29"/>
      <c r="C49" s="30"/>
      <c r="D49" s="30">
        <f>SUM(D47:D48)</f>
        <v>475.85012352000001</v>
      </c>
      <c r="E49" s="30"/>
      <c r="F49" s="30"/>
      <c r="G49" s="30">
        <f>SUM(G47:G48)</f>
        <v>480.29547119999995</v>
      </c>
      <c r="H49" s="30">
        <f>G49-D49</f>
        <v>4.4453476799999407</v>
      </c>
      <c r="I49" s="33">
        <f t="shared" si="10"/>
        <v>9.3419071684093039E-3</v>
      </c>
      <c r="J49" s="33"/>
      <c r="K49" s="62">
        <f>G49/$G$51</f>
        <v>1.0761904761904761</v>
      </c>
    </row>
    <row r="50" spans="1:11" x14ac:dyDescent="0.2">
      <c r="A50" s="58" t="s">
        <v>140</v>
      </c>
      <c r="B50" s="59"/>
      <c r="C50" s="31">
        <v>-0.08</v>
      </c>
      <c r="D50" s="31">
        <f>D47*C50</f>
        <v>-33.68850432</v>
      </c>
      <c r="E50" s="31"/>
      <c r="F50" s="31">
        <f>C50</f>
        <v>-0.08</v>
      </c>
      <c r="G50" s="31">
        <f>G47*F50</f>
        <v>-34.003219199999997</v>
      </c>
      <c r="H50" s="31">
        <f>G50-D50</f>
        <v>-0.31471487999999681</v>
      </c>
      <c r="I50" s="32">
        <f t="shared" si="10"/>
        <v>-9.3419071684093333E-3</v>
      </c>
      <c r="J50" s="32"/>
      <c r="K50" s="60">
        <f>G50/$G$51</f>
        <v>-7.6190476190476183E-2</v>
      </c>
    </row>
    <row r="51" spans="1:11" ht="13.5" thickBot="1" x14ac:dyDescent="0.25">
      <c r="A51" s="63" t="s">
        <v>144</v>
      </c>
      <c r="B51" s="64"/>
      <c r="C51" s="65"/>
      <c r="D51" s="65">
        <f>SUM(D49:D50)</f>
        <v>442.16161920000002</v>
      </c>
      <c r="E51" s="65"/>
      <c r="F51" s="65"/>
      <c r="G51" s="65">
        <f>SUM(G49:G50)</f>
        <v>446.29225199999996</v>
      </c>
      <c r="H51" s="65">
        <f>G51-D51</f>
        <v>4.1306327999999439</v>
      </c>
      <c r="I51" s="66">
        <f t="shared" si="10"/>
        <v>9.3419071684093021E-3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theme="1" tint="0.499984740745262"/>
    <pageSetUpPr fitToPage="1"/>
  </sheetPr>
  <dimension ref="A1:K68"/>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88</v>
      </c>
    </row>
    <row r="4" spans="1:11" x14ac:dyDescent="0.2">
      <c r="A4" s="15" t="s">
        <v>62</v>
      </c>
      <c r="B4" s="79">
        <f>'Data for Bill Impacts_HONI Avg '!C7</f>
        <v>1982</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2172.2720000000004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0.15162912345743632</v>
      </c>
      <c r="K12" s="106"/>
    </row>
    <row r="13" spans="1:11" x14ac:dyDescent="0.2">
      <c r="A13" s="107" t="s">
        <v>32</v>
      </c>
      <c r="B13" s="73">
        <f>IF(B4&gt;B7,(B4)-B7,0)</f>
        <v>1232</v>
      </c>
      <c r="C13" s="21">
        <v>0.106</v>
      </c>
      <c r="D13" s="22">
        <f>B13*C13</f>
        <v>130.59199999999998</v>
      </c>
      <c r="E13" s="73">
        <f t="shared" ref="E13" si="1">B13</f>
        <v>1232</v>
      </c>
      <c r="F13" s="21">
        <f>C13</f>
        <v>0.106</v>
      </c>
      <c r="G13" s="22">
        <f>E13*F13</f>
        <v>130.59199999999998</v>
      </c>
      <c r="H13" s="22">
        <f t="shared" ref="H13:H46" si="2">G13-D13</f>
        <v>0</v>
      </c>
      <c r="I13" s="23">
        <f t="shared" si="0"/>
        <v>0</v>
      </c>
      <c r="J13" s="23">
        <f>G13/$G$46</f>
        <v>0.29013260792019807</v>
      </c>
      <c r="K13" s="108"/>
    </row>
    <row r="14" spans="1:11" s="1" customFormat="1" x14ac:dyDescent="0.2">
      <c r="A14" s="46" t="s">
        <v>33</v>
      </c>
      <c r="B14" s="24"/>
      <c r="C14" s="25"/>
      <c r="D14" s="25">
        <f>SUM(D12:D13)</f>
        <v>198.84199999999998</v>
      </c>
      <c r="E14" s="76"/>
      <c r="F14" s="25"/>
      <c r="G14" s="25">
        <f>SUM(G12:G13)</f>
        <v>198.84199999999998</v>
      </c>
      <c r="H14" s="25">
        <f t="shared" si="2"/>
        <v>0</v>
      </c>
      <c r="I14" s="27">
        <f t="shared" si="0"/>
        <v>0</v>
      </c>
      <c r="J14" s="27">
        <f>G14/$G$46</f>
        <v>0.44176173137763441</v>
      </c>
      <c r="K14" s="108"/>
    </row>
    <row r="15" spans="1:11" s="1" customFormat="1" x14ac:dyDescent="0.2">
      <c r="A15" s="109" t="s">
        <v>34</v>
      </c>
      <c r="B15" s="75">
        <f>B4*0.65</f>
        <v>1288.3</v>
      </c>
      <c r="C15" s="28">
        <v>7.6999999999999999E-2</v>
      </c>
      <c r="D15" s="22">
        <f>B15*C15</f>
        <v>99.199100000000001</v>
      </c>
      <c r="E15" s="73">
        <f t="shared" ref="E15:F17" si="3">B15</f>
        <v>1288.3</v>
      </c>
      <c r="F15" s="28">
        <f t="shared" si="3"/>
        <v>7.6999999999999999E-2</v>
      </c>
      <c r="G15" s="22">
        <f>E15*F15</f>
        <v>99.199100000000001</v>
      </c>
      <c r="H15" s="22">
        <f t="shared" si="2"/>
        <v>0</v>
      </c>
      <c r="I15" s="23">
        <f t="shared" si="0"/>
        <v>0</v>
      </c>
      <c r="J15" s="23"/>
      <c r="K15" s="108">
        <f t="shared" ref="K15:K26" si="4">G15/$G$51</f>
        <v>0.22413721715096932</v>
      </c>
    </row>
    <row r="16" spans="1:11" s="1" customFormat="1" x14ac:dyDescent="0.2">
      <c r="A16" s="109" t="s">
        <v>35</v>
      </c>
      <c r="B16" s="75">
        <f>B4*0.17</f>
        <v>336.94</v>
      </c>
      <c r="C16" s="28">
        <v>0.113</v>
      </c>
      <c r="D16" s="22">
        <f>B16*C16</f>
        <v>38.074220000000004</v>
      </c>
      <c r="E16" s="73">
        <f t="shared" si="3"/>
        <v>336.94</v>
      </c>
      <c r="F16" s="28">
        <f t="shared" si="3"/>
        <v>0.113</v>
      </c>
      <c r="G16" s="22">
        <f>E16*F16</f>
        <v>38.074220000000004</v>
      </c>
      <c r="H16" s="22">
        <f t="shared" si="2"/>
        <v>0</v>
      </c>
      <c r="I16" s="23">
        <f t="shared" si="0"/>
        <v>0</v>
      </c>
      <c r="J16" s="23"/>
      <c r="K16" s="108">
        <f t="shared" si="4"/>
        <v>8.6027491338064352E-2</v>
      </c>
    </row>
    <row r="17" spans="1:11" s="1" customFormat="1" x14ac:dyDescent="0.2">
      <c r="A17" s="109" t="s">
        <v>36</v>
      </c>
      <c r="B17" s="75">
        <f>B4*0.18</f>
        <v>356.76</v>
      </c>
      <c r="C17" s="28">
        <v>0.157</v>
      </c>
      <c r="D17" s="22">
        <f>B17*C17</f>
        <v>56.011319999999998</v>
      </c>
      <c r="E17" s="73">
        <f t="shared" si="3"/>
        <v>356.76</v>
      </c>
      <c r="F17" s="28">
        <f t="shared" si="3"/>
        <v>0.157</v>
      </c>
      <c r="G17" s="22">
        <f>E17*F17</f>
        <v>56.011319999999998</v>
      </c>
      <c r="H17" s="22">
        <f t="shared" si="2"/>
        <v>0</v>
      </c>
      <c r="I17" s="23">
        <f t="shared" si="0"/>
        <v>0</v>
      </c>
      <c r="J17" s="23"/>
      <c r="K17" s="108">
        <f t="shared" si="4"/>
        <v>0.12655579933439345</v>
      </c>
    </row>
    <row r="18" spans="1:11" s="1" customFormat="1" x14ac:dyDescent="0.2">
      <c r="A18" s="61" t="s">
        <v>37</v>
      </c>
      <c r="B18" s="29"/>
      <c r="C18" s="30"/>
      <c r="D18" s="30">
        <f>SUM(D15:D17)</f>
        <v>193.28464000000002</v>
      </c>
      <c r="E18" s="77"/>
      <c r="F18" s="30"/>
      <c r="G18" s="30">
        <f>SUM(G15:G17)</f>
        <v>193.28464000000002</v>
      </c>
      <c r="H18" s="31">
        <f t="shared" si="2"/>
        <v>0</v>
      </c>
      <c r="I18" s="32">
        <f t="shared" si="0"/>
        <v>0</v>
      </c>
      <c r="J18" s="33">
        <f t="shared" ref="J18:J23" si="5">G18/$G$46</f>
        <v>0.42941509950162837</v>
      </c>
      <c r="K18" s="62">
        <f t="shared" si="4"/>
        <v>0.4367205078234272</v>
      </c>
    </row>
    <row r="19" spans="1:11" x14ac:dyDescent="0.2">
      <c r="A19" s="107" t="s">
        <v>38</v>
      </c>
      <c r="B19" s="73">
        <v>1</v>
      </c>
      <c r="C19" s="78">
        <f>VLOOKUP($B$3,'Data for Bill Impacts'!$A$3:$Y$15,7,0)</f>
        <v>30.88</v>
      </c>
      <c r="D19" s="22">
        <f>B19*C19</f>
        <v>30.88</v>
      </c>
      <c r="E19" s="73">
        <f t="shared" ref="E19:E41" si="6">B19</f>
        <v>1</v>
      </c>
      <c r="F19" s="78">
        <f>VLOOKUP($B$3,'Data for Bill Impacts'!$A$3:$Y$15,17,0)</f>
        <v>31.38</v>
      </c>
      <c r="G19" s="22">
        <f>E19*F19</f>
        <v>31.38</v>
      </c>
      <c r="H19" s="22">
        <f t="shared" si="2"/>
        <v>0.5</v>
      </c>
      <c r="I19" s="23">
        <f>IF(ISERROR(H19/ABS(D19)),"N/A",(H19/ABS(D19)))</f>
        <v>1.6191709844559588E-2</v>
      </c>
      <c r="J19" s="23">
        <f t="shared" si="5"/>
        <v>6.9716071708342139E-2</v>
      </c>
      <c r="K19" s="108">
        <f t="shared" si="4"/>
        <v>7.0902113771167452E-2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4.443344277140991E-6</v>
      </c>
      <c r="K22" s="108">
        <f t="shared" si="4"/>
        <v>4.518936505491871E-6</v>
      </c>
    </row>
    <row r="23" spans="1:11" x14ac:dyDescent="0.2">
      <c r="A23" s="107" t="s">
        <v>39</v>
      </c>
      <c r="B23" s="73">
        <f>IF($B$9="kWh",$B$4,$B$5)</f>
        <v>1982</v>
      </c>
      <c r="C23" s="125">
        <f>VLOOKUP($B$3,'Data for Bill Impacts'!$A$3:$Y$15,10,0)</f>
        <v>6.3299999999999995E-2</v>
      </c>
      <c r="D23" s="22">
        <f>B23*C23</f>
        <v>125.46059999999999</v>
      </c>
      <c r="E23" s="73">
        <f t="shared" si="6"/>
        <v>1982</v>
      </c>
      <c r="F23" s="78">
        <f>VLOOKUP($B$3,'Data for Bill Impacts'!$A$3:$Y$15,19,0)</f>
        <v>6.5199999999999994E-2</v>
      </c>
      <c r="G23" s="22">
        <f>E23*F23</f>
        <v>129.22639999999998</v>
      </c>
      <c r="H23" s="22">
        <f t="shared" si="2"/>
        <v>3.7657999999999987</v>
      </c>
      <c r="I23" s="23">
        <f t="shared" si="10"/>
        <v>3.001579778830963E-2</v>
      </c>
      <c r="J23" s="23">
        <f t="shared" si="5"/>
        <v>0.2870986924477662</v>
      </c>
      <c r="K23" s="108">
        <f t="shared" si="4"/>
        <v>0.29198294821664728</v>
      </c>
    </row>
    <row r="24" spans="1:11" x14ac:dyDescent="0.2">
      <c r="A24" s="107" t="s">
        <v>199</v>
      </c>
      <c r="B24" s="73">
        <f>IF($B$9="kWh",$B$4,$B$5)</f>
        <v>1982</v>
      </c>
      <c r="C24" s="125">
        <f>VLOOKUP($B$3,'Data for Bill Impacts'!$A$3:$Y$15,14,0)</f>
        <v>2.0000000000000002E-5</v>
      </c>
      <c r="D24" s="34">
        <f>B24*C24</f>
        <v>3.9640000000000002E-2</v>
      </c>
      <c r="E24" s="73">
        <f t="shared" si="6"/>
        <v>1982</v>
      </c>
      <c r="F24" s="125">
        <f>VLOOKUP($B$3,'Data for Bill Impacts'!$A$3:$Y$15,23,0)</f>
        <v>2.0000000000000002E-5</v>
      </c>
      <c r="G24" s="34">
        <f>E24*F24</f>
        <v>3.9640000000000002E-2</v>
      </c>
      <c r="H24" s="22">
        <f t="shared" si="2"/>
        <v>0</v>
      </c>
      <c r="I24" s="23">
        <f t="shared" si="10"/>
        <v>0</v>
      </c>
      <c r="J24" s="23">
        <f t="shared" ref="J24" si="11">G24/$G$46</f>
        <v>8.8067083572934443E-5</v>
      </c>
      <c r="K24" s="108">
        <f t="shared" si="4"/>
        <v>8.9565321538848878E-5</v>
      </c>
    </row>
    <row r="25" spans="1:11" s="1" customFormat="1" x14ac:dyDescent="0.2">
      <c r="A25" s="110" t="s">
        <v>72</v>
      </c>
      <c r="B25" s="74"/>
      <c r="C25" s="35"/>
      <c r="D25" s="35">
        <f>SUM(D19:D24)</f>
        <v>156.38223999999997</v>
      </c>
      <c r="E25" s="73"/>
      <c r="F25" s="35"/>
      <c r="G25" s="35">
        <f>SUM(G19:G24)</f>
        <v>160.64803999999998</v>
      </c>
      <c r="H25" s="35">
        <f t="shared" si="2"/>
        <v>4.2658000000000129</v>
      </c>
      <c r="I25" s="36">
        <f t="shared" si="10"/>
        <v>2.7278033618139845E-2</v>
      </c>
      <c r="J25" s="36">
        <f>G25/$G$46</f>
        <v>0.35690727458395843</v>
      </c>
      <c r="K25" s="111">
        <f t="shared" si="4"/>
        <v>0.36297914624585909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1.7551209894706913E-3</v>
      </c>
      <c r="K26" s="108">
        <f t="shared" si="4"/>
        <v>1.784979919669289E-3</v>
      </c>
    </row>
    <row r="27" spans="1:11" s="1" customFormat="1" x14ac:dyDescent="0.2">
      <c r="A27" s="119" t="s">
        <v>75</v>
      </c>
      <c r="B27" s="120">
        <f>B8-B4</f>
        <v>190.27200000000039</v>
      </c>
      <c r="C27" s="257">
        <f>IF(B4&gt;B7,C13,C12)</f>
        <v>0.106</v>
      </c>
      <c r="D27" s="22">
        <f>B27*C27</f>
        <v>20.168832000000041</v>
      </c>
      <c r="E27" s="73">
        <f>B27</f>
        <v>190.27200000000039</v>
      </c>
      <c r="F27" s="257">
        <f>C27</f>
        <v>0.106</v>
      </c>
      <c r="G27" s="22">
        <f>E27*F27</f>
        <v>20.168832000000041</v>
      </c>
      <c r="H27" s="22">
        <f t="shared" si="2"/>
        <v>0</v>
      </c>
      <c r="I27" s="23">
        <f t="shared" si="10"/>
        <v>0</v>
      </c>
      <c r="J27" s="23">
        <f t="shared" ref="J27:J46" si="12">G27/$G$46</f>
        <v>4.4808532121909134E-2</v>
      </c>
      <c r="K27" s="108">
        <f t="shared" ref="K27:K41" si="13">G27/$G$51</f>
        <v>4.5570835598966401E-2</v>
      </c>
    </row>
    <row r="28" spans="1:11" s="1" customFormat="1" x14ac:dyDescent="0.2">
      <c r="A28" s="119" t="s">
        <v>74</v>
      </c>
      <c r="B28" s="120">
        <f>B8-B4</f>
        <v>190.27200000000039</v>
      </c>
      <c r="C28" s="257">
        <f>0.65*C15+0.17*C16+0.18*C17</f>
        <v>9.7519999999999996E-2</v>
      </c>
      <c r="D28" s="22">
        <f>B28*C28</f>
        <v>18.555325440000036</v>
      </c>
      <c r="E28" s="73">
        <f>B28</f>
        <v>190.27200000000039</v>
      </c>
      <c r="F28" s="257">
        <f>C28</f>
        <v>9.7519999999999996E-2</v>
      </c>
      <c r="G28" s="22">
        <f>E28*F28</f>
        <v>18.555325440000036</v>
      </c>
      <c r="H28" s="22">
        <f t="shared" si="2"/>
        <v>0</v>
      </c>
      <c r="I28" s="23">
        <f t="shared" si="10"/>
        <v>0</v>
      </c>
      <c r="J28" s="23">
        <f t="shared" si="12"/>
        <v>4.1223849552156397E-2</v>
      </c>
      <c r="K28" s="108">
        <f t="shared" si="13"/>
        <v>4.1925168751049083E-2</v>
      </c>
    </row>
    <row r="29" spans="1:11" s="1" customFormat="1" x14ac:dyDescent="0.2">
      <c r="A29" s="110" t="s">
        <v>78</v>
      </c>
      <c r="B29" s="74"/>
      <c r="C29" s="35"/>
      <c r="D29" s="35">
        <f>SUM(D25,D26:D27)</f>
        <v>177.341072</v>
      </c>
      <c r="E29" s="73"/>
      <c r="F29" s="35"/>
      <c r="G29" s="35">
        <f>SUM(G25,G26:G27)</f>
        <v>181.60687200000001</v>
      </c>
      <c r="H29" s="35">
        <f t="shared" si="2"/>
        <v>4.2658000000000129</v>
      </c>
      <c r="I29" s="36">
        <f t="shared" si="10"/>
        <v>2.4054213453722738E-2</v>
      </c>
      <c r="J29" s="36">
        <f t="shared" si="12"/>
        <v>0.40347092769533821</v>
      </c>
      <c r="K29" s="111">
        <f t="shared" si="13"/>
        <v>0.41033496176449474</v>
      </c>
    </row>
    <row r="30" spans="1:11" s="1" customFormat="1" x14ac:dyDescent="0.2">
      <c r="A30" s="110" t="s">
        <v>77</v>
      </c>
      <c r="B30" s="74"/>
      <c r="C30" s="35"/>
      <c r="D30" s="35">
        <f>SUM(D25,D26,D28)</f>
        <v>175.72756544000001</v>
      </c>
      <c r="E30" s="73"/>
      <c r="F30" s="35"/>
      <c r="G30" s="35">
        <f>SUM(G25,G26,G28)</f>
        <v>179.99336544000002</v>
      </c>
      <c r="H30" s="35">
        <f t="shared" si="2"/>
        <v>4.2658000000000129</v>
      </c>
      <c r="I30" s="36">
        <f t="shared" si="10"/>
        <v>2.4275075963859052E-2</v>
      </c>
      <c r="J30" s="36">
        <f t="shared" si="12"/>
        <v>0.39988624512558552</v>
      </c>
      <c r="K30" s="111">
        <f t="shared" si="13"/>
        <v>0.40668929491657746</v>
      </c>
    </row>
    <row r="31" spans="1:11" x14ac:dyDescent="0.2">
      <c r="A31" s="107" t="s">
        <v>40</v>
      </c>
      <c r="B31" s="73">
        <f>B8</f>
        <v>2172.2720000000004</v>
      </c>
      <c r="C31" s="125">
        <f>VLOOKUP($B$3,'Data for Bill Impacts'!$A$3:$Y$15,15,0)</f>
        <v>5.6930000000000001E-3</v>
      </c>
      <c r="D31" s="22">
        <f>B31*C31</f>
        <v>12.366744496000003</v>
      </c>
      <c r="E31" s="73">
        <f t="shared" si="6"/>
        <v>2172.2720000000004</v>
      </c>
      <c r="F31" s="78">
        <f>VLOOKUP($B$3,'Data for Bill Impacts'!$A$3:$Y$15,24,0)</f>
        <v>5.4999999999999997E-3</v>
      </c>
      <c r="G31" s="22">
        <f>E31*F31</f>
        <v>11.947496000000001</v>
      </c>
      <c r="H31" s="22">
        <f t="shared" si="2"/>
        <v>-0.41924849600000158</v>
      </c>
      <c r="I31" s="23">
        <f t="shared" si="10"/>
        <v>-3.390128227648001E-2</v>
      </c>
      <c r="J31" s="23">
        <f t="shared" si="12"/>
        <v>2.654341898888244E-2</v>
      </c>
      <c r="K31" s="108">
        <f t="shared" si="13"/>
        <v>2.6994987911809053E-2</v>
      </c>
    </row>
    <row r="32" spans="1:11" x14ac:dyDescent="0.2">
      <c r="A32" s="107" t="s">
        <v>41</v>
      </c>
      <c r="B32" s="73">
        <f>B8</f>
        <v>2172.2720000000004</v>
      </c>
      <c r="C32" s="125">
        <f>VLOOKUP($B$3,'Data for Bill Impacts'!$A$3:$Y$15,16,0)</f>
        <v>4.4740000000000005E-3</v>
      </c>
      <c r="D32" s="22">
        <f>B32*C32</f>
        <v>9.7187449280000031</v>
      </c>
      <c r="E32" s="73">
        <f t="shared" si="6"/>
        <v>2172.2720000000004</v>
      </c>
      <c r="F32" s="78">
        <f>VLOOKUP($B$3,'Data for Bill Impacts'!$A$3:$Y$15,25,0)</f>
        <v>4.4999999999999997E-3</v>
      </c>
      <c r="G32" s="22">
        <f>E32*F32</f>
        <v>9.7752240000000015</v>
      </c>
      <c r="H32" s="22">
        <f t="shared" si="2"/>
        <v>5.6479071999998354E-2</v>
      </c>
      <c r="I32" s="23">
        <f t="shared" si="10"/>
        <v>5.8113544926238787E-3</v>
      </c>
      <c r="J32" s="23">
        <f t="shared" si="12"/>
        <v>2.1717342809085636E-2</v>
      </c>
      <c r="K32" s="108">
        <f t="shared" si="13"/>
        <v>2.2086808291480135E-2</v>
      </c>
    </row>
    <row r="33" spans="1:11" s="1" customFormat="1" x14ac:dyDescent="0.2">
      <c r="A33" s="110" t="s">
        <v>76</v>
      </c>
      <c r="B33" s="74"/>
      <c r="C33" s="35"/>
      <c r="D33" s="35">
        <f>SUM(D31:D32)</f>
        <v>22.085489424000006</v>
      </c>
      <c r="E33" s="73"/>
      <c r="F33" s="35"/>
      <c r="G33" s="35">
        <f>SUM(G31:G32)</f>
        <v>21.722720000000002</v>
      </c>
      <c r="H33" s="35">
        <f t="shared" si="2"/>
        <v>-0.36276942400000323</v>
      </c>
      <c r="I33" s="36">
        <f t="shared" si="10"/>
        <v>-1.6425690960952241E-2</v>
      </c>
      <c r="J33" s="36">
        <f t="shared" si="12"/>
        <v>4.826076179796808E-2</v>
      </c>
      <c r="K33" s="111">
        <f t="shared" si="13"/>
        <v>4.9081796203289188E-2</v>
      </c>
    </row>
    <row r="34" spans="1:11" s="1" customFormat="1" x14ac:dyDescent="0.2">
      <c r="A34" s="110" t="s">
        <v>95</v>
      </c>
      <c r="B34" s="74"/>
      <c r="C34" s="35"/>
      <c r="D34" s="35">
        <f>D29+D33</f>
        <v>199.426561424</v>
      </c>
      <c r="E34" s="73"/>
      <c r="F34" s="35"/>
      <c r="G34" s="35">
        <f>G29+G33</f>
        <v>203.32959200000002</v>
      </c>
      <c r="H34" s="35">
        <f t="shared" si="2"/>
        <v>3.9030305760000203</v>
      </c>
      <c r="I34" s="36">
        <f t="shared" si="10"/>
        <v>1.95712674787678E-2</v>
      </c>
      <c r="J34" s="36">
        <f t="shared" si="12"/>
        <v>0.45173168949330633</v>
      </c>
      <c r="K34" s="111">
        <f t="shared" si="13"/>
        <v>0.45941675796778397</v>
      </c>
    </row>
    <row r="35" spans="1:11" s="1" customFormat="1" x14ac:dyDescent="0.2">
      <c r="A35" s="110" t="s">
        <v>96</v>
      </c>
      <c r="B35" s="74"/>
      <c r="C35" s="35"/>
      <c r="D35" s="35">
        <f>D30+D33</f>
        <v>197.81305486400001</v>
      </c>
      <c r="E35" s="73"/>
      <c r="F35" s="35"/>
      <c r="G35" s="35">
        <f>G30+G33</f>
        <v>201.71608544000003</v>
      </c>
      <c r="H35" s="35">
        <f t="shared" si="2"/>
        <v>3.9030305760000203</v>
      </c>
      <c r="I35" s="36">
        <f t="shared" si="10"/>
        <v>1.9730904912637962E-2</v>
      </c>
      <c r="J35" s="36">
        <f t="shared" si="12"/>
        <v>0.44814700692355364</v>
      </c>
      <c r="K35" s="111">
        <f t="shared" si="13"/>
        <v>0.45577109111986669</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2"/>
        <v>0</v>
      </c>
      <c r="I36" s="23">
        <f t="shared" si="10"/>
        <v>0</v>
      </c>
      <c r="J36" s="23">
        <f t="shared" si="12"/>
        <v>1.7373874247268509E-2</v>
      </c>
      <c r="K36" s="108">
        <f t="shared" si="13"/>
        <v>1.7669446633184108E-2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10"/>
        <v>0</v>
      </c>
      <c r="J37" s="23">
        <f t="shared" si="12"/>
        <v>1.0134759977573297E-2</v>
      </c>
      <c r="K37" s="108">
        <f t="shared" si="13"/>
        <v>1.0307177202690731E-2</v>
      </c>
    </row>
    <row r="38" spans="1:11" x14ac:dyDescent="0.2">
      <c r="A38" s="107" t="s">
        <v>100</v>
      </c>
      <c r="B38" s="73">
        <f>B8</f>
        <v>2172.2720000000004</v>
      </c>
      <c r="C38" s="34">
        <v>0</v>
      </c>
      <c r="D38" s="22">
        <f>B38*C38</f>
        <v>0</v>
      </c>
      <c r="E38" s="73">
        <f t="shared" si="6"/>
        <v>2172.2720000000004</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5.5541803464262385E-4</v>
      </c>
      <c r="K39" s="108">
        <f t="shared" si="13"/>
        <v>5.6486706318648386E-4</v>
      </c>
    </row>
    <row r="40" spans="1:11" s="1" customFormat="1" x14ac:dyDescent="0.2">
      <c r="A40" s="110" t="s">
        <v>45</v>
      </c>
      <c r="B40" s="74"/>
      <c r="C40" s="35"/>
      <c r="D40" s="35">
        <f>SUM(D36:D39)</f>
        <v>12.631950400000001</v>
      </c>
      <c r="E40" s="73"/>
      <c r="F40" s="35"/>
      <c r="G40" s="35">
        <f>SUM(G36:G39)</f>
        <v>12.631950400000001</v>
      </c>
      <c r="H40" s="35">
        <f t="shared" si="2"/>
        <v>0</v>
      </c>
      <c r="I40" s="36">
        <f t="shared" si="10"/>
        <v>0</v>
      </c>
      <c r="J40" s="36">
        <f t="shared" si="12"/>
        <v>2.8064052259484426E-2</v>
      </c>
      <c r="K40" s="111">
        <f t="shared" si="13"/>
        <v>2.8541490899061321E-2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2"/>
        <v>0</v>
      </c>
      <c r="I41" s="117">
        <f t="shared" si="10"/>
        <v>0</v>
      </c>
      <c r="J41" s="117">
        <f t="shared" si="12"/>
        <v>3.0823479250527055E-2</v>
      </c>
      <c r="K41" s="118">
        <f t="shared" si="13"/>
        <v>3.1347862538597109E-2</v>
      </c>
    </row>
    <row r="42" spans="1:11" s="1" customFormat="1" x14ac:dyDescent="0.2">
      <c r="A42" s="37" t="s">
        <v>137</v>
      </c>
      <c r="B42" s="38"/>
      <c r="C42" s="39"/>
      <c r="D42" s="39">
        <f>SUM(D14,D25,D26,D27,D33,D40,D41)</f>
        <v>424.77451182400006</v>
      </c>
      <c r="E42" s="38"/>
      <c r="F42" s="39"/>
      <c r="G42" s="39">
        <f>SUM(G14,G25,G26,G27,G33,G40,G41)</f>
        <v>428.67754240000005</v>
      </c>
      <c r="H42" s="39">
        <f t="shared" si="2"/>
        <v>3.9030305759999919</v>
      </c>
      <c r="I42" s="40">
        <f t="shared" si="10"/>
        <v>9.1884763971364723E-3</v>
      </c>
      <c r="J42" s="40">
        <f t="shared" si="12"/>
        <v>0.95238095238095233</v>
      </c>
      <c r="K42" s="41"/>
    </row>
    <row r="43" spans="1:11" x14ac:dyDescent="0.2">
      <c r="A43" s="149" t="s">
        <v>138</v>
      </c>
      <c r="B43" s="43"/>
      <c r="C43" s="26">
        <v>0.13</v>
      </c>
      <c r="D43" s="26">
        <f>D42*C43</f>
        <v>55.22068653712001</v>
      </c>
      <c r="E43" s="26"/>
      <c r="F43" s="26">
        <f>C43</f>
        <v>0.13</v>
      </c>
      <c r="G43" s="26">
        <f>G42*F43</f>
        <v>55.728080512000005</v>
      </c>
      <c r="H43" s="26">
        <f t="shared" si="2"/>
        <v>0.50739397487999582</v>
      </c>
      <c r="I43" s="44">
        <f t="shared" si="10"/>
        <v>9.188476397136415E-3</v>
      </c>
      <c r="J43" s="44">
        <f t="shared" si="12"/>
        <v>0.1238095238095238</v>
      </c>
      <c r="K43" s="45"/>
    </row>
    <row r="44" spans="1:11" s="1" customFormat="1" x14ac:dyDescent="0.2">
      <c r="A44" s="46" t="s">
        <v>139</v>
      </c>
      <c r="B44" s="24"/>
      <c r="C44" s="25"/>
      <c r="D44" s="25">
        <f>SUM(D42:D43)</f>
        <v>479.99519836112006</v>
      </c>
      <c r="E44" s="25"/>
      <c r="F44" s="25"/>
      <c r="G44" s="25">
        <f>SUM(G42:G43)</f>
        <v>484.40562291200007</v>
      </c>
      <c r="H44" s="25">
        <f t="shared" si="2"/>
        <v>4.4104245508800091</v>
      </c>
      <c r="I44" s="27">
        <f t="shared" si="10"/>
        <v>9.1884763971365104E-3</v>
      </c>
      <c r="J44" s="27">
        <f t="shared" si="12"/>
        <v>1.0761904761904761</v>
      </c>
      <c r="K44" s="47"/>
    </row>
    <row r="45" spans="1:11" x14ac:dyDescent="0.2">
      <c r="A45" s="42" t="s">
        <v>140</v>
      </c>
      <c r="B45" s="43"/>
      <c r="C45" s="26">
        <v>-0.08</v>
      </c>
      <c r="D45" s="26">
        <f>D42*C45</f>
        <v>-33.981960945920008</v>
      </c>
      <c r="E45" s="26"/>
      <c r="F45" s="26">
        <f>C45</f>
        <v>-0.08</v>
      </c>
      <c r="G45" s="26">
        <f>G42*F45</f>
        <v>-34.294203392000007</v>
      </c>
      <c r="H45" s="26">
        <f t="shared" si="2"/>
        <v>-0.31224244607999907</v>
      </c>
      <c r="I45" s="44">
        <f t="shared" si="10"/>
        <v>-9.1884763971364636E-3</v>
      </c>
      <c r="J45" s="44">
        <f t="shared" si="12"/>
        <v>-7.6190476190476197E-2</v>
      </c>
      <c r="K45" s="45"/>
    </row>
    <row r="46" spans="1:11" s="1" customFormat="1" ht="13.5" thickBot="1" x14ac:dyDescent="0.25">
      <c r="A46" s="48" t="s">
        <v>141</v>
      </c>
      <c r="B46" s="49"/>
      <c r="C46" s="50"/>
      <c r="D46" s="50">
        <f>SUM(D44:D45)</f>
        <v>446.01323741520002</v>
      </c>
      <c r="E46" s="50"/>
      <c r="F46" s="50"/>
      <c r="G46" s="50">
        <f>SUM(G44:G45)</f>
        <v>450.11141952000008</v>
      </c>
      <c r="H46" s="50">
        <f t="shared" si="2"/>
        <v>4.0981821048000597</v>
      </c>
      <c r="I46" s="51">
        <f t="shared" si="10"/>
        <v>9.1884763971366266E-3</v>
      </c>
      <c r="J46" s="51">
        <f t="shared" si="12"/>
        <v>1</v>
      </c>
      <c r="K46" s="52"/>
    </row>
    <row r="47" spans="1:11" x14ac:dyDescent="0.2">
      <c r="A47" s="53" t="s">
        <v>142</v>
      </c>
      <c r="B47" s="54"/>
      <c r="C47" s="55"/>
      <c r="D47" s="55">
        <f>SUM(D18,D25,D26,D28,D33,D40,D41)</f>
        <v>417.60364526400008</v>
      </c>
      <c r="E47" s="55"/>
      <c r="F47" s="55"/>
      <c r="G47" s="55">
        <f>SUM(G18,G25,G26,G28,G33,G40,G41)</f>
        <v>421.50667584000007</v>
      </c>
      <c r="H47" s="55">
        <f>G47-D47</f>
        <v>3.9030305759999919</v>
      </c>
      <c r="I47" s="56">
        <f t="shared" si="10"/>
        <v>9.3462560019862365E-3</v>
      </c>
      <c r="J47" s="56"/>
      <c r="K47" s="57">
        <f>G47/$G$51</f>
        <v>0.95238095238095233</v>
      </c>
    </row>
    <row r="48" spans="1:11" x14ac:dyDescent="0.2">
      <c r="A48" s="58" t="s">
        <v>138</v>
      </c>
      <c r="B48" s="59"/>
      <c r="C48" s="31">
        <v>0.13</v>
      </c>
      <c r="D48" s="31">
        <f>D47*C48</f>
        <v>54.288473884320013</v>
      </c>
      <c r="E48" s="31"/>
      <c r="F48" s="31">
        <f>C48</f>
        <v>0.13</v>
      </c>
      <c r="G48" s="31">
        <f>G47*F48</f>
        <v>54.795867859200008</v>
      </c>
      <c r="H48" s="31">
        <f>G48-D48</f>
        <v>0.50739397487999582</v>
      </c>
      <c r="I48" s="32">
        <f t="shared" si="10"/>
        <v>9.3462560019861793E-3</v>
      </c>
      <c r="J48" s="32"/>
      <c r="K48" s="60">
        <f>G48/$G$51</f>
        <v>0.1238095238095238</v>
      </c>
    </row>
    <row r="49" spans="1:11" x14ac:dyDescent="0.2">
      <c r="A49" s="140" t="s">
        <v>143</v>
      </c>
      <c r="B49" s="29"/>
      <c r="C49" s="30"/>
      <c r="D49" s="30">
        <f>SUM(D47:D48)</f>
        <v>471.89211914832009</v>
      </c>
      <c r="E49" s="30"/>
      <c r="F49" s="30"/>
      <c r="G49" s="30">
        <f>SUM(G47:G48)</f>
        <v>476.3025436992001</v>
      </c>
      <c r="H49" s="30">
        <f>G49-D49</f>
        <v>4.4104245508800091</v>
      </c>
      <c r="I49" s="33">
        <f t="shared" si="10"/>
        <v>9.3462560019862747E-3</v>
      </c>
      <c r="J49" s="33"/>
      <c r="K49" s="62">
        <f>G49/$G$51</f>
        <v>1.0761904761904761</v>
      </c>
    </row>
    <row r="50" spans="1:11" x14ac:dyDescent="0.2">
      <c r="A50" s="58" t="s">
        <v>140</v>
      </c>
      <c r="B50" s="59"/>
      <c r="C50" s="31">
        <v>-0.08</v>
      </c>
      <c r="D50" s="31">
        <f>D47*C50</f>
        <v>-33.408291621120007</v>
      </c>
      <c r="E50" s="31"/>
      <c r="F50" s="31">
        <f>C50</f>
        <v>-0.08</v>
      </c>
      <c r="G50" s="31">
        <f>G47*F50</f>
        <v>-33.720534067200006</v>
      </c>
      <c r="H50" s="31">
        <f>G50-D50</f>
        <v>-0.31224244607999907</v>
      </c>
      <c r="I50" s="32">
        <f t="shared" si="10"/>
        <v>-9.3462560019862279E-3</v>
      </c>
      <c r="J50" s="32"/>
      <c r="K50" s="60">
        <f>G50/$G$51</f>
        <v>-7.6190476190476183E-2</v>
      </c>
    </row>
    <row r="51" spans="1:11" ht="13.5" thickBot="1" x14ac:dyDescent="0.25">
      <c r="A51" s="63" t="s">
        <v>144</v>
      </c>
      <c r="B51" s="64"/>
      <c r="C51" s="65"/>
      <c r="D51" s="65">
        <f>SUM(D49:D50)</f>
        <v>438.48382752720011</v>
      </c>
      <c r="E51" s="65"/>
      <c r="F51" s="65"/>
      <c r="G51" s="65">
        <f>SUM(G49:G50)</f>
        <v>442.58200963200011</v>
      </c>
      <c r="H51" s="65">
        <f>G51-D51</f>
        <v>4.0981821048000029</v>
      </c>
      <c r="I51" s="66">
        <f t="shared" si="10"/>
        <v>9.3462560019862626E-3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BreakPreview"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88</v>
      </c>
    </row>
    <row r="4" spans="1:11" x14ac:dyDescent="0.2">
      <c r="A4" s="15" t="s">
        <v>62</v>
      </c>
      <c r="B4" s="163">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2.09324943160227E-2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6" si="2">G13-D13</f>
        <v>0</v>
      </c>
      <c r="I13" s="23">
        <f t="shared" si="0"/>
        <v>0</v>
      </c>
      <c r="J13" s="23">
        <f>G13/$G$46</f>
        <v>0.46327520387329357</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0.48420769818931625</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6" si="4">G15/$G$51</f>
        <v>0.24016992879011992</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9.2181105535628458E-2</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0.13560843531685893</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5">G18/$G$46</f>
        <v>0.44864546059308436</v>
      </c>
      <c r="K18" s="62">
        <f t="shared" si="4"/>
        <v>0.46795946964260737</v>
      </c>
    </row>
    <row r="19" spans="1:11" x14ac:dyDescent="0.2">
      <c r="A19" s="107" t="s">
        <v>38</v>
      </c>
      <c r="B19" s="73">
        <v>1</v>
      </c>
      <c r="C19" s="78">
        <f>VLOOKUP($B$3,'Data for Bill Impacts'!$A$3:$Y$15,7,0)</f>
        <v>30.88</v>
      </c>
      <c r="D19" s="22">
        <f>B19*C19</f>
        <v>30.88</v>
      </c>
      <c r="E19" s="73">
        <f t="shared" ref="E19:E41" si="6">B19</f>
        <v>1</v>
      </c>
      <c r="F19" s="78">
        <f>VLOOKUP($B$3,'Data for Bill Impacts'!$A$3:$Y$15,17,0)</f>
        <v>31.38</v>
      </c>
      <c r="G19" s="22">
        <f>E19*F19</f>
        <v>31.38</v>
      </c>
      <c r="H19" s="22">
        <f t="shared" si="2"/>
        <v>0.5</v>
      </c>
      <c r="I19" s="23">
        <f>IF(ISERROR(H19/ABS(D19)),"N/A",(H19/ABS(D19)))</f>
        <v>1.6191709844559588E-2</v>
      </c>
      <c r="J19" s="23">
        <f t="shared" si="5"/>
        <v>9.6243468371691177E-3</v>
      </c>
      <c r="K19" s="108">
        <f t="shared" si="4"/>
        <v>1.0038671149429189E-2</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84</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2E-3</v>
      </c>
      <c r="D22" s="22">
        <f t="shared" si="9"/>
        <v>2E-3</v>
      </c>
      <c r="E22" s="73">
        <f t="shared" si="6"/>
        <v>1</v>
      </c>
      <c r="F22" s="121">
        <f>VLOOKUP($B$3,'Data for Bill Impacts'!$A$3:$Y$15,22,0)</f>
        <v>2E-3</v>
      </c>
      <c r="G22" s="22">
        <f t="shared" si="7"/>
        <v>2E-3</v>
      </c>
      <c r="H22" s="22">
        <f t="shared" si="2"/>
        <v>0</v>
      </c>
      <c r="I22" s="23">
        <f t="shared" ref="I22:I51" si="10">IF(ISERROR(H22/ABS(D22)),"N/A",(H22/ABS(D22)))</f>
        <v>0</v>
      </c>
      <c r="J22" s="23">
        <f t="shared" si="5"/>
        <v>6.1340642684315602E-7</v>
      </c>
      <c r="K22" s="108">
        <f t="shared" si="4"/>
        <v>6.3981333011020965E-7</v>
      </c>
    </row>
    <row r="23" spans="1:11" x14ac:dyDescent="0.2">
      <c r="A23" s="107" t="s">
        <v>39</v>
      </c>
      <c r="B23" s="73">
        <f>IF($B$9="kWh",$B$4,$B$5)</f>
        <v>15000</v>
      </c>
      <c r="C23" s="125">
        <f>VLOOKUP($B$3,'Data for Bill Impacts'!$A$3:$Y$15,10,0)</f>
        <v>6.3299999999999995E-2</v>
      </c>
      <c r="D23" s="22">
        <f>B23*C23</f>
        <v>949.49999999999989</v>
      </c>
      <c r="E23" s="73">
        <f t="shared" si="6"/>
        <v>15000</v>
      </c>
      <c r="F23" s="78">
        <f>VLOOKUP($B$3,'Data for Bill Impacts'!$A$3:$Y$15,19,0)</f>
        <v>6.5199999999999994E-2</v>
      </c>
      <c r="G23" s="22">
        <f>E23*F23</f>
        <v>977.99999999999989</v>
      </c>
      <c r="H23" s="22">
        <f t="shared" si="2"/>
        <v>28.5</v>
      </c>
      <c r="I23" s="23">
        <f t="shared" si="10"/>
        <v>3.001579778830964E-2</v>
      </c>
      <c r="J23" s="23">
        <f t="shared" si="5"/>
        <v>0.29995574272630326</v>
      </c>
      <c r="K23" s="108">
        <f t="shared" si="4"/>
        <v>0.31286871842389247</v>
      </c>
    </row>
    <row r="24" spans="1:11" x14ac:dyDescent="0.2">
      <c r="A24" s="107" t="s">
        <v>199</v>
      </c>
      <c r="B24" s="73">
        <f>IF($B$9="kWh",$B$4,$B$5)</f>
        <v>15000</v>
      </c>
      <c r="C24" s="125">
        <f>VLOOKUP($B$3,'Data for Bill Impacts'!$A$3:$Y$15,14,0)</f>
        <v>2.0000000000000002E-5</v>
      </c>
      <c r="D24" s="34">
        <f>B24*C24</f>
        <v>0.30000000000000004</v>
      </c>
      <c r="E24" s="73">
        <f t="shared" si="6"/>
        <v>15000</v>
      </c>
      <c r="F24" s="125">
        <f>VLOOKUP($B$3,'Data for Bill Impacts'!$A$3:$Y$15,23,0)</f>
        <v>2.0000000000000002E-5</v>
      </c>
      <c r="G24" s="34">
        <f>E24*F24</f>
        <v>0.30000000000000004</v>
      </c>
      <c r="H24" s="22">
        <f t="shared" si="2"/>
        <v>0</v>
      </c>
      <c r="I24" s="23">
        <f t="shared" si="10"/>
        <v>0</v>
      </c>
      <c r="J24" s="23">
        <f t="shared" ref="J24" si="11">G24/$G$46</f>
        <v>9.2010964026473417E-5</v>
      </c>
      <c r="K24" s="108">
        <f t="shared" si="4"/>
        <v>9.5971999516531451E-5</v>
      </c>
    </row>
    <row r="25" spans="1:11" s="1" customFormat="1" x14ac:dyDescent="0.2">
      <c r="A25" s="110" t="s">
        <v>72</v>
      </c>
      <c r="B25" s="74"/>
      <c r="C25" s="35"/>
      <c r="D25" s="35">
        <f>SUM(D19:D24)</f>
        <v>980.68199999999979</v>
      </c>
      <c r="E25" s="73"/>
      <c r="F25" s="35"/>
      <c r="G25" s="35">
        <f>SUM(G19:G24)</f>
        <v>1009.6819999999998</v>
      </c>
      <c r="H25" s="35">
        <f t="shared" si="2"/>
        <v>29</v>
      </c>
      <c r="I25" s="36">
        <f t="shared" si="10"/>
        <v>2.9571257553416913E-2</v>
      </c>
      <c r="J25" s="36">
        <f>G25/$G$46</f>
        <v>0.30967271393392565</v>
      </c>
      <c r="K25" s="111">
        <f t="shared" si="4"/>
        <v>0.32300400138616825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2.4229553860304664E-4</v>
      </c>
      <c r="K26" s="108">
        <f t="shared" si="4"/>
        <v>2.5272626539353283E-4</v>
      </c>
    </row>
    <row r="27" spans="1:11" s="1" customFormat="1" x14ac:dyDescent="0.2">
      <c r="A27" s="119" t="s">
        <v>75</v>
      </c>
      <c r="B27" s="120">
        <f>B8-B4</f>
        <v>1440</v>
      </c>
      <c r="C27" s="257">
        <f>IF(B4&gt;B7,C13,C12)</f>
        <v>0.106</v>
      </c>
      <c r="D27" s="22">
        <f>B27*C27</f>
        <v>152.63999999999999</v>
      </c>
      <c r="E27" s="73">
        <f>B27</f>
        <v>1440</v>
      </c>
      <c r="F27" s="257">
        <f>C27</f>
        <v>0.106</v>
      </c>
      <c r="G27" s="22">
        <f>E27*F27</f>
        <v>152.63999999999999</v>
      </c>
      <c r="H27" s="22">
        <f t="shared" si="2"/>
        <v>0</v>
      </c>
      <c r="I27" s="23">
        <f t="shared" si="10"/>
        <v>0</v>
      </c>
      <c r="J27" s="23">
        <f t="shared" ref="J27:J46" si="12">G27/$G$46</f>
        <v>4.6815178496669663E-2</v>
      </c>
      <c r="K27" s="108">
        <f t="shared" ref="K27:K41" si="13">G27/$G$51</f>
        <v>4.8830553354011194E-2</v>
      </c>
    </row>
    <row r="28" spans="1:11" s="1" customFormat="1" x14ac:dyDescent="0.2">
      <c r="A28" s="119" t="s">
        <v>74</v>
      </c>
      <c r="B28" s="120">
        <f>B8-B4</f>
        <v>1440</v>
      </c>
      <c r="C28" s="257">
        <f>0.65*C15+0.17*C16+0.18*C17</f>
        <v>9.7519999999999996E-2</v>
      </c>
      <c r="D28" s="22">
        <f>B28*C28</f>
        <v>140.4288</v>
      </c>
      <c r="E28" s="73">
        <f>B28</f>
        <v>1440</v>
      </c>
      <c r="F28" s="257">
        <f>C28</f>
        <v>9.7519999999999996E-2</v>
      </c>
      <c r="G28" s="22">
        <f>E28*F28</f>
        <v>140.4288</v>
      </c>
      <c r="H28" s="22">
        <f t="shared" si="2"/>
        <v>0</v>
      </c>
      <c r="I28" s="23">
        <f t="shared" si="10"/>
        <v>0</v>
      </c>
      <c r="J28" s="23">
        <f t="shared" si="12"/>
        <v>4.3069964216936089E-2</v>
      </c>
      <c r="K28" s="108">
        <f t="shared" si="13"/>
        <v>4.4924109085690299E-2</v>
      </c>
    </row>
    <row r="29" spans="1:11" s="1" customFormat="1" x14ac:dyDescent="0.2">
      <c r="A29" s="110" t="s">
        <v>78</v>
      </c>
      <c r="B29" s="74"/>
      <c r="C29" s="35"/>
      <c r="D29" s="35">
        <f>SUM(D25,D26:D27)</f>
        <v>1134.1119999999996</v>
      </c>
      <c r="E29" s="73"/>
      <c r="F29" s="35"/>
      <c r="G29" s="35">
        <f>SUM(G25,G26:G27)</f>
        <v>1163.1119999999996</v>
      </c>
      <c r="H29" s="35">
        <f t="shared" si="2"/>
        <v>29</v>
      </c>
      <c r="I29" s="36">
        <f t="shared" si="10"/>
        <v>2.5570666741909095E-2</v>
      </c>
      <c r="J29" s="36">
        <f t="shared" si="12"/>
        <v>0.35673018796919831</v>
      </c>
      <c r="K29" s="111">
        <f t="shared" si="13"/>
        <v>0.37208728100557292</v>
      </c>
    </row>
    <row r="30" spans="1:11" s="1" customFormat="1" x14ac:dyDescent="0.2">
      <c r="A30" s="110" t="s">
        <v>77</v>
      </c>
      <c r="B30" s="74"/>
      <c r="C30" s="35"/>
      <c r="D30" s="35">
        <f>SUM(D25,D26,D28)</f>
        <v>1121.9007999999997</v>
      </c>
      <c r="E30" s="73"/>
      <c r="F30" s="35"/>
      <c r="G30" s="35">
        <f>SUM(G25,G26,G28)</f>
        <v>1150.9007999999997</v>
      </c>
      <c r="H30" s="35">
        <f t="shared" si="2"/>
        <v>29</v>
      </c>
      <c r="I30" s="36">
        <f t="shared" si="10"/>
        <v>2.5848987717987194E-2</v>
      </c>
      <c r="J30" s="36">
        <f t="shared" si="12"/>
        <v>0.35298497368946474</v>
      </c>
      <c r="K30" s="111">
        <f t="shared" si="13"/>
        <v>0.36818083673725205</v>
      </c>
    </row>
    <row r="31" spans="1:11" x14ac:dyDescent="0.2">
      <c r="A31" s="107" t="s">
        <v>40</v>
      </c>
      <c r="B31" s="73">
        <f>B8</f>
        <v>16440</v>
      </c>
      <c r="C31" s="125">
        <f>VLOOKUP($B$3,'Data for Bill Impacts'!$A$3:$Y$15,15,0)</f>
        <v>5.6930000000000001E-3</v>
      </c>
      <c r="D31" s="22">
        <f>B31*C31</f>
        <v>93.592920000000007</v>
      </c>
      <c r="E31" s="73">
        <f t="shared" si="6"/>
        <v>16440</v>
      </c>
      <c r="F31" s="78">
        <f>VLOOKUP($B$3,'Data for Bill Impacts'!$A$3:$Y$15,24,0)</f>
        <v>5.4999999999999997E-3</v>
      </c>
      <c r="G31" s="22">
        <f>E31*F31</f>
        <v>90.42</v>
      </c>
      <c r="H31" s="22">
        <f t="shared" si="2"/>
        <v>-3.1729200000000048</v>
      </c>
      <c r="I31" s="23">
        <f t="shared" si="10"/>
        <v>-3.3901282276479934E-2</v>
      </c>
      <c r="J31" s="23">
        <f t="shared" si="12"/>
        <v>2.7732104557579084E-2</v>
      </c>
      <c r="K31" s="108">
        <f t="shared" si="13"/>
        <v>2.8925960654282577E-2</v>
      </c>
    </row>
    <row r="32" spans="1:11" x14ac:dyDescent="0.2">
      <c r="A32" s="107" t="s">
        <v>41</v>
      </c>
      <c r="B32" s="73">
        <f>B8</f>
        <v>16440</v>
      </c>
      <c r="C32" s="125">
        <f>VLOOKUP($B$3,'Data for Bill Impacts'!$A$3:$Y$15,16,0)</f>
        <v>4.4740000000000005E-3</v>
      </c>
      <c r="D32" s="22">
        <f>B32*C32</f>
        <v>73.552560000000014</v>
      </c>
      <c r="E32" s="73">
        <f t="shared" si="6"/>
        <v>16440</v>
      </c>
      <c r="F32" s="78">
        <f>VLOOKUP($B$3,'Data for Bill Impacts'!$A$3:$Y$15,25,0)</f>
        <v>4.4999999999999997E-3</v>
      </c>
      <c r="G32" s="22">
        <f>E32*F32</f>
        <v>73.97999999999999</v>
      </c>
      <c r="H32" s="22">
        <f t="shared" si="2"/>
        <v>0.42743999999997584</v>
      </c>
      <c r="I32" s="23">
        <f t="shared" si="10"/>
        <v>5.8113544926237208E-3</v>
      </c>
      <c r="J32" s="23">
        <f t="shared" si="12"/>
        <v>2.2689903728928339E-2</v>
      </c>
      <c r="K32" s="108">
        <f t="shared" si="13"/>
        <v>2.3666695080776651E-2</v>
      </c>
    </row>
    <row r="33" spans="1:11" s="1" customFormat="1" x14ac:dyDescent="0.2">
      <c r="A33" s="110" t="s">
        <v>76</v>
      </c>
      <c r="B33" s="74"/>
      <c r="C33" s="35"/>
      <c r="D33" s="35">
        <f>SUM(D31:D32)</f>
        <v>167.14548000000002</v>
      </c>
      <c r="E33" s="73"/>
      <c r="F33" s="35"/>
      <c r="G33" s="35">
        <f>SUM(G31:G32)</f>
        <v>164.39999999999998</v>
      </c>
      <c r="H33" s="35">
        <f t="shared" si="2"/>
        <v>-2.7454800000000432</v>
      </c>
      <c r="I33" s="36">
        <f t="shared" si="10"/>
        <v>-1.6425690960952356E-2</v>
      </c>
      <c r="J33" s="36">
        <f t="shared" si="12"/>
        <v>5.0422008286507419E-2</v>
      </c>
      <c r="K33" s="111">
        <f t="shared" si="13"/>
        <v>5.2592655735059224E-2</v>
      </c>
    </row>
    <row r="34" spans="1:11" s="1" customFormat="1" x14ac:dyDescent="0.2">
      <c r="A34" s="110" t="s">
        <v>95</v>
      </c>
      <c r="B34" s="74"/>
      <c r="C34" s="35"/>
      <c r="D34" s="35">
        <f>D29+D33</f>
        <v>1301.2574799999998</v>
      </c>
      <c r="E34" s="73"/>
      <c r="F34" s="35"/>
      <c r="G34" s="35">
        <f>G29+G33</f>
        <v>1327.5119999999997</v>
      </c>
      <c r="H34" s="35">
        <f t="shared" si="2"/>
        <v>26.254519999999957</v>
      </c>
      <c r="I34" s="36">
        <f t="shared" si="10"/>
        <v>2.0176268266292666E-2</v>
      </c>
      <c r="J34" s="36">
        <f t="shared" si="12"/>
        <v>0.40715219625570576</v>
      </c>
      <c r="K34" s="111">
        <f t="shared" si="13"/>
        <v>0.4246799367406322</v>
      </c>
    </row>
    <row r="35" spans="1:11" s="1" customFormat="1" x14ac:dyDescent="0.2">
      <c r="A35" s="110" t="s">
        <v>96</v>
      </c>
      <c r="B35" s="74"/>
      <c r="C35" s="35"/>
      <c r="D35" s="35">
        <f>D30+D33</f>
        <v>1289.0462799999996</v>
      </c>
      <c r="E35" s="73"/>
      <c r="F35" s="35"/>
      <c r="G35" s="35">
        <f>G30+G33</f>
        <v>1315.3007999999995</v>
      </c>
      <c r="H35" s="35">
        <f t="shared" si="2"/>
        <v>26.254519999999957</v>
      </c>
      <c r="I35" s="36">
        <f t="shared" si="10"/>
        <v>2.0367399066540857E-2</v>
      </c>
      <c r="J35" s="36">
        <f t="shared" si="12"/>
        <v>0.40340698197597213</v>
      </c>
      <c r="K35" s="111">
        <f t="shared" si="13"/>
        <v>0.42077349247231122</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2"/>
        <v>0</v>
      </c>
      <c r="I36" s="23">
        <f t="shared" si="10"/>
        <v>0</v>
      </c>
      <c r="J36" s="23">
        <f t="shared" si="12"/>
        <v>1.8151922983142672E-2</v>
      </c>
      <c r="K36" s="108">
        <f t="shared" si="13"/>
        <v>1.8933356064621321E-2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10"/>
        <v>0</v>
      </c>
      <c r="J37" s="23">
        <f t="shared" si="12"/>
        <v>1.0588621740166559E-2</v>
      </c>
      <c r="K37" s="108">
        <f t="shared" si="13"/>
        <v>1.1044457704362439E-2</v>
      </c>
    </row>
    <row r="38" spans="1:11" x14ac:dyDescent="0.2">
      <c r="A38" s="107" t="s">
        <v>100</v>
      </c>
      <c r="B38" s="73">
        <f>B8</f>
        <v>16440</v>
      </c>
      <c r="C38" s="34">
        <v>0</v>
      </c>
      <c r="D38" s="22">
        <f>B38*C38</f>
        <v>0</v>
      </c>
      <c r="E38" s="73">
        <f t="shared" si="6"/>
        <v>16440</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7.6675803355394503E-5</v>
      </c>
      <c r="K39" s="108">
        <f t="shared" si="13"/>
        <v>7.99766662637762E-5</v>
      </c>
    </row>
    <row r="40" spans="1:11" s="1" customFormat="1" x14ac:dyDescent="0.2">
      <c r="A40" s="110" t="s">
        <v>45</v>
      </c>
      <c r="B40" s="74"/>
      <c r="C40" s="35"/>
      <c r="D40" s="35">
        <f>SUM(D36:D39)</f>
        <v>93.957999999999998</v>
      </c>
      <c r="E40" s="73"/>
      <c r="F40" s="35"/>
      <c r="G40" s="35">
        <f>SUM(G36:G39)</f>
        <v>93.957999999999998</v>
      </c>
      <c r="H40" s="35">
        <f t="shared" si="2"/>
        <v>0</v>
      </c>
      <c r="I40" s="36">
        <f t="shared" si="10"/>
        <v>0</v>
      </c>
      <c r="J40" s="36">
        <f t="shared" si="12"/>
        <v>2.8817220526664626E-2</v>
      </c>
      <c r="K40" s="111">
        <f t="shared" si="13"/>
        <v>3.0057790435247537E-2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2"/>
        <v>0</v>
      </c>
      <c r="I41" s="117">
        <f t="shared" si="10"/>
        <v>0</v>
      </c>
      <c r="J41" s="117">
        <f t="shared" si="12"/>
        <v>3.220383740926569E-2</v>
      </c>
      <c r="K41" s="118">
        <f t="shared" si="13"/>
        <v>3.3590199830786004E-2</v>
      </c>
    </row>
    <row r="42" spans="1:11" s="1" customFormat="1" x14ac:dyDescent="0.2">
      <c r="A42" s="37" t="s">
        <v>137</v>
      </c>
      <c r="B42" s="38"/>
      <c r="C42" s="39"/>
      <c r="D42" s="39">
        <f>SUM(D14,D25,D26,D27,D33,D40,D41)</f>
        <v>3078.9654799999998</v>
      </c>
      <c r="E42" s="38"/>
      <c r="F42" s="39"/>
      <c r="G42" s="39">
        <f>SUM(G14,G25,G26,G27,G33,G40,G41)</f>
        <v>3105.22</v>
      </c>
      <c r="H42" s="39">
        <f t="shared" si="2"/>
        <v>26.254519999999957</v>
      </c>
      <c r="I42" s="40">
        <f t="shared" si="10"/>
        <v>8.5270589003160757E-3</v>
      </c>
      <c r="J42" s="40">
        <f t="shared" si="12"/>
        <v>0.95238095238095244</v>
      </c>
      <c r="K42" s="41"/>
    </row>
    <row r="43" spans="1:11" x14ac:dyDescent="0.2">
      <c r="A43" s="149" t="s">
        <v>138</v>
      </c>
      <c r="B43" s="43"/>
      <c r="C43" s="26">
        <v>0.13</v>
      </c>
      <c r="D43" s="26">
        <f>D42*C43</f>
        <v>400.26551239999998</v>
      </c>
      <c r="E43" s="26"/>
      <c r="F43" s="26">
        <f>C43</f>
        <v>0.13</v>
      </c>
      <c r="G43" s="26">
        <f>G42*F43</f>
        <v>403.67859999999996</v>
      </c>
      <c r="H43" s="26">
        <f t="shared" si="2"/>
        <v>3.413087599999983</v>
      </c>
      <c r="I43" s="44">
        <f t="shared" si="10"/>
        <v>8.527058900316048E-3</v>
      </c>
      <c r="J43" s="44">
        <f t="shared" si="12"/>
        <v>0.1238095238095238</v>
      </c>
      <c r="K43" s="45"/>
    </row>
    <row r="44" spans="1:11" s="1" customFormat="1" x14ac:dyDescent="0.2">
      <c r="A44" s="46" t="s">
        <v>139</v>
      </c>
      <c r="B44" s="24"/>
      <c r="C44" s="25"/>
      <c r="D44" s="25">
        <f>SUM(D42:D43)</f>
        <v>3479.2309923999996</v>
      </c>
      <c r="E44" s="25"/>
      <c r="F44" s="25"/>
      <c r="G44" s="25">
        <f>SUM(G42:G43)</f>
        <v>3508.8985999999995</v>
      </c>
      <c r="H44" s="25">
        <f t="shared" si="2"/>
        <v>29.667607599999883</v>
      </c>
      <c r="I44" s="27">
        <f t="shared" si="10"/>
        <v>8.5270589003160566E-3</v>
      </c>
      <c r="J44" s="27">
        <f t="shared" si="12"/>
        <v>1.0761904761904761</v>
      </c>
      <c r="K44" s="47"/>
    </row>
    <row r="45" spans="1:11" x14ac:dyDescent="0.2">
      <c r="A45" s="42" t="s">
        <v>140</v>
      </c>
      <c r="B45" s="43"/>
      <c r="C45" s="26">
        <v>-0.08</v>
      </c>
      <c r="D45" s="26">
        <f>D42*C45</f>
        <v>-246.31723839999998</v>
      </c>
      <c r="E45" s="26"/>
      <c r="F45" s="26">
        <f>C45</f>
        <v>-0.08</v>
      </c>
      <c r="G45" s="26">
        <f>G42*F45</f>
        <v>-248.41759999999999</v>
      </c>
      <c r="H45" s="26">
        <f t="shared" si="2"/>
        <v>-2.1003616000000136</v>
      </c>
      <c r="I45" s="44">
        <f t="shared" si="10"/>
        <v>-8.5270589003161451E-3</v>
      </c>
      <c r="J45" s="44">
        <f t="shared" si="12"/>
        <v>-7.6190476190476197E-2</v>
      </c>
      <c r="K45" s="45"/>
    </row>
    <row r="46" spans="1:11" s="1" customFormat="1" ht="13.5" thickBot="1" x14ac:dyDescent="0.25">
      <c r="A46" s="48" t="s">
        <v>141</v>
      </c>
      <c r="B46" s="49"/>
      <c r="C46" s="50"/>
      <c r="D46" s="50">
        <f>SUM(D44:D45)</f>
        <v>3232.9137539999997</v>
      </c>
      <c r="E46" s="50"/>
      <c r="F46" s="50"/>
      <c r="G46" s="50">
        <f>SUM(G44:G45)</f>
        <v>3260.4809999999998</v>
      </c>
      <c r="H46" s="50">
        <f t="shared" si="2"/>
        <v>27.567246000000068</v>
      </c>
      <c r="I46" s="51">
        <f t="shared" si="10"/>
        <v>8.5270589003161104E-3</v>
      </c>
      <c r="J46" s="51">
        <f t="shared" si="12"/>
        <v>1</v>
      </c>
      <c r="K46" s="52"/>
    </row>
    <row r="47" spans="1:11" x14ac:dyDescent="0.2">
      <c r="A47" s="53" t="s">
        <v>142</v>
      </c>
      <c r="B47" s="54"/>
      <c r="C47" s="55"/>
      <c r="D47" s="55">
        <f>SUM(D18,D25,D26,D28,D33,D40,D41)</f>
        <v>2950.8042800000003</v>
      </c>
      <c r="E47" s="55"/>
      <c r="F47" s="55"/>
      <c r="G47" s="55">
        <f>SUM(G18,G25,G26,G28,G33,G40,G41)</f>
        <v>2977.0588000000002</v>
      </c>
      <c r="H47" s="55">
        <f>G47-D47</f>
        <v>26.254519999999957</v>
      </c>
      <c r="I47" s="56">
        <f t="shared" si="10"/>
        <v>8.8974115219867967E-3</v>
      </c>
      <c r="J47" s="56"/>
      <c r="K47" s="57">
        <f>G47/$G$51</f>
        <v>0.95238095238095233</v>
      </c>
    </row>
    <row r="48" spans="1:11" x14ac:dyDescent="0.2">
      <c r="A48" s="58" t="s">
        <v>138</v>
      </c>
      <c r="B48" s="59"/>
      <c r="C48" s="31">
        <v>0.13</v>
      </c>
      <c r="D48" s="31">
        <f>D47*C48</f>
        <v>383.60455640000004</v>
      </c>
      <c r="E48" s="31"/>
      <c r="F48" s="31">
        <f>C48</f>
        <v>0.13</v>
      </c>
      <c r="G48" s="31">
        <f>G47*F48</f>
        <v>387.01764400000002</v>
      </c>
      <c r="H48" s="31">
        <f>G48-D48</f>
        <v>3.413087599999983</v>
      </c>
      <c r="I48" s="32">
        <f t="shared" si="10"/>
        <v>8.8974115219867672E-3</v>
      </c>
      <c r="J48" s="32"/>
      <c r="K48" s="60">
        <f>G48/$G$51</f>
        <v>0.1238095238095238</v>
      </c>
    </row>
    <row r="49" spans="1:11" x14ac:dyDescent="0.2">
      <c r="A49" s="140" t="s">
        <v>143</v>
      </c>
      <c r="B49" s="29"/>
      <c r="C49" s="30"/>
      <c r="D49" s="30">
        <f>SUM(D47:D48)</f>
        <v>3334.4088364000004</v>
      </c>
      <c r="E49" s="30"/>
      <c r="F49" s="30"/>
      <c r="G49" s="30">
        <f>SUM(G47:G48)</f>
        <v>3364.0764440000003</v>
      </c>
      <c r="H49" s="30">
        <f>G49-D49</f>
        <v>29.667607599999883</v>
      </c>
      <c r="I49" s="33">
        <f t="shared" si="10"/>
        <v>8.8974115219867759E-3</v>
      </c>
      <c r="J49" s="33"/>
      <c r="K49" s="62">
        <f>G49/$G$51</f>
        <v>1.0761904761904761</v>
      </c>
    </row>
    <row r="50" spans="1:11" x14ac:dyDescent="0.2">
      <c r="A50" s="58" t="s">
        <v>140</v>
      </c>
      <c r="B50" s="59"/>
      <c r="C50" s="31">
        <v>-0.08</v>
      </c>
      <c r="D50" s="31">
        <f>D47*C50</f>
        <v>-236.06434240000002</v>
      </c>
      <c r="E50" s="31"/>
      <c r="F50" s="31">
        <f>C50</f>
        <v>-0.08</v>
      </c>
      <c r="G50" s="31">
        <f>G47*F50</f>
        <v>-238.16470400000003</v>
      </c>
      <c r="H50" s="31">
        <f>G50-D50</f>
        <v>-2.1003616000000136</v>
      </c>
      <c r="I50" s="32">
        <f t="shared" si="10"/>
        <v>-8.8974115219868696E-3</v>
      </c>
      <c r="J50" s="32"/>
      <c r="K50" s="60">
        <f>G50/$G$51</f>
        <v>-7.6190476190476183E-2</v>
      </c>
    </row>
    <row r="51" spans="1:11" ht="13.5" thickBot="1" x14ac:dyDescent="0.25">
      <c r="A51" s="63" t="s">
        <v>144</v>
      </c>
      <c r="B51" s="64"/>
      <c r="C51" s="65"/>
      <c r="D51" s="65">
        <f>SUM(D49:D50)</f>
        <v>3098.3444940000004</v>
      </c>
      <c r="E51" s="65"/>
      <c r="F51" s="65"/>
      <c r="G51" s="65">
        <f>SUM(G49:G50)</f>
        <v>3125.9117400000005</v>
      </c>
      <c r="H51" s="65">
        <f>G51-D51</f>
        <v>27.567246000000068</v>
      </c>
      <c r="I51" s="66">
        <f t="shared" si="10"/>
        <v>8.8974115219868331E-3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1" tint="0.499984740745262"/>
    <pageSetUpPr fitToPage="1"/>
  </sheetPr>
  <dimension ref="A1:J40"/>
  <sheetViews>
    <sheetView tabSelected="1" view="pageBreakPreview"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49</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15750</v>
      </c>
      <c r="C13" s="103">
        <v>9.0999999999999998E-2</v>
      </c>
      <c r="D13" s="104">
        <f>B13*C13</f>
        <v>1433.25</v>
      </c>
      <c r="E13" s="102">
        <f>B13</f>
        <v>15750</v>
      </c>
      <c r="F13" s="103">
        <f>C13</f>
        <v>9.0999999999999998E-2</v>
      </c>
      <c r="G13" s="104">
        <f>E13*F13</f>
        <v>1433.25</v>
      </c>
      <c r="H13" s="104">
        <f>G13-D13</f>
        <v>0</v>
      </c>
      <c r="I13" s="105">
        <f t="shared" ref="I13:I18" si="0">IF(ISERROR(H13/ABS(D13)),"N/A",(H13/ABS(D13)))</f>
        <v>0</v>
      </c>
      <c r="J13" s="123">
        <f t="shared" ref="J13:J29" si="1">G13/$G$38</f>
        <v>0.48725655833677878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1433.25</v>
      </c>
      <c r="E15" s="76"/>
      <c r="F15" s="25"/>
      <c r="G15" s="25">
        <f>SUM(G13:G14)</f>
        <v>1433.25</v>
      </c>
      <c r="H15" s="25">
        <f t="shared" si="3"/>
        <v>0</v>
      </c>
      <c r="I15" s="27">
        <f t="shared" si="0"/>
        <v>0</v>
      </c>
      <c r="J15" s="47">
        <f t="shared" si="1"/>
        <v>0.48725655833677878</v>
      </c>
    </row>
    <row r="16" spans="1:10" s="1" customFormat="1" x14ac:dyDescent="0.2">
      <c r="A16" s="107" t="s">
        <v>38</v>
      </c>
      <c r="B16" s="73">
        <v>1</v>
      </c>
      <c r="C16" s="78">
        <f>VLOOKUP($B$3,'Data for Bill Impacts'!$A$3:$Y$15,7,0)</f>
        <v>105.02</v>
      </c>
      <c r="D16" s="22">
        <f>B16*C16</f>
        <v>105.02</v>
      </c>
      <c r="E16" s="73">
        <f t="shared" ref="E16:E33" si="4">B16</f>
        <v>1</v>
      </c>
      <c r="F16" s="78">
        <f>VLOOKUP($B$3,'Data for Bill Impacts'!$A$3:$Y$15,17,0)</f>
        <v>106.68</v>
      </c>
      <c r="G16" s="22">
        <f>E16*F16</f>
        <v>106.68</v>
      </c>
      <c r="H16" s="22">
        <f t="shared" si="3"/>
        <v>1.6600000000000108</v>
      </c>
      <c r="I16" s="23">
        <f t="shared" si="0"/>
        <v>1.5806513045134363E-2</v>
      </c>
      <c r="J16" s="124">
        <f t="shared" si="1"/>
        <v>3.6267594378766831E-2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1.7999999999999999E-2</v>
      </c>
      <c r="D19" s="22">
        <f t="shared" si="6"/>
        <v>1.7999999999999999E-2</v>
      </c>
      <c r="E19" s="73">
        <f t="shared" si="4"/>
        <v>1</v>
      </c>
      <c r="F19" s="121">
        <f>VLOOKUP($B$3,'Data for Bill Impacts'!$A$3:$Y$15,22,0)</f>
        <v>1.7999999999999999E-2</v>
      </c>
      <c r="G19" s="22">
        <f t="shared" si="5"/>
        <v>1.7999999999999999E-2</v>
      </c>
      <c r="H19" s="22">
        <f t="shared" si="3"/>
        <v>0</v>
      </c>
      <c r="I19" s="23">
        <f>IF(ISERROR(H19/ABS(D19)),"N/A",(H19/ABS(D19)))</f>
        <v>0</v>
      </c>
      <c r="J19" s="124">
        <f t="shared" si="1"/>
        <v>6.1193916274634689E-6</v>
      </c>
    </row>
    <row r="20" spans="1:10" x14ac:dyDescent="0.2">
      <c r="A20" s="107" t="s">
        <v>39</v>
      </c>
      <c r="B20" s="73">
        <f>IF($B$10="kWh",$B$4,$B$5)</f>
        <v>60</v>
      </c>
      <c r="C20" s="78">
        <f>VLOOKUP($B$3,'Data for Bill Impacts'!$A$3:$Y$15,10,0)</f>
        <v>10.293199999999999</v>
      </c>
      <c r="D20" s="22">
        <f>B20*C20</f>
        <v>617.59199999999987</v>
      </c>
      <c r="E20" s="73">
        <f t="shared" si="4"/>
        <v>60</v>
      </c>
      <c r="F20" s="78">
        <f>VLOOKUP($B$3,'Data for Bill Impacts'!$A$3:$Y$15,19,0)</f>
        <v>10.5937</v>
      </c>
      <c r="G20" s="22">
        <f>E20*F20</f>
        <v>635.62199999999996</v>
      </c>
      <c r="H20" s="22">
        <f t="shared" si="3"/>
        <v>18.030000000000086</v>
      </c>
      <c r="I20" s="23">
        <f t="shared" ref="I20" si="7">IF(ISERROR(H20/D20),0,(H20/D20))</f>
        <v>2.9194031010764534E-2</v>
      </c>
      <c r="J20" s="124">
        <f t="shared" si="1"/>
        <v>0.21608999694619918</v>
      </c>
    </row>
    <row r="21" spans="1:10" s="1" customFormat="1" x14ac:dyDescent="0.2">
      <c r="A21" s="107" t="s">
        <v>199</v>
      </c>
      <c r="B21" s="73">
        <f>IF($B$10="kWh",$B$4,$B$5)</f>
        <v>60</v>
      </c>
      <c r="C21" s="125">
        <f>VLOOKUP($B$3,'Data for Bill Impacts'!$A$3:$Y$15,14,0)</f>
        <v>1.1179999999999999E-2</v>
      </c>
      <c r="D21" s="22">
        <f>B21*C21</f>
        <v>0.67079999999999995</v>
      </c>
      <c r="E21" s="73">
        <f>B21</f>
        <v>60</v>
      </c>
      <c r="F21" s="125">
        <f>VLOOKUP($B$3,'Data for Bill Impacts'!$A$3:$Y$15,23,0)</f>
        <v>1.1179999999999999E-2</v>
      </c>
      <c r="G21" s="22">
        <f>E21*F21</f>
        <v>0.67079999999999995</v>
      </c>
      <c r="H21" s="22">
        <f>G21-D21</f>
        <v>0</v>
      </c>
      <c r="I21" s="23">
        <f>IF(ISERROR(H21/D21),0,(H21/D21))</f>
        <v>0</v>
      </c>
      <c r="J21" s="124">
        <f t="shared" si="1"/>
        <v>2.2804932798347195E-4</v>
      </c>
    </row>
    <row r="22" spans="1:10" s="1" customFormat="1" x14ac:dyDescent="0.2">
      <c r="A22" s="107" t="s">
        <v>147</v>
      </c>
      <c r="B22" s="73">
        <f>B9</f>
        <v>15750</v>
      </c>
      <c r="C22" s="125">
        <f>VLOOKUP($B$3,'Data for Bill Impacts'!$A$3:$Y$15,20,0)</f>
        <v>0</v>
      </c>
      <c r="D22" s="22">
        <f>B22*C22</f>
        <v>0</v>
      </c>
      <c r="E22" s="73">
        <f t="shared" si="4"/>
        <v>15750</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723.30079999999987</v>
      </c>
      <c r="E23" s="73"/>
      <c r="F23" s="35"/>
      <c r="G23" s="35">
        <f>SUM(G16:G22)</f>
        <v>742.99079999999992</v>
      </c>
      <c r="H23" s="35">
        <f t="shared" si="3"/>
        <v>19.690000000000055</v>
      </c>
      <c r="I23" s="36">
        <f t="shared" si="8"/>
        <v>2.7222422538451578E-2</v>
      </c>
      <c r="J23" s="111">
        <f t="shared" si="1"/>
        <v>0.25259176004457695</v>
      </c>
    </row>
    <row r="24" spans="1:10" x14ac:dyDescent="0.2">
      <c r="A24" s="107" t="s">
        <v>40</v>
      </c>
      <c r="B24" s="73">
        <f>B5</f>
        <v>60</v>
      </c>
      <c r="C24" s="125">
        <f>VLOOKUP($B$3,'Data for Bill Impacts'!$A$3:$Y$15,15,0)</f>
        <v>2.2310400000000001</v>
      </c>
      <c r="D24" s="22">
        <f>B24*C24</f>
        <v>133.86240000000001</v>
      </c>
      <c r="E24" s="73">
        <f t="shared" si="4"/>
        <v>60</v>
      </c>
      <c r="F24" s="78">
        <f>VLOOKUP($B$3,'Data for Bill Impacts'!$A$3:$Y$15,24,0)</f>
        <v>2.1349</v>
      </c>
      <c r="G24" s="22">
        <f>E24*F24</f>
        <v>128.09399999999999</v>
      </c>
      <c r="H24" s="22">
        <f t="shared" si="3"/>
        <v>-5.768400000000014</v>
      </c>
      <c r="I24" s="23">
        <f t="shared" si="8"/>
        <v>-4.3092010900745943E-2</v>
      </c>
      <c r="J24" s="124">
        <f t="shared" si="1"/>
        <v>4.35476306182392E-2</v>
      </c>
    </row>
    <row r="25" spans="1:10" s="1" customFormat="1" x14ac:dyDescent="0.2">
      <c r="A25" s="107" t="s">
        <v>41</v>
      </c>
      <c r="B25" s="73">
        <f>B5</f>
        <v>60</v>
      </c>
      <c r="C25" s="125">
        <f>VLOOKUP($B$3,'Data for Bill Impacts'!$A$3:$Y$15,16,0)</f>
        <v>1.7046749999999999</v>
      </c>
      <c r="D25" s="22">
        <f>B25*C25</f>
        <v>102.28049999999999</v>
      </c>
      <c r="E25" s="73">
        <f t="shared" si="4"/>
        <v>60</v>
      </c>
      <c r="F25" s="125">
        <f>VLOOKUP($B$3,'Data for Bill Impacts'!$A$3:$Y$15,25,0)</f>
        <v>1.7284999999999999</v>
      </c>
      <c r="G25" s="22">
        <f>E25*F25</f>
        <v>103.71</v>
      </c>
      <c r="H25" s="22">
        <f t="shared" si="3"/>
        <v>1.4295000000000044</v>
      </c>
      <c r="I25" s="23">
        <f t="shared" si="8"/>
        <v>1.3976271136726988E-2</v>
      </c>
      <c r="J25" s="124">
        <f t="shared" si="1"/>
        <v>3.5257894760235352E-2</v>
      </c>
    </row>
    <row r="26" spans="1:10" x14ac:dyDescent="0.2">
      <c r="A26" s="110" t="s">
        <v>76</v>
      </c>
      <c r="B26" s="74"/>
      <c r="C26" s="35"/>
      <c r="D26" s="35">
        <f>SUM(D24:D25)</f>
        <v>236.1429</v>
      </c>
      <c r="E26" s="73"/>
      <c r="F26" s="35"/>
      <c r="G26" s="35">
        <f>SUM(G24:G25)</f>
        <v>231.80399999999997</v>
      </c>
      <c r="H26" s="35">
        <f t="shared" si="3"/>
        <v>-4.3389000000000237</v>
      </c>
      <c r="I26" s="36">
        <f t="shared" si="8"/>
        <v>-1.8374043852260744E-2</v>
      </c>
      <c r="J26" s="111">
        <f t="shared" si="1"/>
        <v>7.8805525378474545E-2</v>
      </c>
    </row>
    <row r="27" spans="1:10" s="1" customFormat="1" x14ac:dyDescent="0.2">
      <c r="A27" s="110" t="s">
        <v>80</v>
      </c>
      <c r="B27" s="74"/>
      <c r="C27" s="35"/>
      <c r="D27" s="35">
        <f>D23+D26</f>
        <v>959.44369999999981</v>
      </c>
      <c r="E27" s="73"/>
      <c r="F27" s="35"/>
      <c r="G27" s="35">
        <f>G23+G26</f>
        <v>974.7947999999999</v>
      </c>
      <c r="H27" s="35">
        <f t="shared" si="3"/>
        <v>15.351100000000088</v>
      </c>
      <c r="I27" s="36">
        <f t="shared" si="8"/>
        <v>1.6000000833816606E-2</v>
      </c>
      <c r="J27" s="111">
        <f t="shared" si="1"/>
        <v>0.33139728542305147</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3"/>
        <v>0</v>
      </c>
      <c r="I28" s="23">
        <f t="shared" si="8"/>
        <v>0</v>
      </c>
      <c r="J28" s="124">
        <f t="shared" si="1"/>
        <v>1.9276083626509927E-2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8"/>
        <v>0</v>
      </c>
      <c r="J29" s="124">
        <f t="shared" si="1"/>
        <v>1.1244382115464123E-2</v>
      </c>
    </row>
    <row r="30" spans="1:10" x14ac:dyDescent="0.2">
      <c r="A30" s="107" t="s">
        <v>100</v>
      </c>
      <c r="B30" s="73">
        <f>B9</f>
        <v>15750</v>
      </c>
      <c r="C30" s="34">
        <v>0</v>
      </c>
      <c r="D30" s="22">
        <f>B30*C30</f>
        <v>0</v>
      </c>
      <c r="E30" s="73">
        <f t="shared" si="4"/>
        <v>15750</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8.4991550381437081E-5</v>
      </c>
    </row>
    <row r="32" spans="1:10" x14ac:dyDescent="0.2">
      <c r="A32" s="110" t="s">
        <v>45</v>
      </c>
      <c r="B32" s="74"/>
      <c r="C32" s="35"/>
      <c r="D32" s="35">
        <f>SUM(D28:D31)</f>
        <v>90.024999999999991</v>
      </c>
      <c r="E32" s="73"/>
      <c r="F32" s="35"/>
      <c r="G32" s="35">
        <f>SUM(G28:G31)</f>
        <v>90.024999999999991</v>
      </c>
      <c r="H32" s="35">
        <f t="shared" si="3"/>
        <v>0</v>
      </c>
      <c r="I32" s="36">
        <f t="shared" si="8"/>
        <v>0</v>
      </c>
      <c r="J32" s="111">
        <f t="shared" si="10"/>
        <v>3.060545729235549E-2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8"/>
        <v>0</v>
      </c>
      <c r="J33" s="118">
        <f t="shared" si="10"/>
        <v>3.569645116020357E-2</v>
      </c>
    </row>
    <row r="34" spans="1:10" x14ac:dyDescent="0.2">
      <c r="A34" s="37" t="s">
        <v>146</v>
      </c>
      <c r="B34" s="38"/>
      <c r="C34" s="39"/>
      <c r="D34" s="39">
        <f>SUM(D15,D23,D26,D32,D33)</f>
        <v>2587.7186999999999</v>
      </c>
      <c r="E34" s="38"/>
      <c r="F34" s="39"/>
      <c r="G34" s="39">
        <f>SUM(G15,G23,G26,G32,G33)</f>
        <v>2603.0698000000002</v>
      </c>
      <c r="H34" s="39">
        <f t="shared" si="3"/>
        <v>15.351100000000315</v>
      </c>
      <c r="I34" s="40">
        <f t="shared" si="8"/>
        <v>5.932290862990755E-3</v>
      </c>
      <c r="J34" s="41">
        <f t="shared" si="10"/>
        <v>0.88495575221238942</v>
      </c>
    </row>
    <row r="35" spans="1:10" x14ac:dyDescent="0.2">
      <c r="A35" s="149" t="s">
        <v>138</v>
      </c>
      <c r="B35" s="43"/>
      <c r="C35" s="26">
        <v>0.13</v>
      </c>
      <c r="D35" s="26">
        <f>D34*C35</f>
        <v>336.40343100000001</v>
      </c>
      <c r="E35" s="26"/>
      <c r="F35" s="26">
        <f>C35</f>
        <v>0.13</v>
      </c>
      <c r="G35" s="26">
        <f>G34*F35</f>
        <v>338.39907400000004</v>
      </c>
      <c r="H35" s="26">
        <f t="shared" si="3"/>
        <v>1.9956430000000296</v>
      </c>
      <c r="I35" s="44">
        <f t="shared" si="8"/>
        <v>5.9322908629907212E-3</v>
      </c>
      <c r="J35" s="45">
        <f t="shared" si="10"/>
        <v>0.11504424778761063</v>
      </c>
    </row>
    <row r="36" spans="1:10" x14ac:dyDescent="0.2">
      <c r="A36" s="46" t="s">
        <v>139</v>
      </c>
      <c r="B36" s="24"/>
      <c r="C36" s="25"/>
      <c r="D36" s="25">
        <f>SUM(D34:D35)</f>
        <v>2924.1221310000001</v>
      </c>
      <c r="E36" s="25"/>
      <c r="F36" s="25"/>
      <c r="G36" s="25">
        <f>SUM(G34:G35)</f>
        <v>2941.4688740000001</v>
      </c>
      <c r="H36" s="25">
        <f t="shared" si="3"/>
        <v>17.34674300000006</v>
      </c>
      <c r="I36" s="27">
        <f t="shared" si="8"/>
        <v>5.9322908629906536E-3</v>
      </c>
      <c r="J36" s="47">
        <f t="shared" si="10"/>
        <v>1</v>
      </c>
    </row>
    <row r="37" spans="1:10" x14ac:dyDescent="0.2">
      <c r="A37" s="42"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8" t="s">
        <v>141</v>
      </c>
      <c r="B38" s="49"/>
      <c r="C38" s="50"/>
      <c r="D38" s="50">
        <f>SUM(D36:D37)</f>
        <v>2924.1221310000001</v>
      </c>
      <c r="E38" s="50"/>
      <c r="F38" s="50"/>
      <c r="G38" s="50">
        <f>SUM(G36:G37)</f>
        <v>2941.4688740000001</v>
      </c>
      <c r="H38" s="50">
        <f t="shared" si="3"/>
        <v>17.34674300000006</v>
      </c>
      <c r="I38" s="51">
        <f t="shared" si="8"/>
        <v>5.9322908629906536E-3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J40"/>
  <sheetViews>
    <sheetView tabSelected="1" topLeftCell="A1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7</v>
      </c>
    </row>
    <row r="4" spans="1:10" x14ac:dyDescent="0.2">
      <c r="A4" s="15" t="s">
        <v>62</v>
      </c>
      <c r="B4" s="79">
        <f>'Data for Bill Impacts_HONI Avg '!C13</f>
        <v>50525</v>
      </c>
    </row>
    <row r="5" spans="1:10" x14ac:dyDescent="0.2">
      <c r="A5" s="15" t="s">
        <v>16</v>
      </c>
      <c r="B5" s="79">
        <v>138</v>
      </c>
    </row>
    <row r="6" spans="1:10" x14ac:dyDescent="0.2">
      <c r="A6" s="15" t="s">
        <v>20</v>
      </c>
      <c r="B6" s="80">
        <f>VLOOKUP($B$3,'Data for Bill Impacts'!$A$3:$Y$15,2,0)</f>
        <v>1.05</v>
      </c>
    </row>
    <row r="7" spans="1:10" x14ac:dyDescent="0.2">
      <c r="A7" s="81" t="s">
        <v>49</v>
      </c>
      <c r="B7" s="82">
        <f>B4/(B5*730)</f>
        <v>0.50153861425451662</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53051.25</v>
      </c>
      <c r="C13" s="103">
        <v>9.0999999999999998E-2</v>
      </c>
      <c r="D13" s="104">
        <f>B13*C13</f>
        <v>4827.6637499999997</v>
      </c>
      <c r="E13" s="102">
        <f>B13</f>
        <v>53051.25</v>
      </c>
      <c r="F13" s="103">
        <f>C13</f>
        <v>9.0999999999999998E-2</v>
      </c>
      <c r="G13" s="104">
        <f>E13*F13</f>
        <v>4827.6637499999997</v>
      </c>
      <c r="H13" s="104">
        <f>G13-D13</f>
        <v>0</v>
      </c>
      <c r="I13" s="105">
        <f t="shared" ref="I13:I18" si="0">IF(ISERROR(H13/ABS(D13)),"N/A",(H13/ABS(D13)))</f>
        <v>0</v>
      </c>
      <c r="J13" s="123">
        <f t="shared" ref="J13:J32" si="1">G13/$G$38</f>
        <v>0.56308145878524962</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4827.6637499999997</v>
      </c>
      <c r="E15" s="76"/>
      <c r="F15" s="25"/>
      <c r="G15" s="25">
        <f>SUM(G13:G14)</f>
        <v>4827.6637499999997</v>
      </c>
      <c r="H15" s="25">
        <f t="shared" si="3"/>
        <v>0</v>
      </c>
      <c r="I15" s="27">
        <f t="shared" si="0"/>
        <v>0</v>
      </c>
      <c r="J15" s="47">
        <f t="shared" si="1"/>
        <v>0.56308145878524962</v>
      </c>
    </row>
    <row r="16" spans="1:10" s="1" customFormat="1" x14ac:dyDescent="0.2">
      <c r="A16" s="107" t="s">
        <v>38</v>
      </c>
      <c r="B16" s="73">
        <v>1</v>
      </c>
      <c r="C16" s="78">
        <f>VLOOKUP($B$3,'Data for Bill Impacts'!$A$3:$Y$15,7,0)</f>
        <v>105.02</v>
      </c>
      <c r="D16" s="22">
        <f>B16*C16</f>
        <v>105.02</v>
      </c>
      <c r="E16" s="73">
        <f t="shared" ref="E16:E31" si="4">B16</f>
        <v>1</v>
      </c>
      <c r="F16" s="78">
        <f>VLOOKUP($B$3,'Data for Bill Impacts'!$A$3:$Y$15,17,0)</f>
        <v>106.68</v>
      </c>
      <c r="G16" s="22">
        <f>E16*F16</f>
        <v>106.68</v>
      </c>
      <c r="H16" s="22">
        <f t="shared" si="3"/>
        <v>1.6600000000000108</v>
      </c>
      <c r="I16" s="23">
        <f t="shared" si="0"/>
        <v>1.5806513045134363E-2</v>
      </c>
      <c r="J16" s="124">
        <f t="shared" si="1"/>
        <v>1.2442774214175632E-2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1.7999999999999999E-2</v>
      </c>
      <c r="D19" s="22">
        <f t="shared" si="6"/>
        <v>1.7999999999999999E-2</v>
      </c>
      <c r="E19" s="73">
        <f t="shared" si="4"/>
        <v>1</v>
      </c>
      <c r="F19" s="121">
        <f>VLOOKUP($B$3,'Data for Bill Impacts'!$A$3:$Y$15,22,0)</f>
        <v>1.7999999999999999E-2</v>
      </c>
      <c r="G19" s="22">
        <f t="shared" si="5"/>
        <v>1.7999999999999999E-2</v>
      </c>
      <c r="H19" s="22">
        <f t="shared" si="3"/>
        <v>0</v>
      </c>
      <c r="I19" s="23">
        <f>IF(ISERROR(H19/ABS(D19)),"N/A",(H19/ABS(D19)))</f>
        <v>0</v>
      </c>
      <c r="J19" s="124">
        <f t="shared" si="1"/>
        <v>2.0994557166775529E-6</v>
      </c>
    </row>
    <row r="20" spans="1:10" x14ac:dyDescent="0.2">
      <c r="A20" s="107" t="s">
        <v>39</v>
      </c>
      <c r="B20" s="73">
        <f>IF($B$10="kWh",$B$4,$B$5)</f>
        <v>138</v>
      </c>
      <c r="C20" s="78">
        <f>VLOOKUP($B$3,'Data for Bill Impacts'!$A$3:$Y$15,10,0)</f>
        <v>10.293199999999999</v>
      </c>
      <c r="D20" s="22">
        <f>B20*C20</f>
        <v>1420.4615999999999</v>
      </c>
      <c r="E20" s="73">
        <f t="shared" si="4"/>
        <v>138</v>
      </c>
      <c r="F20" s="78">
        <f>VLOOKUP($B$3,'Data for Bill Impacts'!$A$3:$Y$15,19,0)</f>
        <v>10.5937</v>
      </c>
      <c r="G20" s="22">
        <f>E20*F20</f>
        <v>1461.9305999999999</v>
      </c>
      <c r="H20" s="22">
        <f t="shared" si="3"/>
        <v>41.469000000000051</v>
      </c>
      <c r="I20" s="23">
        <f t="shared" ref="I20" si="7">IF(ISERROR(H20/D20),0,(H20/D20))</f>
        <v>2.9194031010764426E-2</v>
      </c>
      <c r="J20" s="124">
        <f t="shared" si="1"/>
        <v>0.17051436419754692</v>
      </c>
    </row>
    <row r="21" spans="1:10" s="1" customFormat="1" x14ac:dyDescent="0.2">
      <c r="A21" s="107" t="s">
        <v>199</v>
      </c>
      <c r="B21" s="73">
        <f>IF($B$10="kWh",$B$4,$B$5)</f>
        <v>138</v>
      </c>
      <c r="C21" s="125">
        <f>VLOOKUP($B$3,'Data for Bill Impacts'!$A$3:$Y$15,14,0)</f>
        <v>1.1179999999999999E-2</v>
      </c>
      <c r="D21" s="22">
        <f>B21*C21</f>
        <v>1.5428399999999998</v>
      </c>
      <c r="E21" s="73">
        <f>B21</f>
        <v>138</v>
      </c>
      <c r="F21" s="125">
        <f>VLOOKUP($B$3,'Data for Bill Impacts'!$A$3:$Y$15,23,0)</f>
        <v>1.1179999999999999E-2</v>
      </c>
      <c r="G21" s="22">
        <f>E21*F21</f>
        <v>1.5428399999999998</v>
      </c>
      <c r="H21" s="22">
        <f>G21-D21</f>
        <v>0</v>
      </c>
      <c r="I21" s="23">
        <f>IF(ISERROR(H21/D21),0,(H21/D21))</f>
        <v>0</v>
      </c>
      <c r="J21" s="124">
        <f t="shared" si="1"/>
        <v>1.799513476621553E-4</v>
      </c>
    </row>
    <row r="22" spans="1:10" s="1" customFormat="1" x14ac:dyDescent="0.2">
      <c r="A22" s="107" t="s">
        <v>147</v>
      </c>
      <c r="B22" s="73">
        <f>B9</f>
        <v>53051.25</v>
      </c>
      <c r="C22" s="125">
        <f>VLOOKUP($B$3,'Data for Bill Impacts'!$A$3:$Y$15,20,0)</f>
        <v>0</v>
      </c>
      <c r="D22" s="22">
        <f>B22*C22</f>
        <v>0</v>
      </c>
      <c r="E22" s="73">
        <f t="shared" si="4"/>
        <v>53051.25</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1527.0424399999999</v>
      </c>
      <c r="E23" s="73"/>
      <c r="F23" s="35"/>
      <c r="G23" s="35">
        <f>SUM(G16:G22)</f>
        <v>1570.1714400000001</v>
      </c>
      <c r="H23" s="35">
        <f t="shared" si="3"/>
        <v>43.129000000000133</v>
      </c>
      <c r="I23" s="36">
        <f t="shared" si="8"/>
        <v>2.8243484837264989E-2</v>
      </c>
      <c r="J23" s="111">
        <f t="shared" si="1"/>
        <v>0.18313918921510142</v>
      </c>
    </row>
    <row r="24" spans="1:10" x14ac:dyDescent="0.2">
      <c r="A24" s="107" t="s">
        <v>40</v>
      </c>
      <c r="B24" s="73">
        <f>B5</f>
        <v>138</v>
      </c>
      <c r="C24" s="125">
        <f>VLOOKUP($B$3,'Data for Bill Impacts'!$A$3:$Y$15,15,0)</f>
        <v>2.2310400000000001</v>
      </c>
      <c r="D24" s="22">
        <f>B24*C24</f>
        <v>307.88352000000003</v>
      </c>
      <c r="E24" s="73">
        <f t="shared" si="4"/>
        <v>138</v>
      </c>
      <c r="F24" s="78">
        <f>VLOOKUP($B$3,'Data for Bill Impacts'!$A$3:$Y$15,24,0)</f>
        <v>2.1349</v>
      </c>
      <c r="G24" s="22">
        <f>E24*F24</f>
        <v>294.61619999999999</v>
      </c>
      <c r="H24" s="22">
        <f t="shared" si="3"/>
        <v>-13.267320000000041</v>
      </c>
      <c r="I24" s="23">
        <f t="shared" si="8"/>
        <v>-4.3092010900745971E-2</v>
      </c>
      <c r="J24" s="124">
        <f t="shared" si="1"/>
        <v>3.436298140643429E-2</v>
      </c>
    </row>
    <row r="25" spans="1:10" s="1" customFormat="1" x14ac:dyDescent="0.2">
      <c r="A25" s="107" t="s">
        <v>41</v>
      </c>
      <c r="B25" s="73">
        <f>B5</f>
        <v>138</v>
      </c>
      <c r="C25" s="125">
        <f>VLOOKUP($B$3,'Data for Bill Impacts'!$A$3:$Y$15,16,0)</f>
        <v>1.7046749999999999</v>
      </c>
      <c r="D25" s="22">
        <f>B25*C25</f>
        <v>235.24515</v>
      </c>
      <c r="E25" s="73">
        <f t="shared" si="4"/>
        <v>138</v>
      </c>
      <c r="F25" s="125">
        <f>VLOOKUP($B$3,'Data for Bill Impacts'!$A$3:$Y$15,25,0)</f>
        <v>1.7284999999999999</v>
      </c>
      <c r="G25" s="22">
        <f>E25*F25</f>
        <v>238.53299999999999</v>
      </c>
      <c r="H25" s="22">
        <f t="shared" si="3"/>
        <v>3.2878499999999917</v>
      </c>
      <c r="I25" s="23">
        <f t="shared" si="8"/>
        <v>1.3976271136726908E-2</v>
      </c>
      <c r="J25" s="124">
        <f t="shared" si="1"/>
        <v>2.7821637248124819E-2</v>
      </c>
    </row>
    <row r="26" spans="1:10" x14ac:dyDescent="0.2">
      <c r="A26" s="110" t="s">
        <v>76</v>
      </c>
      <c r="B26" s="74"/>
      <c r="C26" s="35"/>
      <c r="D26" s="35">
        <f>SUM(D24:D25)</f>
        <v>543.12867000000006</v>
      </c>
      <c r="E26" s="73"/>
      <c r="F26" s="35"/>
      <c r="G26" s="35">
        <f>SUM(G24:G25)</f>
        <v>533.14919999999995</v>
      </c>
      <c r="H26" s="35">
        <f t="shared" si="3"/>
        <v>-9.9794700000001058</v>
      </c>
      <c r="I26" s="36">
        <f t="shared" si="8"/>
        <v>-1.8374043852260838E-2</v>
      </c>
      <c r="J26" s="111">
        <f t="shared" si="1"/>
        <v>6.2184618654559105E-2</v>
      </c>
    </row>
    <row r="27" spans="1:10" s="1" customFormat="1" x14ac:dyDescent="0.2">
      <c r="A27" s="110" t="s">
        <v>80</v>
      </c>
      <c r="B27" s="74"/>
      <c r="C27" s="35"/>
      <c r="D27" s="35">
        <f>D23+D26</f>
        <v>2070.1711100000002</v>
      </c>
      <c r="E27" s="73"/>
      <c r="F27" s="35"/>
      <c r="G27" s="35">
        <f>G23+G26</f>
        <v>2103.3206399999999</v>
      </c>
      <c r="H27" s="35">
        <f t="shared" si="3"/>
        <v>33.149529999999686</v>
      </c>
      <c r="I27" s="36">
        <f t="shared" si="8"/>
        <v>1.6012942041298064E-2</v>
      </c>
      <c r="J27" s="111">
        <f t="shared" si="1"/>
        <v>0.24532380786966052</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3"/>
        <v>0</v>
      </c>
      <c r="I28" s="23">
        <f t="shared" si="8"/>
        <v>0</v>
      </c>
      <c r="J28" s="124">
        <f t="shared" si="1"/>
        <v>2.2275750017878005E-2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8"/>
        <v>0</v>
      </c>
      <c r="J29" s="124">
        <f t="shared" si="1"/>
        <v>1.2994187510428837E-2</v>
      </c>
    </row>
    <row r="30" spans="1:10" x14ac:dyDescent="0.2">
      <c r="A30" s="107" t="s">
        <v>100</v>
      </c>
      <c r="B30" s="73">
        <f>B9</f>
        <v>53051.25</v>
      </c>
      <c r="C30" s="34">
        <v>0</v>
      </c>
      <c r="D30" s="22">
        <f>B30*C30</f>
        <v>0</v>
      </c>
      <c r="E30" s="73">
        <f t="shared" si="4"/>
        <v>53051.25</v>
      </c>
      <c r="F30" s="34">
        <v>0</v>
      </c>
      <c r="G30" s="22">
        <f>E30*F30</f>
        <v>0</v>
      </c>
      <c r="H30" s="22">
        <f>G30-D30</f>
        <v>0</v>
      </c>
      <c r="I30" s="23" t="str">
        <f t="shared" si="8"/>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si="1"/>
        <v>2.9159107176077126E-5</v>
      </c>
    </row>
    <row r="32" spans="1:10" x14ac:dyDescent="0.2">
      <c r="A32" s="110" t="s">
        <v>45</v>
      </c>
      <c r="B32" s="74"/>
      <c r="C32" s="35"/>
      <c r="D32" s="35">
        <f>SUM(D28:D31)</f>
        <v>302.64212499999996</v>
      </c>
      <c r="E32" s="73"/>
      <c r="F32" s="35"/>
      <c r="G32" s="35">
        <f>SUM(G28:G31)</f>
        <v>302.64212499999996</v>
      </c>
      <c r="H32" s="35">
        <f t="shared" si="3"/>
        <v>0</v>
      </c>
      <c r="I32" s="36">
        <f t="shared" si="8"/>
        <v>0</v>
      </c>
      <c r="J32" s="111">
        <f t="shared" si="1"/>
        <v>3.5299096635482918E-2</v>
      </c>
    </row>
    <row r="33" spans="1:10" ht="13.5" thickBot="1" x14ac:dyDescent="0.25">
      <c r="A33" s="112" t="s">
        <v>46</v>
      </c>
      <c r="B33" s="113">
        <f>B4</f>
        <v>50525</v>
      </c>
      <c r="C33" s="114">
        <v>7.0000000000000001E-3</v>
      </c>
      <c r="D33" s="115">
        <f>B33*C33</f>
        <v>353.67500000000001</v>
      </c>
      <c r="E33" s="116">
        <f t="shared" ref="E33" si="9">B33</f>
        <v>50525</v>
      </c>
      <c r="F33" s="114">
        <f>C33</f>
        <v>7.0000000000000001E-3</v>
      </c>
      <c r="G33" s="115">
        <f>E33*F33</f>
        <v>353.67500000000001</v>
      </c>
      <c r="H33" s="115">
        <f t="shared" si="3"/>
        <v>0</v>
      </c>
      <c r="I33" s="117">
        <f t="shared" si="8"/>
        <v>0</v>
      </c>
      <c r="J33" s="118">
        <f t="shared" ref="J33:J38" si="10">G33/$G$38</f>
        <v>4.1251388921996313E-2</v>
      </c>
    </row>
    <row r="34" spans="1:10" x14ac:dyDescent="0.2">
      <c r="A34" s="37" t="s">
        <v>146</v>
      </c>
      <c r="B34" s="38"/>
      <c r="C34" s="39"/>
      <c r="D34" s="39">
        <f>SUM(D15,D23,D26,D32,D33)</f>
        <v>7554.1519850000004</v>
      </c>
      <c r="E34" s="38"/>
      <c r="F34" s="39"/>
      <c r="G34" s="39">
        <f>SUM(G15,G23,G26,G32,G33)</f>
        <v>7587.3015150000001</v>
      </c>
      <c r="H34" s="39">
        <f t="shared" si="3"/>
        <v>33.149529999999686</v>
      </c>
      <c r="I34" s="40">
        <f t="shared" si="8"/>
        <v>4.3882529853547401E-3</v>
      </c>
      <c r="J34" s="41">
        <f t="shared" si="10"/>
        <v>0.88495575221238942</v>
      </c>
    </row>
    <row r="35" spans="1:10" x14ac:dyDescent="0.2">
      <c r="A35" s="46" t="s">
        <v>138</v>
      </c>
      <c r="B35" s="43"/>
      <c r="C35" s="26">
        <v>0.13</v>
      </c>
      <c r="D35" s="26">
        <f>D34*C35</f>
        <v>982.03975805000005</v>
      </c>
      <c r="E35" s="26"/>
      <c r="F35" s="26">
        <f>C35</f>
        <v>0.13</v>
      </c>
      <c r="G35" s="26">
        <f>G34*F35</f>
        <v>986.34919695000008</v>
      </c>
      <c r="H35" s="26">
        <f t="shared" si="3"/>
        <v>4.3094389000000319</v>
      </c>
      <c r="I35" s="44">
        <f t="shared" si="8"/>
        <v>4.3882529853548138E-3</v>
      </c>
      <c r="J35" s="45">
        <f t="shared" si="10"/>
        <v>0.11504424778761063</v>
      </c>
    </row>
    <row r="36" spans="1:10" x14ac:dyDescent="0.2">
      <c r="A36" s="46" t="s">
        <v>139</v>
      </c>
      <c r="B36" s="24"/>
      <c r="C36" s="25"/>
      <c r="D36" s="25">
        <f>SUM(D34:D35)</f>
        <v>8536.1917430499998</v>
      </c>
      <c r="E36" s="25"/>
      <c r="F36" s="25"/>
      <c r="G36" s="25">
        <f>SUM(G34:G35)</f>
        <v>8573.6507119500002</v>
      </c>
      <c r="H36" s="25">
        <f t="shared" si="3"/>
        <v>37.4589689000004</v>
      </c>
      <c r="I36" s="27">
        <f t="shared" si="8"/>
        <v>4.3882529853548286E-3</v>
      </c>
      <c r="J36" s="47">
        <f t="shared" si="10"/>
        <v>1</v>
      </c>
    </row>
    <row r="37" spans="1:10" x14ac:dyDescent="0.2">
      <c r="A37" s="46"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6" t="s">
        <v>141</v>
      </c>
      <c r="B38" s="49"/>
      <c r="C38" s="50"/>
      <c r="D38" s="50">
        <f>SUM(D36:D37)</f>
        <v>8536.1917430499998</v>
      </c>
      <c r="E38" s="50"/>
      <c r="F38" s="50"/>
      <c r="G38" s="50">
        <f>SUM(G36:G37)</f>
        <v>8573.6507119500002</v>
      </c>
      <c r="H38" s="50">
        <f t="shared" si="3"/>
        <v>37.4589689000004</v>
      </c>
      <c r="I38" s="51">
        <f t="shared" si="8"/>
        <v>4.3882529853548286E-3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Y49"/>
  <sheetViews>
    <sheetView zoomScaleNormal="100" workbookViewId="0">
      <pane xSplit="2" ySplit="2" topLeftCell="L3" activePane="bottomRight" state="frozen"/>
      <selection activeCell="N25" sqref="N25"/>
      <selection pane="topRight" activeCell="N25" sqref="N25"/>
      <selection pane="bottomLeft" activeCell="N25" sqref="N25"/>
      <selection pane="bottomRight" activeCell="N25" sqref="N25"/>
    </sheetView>
  </sheetViews>
  <sheetFormatPr defaultRowHeight="12.75" x14ac:dyDescent="0.2"/>
  <cols>
    <col min="1" max="1" width="18.42578125" bestFit="1" customWidth="1"/>
    <col min="2" max="3" width="14.7109375" customWidth="1"/>
    <col min="4" max="4" width="11.140625" customWidth="1"/>
    <col min="5" max="5" width="13" customWidth="1"/>
    <col min="6" max="6" width="12.140625" customWidth="1"/>
    <col min="7" max="7" width="13.5703125" style="143" customWidth="1"/>
    <col min="8" max="8" width="10" style="143" customWidth="1"/>
    <col min="9" max="9" width="10.7109375" style="143" customWidth="1"/>
    <col min="10" max="10" width="9.5703125" style="143" customWidth="1"/>
    <col min="11" max="11" width="10.42578125" style="143" customWidth="1"/>
    <col min="12" max="12" width="11" style="143" customWidth="1"/>
    <col min="13" max="13" width="11.42578125" style="143" customWidth="1"/>
    <col min="14" max="14" width="11.85546875" style="143" customWidth="1"/>
    <col min="15" max="15" width="9.85546875" style="143" customWidth="1"/>
    <col min="16" max="16" width="11.5703125" style="143" customWidth="1"/>
    <col min="17" max="18" width="10" customWidth="1"/>
    <col min="19" max="20" width="11" customWidth="1"/>
    <col min="21" max="21" width="13.85546875" customWidth="1"/>
    <col min="22" max="23" width="10.7109375" customWidth="1"/>
    <col min="24" max="24" width="9.5703125" customWidth="1"/>
    <col min="25" max="25" width="10.5703125"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42">
        <v>7</v>
      </c>
      <c r="H1" s="142">
        <v>8</v>
      </c>
      <c r="I1" s="142">
        <v>9</v>
      </c>
      <c r="J1" s="142">
        <v>10</v>
      </c>
      <c r="K1" s="142">
        <v>11</v>
      </c>
      <c r="L1" s="142">
        <v>12</v>
      </c>
      <c r="M1" s="142">
        <v>13</v>
      </c>
      <c r="N1" s="142">
        <v>14</v>
      </c>
      <c r="O1" s="142">
        <v>15</v>
      </c>
      <c r="P1" s="142">
        <v>16</v>
      </c>
      <c r="Q1" s="9">
        <v>17</v>
      </c>
      <c r="R1" s="9">
        <v>18</v>
      </c>
      <c r="S1" s="9">
        <v>19</v>
      </c>
      <c r="T1" s="9">
        <v>20</v>
      </c>
      <c r="U1" s="9">
        <v>21</v>
      </c>
      <c r="V1" s="9">
        <v>22</v>
      </c>
      <c r="W1" s="9">
        <v>23</v>
      </c>
      <c r="X1" s="9">
        <v>24</v>
      </c>
      <c r="Y1" s="9">
        <v>25</v>
      </c>
    </row>
    <row r="2" spans="1:25" s="12" customFormat="1" ht="89.25" x14ac:dyDescent="0.2">
      <c r="A2" s="10" t="s">
        <v>13</v>
      </c>
      <c r="B2" s="10" t="s">
        <v>14</v>
      </c>
      <c r="C2" s="10" t="s">
        <v>131</v>
      </c>
      <c r="D2" s="10" t="s">
        <v>15</v>
      </c>
      <c r="E2" s="10" t="s">
        <v>71</v>
      </c>
      <c r="F2" s="11" t="s">
        <v>17</v>
      </c>
      <c r="G2" s="11" t="s">
        <v>54</v>
      </c>
      <c r="H2" s="11" t="s">
        <v>192</v>
      </c>
      <c r="I2" s="11" t="s">
        <v>53</v>
      </c>
      <c r="J2" s="11" t="s">
        <v>52</v>
      </c>
      <c r="K2" s="11" t="s">
        <v>190</v>
      </c>
      <c r="L2" s="11" t="s">
        <v>191</v>
      </c>
      <c r="M2" s="11" t="s">
        <v>92</v>
      </c>
      <c r="N2" s="11" t="s">
        <v>93</v>
      </c>
      <c r="O2" s="11" t="s">
        <v>58</v>
      </c>
      <c r="P2" s="11" t="s">
        <v>59</v>
      </c>
      <c r="Q2" s="141" t="s">
        <v>55</v>
      </c>
      <c r="R2" s="11" t="s">
        <v>53</v>
      </c>
      <c r="S2" s="141" t="s">
        <v>57</v>
      </c>
      <c r="T2" s="11" t="s">
        <v>134</v>
      </c>
      <c r="U2" s="141" t="s">
        <v>135</v>
      </c>
      <c r="V2" s="141" t="s">
        <v>91</v>
      </c>
      <c r="W2" s="141" t="s">
        <v>87</v>
      </c>
      <c r="X2" s="141" t="s">
        <v>56</v>
      </c>
      <c r="Y2" s="141" t="s">
        <v>101</v>
      </c>
    </row>
    <row r="3" spans="1:25" x14ac:dyDescent="0.2">
      <c r="A3" s="6" t="s">
        <v>0</v>
      </c>
      <c r="B3" s="126">
        <v>1.0569999999999999</v>
      </c>
      <c r="C3" s="7">
        <v>750</v>
      </c>
      <c r="D3" s="7">
        <v>600</v>
      </c>
      <c r="E3" s="2"/>
      <c r="F3" s="4" t="s">
        <v>18</v>
      </c>
      <c r="G3" s="121">
        <v>35.85</v>
      </c>
      <c r="H3" s="78">
        <v>0</v>
      </c>
      <c r="I3" s="78">
        <v>0.79</v>
      </c>
      <c r="J3" s="125">
        <v>0</v>
      </c>
      <c r="K3" s="121"/>
      <c r="L3" s="125"/>
      <c r="M3" s="121">
        <v>7.0000000000000001E-3</v>
      </c>
      <c r="N3" s="322">
        <v>3.0000000000000004E-5</v>
      </c>
      <c r="O3" s="125">
        <v>7.8279999999999999E-3</v>
      </c>
      <c r="P3" s="125">
        <v>6.4380000000000001E-3</v>
      </c>
      <c r="Q3" s="3">
        <v>36.67</v>
      </c>
      <c r="R3" s="2">
        <v>0.79</v>
      </c>
      <c r="S3" s="100">
        <v>0</v>
      </c>
      <c r="T3" s="125">
        <v>0</v>
      </c>
      <c r="U3" s="100">
        <f>T3</f>
        <v>0</v>
      </c>
      <c r="V3" s="100">
        <f>M3</f>
        <v>7.0000000000000001E-3</v>
      </c>
      <c r="W3" s="321">
        <f>N3</f>
        <v>3.0000000000000004E-5</v>
      </c>
      <c r="X3" s="100">
        <v>7.7000000000000002E-3</v>
      </c>
      <c r="Y3" s="100">
        <v>6.3E-3</v>
      </c>
    </row>
    <row r="4" spans="1:25" x14ac:dyDescent="0.2">
      <c r="A4" s="6" t="s">
        <v>1</v>
      </c>
      <c r="B4" s="126">
        <v>1.0760000000000001</v>
      </c>
      <c r="C4" s="7">
        <v>750</v>
      </c>
      <c r="D4" s="7">
        <v>600</v>
      </c>
      <c r="E4" s="2"/>
      <c r="F4" s="4" t="s">
        <v>18</v>
      </c>
      <c r="G4" s="121">
        <v>47.06</v>
      </c>
      <c r="H4" s="78">
        <v>0</v>
      </c>
      <c r="I4" s="78">
        <v>0.79</v>
      </c>
      <c r="J4" s="125">
        <v>1.6E-2</v>
      </c>
      <c r="K4" s="121"/>
      <c r="L4" s="125"/>
      <c r="M4" s="121">
        <v>4.0000000000000001E-3</v>
      </c>
      <c r="N4" s="322">
        <v>2.0000000000000002E-5</v>
      </c>
      <c r="O4" s="125">
        <v>7.2069999999999999E-3</v>
      </c>
      <c r="P4" s="125">
        <v>6.0319999999999992E-3</v>
      </c>
      <c r="Q4" s="3">
        <v>52.31</v>
      </c>
      <c r="R4" s="2">
        <v>0.79</v>
      </c>
      <c r="S4" s="100">
        <v>1.1599999999999999E-2</v>
      </c>
      <c r="T4" s="125">
        <v>0</v>
      </c>
      <c r="U4" s="100">
        <f t="shared" ref="U4:U15" si="0">T4</f>
        <v>0</v>
      </c>
      <c r="V4" s="100">
        <f t="shared" ref="V4:V15" si="1">M4</f>
        <v>4.0000000000000001E-3</v>
      </c>
      <c r="W4" s="321">
        <f t="shared" ref="W4:W15" si="2">N4</f>
        <v>2.0000000000000002E-5</v>
      </c>
      <c r="X4" s="100">
        <v>7.1999999999999998E-3</v>
      </c>
      <c r="Y4" s="100">
        <v>5.8999999999999999E-3</v>
      </c>
    </row>
    <row r="5" spans="1:25" x14ac:dyDescent="0.2">
      <c r="A5" s="6" t="s">
        <v>2</v>
      </c>
      <c r="B5" s="126">
        <v>1.105</v>
      </c>
      <c r="C5" s="7">
        <v>750</v>
      </c>
      <c r="D5" s="7">
        <v>600</v>
      </c>
      <c r="E5" s="2"/>
      <c r="F5" s="4" t="s">
        <v>18</v>
      </c>
      <c r="G5" s="121">
        <v>44.119678307903925</v>
      </c>
      <c r="H5" s="78">
        <v>0</v>
      </c>
      <c r="I5" s="78">
        <v>0.79</v>
      </c>
      <c r="J5" s="125">
        <v>2.69E-2</v>
      </c>
      <c r="K5" s="121"/>
      <c r="L5" s="125"/>
      <c r="M5" s="121">
        <v>-2.1000000000000001E-2</v>
      </c>
      <c r="N5" s="322">
        <v>1.0000000000000003E-5</v>
      </c>
      <c r="O5" s="125">
        <v>6.7400000000000003E-3</v>
      </c>
      <c r="P5" s="125">
        <v>5.6299999999999996E-3</v>
      </c>
      <c r="Q5" s="3">
        <v>55.259678307903926</v>
      </c>
      <c r="R5" s="2">
        <v>0.79</v>
      </c>
      <c r="S5" s="100">
        <v>2.01E-2</v>
      </c>
      <c r="T5" s="125">
        <v>0</v>
      </c>
      <c r="U5" s="100">
        <f t="shared" si="0"/>
        <v>0</v>
      </c>
      <c r="V5" s="100">
        <f t="shared" si="1"/>
        <v>-2.1000000000000001E-2</v>
      </c>
      <c r="W5" s="321">
        <f t="shared" si="2"/>
        <v>1.0000000000000003E-5</v>
      </c>
      <c r="X5" s="100">
        <v>6.7999999999999996E-3</v>
      </c>
      <c r="Y5" s="100">
        <v>5.4999999999999997E-3</v>
      </c>
    </row>
    <row r="6" spans="1:25" x14ac:dyDescent="0.2">
      <c r="A6" s="6" t="s">
        <v>3</v>
      </c>
      <c r="B6" s="126">
        <v>1.1040000000000001</v>
      </c>
      <c r="C6" s="7">
        <v>500</v>
      </c>
      <c r="D6" s="7">
        <v>600</v>
      </c>
      <c r="E6" s="2"/>
      <c r="F6" s="4" t="s">
        <v>18</v>
      </c>
      <c r="G6" s="121">
        <v>50.05</v>
      </c>
      <c r="H6" s="78">
        <v>0</v>
      </c>
      <c r="I6" s="78">
        <v>0.79</v>
      </c>
      <c r="J6" s="125">
        <v>4.3900000000000002E-2</v>
      </c>
      <c r="K6" s="121"/>
      <c r="L6" s="125"/>
      <c r="M6" s="121">
        <v>-2E-3</v>
      </c>
      <c r="N6" s="322">
        <v>1.0000000000000003E-5</v>
      </c>
      <c r="O6" s="125">
        <v>5.6559999999999996E-3</v>
      </c>
      <c r="P6" s="125">
        <v>4.8209999999999998E-3</v>
      </c>
      <c r="Q6" s="3">
        <v>55.37</v>
      </c>
      <c r="R6" s="2">
        <v>0.79</v>
      </c>
      <c r="S6" s="100">
        <v>3.1699999999999999E-2</v>
      </c>
      <c r="T6" s="125">
        <v>0</v>
      </c>
      <c r="U6" s="100">
        <f t="shared" si="0"/>
        <v>0</v>
      </c>
      <c r="V6" s="100">
        <f t="shared" si="1"/>
        <v>-2E-3</v>
      </c>
      <c r="W6" s="321">
        <f t="shared" si="2"/>
        <v>1.0000000000000003E-5</v>
      </c>
      <c r="X6" s="100">
        <v>5.7999999999999996E-3</v>
      </c>
      <c r="Y6" s="100">
        <v>4.7000000000000002E-3</v>
      </c>
    </row>
    <row r="7" spans="1:25" x14ac:dyDescent="0.2">
      <c r="A7" s="6" t="s">
        <v>4</v>
      </c>
      <c r="B7" s="126">
        <v>1.0960000000000001</v>
      </c>
      <c r="C7" s="7">
        <v>2000</v>
      </c>
      <c r="D7" s="7">
        <v>750</v>
      </c>
      <c r="E7" s="2"/>
      <c r="F7" s="4" t="s">
        <v>18</v>
      </c>
      <c r="G7" s="121">
        <v>30.88</v>
      </c>
      <c r="H7" s="78">
        <v>0</v>
      </c>
      <c r="I7" s="78">
        <v>0.79</v>
      </c>
      <c r="J7" s="125">
        <v>6.3299999999999995E-2</v>
      </c>
      <c r="K7" s="121"/>
      <c r="L7" s="125"/>
      <c r="M7" s="121">
        <v>2E-3</v>
      </c>
      <c r="N7" s="322">
        <v>2.0000000000000002E-5</v>
      </c>
      <c r="O7" s="125">
        <v>5.6930000000000001E-3</v>
      </c>
      <c r="P7" s="125">
        <v>4.4740000000000005E-3</v>
      </c>
      <c r="Q7" s="3">
        <v>31.38</v>
      </c>
      <c r="R7" s="2">
        <v>0.79</v>
      </c>
      <c r="S7" s="100">
        <v>6.5199999999999994E-2</v>
      </c>
      <c r="T7" s="125">
        <v>0</v>
      </c>
      <c r="U7" s="100">
        <f t="shared" si="0"/>
        <v>0</v>
      </c>
      <c r="V7" s="100">
        <f t="shared" si="1"/>
        <v>2E-3</v>
      </c>
      <c r="W7" s="321">
        <f t="shared" si="2"/>
        <v>2.0000000000000002E-5</v>
      </c>
      <c r="X7" s="100">
        <v>5.4999999999999997E-3</v>
      </c>
      <c r="Y7" s="100">
        <v>4.4999999999999997E-3</v>
      </c>
    </row>
    <row r="8" spans="1:25" x14ac:dyDescent="0.2">
      <c r="A8" s="6" t="s">
        <v>6</v>
      </c>
      <c r="B8" s="126">
        <v>1.0669999999999999</v>
      </c>
      <c r="C8" s="7">
        <v>2000</v>
      </c>
      <c r="D8" s="7">
        <v>750</v>
      </c>
      <c r="E8" s="2"/>
      <c r="F8" s="4" t="s">
        <v>18</v>
      </c>
      <c r="G8" s="121">
        <v>25.1</v>
      </c>
      <c r="H8" s="78">
        <v>0</v>
      </c>
      <c r="I8" s="78">
        <v>0.79</v>
      </c>
      <c r="J8" s="125">
        <v>2.9899999999999999E-2</v>
      </c>
      <c r="K8" s="121"/>
      <c r="L8" s="125"/>
      <c r="M8" s="121">
        <v>8.0000000000000002E-3</v>
      </c>
      <c r="N8" s="322">
        <v>3.0000000000000004E-5</v>
      </c>
      <c r="O8" s="125">
        <v>6.1060000000000003E-3</v>
      </c>
      <c r="P8" s="125">
        <v>4.6519999999999999E-3</v>
      </c>
      <c r="Q8" s="3">
        <v>25.55</v>
      </c>
      <c r="R8" s="2">
        <v>0.79</v>
      </c>
      <c r="S8" s="100">
        <v>3.0800000000000001E-2</v>
      </c>
      <c r="T8" s="125">
        <v>0</v>
      </c>
      <c r="U8" s="100">
        <f t="shared" si="0"/>
        <v>0</v>
      </c>
      <c r="V8" s="100">
        <f t="shared" si="1"/>
        <v>8.0000000000000002E-3</v>
      </c>
      <c r="W8" s="321">
        <f t="shared" si="2"/>
        <v>3.0000000000000004E-5</v>
      </c>
      <c r="X8" s="100">
        <v>5.7999999999999996E-3</v>
      </c>
      <c r="Y8" s="100">
        <v>4.7000000000000002E-3</v>
      </c>
    </row>
    <row r="9" spans="1:25" x14ac:dyDescent="0.2">
      <c r="A9" s="6" t="s">
        <v>8</v>
      </c>
      <c r="B9" s="126">
        <v>1.0920000000000001</v>
      </c>
      <c r="C9" s="7">
        <v>1440</v>
      </c>
      <c r="D9" s="7">
        <v>750</v>
      </c>
      <c r="E9" s="2"/>
      <c r="F9" s="4" t="s">
        <v>18</v>
      </c>
      <c r="G9" s="121">
        <v>4.33</v>
      </c>
      <c r="H9" s="78">
        <v>0</v>
      </c>
      <c r="I9" s="78">
        <v>0</v>
      </c>
      <c r="J9" s="125">
        <v>0.1043</v>
      </c>
      <c r="K9" s="121"/>
      <c r="L9" s="125"/>
      <c r="M9" s="121">
        <v>7.0000000000000001E-3</v>
      </c>
      <c r="N9" s="322">
        <v>-9.9999999999999991E-6</v>
      </c>
      <c r="O9" s="125">
        <v>4.6979999999999999E-3</v>
      </c>
      <c r="P9" s="125">
        <v>4.2899999999999995E-3</v>
      </c>
      <c r="Q9" s="3">
        <v>4.7699999999999996</v>
      </c>
      <c r="R9" s="2">
        <v>0</v>
      </c>
      <c r="S9" s="100">
        <v>0.1069</v>
      </c>
      <c r="T9" s="125">
        <v>0</v>
      </c>
      <c r="U9" s="100">
        <f t="shared" si="0"/>
        <v>0</v>
      </c>
      <c r="V9" s="100">
        <f t="shared" si="1"/>
        <v>7.0000000000000001E-3</v>
      </c>
      <c r="W9" s="321">
        <f t="shared" si="2"/>
        <v>-9.9999999999999991E-6</v>
      </c>
      <c r="X9" s="100">
        <v>3.836E-3</v>
      </c>
      <c r="Y9" s="100">
        <v>3.6240000000000001E-3</v>
      </c>
    </row>
    <row r="10" spans="1:25" x14ac:dyDescent="0.2">
      <c r="A10" s="6" t="s">
        <v>9</v>
      </c>
      <c r="B10" s="126">
        <v>1.0920000000000001</v>
      </c>
      <c r="C10" s="7">
        <v>62</v>
      </c>
      <c r="D10" s="7">
        <v>750</v>
      </c>
      <c r="E10" s="2"/>
      <c r="F10" s="4" t="s">
        <v>18</v>
      </c>
      <c r="G10" s="121">
        <v>3.57</v>
      </c>
      <c r="H10" s="78">
        <v>0</v>
      </c>
      <c r="I10" s="78">
        <v>0</v>
      </c>
      <c r="J10" s="125">
        <v>0.13539999999999999</v>
      </c>
      <c r="K10" s="121"/>
      <c r="L10" s="125"/>
      <c r="M10" s="121">
        <v>6.0000000000000001E-3</v>
      </c>
      <c r="N10" s="322">
        <v>-6.0000000000000002E-5</v>
      </c>
      <c r="O10" s="125">
        <v>4.6979999999999999E-3</v>
      </c>
      <c r="P10" s="125">
        <v>4.2899999999999995E-3</v>
      </c>
      <c r="Q10" s="3">
        <v>3.72</v>
      </c>
      <c r="R10" s="2">
        <v>0</v>
      </c>
      <c r="S10" s="100">
        <v>0.13830000000000001</v>
      </c>
      <c r="T10" s="125">
        <v>0</v>
      </c>
      <c r="U10" s="100">
        <f t="shared" si="0"/>
        <v>0</v>
      </c>
      <c r="V10" s="100">
        <f t="shared" si="1"/>
        <v>6.0000000000000001E-3</v>
      </c>
      <c r="W10" s="321">
        <f t="shared" si="2"/>
        <v>-6.0000000000000002E-5</v>
      </c>
      <c r="X10" s="100">
        <f>X9</f>
        <v>3.836E-3</v>
      </c>
      <c r="Y10" s="100">
        <f>Y9</f>
        <v>3.6240000000000001E-3</v>
      </c>
    </row>
    <row r="11" spans="1:25" x14ac:dyDescent="0.2">
      <c r="A11" s="8" t="s">
        <v>12</v>
      </c>
      <c r="B11" s="126">
        <v>1.0920000000000001</v>
      </c>
      <c r="C11" s="7">
        <v>500</v>
      </c>
      <c r="D11" s="7">
        <v>750</v>
      </c>
      <c r="E11" s="2"/>
      <c r="F11" s="4" t="s">
        <v>18</v>
      </c>
      <c r="G11" s="121">
        <v>36.659999999999997</v>
      </c>
      <c r="H11" s="78">
        <v>0</v>
      </c>
      <c r="I11" s="78">
        <v>0</v>
      </c>
      <c r="J11" s="125">
        <v>2.98E-2</v>
      </c>
      <c r="K11" s="121"/>
      <c r="L11" s="125"/>
      <c r="M11" s="121">
        <v>2E-3</v>
      </c>
      <c r="N11" s="322">
        <v>2.0000000000000002E-5</v>
      </c>
      <c r="O11" s="125">
        <v>4.7699999999999999E-3</v>
      </c>
      <c r="P11" s="125">
        <v>3.7950000000000002E-3</v>
      </c>
      <c r="Q11" s="3">
        <v>37.369999999999997</v>
      </c>
      <c r="R11" s="2">
        <v>0</v>
      </c>
      <c r="S11" s="100">
        <v>3.0300000000000001E-2</v>
      </c>
      <c r="T11" s="125">
        <v>0</v>
      </c>
      <c r="U11" s="100">
        <f t="shared" si="0"/>
        <v>0</v>
      </c>
      <c r="V11" s="100">
        <f t="shared" si="1"/>
        <v>2E-3</v>
      </c>
      <c r="W11" s="321">
        <f t="shared" si="2"/>
        <v>2.0000000000000002E-5</v>
      </c>
      <c r="X11" s="100">
        <v>4.7000000000000002E-3</v>
      </c>
      <c r="Y11" s="100">
        <v>3.8E-3</v>
      </c>
    </row>
    <row r="12" spans="1:25" x14ac:dyDescent="0.2">
      <c r="A12" s="6" t="s">
        <v>5</v>
      </c>
      <c r="B12" s="126">
        <v>1.0609999999999999</v>
      </c>
      <c r="C12" s="7">
        <v>36000</v>
      </c>
      <c r="D12" s="7">
        <v>0</v>
      </c>
      <c r="E12" s="2">
        <v>117</v>
      </c>
      <c r="F12" s="4" t="s">
        <v>19</v>
      </c>
      <c r="G12" s="121">
        <v>106.19</v>
      </c>
      <c r="H12" s="78">
        <v>0</v>
      </c>
      <c r="I12" s="78">
        <v>0</v>
      </c>
      <c r="J12" s="125">
        <v>17.932099999999998</v>
      </c>
      <c r="K12" s="121"/>
      <c r="L12" s="125"/>
      <c r="M12" s="121">
        <v>-8.9999999999999993E-3</v>
      </c>
      <c r="N12" s="322">
        <v>5.1599999999999997E-3</v>
      </c>
      <c r="O12" s="125">
        <v>1.6718177000000001</v>
      </c>
      <c r="P12" s="125">
        <v>1.2769135</v>
      </c>
      <c r="Q12" s="3">
        <v>107.59</v>
      </c>
      <c r="R12" s="2">
        <v>0</v>
      </c>
      <c r="S12" s="100">
        <v>18.440200000000001</v>
      </c>
      <c r="T12" s="125">
        <v>0</v>
      </c>
      <c r="U12" s="100">
        <f t="shared" si="0"/>
        <v>0</v>
      </c>
      <c r="V12" s="100">
        <f t="shared" si="1"/>
        <v>-8.9999999999999993E-3</v>
      </c>
      <c r="W12" s="321">
        <f t="shared" si="2"/>
        <v>5.1599999999999997E-3</v>
      </c>
      <c r="X12" s="100">
        <v>1.5908</v>
      </c>
      <c r="Y12" s="100">
        <v>1.2918000000000001</v>
      </c>
    </row>
    <row r="13" spans="1:25" x14ac:dyDescent="0.2">
      <c r="A13" s="6" t="s">
        <v>7</v>
      </c>
      <c r="B13" s="126">
        <v>1.05</v>
      </c>
      <c r="C13" s="7">
        <v>36000</v>
      </c>
      <c r="D13" s="7">
        <v>0</v>
      </c>
      <c r="E13" s="2">
        <v>117</v>
      </c>
      <c r="F13" s="4" t="s">
        <v>19</v>
      </c>
      <c r="G13" s="121">
        <v>105.02</v>
      </c>
      <c r="H13" s="78">
        <v>0</v>
      </c>
      <c r="I13" s="78">
        <v>0</v>
      </c>
      <c r="J13" s="125">
        <v>10.293199999999999</v>
      </c>
      <c r="K13" s="121"/>
      <c r="L13" s="125"/>
      <c r="M13" s="121">
        <v>1.7999999999999999E-2</v>
      </c>
      <c r="N13" s="322">
        <v>1.1179999999999999E-2</v>
      </c>
      <c r="O13" s="125">
        <v>2.2310400000000001</v>
      </c>
      <c r="P13" s="125">
        <v>1.7046749999999999</v>
      </c>
      <c r="Q13" s="3">
        <v>106.68</v>
      </c>
      <c r="R13" s="2">
        <v>0</v>
      </c>
      <c r="S13" s="100">
        <v>10.5937</v>
      </c>
      <c r="T13" s="125">
        <v>0</v>
      </c>
      <c r="U13" s="100">
        <f t="shared" si="0"/>
        <v>0</v>
      </c>
      <c r="V13" s="100">
        <f t="shared" si="1"/>
        <v>1.7999999999999999E-2</v>
      </c>
      <c r="W13" s="321">
        <f t="shared" si="2"/>
        <v>1.1179999999999999E-2</v>
      </c>
      <c r="X13" s="100">
        <v>2.1349</v>
      </c>
      <c r="Y13" s="100">
        <v>1.7284999999999999</v>
      </c>
    </row>
    <row r="14" spans="1:25" x14ac:dyDescent="0.2">
      <c r="A14" s="8" t="s">
        <v>10</v>
      </c>
      <c r="B14" s="126">
        <v>1.0609999999999999</v>
      </c>
      <c r="C14" s="7">
        <v>2000</v>
      </c>
      <c r="D14" s="7">
        <v>0</v>
      </c>
      <c r="E14" s="2">
        <v>15</v>
      </c>
      <c r="F14" s="4" t="s">
        <v>19</v>
      </c>
      <c r="G14" s="121">
        <v>196.16</v>
      </c>
      <c r="H14" s="78">
        <v>0</v>
      </c>
      <c r="I14" s="78">
        <v>0</v>
      </c>
      <c r="J14" s="125">
        <v>10.644599999999999</v>
      </c>
      <c r="K14" s="121"/>
      <c r="L14" s="125"/>
      <c r="M14" s="121">
        <v>1.0999999999999999E-2</v>
      </c>
      <c r="N14" s="322">
        <v>2.82E-3</v>
      </c>
      <c r="O14" s="125">
        <v>0.63108279999999994</v>
      </c>
      <c r="P14" s="125">
        <v>0.54747599999999996</v>
      </c>
      <c r="Q14" s="3">
        <v>196.16</v>
      </c>
      <c r="R14" s="2">
        <v>0</v>
      </c>
      <c r="S14" s="100">
        <v>11.409800000000001</v>
      </c>
      <c r="T14" s="125">
        <v>0</v>
      </c>
      <c r="U14" s="100">
        <f t="shared" si="0"/>
        <v>0</v>
      </c>
      <c r="V14" s="100">
        <f t="shared" si="1"/>
        <v>1.0999999999999999E-2</v>
      </c>
      <c r="W14" s="321">
        <f t="shared" si="2"/>
        <v>2.82E-3</v>
      </c>
      <c r="X14" s="100">
        <v>0.63949999999999996</v>
      </c>
      <c r="Y14" s="100">
        <v>0.55430000000000001</v>
      </c>
    </row>
    <row r="15" spans="1:25" x14ac:dyDescent="0.2">
      <c r="A15" s="8" t="s">
        <v>11</v>
      </c>
      <c r="B15" s="126">
        <v>1.034</v>
      </c>
      <c r="C15" s="7">
        <v>36000</v>
      </c>
      <c r="D15" s="7">
        <v>0</v>
      </c>
      <c r="E15" s="2">
        <v>117</v>
      </c>
      <c r="F15" s="4" t="s">
        <v>19</v>
      </c>
      <c r="G15" s="121">
        <v>1255.93</v>
      </c>
      <c r="H15" s="78">
        <v>0</v>
      </c>
      <c r="I15" s="78">
        <v>0</v>
      </c>
      <c r="J15" s="125">
        <v>1.4136569223533728</v>
      </c>
      <c r="K15" s="121"/>
      <c r="L15" s="125"/>
      <c r="M15" s="121">
        <v>3.819</v>
      </c>
      <c r="N15" s="322">
        <v>-0.13666999999999996</v>
      </c>
      <c r="O15" s="125">
        <v>3.4866480000000002</v>
      </c>
      <c r="P15" s="125">
        <v>2.6021643999999999</v>
      </c>
      <c r="Q15" s="3">
        <v>1270.3699999999999</v>
      </c>
      <c r="R15" s="2">
        <v>0</v>
      </c>
      <c r="S15" s="100">
        <v>1.4496644372303882</v>
      </c>
      <c r="T15" s="125">
        <v>0</v>
      </c>
      <c r="U15" s="100">
        <f t="shared" si="0"/>
        <v>0</v>
      </c>
      <c r="V15" s="100">
        <f t="shared" si="1"/>
        <v>3.819</v>
      </c>
      <c r="W15" s="321">
        <f t="shared" si="2"/>
        <v>-0.13666999999999996</v>
      </c>
      <c r="X15" s="152">
        <v>3.5367000000000002</v>
      </c>
      <c r="Y15" s="152">
        <v>2.6514000000000002</v>
      </c>
    </row>
    <row r="16" spans="1:25" x14ac:dyDescent="0.2">
      <c r="A16" s="157" t="s">
        <v>200</v>
      </c>
      <c r="B16" s="158">
        <v>1.0569999999999999</v>
      </c>
      <c r="C16" s="133">
        <v>750</v>
      </c>
      <c r="D16" s="133">
        <v>600</v>
      </c>
      <c r="E16" s="133"/>
      <c r="F16" s="159" t="s">
        <v>18</v>
      </c>
      <c r="G16" s="160">
        <v>29.98</v>
      </c>
      <c r="H16" s="133">
        <v>0</v>
      </c>
      <c r="I16" s="133">
        <v>0.79</v>
      </c>
      <c r="J16" s="133">
        <v>0</v>
      </c>
      <c r="K16" s="133"/>
      <c r="L16" s="184"/>
      <c r="M16" s="133"/>
      <c r="N16" s="133"/>
      <c r="O16" s="161">
        <f t="shared" ref="O16:P18" si="3">O22</f>
        <v>7.1999999999999998E-3</v>
      </c>
      <c r="P16" s="161">
        <f t="shared" si="3"/>
        <v>5.5688910375990336E-3</v>
      </c>
      <c r="Q16" s="160">
        <v>30.78</v>
      </c>
      <c r="R16" s="133">
        <v>0.79</v>
      </c>
      <c r="S16" s="133">
        <v>0</v>
      </c>
      <c r="T16" s="185"/>
      <c r="U16" s="100"/>
      <c r="V16" s="100"/>
      <c r="W16" s="321"/>
      <c r="X16" s="152">
        <v>7.3000000000000001E-3</v>
      </c>
      <c r="Y16" s="152">
        <v>6.1999999999999998E-3</v>
      </c>
    </row>
    <row r="17" spans="1:25" x14ac:dyDescent="0.2">
      <c r="A17" s="157" t="s">
        <v>201</v>
      </c>
      <c r="B17" s="158">
        <v>1.0569999999999999</v>
      </c>
      <c r="C17" s="133">
        <v>2000</v>
      </c>
      <c r="D17" s="133">
        <v>750</v>
      </c>
      <c r="E17" s="133"/>
      <c r="F17" s="159" t="s">
        <v>18</v>
      </c>
      <c r="G17" s="160">
        <v>25.19</v>
      </c>
      <c r="H17" s="133">
        <v>0</v>
      </c>
      <c r="I17" s="133">
        <v>0.79</v>
      </c>
      <c r="J17" s="133">
        <v>1.4500000000000001E-2</v>
      </c>
      <c r="K17" s="133"/>
      <c r="L17" s="184"/>
      <c r="M17" s="133"/>
      <c r="N17" s="133"/>
      <c r="O17" s="161">
        <f t="shared" si="3"/>
        <v>6.4999999999999997E-3</v>
      </c>
      <c r="P17" s="161">
        <f t="shared" si="3"/>
        <v>5.2595081845627977E-3</v>
      </c>
      <c r="Q17" s="160">
        <v>30.26</v>
      </c>
      <c r="R17" s="133">
        <v>0.79</v>
      </c>
      <c r="S17" s="133">
        <v>1.7399999999999999E-2</v>
      </c>
      <c r="T17" s="185"/>
      <c r="U17" s="100"/>
      <c r="V17" s="100"/>
      <c r="W17" s="321"/>
      <c r="X17" s="152">
        <v>5.5999999999999999E-3</v>
      </c>
      <c r="Y17" s="152">
        <v>4.5999999999999999E-3</v>
      </c>
    </row>
    <row r="18" spans="1:25" x14ac:dyDescent="0.2">
      <c r="A18" s="157" t="s">
        <v>202</v>
      </c>
      <c r="B18" s="158">
        <v>1.0465</v>
      </c>
      <c r="C18" s="145">
        <v>36000</v>
      </c>
      <c r="D18" s="133">
        <v>0</v>
      </c>
      <c r="E18" s="133">
        <v>117</v>
      </c>
      <c r="F18" s="159" t="s">
        <v>19</v>
      </c>
      <c r="G18" s="160">
        <v>139.96</v>
      </c>
      <c r="H18" s="133">
        <v>0</v>
      </c>
      <c r="I18" s="133">
        <v>0</v>
      </c>
      <c r="J18" s="133">
        <v>2.5777000000000001</v>
      </c>
      <c r="K18" s="133"/>
      <c r="L18" s="184"/>
      <c r="M18" s="133"/>
      <c r="N18" s="133"/>
      <c r="O18" s="161">
        <f t="shared" si="3"/>
        <v>2.7930999999999999</v>
      </c>
      <c r="P18" s="161">
        <f t="shared" si="3"/>
        <v>2.2465318947278483</v>
      </c>
      <c r="Q18" s="160">
        <v>207.78</v>
      </c>
      <c r="R18" s="133">
        <v>0</v>
      </c>
      <c r="S18" s="133">
        <v>3.9091999999999998</v>
      </c>
      <c r="T18" s="185"/>
      <c r="U18" s="100"/>
      <c r="V18" s="100"/>
      <c r="W18" s="100"/>
      <c r="X18" s="152">
        <v>1.8612</v>
      </c>
      <c r="Y18" s="152">
        <v>1.5062</v>
      </c>
    </row>
    <row r="19" spans="1:25" x14ac:dyDescent="0.2">
      <c r="A19" s="157" t="s">
        <v>185</v>
      </c>
      <c r="B19" s="158">
        <v>1.0667</v>
      </c>
      <c r="C19" s="145">
        <v>750</v>
      </c>
      <c r="D19" s="133">
        <v>600</v>
      </c>
      <c r="E19" s="133"/>
      <c r="F19" s="159" t="s">
        <v>18</v>
      </c>
      <c r="G19" s="160">
        <v>36.183594907627622</v>
      </c>
      <c r="H19" s="133">
        <v>0</v>
      </c>
      <c r="I19" s="133">
        <v>0.79</v>
      </c>
      <c r="J19" s="133">
        <v>0</v>
      </c>
      <c r="K19" s="133"/>
      <c r="L19" s="184"/>
      <c r="M19" s="177"/>
      <c r="N19" s="177"/>
      <c r="O19" s="162">
        <f t="shared" ref="O19:P21" si="4">O28</f>
        <v>6.5444567943617011E-3</v>
      </c>
      <c r="P19" s="162">
        <f t="shared" si="4"/>
        <v>5.4157299366720292E-3</v>
      </c>
      <c r="Q19" s="160">
        <v>40.43</v>
      </c>
      <c r="R19" s="133">
        <v>0.79</v>
      </c>
      <c r="S19" s="133">
        <v>0</v>
      </c>
      <c r="T19" s="185"/>
      <c r="U19" s="100"/>
      <c r="V19" s="100"/>
      <c r="W19" s="100"/>
      <c r="X19" s="152">
        <v>7.1000000000000004E-3</v>
      </c>
      <c r="Y19" s="152">
        <v>6.0000000000000001E-3</v>
      </c>
    </row>
    <row r="20" spans="1:25" x14ac:dyDescent="0.2">
      <c r="A20" s="157" t="s">
        <v>186</v>
      </c>
      <c r="B20" s="158">
        <v>1.0667</v>
      </c>
      <c r="C20" s="145">
        <v>2000</v>
      </c>
      <c r="D20" s="133">
        <v>750</v>
      </c>
      <c r="E20" s="133"/>
      <c r="F20" s="159" t="s">
        <v>18</v>
      </c>
      <c r="G20" s="160">
        <v>37.64447069341503</v>
      </c>
      <c r="H20" s="133">
        <v>0</v>
      </c>
      <c r="I20" s="133">
        <v>0.79</v>
      </c>
      <c r="J20" s="133">
        <v>1.7265913381700172E-2</v>
      </c>
      <c r="K20" s="133"/>
      <c r="L20" s="184"/>
      <c r="M20" s="177"/>
      <c r="N20" s="177"/>
      <c r="O20" s="162">
        <f t="shared" si="4"/>
        <v>5.8707628331982429E-3</v>
      </c>
      <c r="P20" s="162">
        <f t="shared" si="4"/>
        <v>4.9991353519971207E-3</v>
      </c>
      <c r="Q20" s="160">
        <v>40.92</v>
      </c>
      <c r="R20" s="133">
        <v>0.79</v>
      </c>
      <c r="S20" s="133">
        <v>1.8800000000000001E-2</v>
      </c>
      <c r="T20" s="185"/>
      <c r="U20" s="100"/>
      <c r="V20" s="100"/>
      <c r="W20" s="100"/>
      <c r="X20" s="152">
        <v>5.3E-3</v>
      </c>
      <c r="Y20" s="152">
        <v>4.4000000000000003E-3</v>
      </c>
    </row>
    <row r="21" spans="1:25" x14ac:dyDescent="0.2">
      <c r="A21" s="157" t="s">
        <v>187</v>
      </c>
      <c r="B21" s="158">
        <v>1.0563</v>
      </c>
      <c r="C21" s="145">
        <v>36000</v>
      </c>
      <c r="D21" s="133">
        <v>0</v>
      </c>
      <c r="E21" s="133">
        <v>117</v>
      </c>
      <c r="F21" s="159" t="s">
        <v>19</v>
      </c>
      <c r="G21" s="160">
        <v>245.55</v>
      </c>
      <c r="H21" s="133">
        <v>0</v>
      </c>
      <c r="I21" s="133">
        <v>0</v>
      </c>
      <c r="J21" s="133">
        <v>3.9470106138249523</v>
      </c>
      <c r="K21" s="133"/>
      <c r="L21" s="184"/>
      <c r="M21" s="177"/>
      <c r="N21" s="177"/>
      <c r="O21" s="162">
        <f t="shared" si="4"/>
        <v>2.503832177640037</v>
      </c>
      <c r="P21" s="162">
        <f t="shared" si="4"/>
        <v>2.1172379802527086</v>
      </c>
      <c r="Q21" s="160">
        <v>206.23</v>
      </c>
      <c r="R21" s="133">
        <v>0</v>
      </c>
      <c r="S21" s="133">
        <v>5.1665999999999999</v>
      </c>
      <c r="T21" s="185"/>
      <c r="U21" s="100"/>
      <c r="V21" s="100"/>
      <c r="W21" s="100"/>
      <c r="X21" s="152">
        <v>1.8483000000000001</v>
      </c>
      <c r="Y21" s="152">
        <v>1.5101</v>
      </c>
    </row>
    <row r="22" spans="1:25" x14ac:dyDescent="0.2">
      <c r="A22" s="151" t="s">
        <v>113</v>
      </c>
      <c r="B22" s="152">
        <v>1.0430999999999999</v>
      </c>
      <c r="C22" s="153">
        <v>750</v>
      </c>
      <c r="D22" s="2"/>
      <c r="E22" s="2"/>
      <c r="F22" s="156" t="s">
        <v>18</v>
      </c>
      <c r="G22" s="3">
        <v>29.98</v>
      </c>
      <c r="H22" s="78">
        <v>0</v>
      </c>
      <c r="I22" s="78">
        <v>0.79</v>
      </c>
      <c r="J22" s="3">
        <v>0</v>
      </c>
      <c r="K22" s="251">
        <v>-0.3</v>
      </c>
      <c r="L22" s="191">
        <v>0</v>
      </c>
      <c r="M22" s="2"/>
      <c r="N22" s="2"/>
      <c r="O22" s="100">
        <v>7.1999999999999998E-3</v>
      </c>
      <c r="P22" s="100">
        <v>5.5688910375990336E-3</v>
      </c>
      <c r="Q22" s="2"/>
      <c r="R22" s="2"/>
      <c r="S22" s="100"/>
      <c r="T22" s="7"/>
      <c r="U22" s="7"/>
      <c r="V22" s="7"/>
      <c r="W22" s="7"/>
      <c r="X22" s="153"/>
      <c r="Y22" s="191"/>
    </row>
    <row r="23" spans="1:25" x14ac:dyDescent="0.2">
      <c r="A23" s="151" t="s">
        <v>114</v>
      </c>
      <c r="B23" s="152">
        <v>1.0430999999999999</v>
      </c>
      <c r="C23" s="153">
        <v>2000</v>
      </c>
      <c r="D23" s="7">
        <v>750</v>
      </c>
      <c r="E23" s="2"/>
      <c r="F23" s="4" t="s">
        <v>18</v>
      </c>
      <c r="G23" s="3">
        <v>25.19</v>
      </c>
      <c r="H23" s="78">
        <v>0</v>
      </c>
      <c r="I23" s="78">
        <v>0.79</v>
      </c>
      <c r="J23" s="155">
        <v>1.4500000000000001E-2</v>
      </c>
      <c r="K23" s="3">
        <v>-0.25</v>
      </c>
      <c r="L23" s="2">
        <v>-2.0000000000000001E-4</v>
      </c>
      <c r="M23" s="2"/>
      <c r="N23" s="2"/>
      <c r="O23" s="100">
        <v>6.4999999999999997E-3</v>
      </c>
      <c r="P23" s="100">
        <v>5.2595081845627977E-3</v>
      </c>
      <c r="Q23" s="2"/>
      <c r="R23" s="2"/>
      <c r="S23" s="2"/>
      <c r="T23" s="7"/>
      <c r="U23" s="7"/>
      <c r="V23" s="7"/>
      <c r="W23" s="7"/>
      <c r="X23" s="7"/>
      <c r="Y23" s="2"/>
    </row>
    <row r="24" spans="1:25" x14ac:dyDescent="0.2">
      <c r="A24" s="151" t="s">
        <v>115</v>
      </c>
      <c r="B24" s="152">
        <v>1.0430999999999999</v>
      </c>
      <c r="C24" s="153">
        <v>219000</v>
      </c>
      <c r="D24" s="153">
        <v>0</v>
      </c>
      <c r="E24" s="153">
        <v>500</v>
      </c>
      <c r="F24" s="4" t="s">
        <v>19</v>
      </c>
      <c r="G24" s="3">
        <v>139.96</v>
      </c>
      <c r="H24" s="78">
        <v>0</v>
      </c>
      <c r="I24" s="78">
        <v>0</v>
      </c>
      <c r="J24" s="155">
        <v>2.5777000000000001</v>
      </c>
      <c r="K24" s="3">
        <v>-1.4</v>
      </c>
      <c r="L24" s="2">
        <v>-2.58E-2</v>
      </c>
      <c r="M24" s="2"/>
      <c r="N24" s="2"/>
      <c r="O24" s="100">
        <v>2.7930999999999999</v>
      </c>
      <c r="P24" s="100">
        <v>2.2465318947278483</v>
      </c>
      <c r="Q24" s="2"/>
      <c r="R24" s="2"/>
      <c r="S24" s="2"/>
      <c r="T24" s="7"/>
      <c r="U24" s="7"/>
      <c r="V24" s="7"/>
      <c r="W24" s="7"/>
      <c r="X24" s="7"/>
      <c r="Y24" s="2"/>
    </row>
    <row r="25" spans="1:25" x14ac:dyDescent="0.2">
      <c r="A25" s="151" t="s">
        <v>118</v>
      </c>
      <c r="B25" s="152">
        <v>1.0326</v>
      </c>
      <c r="C25" s="153">
        <v>1095000</v>
      </c>
      <c r="D25" s="148">
        <v>0</v>
      </c>
      <c r="E25" s="78">
        <v>2500</v>
      </c>
      <c r="F25" s="154" t="s">
        <v>19</v>
      </c>
      <c r="G25" s="3">
        <v>518.85</v>
      </c>
      <c r="H25" s="78">
        <v>0</v>
      </c>
      <c r="I25" s="78">
        <v>0</v>
      </c>
      <c r="J25" s="155">
        <v>2.7397999999999998</v>
      </c>
      <c r="K25" s="3">
        <v>-5.19</v>
      </c>
      <c r="L25" s="2">
        <v>-2.7400000000000001E-2</v>
      </c>
      <c r="M25" s="2"/>
      <c r="N25" s="78"/>
      <c r="O25" s="100">
        <v>2.7930999999999999</v>
      </c>
      <c r="P25" s="100">
        <v>2.2465318991985725</v>
      </c>
      <c r="Q25" s="2"/>
      <c r="R25" s="2"/>
      <c r="S25" s="2"/>
      <c r="T25" s="7"/>
      <c r="U25" s="7"/>
      <c r="V25" s="7"/>
      <c r="W25" s="7"/>
      <c r="X25" s="7"/>
      <c r="Y25" s="2"/>
    </row>
    <row r="26" spans="1:25" x14ac:dyDescent="0.2">
      <c r="A26" s="151" t="s">
        <v>117</v>
      </c>
      <c r="B26" s="125">
        <v>1.0430999999999999</v>
      </c>
      <c r="C26" s="153">
        <v>150</v>
      </c>
      <c r="D26" s="7">
        <v>750</v>
      </c>
      <c r="E26" s="2"/>
      <c r="F26" s="4" t="s">
        <v>18</v>
      </c>
      <c r="G26" s="3">
        <v>10.53</v>
      </c>
      <c r="H26" s="78">
        <v>0</v>
      </c>
      <c r="I26" s="78">
        <v>0</v>
      </c>
      <c r="J26" s="155">
        <v>1.2200000000000001E-2</v>
      </c>
      <c r="K26" s="3">
        <v>-0.11</v>
      </c>
      <c r="L26" s="2">
        <v>-1E-4</v>
      </c>
      <c r="M26" s="2"/>
      <c r="N26" s="2"/>
      <c r="O26" s="100">
        <v>6.4999999999999997E-3</v>
      </c>
      <c r="P26" s="100">
        <v>5.2595002611578161E-3</v>
      </c>
      <c r="Q26" s="2"/>
      <c r="R26" s="2"/>
      <c r="S26" s="2"/>
      <c r="T26" s="7"/>
      <c r="U26" s="7"/>
      <c r="V26" s="7"/>
      <c r="W26" s="7"/>
      <c r="X26" s="7"/>
      <c r="Y26" s="2"/>
    </row>
    <row r="27" spans="1:25" x14ac:dyDescent="0.2">
      <c r="A27" s="151" t="s">
        <v>116</v>
      </c>
      <c r="B27" s="152">
        <v>1.0430999999999999</v>
      </c>
      <c r="C27" s="153">
        <f>E27*8760/12/2</f>
        <v>204400</v>
      </c>
      <c r="D27" s="7">
        <v>750</v>
      </c>
      <c r="E27" s="2">
        <v>560</v>
      </c>
      <c r="F27" s="4" t="s">
        <v>19</v>
      </c>
      <c r="G27" s="3">
        <v>3.09</v>
      </c>
      <c r="H27" s="78">
        <v>0</v>
      </c>
      <c r="I27" s="78">
        <v>0</v>
      </c>
      <c r="J27" s="155">
        <v>12.4552</v>
      </c>
      <c r="K27" s="3">
        <v>-0.03</v>
      </c>
      <c r="L27" s="2">
        <v>-0.1246</v>
      </c>
      <c r="M27" s="2"/>
      <c r="N27" s="78"/>
      <c r="O27" s="100">
        <v>2.0613999999999999</v>
      </c>
      <c r="P27" s="100">
        <v>1.6580852579052419</v>
      </c>
      <c r="Q27" s="2"/>
      <c r="R27" s="2"/>
      <c r="S27" s="2"/>
      <c r="T27" s="7"/>
      <c r="U27" s="7"/>
      <c r="V27" s="7"/>
      <c r="W27" s="7"/>
      <c r="X27" s="7"/>
      <c r="Y27" s="2"/>
    </row>
    <row r="28" spans="1:25" x14ac:dyDescent="0.2">
      <c r="A28" s="146" t="s">
        <v>119</v>
      </c>
      <c r="B28" s="241">
        <v>1.0655000000000001</v>
      </c>
      <c r="C28" s="146">
        <v>750</v>
      </c>
      <c r="D28" s="146"/>
      <c r="E28" s="146"/>
      <c r="F28" s="242" t="s">
        <v>18</v>
      </c>
      <c r="G28" s="243">
        <v>35.619999999999997</v>
      </c>
      <c r="H28" s="146">
        <v>4.0000000000000002E-4</v>
      </c>
      <c r="I28" s="146">
        <v>0.79</v>
      </c>
      <c r="J28" s="243">
        <v>0</v>
      </c>
      <c r="K28" s="243">
        <v>-0.36</v>
      </c>
      <c r="L28" s="146">
        <v>0</v>
      </c>
      <c r="M28" s="146"/>
      <c r="N28" s="146"/>
      <c r="O28" s="241">
        <v>6.5444567943617011E-3</v>
      </c>
      <c r="P28" s="241">
        <v>5.4157299366720292E-3</v>
      </c>
      <c r="Q28" s="146"/>
      <c r="R28" s="146"/>
      <c r="S28" s="146"/>
      <c r="T28" s="146"/>
      <c r="U28" s="146"/>
      <c r="V28" s="241"/>
      <c r="W28" s="146"/>
      <c r="X28" s="146"/>
      <c r="Y28" s="146"/>
    </row>
    <row r="29" spans="1:25" x14ac:dyDescent="0.2">
      <c r="A29" s="146" t="s">
        <v>120</v>
      </c>
      <c r="B29" s="241">
        <v>1.0654999999999999</v>
      </c>
      <c r="C29" s="244">
        <v>2000</v>
      </c>
      <c r="D29" s="244">
        <v>750</v>
      </c>
      <c r="E29" s="146"/>
      <c r="F29" s="242" t="s">
        <v>18</v>
      </c>
      <c r="G29" s="243">
        <v>26.94</v>
      </c>
      <c r="H29" s="146">
        <v>4.0000000000000002E-4</v>
      </c>
      <c r="I29" s="146">
        <v>0.79</v>
      </c>
      <c r="J29" s="146">
        <v>1.9E-2</v>
      </c>
      <c r="K29" s="243">
        <v>-0.27</v>
      </c>
      <c r="L29" s="146">
        <v>-2.0000000000000001E-4</v>
      </c>
      <c r="M29" s="146"/>
      <c r="N29" s="146"/>
      <c r="O29" s="241">
        <v>5.8707628331982429E-3</v>
      </c>
      <c r="P29" s="241">
        <v>4.9991353519971207E-3</v>
      </c>
      <c r="Q29" s="146"/>
      <c r="R29" s="146"/>
      <c r="S29" s="146"/>
      <c r="T29" s="146"/>
      <c r="U29" s="146"/>
      <c r="V29" s="241"/>
      <c r="W29" s="146"/>
      <c r="X29" s="146"/>
      <c r="Y29" s="146"/>
    </row>
    <row r="30" spans="1:25" x14ac:dyDescent="0.2">
      <c r="A30" s="146" t="s">
        <v>121</v>
      </c>
      <c r="B30" s="241">
        <v>1.0654999999999999</v>
      </c>
      <c r="C30" s="244">
        <v>500000</v>
      </c>
      <c r="D30" s="244">
        <v>750</v>
      </c>
      <c r="E30" s="244">
        <v>1000</v>
      </c>
      <c r="F30" s="242" t="s">
        <v>19</v>
      </c>
      <c r="G30" s="243">
        <v>83.61</v>
      </c>
      <c r="H30" s="146">
        <v>0.155</v>
      </c>
      <c r="I30" s="146">
        <v>0</v>
      </c>
      <c r="J30" s="146">
        <v>3.9339</v>
      </c>
      <c r="K30" s="243">
        <v>-0.84</v>
      </c>
      <c r="L30" s="146">
        <v>-3.9300000000000002E-2</v>
      </c>
      <c r="M30" s="146"/>
      <c r="N30" s="146"/>
      <c r="O30" s="241">
        <v>2.503832177640037</v>
      </c>
      <c r="P30" s="241">
        <v>2.1172379802527086</v>
      </c>
      <c r="Q30" s="146"/>
      <c r="R30" s="146"/>
      <c r="S30" s="146"/>
      <c r="T30" s="146"/>
      <c r="U30" s="146"/>
      <c r="V30" s="241"/>
      <c r="W30" s="146"/>
      <c r="X30" s="146"/>
      <c r="Y30" s="146"/>
    </row>
    <row r="31" spans="1:25" x14ac:dyDescent="0.2">
      <c r="A31" s="146" t="s">
        <v>123</v>
      </c>
      <c r="B31" s="241">
        <v>1.0654999999999999</v>
      </c>
      <c r="C31" s="244">
        <v>500</v>
      </c>
      <c r="D31" s="244">
        <v>750</v>
      </c>
      <c r="E31" s="146"/>
      <c r="F31" s="242" t="s">
        <v>18</v>
      </c>
      <c r="G31" s="243">
        <v>19.510000000000002</v>
      </c>
      <c r="H31" s="146">
        <v>4.0000000000000002E-4</v>
      </c>
      <c r="I31" s="146">
        <v>0</v>
      </c>
      <c r="J31" s="146">
        <v>2.5000000000000001E-3</v>
      </c>
      <c r="K31" s="243">
        <v>-0.2</v>
      </c>
      <c r="L31" s="146">
        <v>-3.0000000000000001E-5</v>
      </c>
      <c r="M31" s="146"/>
      <c r="N31" s="146"/>
      <c r="O31" s="241">
        <v>5.8707754984320933E-3</v>
      </c>
      <c r="P31" s="241">
        <v>4.9991360917706956E-3</v>
      </c>
      <c r="Q31" s="146"/>
      <c r="R31" s="146"/>
      <c r="S31" s="146"/>
      <c r="T31" s="146"/>
      <c r="U31" s="146"/>
      <c r="V31" s="241"/>
      <c r="W31" s="146"/>
      <c r="X31" s="146"/>
      <c r="Y31" s="146"/>
    </row>
    <row r="32" spans="1:25" x14ac:dyDescent="0.2">
      <c r="A32" s="146" t="s">
        <v>124</v>
      </c>
      <c r="B32" s="241">
        <v>1.0654999999999999</v>
      </c>
      <c r="C32" s="244">
        <f>E32*8760/12/2</f>
        <v>76.649999999999991</v>
      </c>
      <c r="D32" s="244">
        <v>750</v>
      </c>
      <c r="E32" s="146">
        <v>0.21</v>
      </c>
      <c r="F32" s="242" t="s">
        <v>19</v>
      </c>
      <c r="G32" s="243">
        <v>14.23</v>
      </c>
      <c r="H32" s="146">
        <v>0.1099</v>
      </c>
      <c r="I32" s="146">
        <v>0</v>
      </c>
      <c r="J32" s="146">
        <v>36.726100000000002</v>
      </c>
      <c r="K32" s="243">
        <v>-0.14000000000000001</v>
      </c>
      <c r="L32" s="146">
        <v>-0.36730000000000002</v>
      </c>
      <c r="M32" s="146"/>
      <c r="N32" s="146"/>
      <c r="O32" s="241">
        <v>1.8176267636501726</v>
      </c>
      <c r="P32" s="241">
        <v>1.5528490729347468</v>
      </c>
      <c r="Q32" s="146"/>
      <c r="R32" s="146"/>
      <c r="S32" s="146"/>
      <c r="T32" s="146"/>
      <c r="U32" s="146"/>
      <c r="V32" s="241"/>
      <c r="W32" s="146"/>
      <c r="X32" s="146"/>
      <c r="Y32" s="146"/>
    </row>
    <row r="33" spans="1:25" x14ac:dyDescent="0.2">
      <c r="A33" s="146" t="s">
        <v>122</v>
      </c>
      <c r="B33" s="241">
        <v>1.0654999999999999</v>
      </c>
      <c r="C33" s="244">
        <f>E33*8760/12/2</f>
        <v>200750</v>
      </c>
      <c r="D33" s="244">
        <v>750</v>
      </c>
      <c r="E33" s="245">
        <v>550</v>
      </c>
      <c r="F33" s="242" t="s">
        <v>19</v>
      </c>
      <c r="G33" s="243">
        <v>5.7</v>
      </c>
      <c r="H33" s="146">
        <v>0.113</v>
      </c>
      <c r="I33" s="146">
        <v>0</v>
      </c>
      <c r="J33" s="146">
        <v>14.588200000000001</v>
      </c>
      <c r="K33" s="243">
        <v>-0.06</v>
      </c>
      <c r="L33" s="146">
        <v>-0.1459</v>
      </c>
      <c r="M33" s="146"/>
      <c r="N33" s="146"/>
      <c r="O33" s="241">
        <v>1.8084840059864431</v>
      </c>
      <c r="P33" s="241">
        <v>1.5209878188292463</v>
      </c>
      <c r="Q33" s="146"/>
      <c r="R33" s="146"/>
      <c r="S33" s="146"/>
      <c r="T33" s="146"/>
      <c r="U33" s="146"/>
      <c r="V33" s="241"/>
      <c r="W33" s="146"/>
      <c r="X33" s="146"/>
      <c r="Y33" s="146"/>
    </row>
    <row r="34" spans="1:25" x14ac:dyDescent="0.2">
      <c r="A34" s="246" t="s">
        <v>125</v>
      </c>
      <c r="B34" s="247">
        <v>1.0564</v>
      </c>
      <c r="C34" s="246">
        <v>750</v>
      </c>
      <c r="D34" s="246"/>
      <c r="E34" s="246"/>
      <c r="F34" s="248" t="s">
        <v>18</v>
      </c>
      <c r="G34" s="249">
        <v>36.78</v>
      </c>
      <c r="H34" s="246">
        <v>8.9999999999999998E-4</v>
      </c>
      <c r="I34" s="246">
        <v>0.79</v>
      </c>
      <c r="J34" s="249">
        <v>0</v>
      </c>
      <c r="K34" s="246">
        <v>-0.55000000000000004</v>
      </c>
      <c r="L34" s="246">
        <v>0</v>
      </c>
      <c r="M34" s="246"/>
      <c r="N34" s="246"/>
      <c r="O34" s="247">
        <v>6.7999999999999996E-3</v>
      </c>
      <c r="P34" s="247">
        <v>3.5999999999999999E-3</v>
      </c>
      <c r="Q34" s="246"/>
      <c r="R34" s="246"/>
      <c r="S34" s="246"/>
      <c r="T34" s="246"/>
      <c r="U34" s="246"/>
      <c r="V34" s="246"/>
      <c r="W34" s="246"/>
      <c r="X34" s="246"/>
      <c r="Y34" s="246"/>
    </row>
    <row r="35" spans="1:25" x14ac:dyDescent="0.2">
      <c r="A35" s="246" t="s">
        <v>126</v>
      </c>
      <c r="B35" s="247">
        <v>1.0564</v>
      </c>
      <c r="C35" s="250">
        <v>2000</v>
      </c>
      <c r="D35" s="250">
        <v>750</v>
      </c>
      <c r="E35" s="246"/>
      <c r="F35" s="248" t="s">
        <v>18</v>
      </c>
      <c r="G35" s="249">
        <v>49.98</v>
      </c>
      <c r="H35" s="246">
        <v>8.0000000000000004E-4</v>
      </c>
      <c r="I35" s="246">
        <v>0.79</v>
      </c>
      <c r="J35" s="246">
        <v>1.5599999999999999E-2</v>
      </c>
      <c r="K35" s="249">
        <v>-0.74</v>
      </c>
      <c r="L35" s="246">
        <v>-2.9999999999999997E-4</v>
      </c>
      <c r="M35" s="246"/>
      <c r="N35" s="246"/>
      <c r="O35" s="247">
        <v>6.3E-3</v>
      </c>
      <c r="P35" s="247">
        <v>3.0999999999999999E-3</v>
      </c>
      <c r="Q35" s="246"/>
      <c r="R35" s="246"/>
      <c r="S35" s="246"/>
      <c r="T35" s="246"/>
      <c r="U35" s="246"/>
      <c r="V35" s="246"/>
      <c r="W35" s="246"/>
      <c r="X35" s="246"/>
      <c r="Y35" s="246"/>
    </row>
    <row r="36" spans="1:25" x14ac:dyDescent="0.2">
      <c r="A36" s="246" t="s">
        <v>127</v>
      </c>
      <c r="B36" s="247">
        <v>1.0564</v>
      </c>
      <c r="C36" s="250">
        <v>35000</v>
      </c>
      <c r="D36" s="250"/>
      <c r="E36" s="250">
        <v>120</v>
      </c>
      <c r="F36" s="248" t="s">
        <v>19</v>
      </c>
      <c r="G36" s="249">
        <v>245.55</v>
      </c>
      <c r="H36" s="246">
        <v>0.30499999999999999</v>
      </c>
      <c r="I36" s="246">
        <v>0</v>
      </c>
      <c r="J36" s="246">
        <v>3.9601999999999999</v>
      </c>
      <c r="K36" s="249">
        <v>-3.61</v>
      </c>
      <c r="L36" s="246">
        <v>-5.8299999999999998E-2</v>
      </c>
      <c r="M36" s="246"/>
      <c r="N36" s="246"/>
      <c r="O36" s="247">
        <v>2.5453999999999999</v>
      </c>
      <c r="P36" s="247">
        <v>1.2384999999999999</v>
      </c>
      <c r="Q36" s="246"/>
      <c r="R36" s="246"/>
      <c r="S36" s="246"/>
      <c r="T36" s="246"/>
      <c r="U36" s="246"/>
      <c r="V36" s="246"/>
      <c r="W36" s="246"/>
      <c r="X36" s="246"/>
      <c r="Y36" s="246"/>
    </row>
    <row r="37" spans="1:25" x14ac:dyDescent="0.2">
      <c r="A37" s="246" t="s">
        <v>129</v>
      </c>
      <c r="B37" s="247">
        <v>1.0564</v>
      </c>
      <c r="C37" s="250">
        <v>500</v>
      </c>
      <c r="D37" s="250">
        <v>750</v>
      </c>
      <c r="E37" s="246"/>
      <c r="F37" s="248" t="s">
        <v>18</v>
      </c>
      <c r="G37" s="249">
        <v>15.49</v>
      </c>
      <c r="H37" s="246">
        <v>8.0000000000000004E-4</v>
      </c>
      <c r="I37" s="246">
        <v>0</v>
      </c>
      <c r="J37" s="246">
        <v>8.6999999999999994E-3</v>
      </c>
      <c r="K37" s="249">
        <v>-0.22</v>
      </c>
      <c r="L37" s="246">
        <v>-1E-4</v>
      </c>
      <c r="M37" s="246"/>
      <c r="N37" s="246"/>
      <c r="O37" s="247">
        <v>6.3E-3</v>
      </c>
      <c r="P37" s="247">
        <v>3.0999999999999999E-3</v>
      </c>
      <c r="Q37" s="246"/>
      <c r="R37" s="246"/>
      <c r="S37" s="246"/>
      <c r="T37" s="246"/>
      <c r="U37" s="246"/>
      <c r="V37" s="246"/>
      <c r="W37" s="246"/>
      <c r="X37" s="246"/>
      <c r="Y37" s="246"/>
    </row>
    <row r="38" spans="1:25" x14ac:dyDescent="0.2">
      <c r="A38" s="246" t="s">
        <v>130</v>
      </c>
      <c r="B38" s="247">
        <v>1.0564</v>
      </c>
      <c r="C38" s="250">
        <f>E38*8760/12/2</f>
        <v>109.5</v>
      </c>
      <c r="D38" s="250">
        <v>750</v>
      </c>
      <c r="E38" s="246">
        <v>0.3</v>
      </c>
      <c r="F38" s="248" t="s">
        <v>19</v>
      </c>
      <c r="G38" s="249">
        <v>6.53</v>
      </c>
      <c r="H38" s="246">
        <v>0.2407</v>
      </c>
      <c r="I38" s="246">
        <v>0</v>
      </c>
      <c r="J38" s="246">
        <v>19.433</v>
      </c>
      <c r="K38" s="249">
        <v>-0.09</v>
      </c>
      <c r="L38" s="246">
        <v>-0.28620000000000001</v>
      </c>
      <c r="M38" s="246"/>
      <c r="N38" s="246"/>
      <c r="O38" s="247">
        <v>1.9294</v>
      </c>
      <c r="P38" s="247">
        <v>0.97740000000000005</v>
      </c>
      <c r="Q38" s="246"/>
      <c r="R38" s="246"/>
      <c r="S38" s="246"/>
      <c r="T38" s="246"/>
      <c r="U38" s="246"/>
      <c r="V38" s="246"/>
      <c r="W38" s="246"/>
      <c r="X38" s="246"/>
      <c r="Y38" s="246"/>
    </row>
    <row r="39" spans="1:25" x14ac:dyDescent="0.2">
      <c r="A39" s="246" t="s">
        <v>128</v>
      </c>
      <c r="B39" s="247">
        <v>1.0564</v>
      </c>
      <c r="C39" s="250">
        <f>E39*8760/12/2</f>
        <v>73</v>
      </c>
      <c r="D39" s="250">
        <v>750</v>
      </c>
      <c r="E39" s="246">
        <v>0.2</v>
      </c>
      <c r="F39" s="248" t="s">
        <v>19</v>
      </c>
      <c r="G39" s="249">
        <v>1.97</v>
      </c>
      <c r="H39" s="246">
        <v>0.23580000000000001</v>
      </c>
      <c r="I39" s="246">
        <v>0</v>
      </c>
      <c r="J39" s="246">
        <v>7.4268999999999998</v>
      </c>
      <c r="K39" s="249">
        <v>-0.03</v>
      </c>
      <c r="L39" s="246">
        <v>-0.1094</v>
      </c>
      <c r="M39" s="246"/>
      <c r="N39" s="246"/>
      <c r="O39" s="247">
        <v>1.9197</v>
      </c>
      <c r="P39" s="247">
        <v>0.95750000000000002</v>
      </c>
      <c r="Q39" s="246"/>
      <c r="R39" s="246"/>
      <c r="S39" s="246"/>
      <c r="T39" s="246"/>
      <c r="U39" s="246"/>
      <c r="V39" s="246"/>
      <c r="W39" s="246"/>
      <c r="X39" s="246"/>
      <c r="Y39" s="246"/>
    </row>
    <row r="40" spans="1:25" x14ac:dyDescent="0.2">
      <c r="G40"/>
      <c r="H40"/>
      <c r="I40"/>
      <c r="J40"/>
      <c r="K40"/>
      <c r="L40"/>
      <c r="M40"/>
      <c r="N40"/>
      <c r="O40" s="68"/>
      <c r="P40" s="68"/>
    </row>
    <row r="41" spans="1:25" x14ac:dyDescent="0.2">
      <c r="G41"/>
      <c r="H41"/>
      <c r="I41"/>
      <c r="J41"/>
      <c r="K41"/>
      <c r="L41"/>
      <c r="M41"/>
      <c r="N41"/>
      <c r="O41" s="68"/>
      <c r="P41" s="68"/>
    </row>
    <row r="42" spans="1:25" x14ac:dyDescent="0.2">
      <c r="G42"/>
      <c r="H42"/>
      <c r="I42"/>
      <c r="J42"/>
      <c r="K42"/>
      <c r="L42"/>
      <c r="M42"/>
      <c r="N42"/>
      <c r="O42" s="68"/>
      <c r="P42" s="68"/>
    </row>
    <row r="43" spans="1:25" x14ac:dyDescent="0.2">
      <c r="G43"/>
      <c r="H43"/>
      <c r="I43"/>
      <c r="J43"/>
      <c r="K43"/>
      <c r="L43"/>
      <c r="M43"/>
      <c r="N43"/>
      <c r="O43" s="68"/>
      <c r="P43" s="68"/>
    </row>
    <row r="44" spans="1:25" x14ac:dyDescent="0.2">
      <c r="G44"/>
      <c r="H44"/>
      <c r="I44"/>
      <c r="J44"/>
      <c r="K44"/>
      <c r="L44"/>
      <c r="M44"/>
      <c r="N44"/>
      <c r="O44" s="68"/>
      <c r="P44" s="68"/>
    </row>
    <row r="45" spans="1:25" x14ac:dyDescent="0.2">
      <c r="G45"/>
      <c r="H45"/>
      <c r="I45"/>
      <c r="J45"/>
      <c r="K45"/>
      <c r="L45"/>
      <c r="M45"/>
      <c r="N45"/>
      <c r="O45" s="68"/>
      <c r="P45" s="68"/>
    </row>
    <row r="46" spans="1:25" x14ac:dyDescent="0.2">
      <c r="G46"/>
      <c r="H46"/>
      <c r="I46"/>
      <c r="J46"/>
      <c r="K46"/>
      <c r="L46"/>
      <c r="M46"/>
      <c r="N46"/>
      <c r="O46" s="68"/>
      <c r="P46" s="68"/>
    </row>
    <row r="47" spans="1:25" x14ac:dyDescent="0.2">
      <c r="G47"/>
      <c r="H47"/>
      <c r="I47"/>
      <c r="J47"/>
      <c r="K47"/>
      <c r="L47"/>
      <c r="M47"/>
      <c r="N47"/>
      <c r="O47" s="68"/>
      <c r="P47" s="68"/>
    </row>
    <row r="48" spans="1:25" x14ac:dyDescent="0.2">
      <c r="G48"/>
      <c r="H48"/>
      <c r="I48"/>
      <c r="J48"/>
      <c r="K48"/>
      <c r="L48"/>
      <c r="M48"/>
      <c r="N48"/>
      <c r="O48" s="68"/>
      <c r="P48" s="68"/>
    </row>
    <row r="49" spans="7:16" x14ac:dyDescent="0.2">
      <c r="G49"/>
      <c r="H49"/>
      <c r="I49"/>
      <c r="J49"/>
      <c r="K49"/>
      <c r="L49"/>
      <c r="M49"/>
      <c r="N49"/>
      <c r="O49" s="68"/>
      <c r="P49" s="68"/>
    </row>
  </sheetData>
  <pageMargins left="0.7" right="0.7" top="0.75" bottom="0.75" header="0.3" footer="0.3"/>
  <pageSetup paperSize="17" orientation="landscape"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tabSelected="1" view="pageBreakPreview" topLeftCell="A4"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49</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183750</v>
      </c>
      <c r="C13" s="103">
        <v>9.0999999999999998E-2</v>
      </c>
      <c r="D13" s="104">
        <f>B13*C13</f>
        <v>16721.25</v>
      </c>
      <c r="E13" s="102">
        <f>B13</f>
        <v>183750</v>
      </c>
      <c r="F13" s="103">
        <f>C13</f>
        <v>9.0999999999999998E-2</v>
      </c>
      <c r="G13" s="104">
        <f>E13*F13</f>
        <v>16721.25</v>
      </c>
      <c r="H13" s="104">
        <f>G13-D13</f>
        <v>0</v>
      </c>
      <c r="I13" s="105">
        <f t="shared" ref="I13:I18" si="0">IF(ISERROR(H13/ABS(D13)),"N/A",(H13/ABS(D13)))</f>
        <v>0</v>
      </c>
      <c r="J13" s="123">
        <f t="shared" ref="J13:J29" si="1">G13/$G$38</f>
        <v>0.56190346071671315</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16721.25</v>
      </c>
      <c r="E15" s="76"/>
      <c r="F15" s="25"/>
      <c r="G15" s="25">
        <f>SUM(G13:G14)</f>
        <v>16721.25</v>
      </c>
      <c r="H15" s="25">
        <f t="shared" si="3"/>
        <v>0</v>
      </c>
      <c r="I15" s="27">
        <f t="shared" si="0"/>
        <v>0</v>
      </c>
      <c r="J15" s="47">
        <f t="shared" si="1"/>
        <v>0.56190346071671315</v>
      </c>
    </row>
    <row r="16" spans="1:10" s="1" customFormat="1" x14ac:dyDescent="0.2">
      <c r="A16" s="107" t="s">
        <v>38</v>
      </c>
      <c r="B16" s="73">
        <v>1</v>
      </c>
      <c r="C16" s="78">
        <f>VLOOKUP($B$3,'Data for Bill Impacts'!$A$3:$Y$15,7,0)</f>
        <v>105.02</v>
      </c>
      <c r="D16" s="22">
        <f>B16*C16</f>
        <v>105.02</v>
      </c>
      <c r="E16" s="73">
        <f t="shared" ref="E16:E31" si="4">B16</f>
        <v>1</v>
      </c>
      <c r="F16" s="78">
        <f>VLOOKUP($B$3,'Data for Bill Impacts'!$A$3:$Y$15,17,0)</f>
        <v>106.68</v>
      </c>
      <c r="G16" s="22">
        <f>E16*F16</f>
        <v>106.68</v>
      </c>
      <c r="H16" s="22">
        <f t="shared" si="3"/>
        <v>1.6600000000000108</v>
      </c>
      <c r="I16" s="23">
        <f t="shared" si="0"/>
        <v>1.5806513045134363E-2</v>
      </c>
      <c r="J16" s="124">
        <f t="shared" si="1"/>
        <v>3.5848911528300197E-3</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1.7999999999999999E-2</v>
      </c>
      <c r="D19" s="22">
        <f t="shared" si="6"/>
        <v>1.7999999999999999E-2</v>
      </c>
      <c r="E19" s="73">
        <f t="shared" si="4"/>
        <v>1</v>
      </c>
      <c r="F19" s="121">
        <f>VLOOKUP($B$3,'Data for Bill Impacts'!$A$3:$Y$15,22,0)</f>
        <v>1.7999999999999999E-2</v>
      </c>
      <c r="G19" s="22">
        <f t="shared" si="5"/>
        <v>1.7999999999999999E-2</v>
      </c>
      <c r="H19" s="22">
        <f t="shared" si="3"/>
        <v>0</v>
      </c>
      <c r="I19" s="23">
        <f>IF(ISERROR(H19/ABS(D19)),"N/A",(H19/ABS(D19)))</f>
        <v>0</v>
      </c>
      <c r="J19" s="124">
        <f t="shared" si="1"/>
        <v>6.048747726934791E-7</v>
      </c>
    </row>
    <row r="20" spans="1:10" s="1" customFormat="1" x14ac:dyDescent="0.2">
      <c r="A20" s="107" t="s">
        <v>39</v>
      </c>
      <c r="B20" s="73">
        <f>IF($B$10="kWh",$B$4,$B$5)</f>
        <v>500</v>
      </c>
      <c r="C20" s="78">
        <f>VLOOKUP($B$3,'Data for Bill Impacts'!$A$3:$Y$15,10,0)</f>
        <v>10.293199999999999</v>
      </c>
      <c r="D20" s="22">
        <f>B20*C20</f>
        <v>5146.5999999999995</v>
      </c>
      <c r="E20" s="73">
        <f>B20</f>
        <v>500</v>
      </c>
      <c r="F20" s="78">
        <f>VLOOKUP($B$3,'Data for Bill Impacts'!$A$3:$Y$15,19,0)</f>
        <v>10.5937</v>
      </c>
      <c r="G20" s="22">
        <f>E20*F20</f>
        <v>5296.85</v>
      </c>
      <c r="H20" s="22">
        <f>G20-D20</f>
        <v>150.25000000000091</v>
      </c>
      <c r="I20" s="23">
        <f>IF(ISERROR(H20/D20),0,(H20/D20))</f>
        <v>2.9194031010764569E-2</v>
      </c>
      <c r="J20" s="124">
        <f t="shared" si="1"/>
        <v>0.17799616331896972</v>
      </c>
    </row>
    <row r="21" spans="1:10" x14ac:dyDescent="0.2">
      <c r="A21" s="107" t="s">
        <v>147</v>
      </c>
      <c r="B21" s="73">
        <f>B9</f>
        <v>183750</v>
      </c>
      <c r="C21" s="125">
        <f>VLOOKUP($B$3,'Data for Bill Impacts'!$A$3:$Y$15,20,0)</f>
        <v>0</v>
      </c>
      <c r="D21" s="22">
        <f>B21*C21</f>
        <v>0</v>
      </c>
      <c r="E21" s="73">
        <f t="shared" si="4"/>
        <v>183750</v>
      </c>
      <c r="F21" s="125">
        <f>VLOOKUP($B$3,'Data for Bill Impacts'!$A$3:$Y$15,21,0)</f>
        <v>0</v>
      </c>
      <c r="G21" s="22">
        <f>E21*F21</f>
        <v>0</v>
      </c>
      <c r="H21" s="22">
        <f t="shared" si="3"/>
        <v>0</v>
      </c>
      <c r="I21" s="23">
        <f t="shared" ref="I21" si="7">IF(ISERROR(H21/D21),0,(H21/D21))</f>
        <v>0</v>
      </c>
      <c r="J21" s="124">
        <f t="shared" si="1"/>
        <v>0</v>
      </c>
    </row>
    <row r="22" spans="1:10" s="1" customFormat="1" x14ac:dyDescent="0.2">
      <c r="A22" s="107" t="s">
        <v>199</v>
      </c>
      <c r="B22" s="73">
        <f>IF($B$10="kWh",$B$4,$B$5)</f>
        <v>500</v>
      </c>
      <c r="C22" s="125">
        <f>VLOOKUP($B$3,'Data for Bill Impacts'!$A$3:$Y$15,14,0)</f>
        <v>1.1179999999999999E-2</v>
      </c>
      <c r="D22" s="22">
        <f>B22*C22</f>
        <v>5.59</v>
      </c>
      <c r="E22" s="73">
        <f t="shared" si="4"/>
        <v>500</v>
      </c>
      <c r="F22" s="125">
        <f>VLOOKUP($B$3,'Data for Bill Impacts'!$A$3:$Y$15,23,0)</f>
        <v>1.1179999999999999E-2</v>
      </c>
      <c r="G22" s="22">
        <f>E22*F22</f>
        <v>5.59</v>
      </c>
      <c r="H22" s="22">
        <f t="shared" si="3"/>
        <v>0</v>
      </c>
      <c r="I22" s="23">
        <f t="shared" ref="I22:I38" si="8">IF(ISERROR(H22/ABS(D22)),"N/A",(H22/ABS(D22)))</f>
        <v>0</v>
      </c>
      <c r="J22" s="124">
        <f t="shared" si="1"/>
        <v>1.8784722107536379E-4</v>
      </c>
    </row>
    <row r="23" spans="1:10" x14ac:dyDescent="0.2">
      <c r="A23" s="110" t="s">
        <v>97</v>
      </c>
      <c r="B23" s="74"/>
      <c r="C23" s="190"/>
      <c r="D23" s="35">
        <f>SUM(D16:D22)</f>
        <v>5257.2279999999992</v>
      </c>
      <c r="E23" s="73"/>
      <c r="F23" s="35"/>
      <c r="G23" s="35">
        <f>SUM(G16:G22)</f>
        <v>5409.1380000000008</v>
      </c>
      <c r="H23" s="35">
        <f t="shared" si="3"/>
        <v>151.91000000000167</v>
      </c>
      <c r="I23" s="36">
        <f t="shared" si="8"/>
        <v>2.8895455932290114E-2</v>
      </c>
      <c r="J23" s="111">
        <f t="shared" si="1"/>
        <v>0.18176950656764781</v>
      </c>
    </row>
    <row r="24" spans="1:10" x14ac:dyDescent="0.2">
      <c r="A24" s="107" t="s">
        <v>40</v>
      </c>
      <c r="B24" s="73">
        <f>B5</f>
        <v>500</v>
      </c>
      <c r="C24" s="125">
        <f>VLOOKUP($B$3,'Data for Bill Impacts'!$A$3:$Y$15,15,0)</f>
        <v>2.2310400000000001</v>
      </c>
      <c r="D24" s="22">
        <f>B24*C24</f>
        <v>1115.52</v>
      </c>
      <c r="E24" s="73">
        <f t="shared" si="4"/>
        <v>500</v>
      </c>
      <c r="F24" s="78">
        <f>VLOOKUP($B$3,'Data for Bill Impacts'!$A$3:$Y$15,24,0)</f>
        <v>2.1349</v>
      </c>
      <c r="G24" s="22">
        <f>E24*F24</f>
        <v>1067.45</v>
      </c>
      <c r="H24" s="22">
        <f t="shared" si="3"/>
        <v>-48.069999999999936</v>
      </c>
      <c r="I24" s="23">
        <f t="shared" si="8"/>
        <v>-4.3092010900745784E-2</v>
      </c>
      <c r="J24" s="124">
        <f t="shared" si="1"/>
        <v>3.5870754228425242E-2</v>
      </c>
    </row>
    <row r="25" spans="1:10" s="1" customFormat="1" x14ac:dyDescent="0.2">
      <c r="A25" s="107" t="s">
        <v>41</v>
      </c>
      <c r="B25" s="73">
        <f>B5</f>
        <v>500</v>
      </c>
      <c r="C25" s="125">
        <f>VLOOKUP($B$3,'Data for Bill Impacts'!$A$3:$Y$15,16,0)</f>
        <v>1.7046749999999999</v>
      </c>
      <c r="D25" s="22">
        <f>B25*C25</f>
        <v>852.33749999999998</v>
      </c>
      <c r="E25" s="73">
        <f t="shared" si="4"/>
        <v>500</v>
      </c>
      <c r="F25" s="125">
        <f>VLOOKUP($B$3,'Data for Bill Impacts'!$A$3:$Y$15,25,0)</f>
        <v>1.7284999999999999</v>
      </c>
      <c r="G25" s="22">
        <f>E25*F25</f>
        <v>864.25</v>
      </c>
      <c r="H25" s="22">
        <f t="shared" si="3"/>
        <v>11.912500000000023</v>
      </c>
      <c r="I25" s="23">
        <f t="shared" si="8"/>
        <v>1.3976271136726968E-2</v>
      </c>
      <c r="J25" s="124">
        <f t="shared" si="1"/>
        <v>2.9042390127796629E-2</v>
      </c>
    </row>
    <row r="26" spans="1:10" x14ac:dyDescent="0.2">
      <c r="A26" s="110" t="s">
        <v>76</v>
      </c>
      <c r="B26" s="74"/>
      <c r="C26" s="35"/>
      <c r="D26" s="35">
        <f>SUM(D24:D25)</f>
        <v>1967.8575000000001</v>
      </c>
      <c r="E26" s="73"/>
      <c r="F26" s="35"/>
      <c r="G26" s="35">
        <f>SUM(G24:G25)</f>
        <v>1931.7</v>
      </c>
      <c r="H26" s="35">
        <f t="shared" si="3"/>
        <v>-36.157500000000027</v>
      </c>
      <c r="I26" s="36">
        <f t="shared" si="8"/>
        <v>-1.8374043852260658E-2</v>
      </c>
      <c r="J26" s="111">
        <f t="shared" si="1"/>
        <v>6.4913144356221864E-2</v>
      </c>
    </row>
    <row r="27" spans="1:10" s="1" customFormat="1" x14ac:dyDescent="0.2">
      <c r="A27" s="110" t="s">
        <v>80</v>
      </c>
      <c r="B27" s="74"/>
      <c r="C27" s="35"/>
      <c r="D27" s="35">
        <f>D23+D26</f>
        <v>7225.0854999999992</v>
      </c>
      <c r="E27" s="73"/>
      <c r="F27" s="35"/>
      <c r="G27" s="35">
        <f>G23+G26</f>
        <v>7340.8380000000006</v>
      </c>
      <c r="H27" s="35">
        <f t="shared" si="3"/>
        <v>115.75250000000142</v>
      </c>
      <c r="I27" s="36">
        <f t="shared" si="8"/>
        <v>1.6020917676337731E-2</v>
      </c>
      <c r="J27" s="111">
        <f t="shared" si="1"/>
        <v>0.24668265092386968</v>
      </c>
    </row>
    <row r="28" spans="1:10" x14ac:dyDescent="0.2">
      <c r="A28" s="107" t="s">
        <v>42</v>
      </c>
      <c r="B28" s="73">
        <f>B9</f>
        <v>183750</v>
      </c>
      <c r="C28" s="34">
        <v>3.5999999999999999E-3</v>
      </c>
      <c r="D28" s="22">
        <f>B28*C28</f>
        <v>661.5</v>
      </c>
      <c r="E28" s="73">
        <f t="shared" si="4"/>
        <v>183750</v>
      </c>
      <c r="F28" s="34">
        <v>3.5999999999999999E-3</v>
      </c>
      <c r="G28" s="22">
        <f>E28*F28</f>
        <v>661.5</v>
      </c>
      <c r="H28" s="22">
        <f t="shared" si="3"/>
        <v>0</v>
      </c>
      <c r="I28" s="23">
        <f t="shared" si="8"/>
        <v>0</v>
      </c>
      <c r="J28" s="124">
        <f t="shared" si="1"/>
        <v>2.2229147896485356E-2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8"/>
        <v>0</v>
      </c>
      <c r="J29" s="124">
        <f t="shared" si="1"/>
        <v>1.2967002939616458E-2</v>
      </c>
    </row>
    <row r="30" spans="1:10" x14ac:dyDescent="0.2">
      <c r="A30" s="107" t="s">
        <v>100</v>
      </c>
      <c r="B30" s="73">
        <f>B9</f>
        <v>183750</v>
      </c>
      <c r="C30" s="34">
        <v>0</v>
      </c>
      <c r="D30" s="22">
        <f>B30*C30</f>
        <v>0</v>
      </c>
      <c r="E30" s="73">
        <f t="shared" si="4"/>
        <v>183750</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8.401038509631654E-6</v>
      </c>
    </row>
    <row r="32" spans="1:10" x14ac:dyDescent="0.2">
      <c r="A32" s="110" t="s">
        <v>45</v>
      </c>
      <c r="B32" s="74"/>
      <c r="C32" s="35"/>
      <c r="D32" s="35">
        <f>SUM(D28:D31)</f>
        <v>1047.625</v>
      </c>
      <c r="E32" s="73"/>
      <c r="F32" s="35"/>
      <c r="G32" s="35">
        <f>SUM(G28:G31)</f>
        <v>1047.625</v>
      </c>
      <c r="H32" s="35">
        <f t="shared" si="3"/>
        <v>0</v>
      </c>
      <c r="I32" s="36">
        <f t="shared" si="8"/>
        <v>0</v>
      </c>
      <c r="J32" s="111">
        <f t="shared" si="10"/>
        <v>3.5204551874611446E-2</v>
      </c>
    </row>
    <row r="33" spans="1:10" ht="13.5" thickBot="1" x14ac:dyDescent="0.25">
      <c r="A33" s="112" t="s">
        <v>46</v>
      </c>
      <c r="B33" s="113">
        <f>B4</f>
        <v>175000</v>
      </c>
      <c r="C33" s="114">
        <v>7.0000000000000001E-3</v>
      </c>
      <c r="D33" s="115">
        <f>B33*C33</f>
        <v>1225</v>
      </c>
      <c r="E33" s="116">
        <f t="shared" ref="E33" si="11">B33</f>
        <v>175000</v>
      </c>
      <c r="F33" s="114">
        <f>C33</f>
        <v>7.0000000000000001E-3</v>
      </c>
      <c r="G33" s="115">
        <f>E33*F33</f>
        <v>1225</v>
      </c>
      <c r="H33" s="115">
        <f t="shared" si="3"/>
        <v>0</v>
      </c>
      <c r="I33" s="117">
        <f t="shared" si="8"/>
        <v>0</v>
      </c>
      <c r="J33" s="118">
        <f t="shared" si="10"/>
        <v>4.1165088697195103E-2</v>
      </c>
    </row>
    <row r="34" spans="1:10" x14ac:dyDescent="0.2">
      <c r="A34" s="37" t="s">
        <v>146</v>
      </c>
      <c r="B34" s="38"/>
      <c r="C34" s="39"/>
      <c r="D34" s="39">
        <f>SUM(D15,D23,D26,D32,D33)</f>
        <v>26218.960500000001</v>
      </c>
      <c r="E34" s="38"/>
      <c r="F34" s="39"/>
      <c r="G34" s="39">
        <f>SUM(G15,G23,G26,G32,G33)</f>
        <v>26334.713</v>
      </c>
      <c r="H34" s="39">
        <f t="shared" si="3"/>
        <v>115.75249999999869</v>
      </c>
      <c r="I34" s="40">
        <f t="shared" si="8"/>
        <v>4.4148394060092005E-3</v>
      </c>
      <c r="J34" s="41">
        <f t="shared" si="10"/>
        <v>0.88495575221238942</v>
      </c>
    </row>
    <row r="35" spans="1:10" x14ac:dyDescent="0.2">
      <c r="A35" s="46" t="s">
        <v>138</v>
      </c>
      <c r="B35" s="43"/>
      <c r="C35" s="26">
        <v>0.13</v>
      </c>
      <c r="D35" s="26">
        <f>D34*C35</f>
        <v>3408.4648650000004</v>
      </c>
      <c r="E35" s="26"/>
      <c r="F35" s="26">
        <f>C35</f>
        <v>0.13</v>
      </c>
      <c r="G35" s="26">
        <f>G34*F35</f>
        <v>3423.51269</v>
      </c>
      <c r="H35" s="26">
        <f t="shared" si="3"/>
        <v>15.047824999999648</v>
      </c>
      <c r="I35" s="44">
        <f t="shared" si="8"/>
        <v>4.4148394060091467E-3</v>
      </c>
      <c r="J35" s="45">
        <f t="shared" si="10"/>
        <v>0.11504424778761062</v>
      </c>
    </row>
    <row r="36" spans="1:10" x14ac:dyDescent="0.2">
      <c r="A36" s="46" t="s">
        <v>139</v>
      </c>
      <c r="B36" s="24"/>
      <c r="C36" s="25"/>
      <c r="D36" s="25">
        <f>SUM(D34:D35)</f>
        <v>29627.425365000003</v>
      </c>
      <c r="E36" s="25"/>
      <c r="F36" s="25"/>
      <c r="G36" s="25">
        <f>SUM(G34:G35)</f>
        <v>29758.225689999999</v>
      </c>
      <c r="H36" s="25">
        <f t="shared" si="3"/>
        <v>130.80032499999652</v>
      </c>
      <c r="I36" s="27">
        <f t="shared" si="8"/>
        <v>4.4148394060091328E-3</v>
      </c>
      <c r="J36" s="47">
        <f t="shared" si="10"/>
        <v>1</v>
      </c>
    </row>
    <row r="37" spans="1:10" x14ac:dyDescent="0.2">
      <c r="A37" s="46"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6" t="s">
        <v>141</v>
      </c>
      <c r="B38" s="49"/>
      <c r="C38" s="50"/>
      <c r="D38" s="50">
        <f>SUM(D36:D37)</f>
        <v>29627.425365000003</v>
      </c>
      <c r="E38" s="50"/>
      <c r="F38" s="50"/>
      <c r="G38" s="50">
        <f>SUM(G36:G37)</f>
        <v>29758.225689999999</v>
      </c>
      <c r="H38" s="50">
        <f t="shared" si="3"/>
        <v>130.80032499999652</v>
      </c>
      <c r="I38" s="51">
        <f t="shared" si="8"/>
        <v>4.4148394060091328E-3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49</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15915</v>
      </c>
      <c r="C13" s="103">
        <v>9.0999999999999998E-2</v>
      </c>
      <c r="D13" s="104">
        <f>B13*C13</f>
        <v>1448.2649999999999</v>
      </c>
      <c r="E13" s="102">
        <f>B13</f>
        <v>15915</v>
      </c>
      <c r="F13" s="103">
        <f>C13</f>
        <v>9.0999999999999998E-2</v>
      </c>
      <c r="G13" s="104">
        <f>E13*F13</f>
        <v>1448.2649999999999</v>
      </c>
      <c r="H13" s="104">
        <f>G13-D13</f>
        <v>0</v>
      </c>
      <c r="I13" s="105">
        <f t="shared" ref="I13:I18" si="0">IF(ISERROR(H13/ABS(D13)),"N/A",(H13/ABS(D13)))</f>
        <v>0</v>
      </c>
      <c r="J13" s="123">
        <f t="shared" ref="J13:J29" si="1">G13/$G$38</f>
        <v>0.4227791689826218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1448.2649999999999</v>
      </c>
      <c r="E15" s="76"/>
      <c r="F15" s="25"/>
      <c r="G15" s="25">
        <f>SUM(G13:G14)</f>
        <v>1448.2649999999999</v>
      </c>
      <c r="H15" s="25">
        <f t="shared" si="3"/>
        <v>0</v>
      </c>
      <c r="I15" s="27">
        <f t="shared" si="0"/>
        <v>0</v>
      </c>
      <c r="J15" s="47">
        <f t="shared" si="1"/>
        <v>0.4227791689826218</v>
      </c>
    </row>
    <row r="16" spans="1:10" s="1" customFormat="1" x14ac:dyDescent="0.2">
      <c r="A16" s="107" t="s">
        <v>38</v>
      </c>
      <c r="B16" s="73">
        <v>1</v>
      </c>
      <c r="C16" s="78">
        <f>VLOOKUP($B$3,'Data for Bill Impacts'!$A$3:$Y$15,7,0)</f>
        <v>106.19</v>
      </c>
      <c r="D16" s="22">
        <f>B16*C16</f>
        <v>106.19</v>
      </c>
      <c r="E16" s="73">
        <f t="shared" ref="E16:E33" si="4">B16</f>
        <v>1</v>
      </c>
      <c r="F16" s="78">
        <f>VLOOKUP($B$3,'Data for Bill Impacts'!$A$3:$Y$15,17,0)</f>
        <v>107.59</v>
      </c>
      <c r="G16" s="22">
        <f>E16*F16</f>
        <v>107.59</v>
      </c>
      <c r="H16" s="22">
        <f t="shared" si="3"/>
        <v>1.4000000000000057</v>
      </c>
      <c r="I16" s="23">
        <f t="shared" si="0"/>
        <v>1.3183915622940067E-2</v>
      </c>
      <c r="J16" s="124">
        <f t="shared" si="1"/>
        <v>3.1407795390236103E-2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ref="H18" si="7">G18-D18</f>
        <v>0</v>
      </c>
      <c r="I18" s="23" t="str">
        <f t="shared" si="0"/>
        <v>N/A</v>
      </c>
      <c r="J18" s="124">
        <f t="shared" si="1"/>
        <v>0</v>
      </c>
    </row>
    <row r="19" spans="1:10" x14ac:dyDescent="0.2">
      <c r="A19" s="107" t="s">
        <v>85</v>
      </c>
      <c r="B19" s="73">
        <v>1</v>
      </c>
      <c r="C19" s="121">
        <f>VLOOKUP($B$3,'Data for Bill Impacts'!$A$3:$Y$15,13,0)</f>
        <v>-8.9999999999999993E-3</v>
      </c>
      <c r="D19" s="22">
        <f t="shared" si="6"/>
        <v>-8.9999999999999993E-3</v>
      </c>
      <c r="E19" s="73">
        <f t="shared" si="4"/>
        <v>1</v>
      </c>
      <c r="F19" s="121">
        <f>VLOOKUP($B$3,'Data for Bill Impacts'!$A$3:$Y$15,22,0)</f>
        <v>-8.9999999999999993E-3</v>
      </c>
      <c r="G19" s="22">
        <f t="shared" si="5"/>
        <v>-8.9999999999999993E-3</v>
      </c>
      <c r="H19" s="22">
        <f t="shared" ref="H19" si="8">G19-D19</f>
        <v>0</v>
      </c>
      <c r="I19" s="23">
        <f>IF(ISERROR(H19/ABS(D19)),"N/A",(H19/ABS(D19)))</f>
        <v>0</v>
      </c>
      <c r="J19" s="124">
        <f t="shared" si="1"/>
        <v>-2.6272902547832038E-6</v>
      </c>
    </row>
    <row r="20" spans="1:10" x14ac:dyDescent="0.2">
      <c r="A20" s="107" t="s">
        <v>39</v>
      </c>
      <c r="B20" s="73">
        <f>IF($B$10="kWh",$B$4,$B$5)</f>
        <v>60</v>
      </c>
      <c r="C20" s="78">
        <f>VLOOKUP($B$3,'Data for Bill Impacts'!$A$3:$Y$15,10,0)</f>
        <v>17.932099999999998</v>
      </c>
      <c r="D20" s="22">
        <f>B20*C20</f>
        <v>1075.9259999999999</v>
      </c>
      <c r="E20" s="73">
        <f t="shared" si="4"/>
        <v>60</v>
      </c>
      <c r="F20" s="78">
        <f>VLOOKUP($B$3,'Data for Bill Impacts'!$A$3:$Y$15,19,0)</f>
        <v>18.440200000000001</v>
      </c>
      <c r="G20" s="22">
        <f>E20*F20</f>
        <v>1106.412</v>
      </c>
      <c r="H20" s="22">
        <f t="shared" si="3"/>
        <v>30.486000000000104</v>
      </c>
      <c r="I20" s="23">
        <f t="shared" ref="I20" si="9">IF(ISERROR(H20/D20),0,(H20/D20))</f>
        <v>2.8334662421021617E-2</v>
      </c>
      <c r="J20" s="124">
        <f t="shared" si="1"/>
        <v>0.3229850517083549</v>
      </c>
    </row>
    <row r="21" spans="1:10" s="1" customFormat="1" x14ac:dyDescent="0.2">
      <c r="A21" s="107" t="s">
        <v>199</v>
      </c>
      <c r="B21" s="73">
        <f>IF($B$10="kWh",$B$4,$B$5)</f>
        <v>60</v>
      </c>
      <c r="C21" s="125">
        <f>VLOOKUP($B$3,'Data for Bill Impacts'!$A$3:$Y$15,14,0)</f>
        <v>5.1599999999999997E-3</v>
      </c>
      <c r="D21" s="22">
        <f>B21*C21</f>
        <v>0.30959999999999999</v>
      </c>
      <c r="E21" s="73">
        <f>B21</f>
        <v>60</v>
      </c>
      <c r="F21" s="125">
        <f>VLOOKUP($B$3,'Data for Bill Impacts'!$A$3:$Y$15,23,0)</f>
        <v>5.1599999999999997E-3</v>
      </c>
      <c r="G21" s="22">
        <f>E21*F21</f>
        <v>0.30959999999999999</v>
      </c>
      <c r="H21" s="22">
        <f>G21-D21</f>
        <v>0</v>
      </c>
      <c r="I21" s="23">
        <f>IF(ISERROR(H21/D21),0,(H21/D21))</f>
        <v>0</v>
      </c>
      <c r="J21" s="124">
        <f t="shared" si="1"/>
        <v>9.0378784764542203E-5</v>
      </c>
    </row>
    <row r="22" spans="1:10" s="1" customFormat="1" x14ac:dyDescent="0.2">
      <c r="A22" s="107" t="s">
        <v>147</v>
      </c>
      <c r="B22" s="73">
        <f>B9</f>
        <v>15915</v>
      </c>
      <c r="C22" s="125">
        <f>VLOOKUP($B$3,'Data for Bill Impacts'!$A$3:$Y$15,20,0)</f>
        <v>0</v>
      </c>
      <c r="D22" s="22">
        <f>B22*C22</f>
        <v>0</v>
      </c>
      <c r="E22" s="73">
        <f t="shared" si="4"/>
        <v>15915</v>
      </c>
      <c r="F22" s="125">
        <f>VLOOKUP($B$3,'Data for Bill Impacts'!$A$3:$Y$15,21,0)</f>
        <v>0</v>
      </c>
      <c r="G22" s="22">
        <f>E22*F22</f>
        <v>0</v>
      </c>
      <c r="H22" s="22">
        <f t="shared" si="3"/>
        <v>0</v>
      </c>
      <c r="I22" s="23" t="str">
        <f t="shared" ref="I22:I38" si="10">IF(ISERROR(H22/ABS(D22)),"N/A",(H22/ABS(D22)))</f>
        <v>N/A</v>
      </c>
      <c r="J22" s="124">
        <f t="shared" si="1"/>
        <v>0</v>
      </c>
    </row>
    <row r="23" spans="1:10" x14ac:dyDescent="0.2">
      <c r="A23" s="110" t="s">
        <v>79</v>
      </c>
      <c r="B23" s="74"/>
      <c r="C23" s="35"/>
      <c r="D23" s="35">
        <f>SUM(D16:D22)</f>
        <v>1182.4166</v>
      </c>
      <c r="E23" s="73"/>
      <c r="F23" s="35"/>
      <c r="G23" s="35">
        <f>SUM(G16:G22)</f>
        <v>1214.3026</v>
      </c>
      <c r="H23" s="35">
        <f t="shared" si="3"/>
        <v>31.885999999999967</v>
      </c>
      <c r="I23" s="36">
        <f t="shared" si="10"/>
        <v>2.6966806792123831E-2</v>
      </c>
      <c r="J23" s="111">
        <f t="shared" si="1"/>
        <v>0.35448059859310077</v>
      </c>
    </row>
    <row r="24" spans="1:10" x14ac:dyDescent="0.2">
      <c r="A24" s="107" t="s">
        <v>40</v>
      </c>
      <c r="B24" s="73">
        <f>B5</f>
        <v>60</v>
      </c>
      <c r="C24" s="125">
        <f>VLOOKUP($B$3,'Data for Bill Impacts'!$A$3:$Y$15,15,0)</f>
        <v>1.6718177000000001</v>
      </c>
      <c r="D24" s="22">
        <f>B24*C24</f>
        <v>100.30906200000001</v>
      </c>
      <c r="E24" s="73">
        <f t="shared" si="4"/>
        <v>60</v>
      </c>
      <c r="F24" s="78">
        <f>VLOOKUP($B$3,'Data for Bill Impacts'!$A$3:$Y$15,24,0)</f>
        <v>1.5908</v>
      </c>
      <c r="G24" s="22">
        <f>E24*F24</f>
        <v>95.447999999999993</v>
      </c>
      <c r="H24" s="22">
        <f t="shared" si="3"/>
        <v>-4.8610620000000182</v>
      </c>
      <c r="I24" s="23">
        <f t="shared" si="10"/>
        <v>-4.8460845940320102E-2</v>
      </c>
      <c r="J24" s="124">
        <f t="shared" si="1"/>
        <v>2.7863288915394135E-2</v>
      </c>
    </row>
    <row r="25" spans="1:10" s="1" customFormat="1" x14ac:dyDescent="0.2">
      <c r="A25" s="107" t="s">
        <v>41</v>
      </c>
      <c r="B25" s="73">
        <f>B5</f>
        <v>60</v>
      </c>
      <c r="C25" s="125">
        <f>VLOOKUP($B$3,'Data for Bill Impacts'!$A$3:$Y$15,16,0)</f>
        <v>1.2769135</v>
      </c>
      <c r="D25" s="22">
        <f>B25*C25</f>
        <v>76.614810000000006</v>
      </c>
      <c r="E25" s="73">
        <f t="shared" si="4"/>
        <v>60</v>
      </c>
      <c r="F25" s="125">
        <f>VLOOKUP($B$3,'Data for Bill Impacts'!$A$3:$Y$15,25,0)</f>
        <v>1.2918000000000001</v>
      </c>
      <c r="G25" s="22">
        <f>E25*F25</f>
        <v>77.50800000000001</v>
      </c>
      <c r="H25" s="22">
        <f t="shared" si="3"/>
        <v>0.89319000000000415</v>
      </c>
      <c r="I25" s="23">
        <f t="shared" si="10"/>
        <v>1.1658189846062452E-2</v>
      </c>
      <c r="J25" s="124">
        <f t="shared" si="1"/>
        <v>2.2626223674192956E-2</v>
      </c>
    </row>
    <row r="26" spans="1:10" x14ac:dyDescent="0.2">
      <c r="A26" s="110" t="s">
        <v>76</v>
      </c>
      <c r="B26" s="74"/>
      <c r="C26" s="35"/>
      <c r="D26" s="35">
        <f>SUM(D24:D25)</f>
        <v>176.92387200000002</v>
      </c>
      <c r="E26" s="73"/>
      <c r="F26" s="35"/>
      <c r="G26" s="35">
        <f>SUM(G24:G25)</f>
        <v>172.95600000000002</v>
      </c>
      <c r="H26" s="35">
        <f t="shared" si="3"/>
        <v>-3.9678719999999998</v>
      </c>
      <c r="I26" s="36">
        <f t="shared" si="10"/>
        <v>-2.2427001823699628E-2</v>
      </c>
      <c r="J26" s="111">
        <f t="shared" si="1"/>
        <v>5.0489512589587095E-2</v>
      </c>
    </row>
    <row r="27" spans="1:10" s="1" customFormat="1" x14ac:dyDescent="0.2">
      <c r="A27" s="110" t="s">
        <v>80</v>
      </c>
      <c r="B27" s="74"/>
      <c r="C27" s="35"/>
      <c r="D27" s="35">
        <f>D23+D26</f>
        <v>1359.3404720000001</v>
      </c>
      <c r="E27" s="73"/>
      <c r="F27" s="35"/>
      <c r="G27" s="35">
        <f>G23+G26</f>
        <v>1387.2586000000001</v>
      </c>
      <c r="H27" s="35">
        <f t="shared" si="3"/>
        <v>27.918128000000024</v>
      </c>
      <c r="I27" s="36">
        <f t="shared" si="10"/>
        <v>2.0537995134452248E-2</v>
      </c>
      <c r="J27" s="111">
        <f t="shared" si="1"/>
        <v>0.40497011118268789</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3"/>
        <v>0</v>
      </c>
      <c r="I28" s="23">
        <f t="shared" si="10"/>
        <v>0</v>
      </c>
      <c r="J28" s="124">
        <f t="shared" si="1"/>
        <v>1.6725329761949875E-2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10"/>
        <v>0</v>
      </c>
      <c r="J29" s="124">
        <f t="shared" si="1"/>
        <v>9.7564423611374261E-3</v>
      </c>
    </row>
    <row r="30" spans="1:10" x14ac:dyDescent="0.2">
      <c r="A30" s="107" t="s">
        <v>100</v>
      </c>
      <c r="B30" s="73">
        <f>B9</f>
        <v>15915</v>
      </c>
      <c r="C30" s="34">
        <v>0</v>
      </c>
      <c r="D30" s="22">
        <f>B30*C30</f>
        <v>0</v>
      </c>
      <c r="E30" s="73">
        <f t="shared" si="4"/>
        <v>15915</v>
      </c>
      <c r="F30" s="34">
        <v>0</v>
      </c>
      <c r="G30" s="22">
        <f>E30*F30</f>
        <v>0</v>
      </c>
      <c r="H30" s="22">
        <f>G30-D30</f>
        <v>0</v>
      </c>
      <c r="I30" s="23" t="str">
        <f t="shared" si="10"/>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10"/>
        <v>0</v>
      </c>
      <c r="J31" s="124">
        <f t="shared" ref="J31:J38" si="12">G31/$G$38</f>
        <v>7.2980284855088989E-5</v>
      </c>
    </row>
    <row r="32" spans="1:10" x14ac:dyDescent="0.2">
      <c r="A32" s="110" t="s">
        <v>45</v>
      </c>
      <c r="B32" s="74"/>
      <c r="C32" s="35"/>
      <c r="D32" s="35">
        <f>SUM(D28:D31)</f>
        <v>90.965499999999992</v>
      </c>
      <c r="E32" s="73"/>
      <c r="F32" s="35"/>
      <c r="G32" s="35">
        <f>SUM(G28:G31)</f>
        <v>90.965499999999992</v>
      </c>
      <c r="H32" s="35">
        <f t="shared" si="3"/>
        <v>0</v>
      </c>
      <c r="I32" s="36">
        <f t="shared" si="10"/>
        <v>0</v>
      </c>
      <c r="J32" s="111">
        <f t="shared" si="12"/>
        <v>2.6554752407942389E-2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10"/>
        <v>0</v>
      </c>
      <c r="J33" s="118">
        <f t="shared" si="12"/>
        <v>3.0651719639137379E-2</v>
      </c>
    </row>
    <row r="34" spans="1:10" x14ac:dyDescent="0.2">
      <c r="A34" s="37" t="s">
        <v>146</v>
      </c>
      <c r="B34" s="38"/>
      <c r="C34" s="39"/>
      <c r="D34" s="39">
        <f>SUM(D15,D23,D26,D32,D33)</f>
        <v>3003.5709719999995</v>
      </c>
      <c r="E34" s="38"/>
      <c r="F34" s="39"/>
      <c r="G34" s="39">
        <f>SUM(G15,G23,G26,G32,G33)</f>
        <v>3031.4890999999998</v>
      </c>
      <c r="H34" s="39">
        <f t="shared" si="3"/>
        <v>27.918128000000252</v>
      </c>
      <c r="I34" s="40">
        <f t="shared" si="10"/>
        <v>9.2949786305233529E-3</v>
      </c>
      <c r="J34" s="41">
        <f t="shared" si="12"/>
        <v>0.88495575221238942</v>
      </c>
    </row>
    <row r="35" spans="1:10" x14ac:dyDescent="0.2">
      <c r="A35" s="46" t="s">
        <v>138</v>
      </c>
      <c r="B35" s="43"/>
      <c r="C35" s="26">
        <v>0.13</v>
      </c>
      <c r="D35" s="26">
        <f>D34*C35</f>
        <v>390.46422635999994</v>
      </c>
      <c r="E35" s="26"/>
      <c r="F35" s="26">
        <f>C35</f>
        <v>0.13</v>
      </c>
      <c r="G35" s="26">
        <f>G34*F35</f>
        <v>394.09358299999997</v>
      </c>
      <c r="H35" s="26">
        <f t="shared" si="3"/>
        <v>3.6293566400000259</v>
      </c>
      <c r="I35" s="44">
        <f t="shared" si="10"/>
        <v>9.2949786305233355E-3</v>
      </c>
      <c r="J35" s="45">
        <f t="shared" si="12"/>
        <v>0.11504424778761062</v>
      </c>
    </row>
    <row r="36" spans="1:10" x14ac:dyDescent="0.2">
      <c r="A36" s="46" t="s">
        <v>139</v>
      </c>
      <c r="B36" s="24"/>
      <c r="C36" s="25"/>
      <c r="D36" s="25">
        <f>SUM(D34:D35)</f>
        <v>3394.0351983599994</v>
      </c>
      <c r="E36" s="25"/>
      <c r="F36" s="25"/>
      <c r="G36" s="25">
        <f>SUM(G34:G35)</f>
        <v>3425.5826829999996</v>
      </c>
      <c r="H36" s="25">
        <f t="shared" si="3"/>
        <v>31.547484640000221</v>
      </c>
      <c r="I36" s="27">
        <f t="shared" si="10"/>
        <v>9.2949786305233338E-3</v>
      </c>
      <c r="J36" s="47">
        <f t="shared" si="12"/>
        <v>1</v>
      </c>
    </row>
    <row r="37" spans="1:10" x14ac:dyDescent="0.2">
      <c r="A37" s="46" t="s">
        <v>140</v>
      </c>
      <c r="B37" s="43"/>
      <c r="C37" s="26">
        <v>0</v>
      </c>
      <c r="D37" s="26">
        <f>D34*C37</f>
        <v>0</v>
      </c>
      <c r="E37" s="26"/>
      <c r="F37" s="26">
        <f>C37</f>
        <v>0</v>
      </c>
      <c r="G37" s="26">
        <f>G34*F37</f>
        <v>0</v>
      </c>
      <c r="H37" s="26">
        <f t="shared" si="3"/>
        <v>0</v>
      </c>
      <c r="I37" s="44" t="str">
        <f t="shared" si="10"/>
        <v>N/A</v>
      </c>
      <c r="J37" s="45">
        <f t="shared" si="12"/>
        <v>0</v>
      </c>
    </row>
    <row r="38" spans="1:10" ht="13.5" thickBot="1" x14ac:dyDescent="0.25">
      <c r="A38" s="46" t="s">
        <v>141</v>
      </c>
      <c r="B38" s="49"/>
      <c r="C38" s="50"/>
      <c r="D38" s="50">
        <f>SUM(D36:D37)</f>
        <v>3394.0351983599994</v>
      </c>
      <c r="E38" s="50"/>
      <c r="F38" s="50"/>
      <c r="G38" s="50">
        <f>SUM(G36:G37)</f>
        <v>3425.5826829999996</v>
      </c>
      <c r="H38" s="50">
        <f t="shared" si="3"/>
        <v>31.547484640000221</v>
      </c>
      <c r="I38" s="51">
        <f t="shared" si="10"/>
        <v>9.2949786305233338E-3</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abSelected="1" topLeftCell="A7"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5</v>
      </c>
    </row>
    <row r="4" spans="1:10" x14ac:dyDescent="0.2">
      <c r="A4" s="15" t="s">
        <v>62</v>
      </c>
      <c r="B4" s="79">
        <f>'Data for Bill Impacts_HONI Avg '!C12</f>
        <v>36104</v>
      </c>
    </row>
    <row r="5" spans="1:10" x14ac:dyDescent="0.2">
      <c r="A5" s="15" t="s">
        <v>16</v>
      </c>
      <c r="B5" s="79">
        <v>128</v>
      </c>
    </row>
    <row r="6" spans="1:10" x14ac:dyDescent="0.2">
      <c r="A6" s="15" t="s">
        <v>20</v>
      </c>
      <c r="B6" s="80">
        <f>VLOOKUP($B$3,'Data for Bill Impacts'!$A$3:$Y$15,2,0)</f>
        <v>1.0609999999999999</v>
      </c>
    </row>
    <row r="7" spans="1:10" x14ac:dyDescent="0.2">
      <c r="A7" s="81" t="s">
        <v>49</v>
      </c>
      <c r="B7" s="82">
        <f>B4/(B5*730)</f>
        <v>0.38638698630136986</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38306.343999999997</v>
      </c>
      <c r="C13" s="103">
        <v>9.0999999999999998E-2</v>
      </c>
      <c r="D13" s="104">
        <f>B13*C13</f>
        <v>3485.8773039999996</v>
      </c>
      <c r="E13" s="102">
        <f>B13</f>
        <v>38306.343999999997</v>
      </c>
      <c r="F13" s="103">
        <f>C13</f>
        <v>9.0999999999999998E-2</v>
      </c>
      <c r="G13" s="104">
        <f>E13*F13</f>
        <v>3485.8773039999996</v>
      </c>
      <c r="H13" s="104">
        <f>G13-D13</f>
        <v>0</v>
      </c>
      <c r="I13" s="105">
        <f t="shared" ref="I13:I18" si="0">IF(ISERROR(H13/ABS(D13)),"N/A",(H13/ABS(D13)))</f>
        <v>0</v>
      </c>
      <c r="J13" s="123">
        <f t="shared" ref="J13:J38" si="1">G13/$G$38</f>
        <v>0.45400375600273807</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3485.8773039999996</v>
      </c>
      <c r="E15" s="76"/>
      <c r="F15" s="25"/>
      <c r="G15" s="25">
        <f>SUM(G13:G14)</f>
        <v>3485.8773039999996</v>
      </c>
      <c r="H15" s="25">
        <f t="shared" si="3"/>
        <v>0</v>
      </c>
      <c r="I15" s="27">
        <f t="shared" si="0"/>
        <v>0</v>
      </c>
      <c r="J15" s="47">
        <f t="shared" si="1"/>
        <v>0.45400375600273807</v>
      </c>
    </row>
    <row r="16" spans="1:10" s="1" customFormat="1" x14ac:dyDescent="0.2">
      <c r="A16" s="107" t="s">
        <v>38</v>
      </c>
      <c r="B16" s="73">
        <v>1</v>
      </c>
      <c r="C16" s="78">
        <f>VLOOKUP($B$3,'Data for Bill Impacts'!$A$3:$Y$15,7,0)</f>
        <v>106.19</v>
      </c>
      <c r="D16" s="22">
        <f>B16*C16</f>
        <v>106.19</v>
      </c>
      <c r="E16" s="73">
        <f t="shared" ref="E16:E33" si="4">B16</f>
        <v>1</v>
      </c>
      <c r="F16" s="78">
        <f>VLOOKUP($B$3,'Data for Bill Impacts'!$A$3:$Y$15,17,0)</f>
        <v>107.59</v>
      </c>
      <c r="G16" s="22">
        <f>E16*F16</f>
        <v>107.59</v>
      </c>
      <c r="H16" s="22">
        <f t="shared" si="3"/>
        <v>1.4000000000000057</v>
      </c>
      <c r="I16" s="23">
        <f t="shared" si="0"/>
        <v>1.3183915622940067E-2</v>
      </c>
      <c r="J16" s="124">
        <f t="shared" si="1"/>
        <v>1.4012617154448931E-2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-8.9999999999999993E-3</v>
      </c>
      <c r="D19" s="22">
        <f t="shared" si="6"/>
        <v>-8.9999999999999993E-3</v>
      </c>
      <c r="E19" s="73">
        <f t="shared" si="4"/>
        <v>1</v>
      </c>
      <c r="F19" s="121">
        <f>VLOOKUP($B$3,'Data for Bill Impacts'!$A$3:$Y$15,22,0)</f>
        <v>-8.9999999999999993E-3</v>
      </c>
      <c r="G19" s="22">
        <f t="shared" si="5"/>
        <v>-8.9999999999999993E-3</v>
      </c>
      <c r="H19" s="22">
        <f t="shared" si="3"/>
        <v>0</v>
      </c>
      <c r="I19" s="23">
        <f>IF(ISERROR(H19/ABS(D19)),"N/A",(H19/ABS(D19)))</f>
        <v>0</v>
      </c>
      <c r="J19" s="124">
        <f t="shared" si="1"/>
        <v>-1.1721679932153579E-6</v>
      </c>
    </row>
    <row r="20" spans="1:10" x14ac:dyDescent="0.2">
      <c r="A20" s="107" t="s">
        <v>39</v>
      </c>
      <c r="B20" s="73">
        <f>IF($B$10="kWh",$B$4,$B$5)</f>
        <v>128</v>
      </c>
      <c r="C20" s="78">
        <f>VLOOKUP($B$3,'Data for Bill Impacts'!$A$3:$Y$15,10,0)</f>
        <v>17.932099999999998</v>
      </c>
      <c r="D20" s="22">
        <f>B20*C20</f>
        <v>2295.3087999999998</v>
      </c>
      <c r="E20" s="73">
        <f t="shared" si="4"/>
        <v>128</v>
      </c>
      <c r="F20" s="78">
        <f>VLOOKUP($B$3,'Data for Bill Impacts'!$A$3:$Y$15,19,0)</f>
        <v>18.440200000000001</v>
      </c>
      <c r="G20" s="22">
        <f>E20*F20</f>
        <v>2360.3456000000001</v>
      </c>
      <c r="H20" s="22">
        <f t="shared" si="3"/>
        <v>65.036800000000312</v>
      </c>
      <c r="I20" s="23">
        <f t="shared" ref="I20" si="7">IF(ISERROR(H20/D20),0,(H20/D20))</f>
        <v>2.8334662421021659E-2</v>
      </c>
      <c r="J20" s="124">
        <f t="shared" si="1"/>
        <v>0.3074135072496334</v>
      </c>
    </row>
    <row r="21" spans="1:10" s="1" customFormat="1" x14ac:dyDescent="0.2">
      <c r="A21" s="107" t="s">
        <v>199</v>
      </c>
      <c r="B21" s="73">
        <f>IF($B$10="kWh",$B$4,$B$5)</f>
        <v>128</v>
      </c>
      <c r="C21" s="125">
        <f>VLOOKUP($B$3,'Data for Bill Impacts'!$A$3:$Y$15,14,0)</f>
        <v>5.1599999999999997E-3</v>
      </c>
      <c r="D21" s="22">
        <f>B21*C21</f>
        <v>0.66047999999999996</v>
      </c>
      <c r="E21" s="73">
        <f>B21</f>
        <v>128</v>
      </c>
      <c r="F21" s="125">
        <f>VLOOKUP($B$3,'Data for Bill Impacts'!$A$3:$Y$15,23,0)</f>
        <v>5.1599999999999997E-3</v>
      </c>
      <c r="G21" s="22">
        <f>E21*F21</f>
        <v>0.66047999999999996</v>
      </c>
      <c r="H21" s="22">
        <f>G21-D21</f>
        <v>0</v>
      </c>
      <c r="I21" s="23">
        <f>IF(ISERROR(H21/D21),0,(H21/D21))</f>
        <v>0</v>
      </c>
      <c r="J21" s="124">
        <f t="shared" si="1"/>
        <v>8.6021501795431076E-5</v>
      </c>
    </row>
    <row r="22" spans="1:10" s="1" customFormat="1" x14ac:dyDescent="0.2">
      <c r="A22" s="107" t="s">
        <v>147</v>
      </c>
      <c r="B22" s="73">
        <f>B9</f>
        <v>38306.343999999997</v>
      </c>
      <c r="C22" s="125">
        <f>VLOOKUP($B$3,'Data for Bill Impacts'!$A$3:$Y$15,20,0)</f>
        <v>0</v>
      </c>
      <c r="D22" s="22">
        <f>B22*C22</f>
        <v>0</v>
      </c>
      <c r="E22" s="73">
        <f t="shared" si="4"/>
        <v>38306.343999999997</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2402.1502799999998</v>
      </c>
      <c r="E23" s="73"/>
      <c r="F23" s="35"/>
      <c r="G23" s="35">
        <f>SUM(G16:G22)</f>
        <v>2468.5870800000002</v>
      </c>
      <c r="H23" s="35">
        <f t="shared" si="3"/>
        <v>66.436800000000403</v>
      </c>
      <c r="I23" s="36">
        <f t="shared" si="8"/>
        <v>2.7657220513281296E-2</v>
      </c>
      <c r="J23" s="111">
        <f t="shared" si="1"/>
        <v>0.32151097373788456</v>
      </c>
    </row>
    <row r="24" spans="1:10" x14ac:dyDescent="0.2">
      <c r="A24" s="107" t="s">
        <v>40</v>
      </c>
      <c r="B24" s="73">
        <f>B5</f>
        <v>128</v>
      </c>
      <c r="C24" s="125">
        <f>VLOOKUP($B$3,'Data for Bill Impacts'!$A$3:$Y$15,15,0)</f>
        <v>1.6718177000000001</v>
      </c>
      <c r="D24" s="22">
        <f>B24*C24</f>
        <v>213.99266560000001</v>
      </c>
      <c r="E24" s="73">
        <f t="shared" si="4"/>
        <v>128</v>
      </c>
      <c r="F24" s="78">
        <f>VLOOKUP($B$3,'Data for Bill Impacts'!$A$3:$Y$15,24,0)</f>
        <v>1.5908</v>
      </c>
      <c r="G24" s="22">
        <f>E24*F24</f>
        <v>203.6224</v>
      </c>
      <c r="H24" s="22">
        <f t="shared" si="3"/>
        <v>-10.37026560000001</v>
      </c>
      <c r="I24" s="23">
        <f t="shared" si="8"/>
        <v>-4.8460845940319977E-2</v>
      </c>
      <c r="J24" s="124">
        <f t="shared" si="1"/>
        <v>2.6519962220188327E-2</v>
      </c>
    </row>
    <row r="25" spans="1:10" s="1" customFormat="1" x14ac:dyDescent="0.2">
      <c r="A25" s="107" t="s">
        <v>41</v>
      </c>
      <c r="B25" s="73">
        <f>B5</f>
        <v>128</v>
      </c>
      <c r="C25" s="125">
        <f>VLOOKUP($B$3,'Data for Bill Impacts'!$A$3:$Y$15,16,0)</f>
        <v>1.2769135</v>
      </c>
      <c r="D25" s="22">
        <f>B25*C25</f>
        <v>163.444928</v>
      </c>
      <c r="E25" s="73">
        <f t="shared" si="4"/>
        <v>128</v>
      </c>
      <c r="F25" s="125">
        <f>VLOOKUP($B$3,'Data for Bill Impacts'!$A$3:$Y$15,25,0)</f>
        <v>1.2918000000000001</v>
      </c>
      <c r="G25" s="22">
        <f>E25*F25</f>
        <v>165.35040000000001</v>
      </c>
      <c r="H25" s="22">
        <f t="shared" si="3"/>
        <v>1.9054720000000032</v>
      </c>
      <c r="I25" s="23">
        <f t="shared" si="8"/>
        <v>1.1658189846062419E-2</v>
      </c>
      <c r="J25" s="124">
        <f t="shared" si="1"/>
        <v>2.1535382949484084E-2</v>
      </c>
    </row>
    <row r="26" spans="1:10" x14ac:dyDescent="0.2">
      <c r="A26" s="110" t="s">
        <v>76</v>
      </c>
      <c r="B26" s="74"/>
      <c r="C26" s="35"/>
      <c r="D26" s="35">
        <f>SUM(D24:D25)</f>
        <v>377.43759360000001</v>
      </c>
      <c r="E26" s="73"/>
      <c r="F26" s="35"/>
      <c r="G26" s="35">
        <f>SUM(G24:G25)</f>
        <v>368.97280000000001</v>
      </c>
      <c r="H26" s="35">
        <f t="shared" si="3"/>
        <v>-8.4647936000000072</v>
      </c>
      <c r="I26" s="36">
        <f t="shared" si="8"/>
        <v>-2.2427001823699649E-2</v>
      </c>
      <c r="J26" s="111">
        <f t="shared" si="1"/>
        <v>4.8055345169672414E-2</v>
      </c>
    </row>
    <row r="27" spans="1:10" s="1" customFormat="1" x14ac:dyDescent="0.2">
      <c r="A27" s="110" t="s">
        <v>80</v>
      </c>
      <c r="B27" s="74"/>
      <c r="C27" s="35"/>
      <c r="D27" s="35">
        <f>D23+D26</f>
        <v>2779.5878736</v>
      </c>
      <c r="E27" s="73"/>
      <c r="F27" s="35"/>
      <c r="G27" s="35">
        <f>G23+G26</f>
        <v>2837.5598800000002</v>
      </c>
      <c r="H27" s="35">
        <f t="shared" si="3"/>
        <v>57.972006400000282</v>
      </c>
      <c r="I27" s="36">
        <f t="shared" si="8"/>
        <v>2.0856331598870265E-2</v>
      </c>
      <c r="J27" s="111">
        <f t="shared" si="1"/>
        <v>0.36956631890755698</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3"/>
        <v>0</v>
      </c>
      <c r="I28" s="23">
        <f t="shared" si="8"/>
        <v>0</v>
      </c>
      <c r="J28" s="124">
        <f t="shared" si="1"/>
        <v>1.7960588149558868E-2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8"/>
        <v>0</v>
      </c>
      <c r="J29" s="124">
        <f t="shared" si="1"/>
        <v>1.0477009753909338E-2</v>
      </c>
    </row>
    <row r="30" spans="1:10" x14ac:dyDescent="0.2">
      <c r="A30" s="107" t="s">
        <v>100</v>
      </c>
      <c r="B30" s="73">
        <f>B9</f>
        <v>38306.343999999997</v>
      </c>
      <c r="C30" s="34">
        <v>0</v>
      </c>
      <c r="D30" s="22">
        <f>B30*C30</f>
        <v>0</v>
      </c>
      <c r="E30" s="73">
        <f t="shared" si="4"/>
        <v>38306.343999999997</v>
      </c>
      <c r="F30" s="34">
        <v>0</v>
      </c>
      <c r="G30" s="22">
        <f>E30*F30</f>
        <v>0</v>
      </c>
      <c r="H30" s="22">
        <f>G30-D30</f>
        <v>0</v>
      </c>
      <c r="I30" s="23" t="str">
        <f t="shared" si="8"/>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si="1"/>
        <v>3.2560222033759949E-5</v>
      </c>
    </row>
    <row r="32" spans="1:10" x14ac:dyDescent="0.2">
      <c r="A32" s="110" t="s">
        <v>45</v>
      </c>
      <c r="B32" s="74"/>
      <c r="C32" s="35"/>
      <c r="D32" s="35">
        <f>SUM(D28:D31)</f>
        <v>218.59616079999995</v>
      </c>
      <c r="E32" s="73"/>
      <c r="F32" s="35"/>
      <c r="G32" s="35">
        <f>SUM(G28:G31)</f>
        <v>218.59616079999995</v>
      </c>
      <c r="H32" s="35">
        <f t="shared" si="3"/>
        <v>0</v>
      </c>
      <c r="I32" s="36">
        <f t="shared" si="8"/>
        <v>0</v>
      </c>
      <c r="J32" s="111">
        <f t="shared" si="1"/>
        <v>2.8470158125501965E-2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3"/>
        <v>0</v>
      </c>
      <c r="I33" s="117">
        <f t="shared" si="8"/>
        <v>0</v>
      </c>
      <c r="J33" s="118">
        <f t="shared" si="1"/>
        <v>3.2915519176592335E-2</v>
      </c>
    </row>
    <row r="34" spans="1:10" x14ac:dyDescent="0.2">
      <c r="A34" s="37" t="s">
        <v>146</v>
      </c>
      <c r="B34" s="38"/>
      <c r="C34" s="39"/>
      <c r="D34" s="39">
        <f>SUM(D15,D23,D26,D32,D33)</f>
        <v>6736.789338399999</v>
      </c>
      <c r="E34" s="38"/>
      <c r="F34" s="39"/>
      <c r="G34" s="39">
        <f>SUM(G15,G23,G26,G32,G33)</f>
        <v>6794.7613448000002</v>
      </c>
      <c r="H34" s="39">
        <f t="shared" si="3"/>
        <v>57.972006400001192</v>
      </c>
      <c r="I34" s="40">
        <f t="shared" si="8"/>
        <v>8.6052871016105807E-3</v>
      </c>
      <c r="J34" s="41">
        <f t="shared" si="1"/>
        <v>0.88495575221238931</v>
      </c>
    </row>
    <row r="35" spans="1:10" x14ac:dyDescent="0.2">
      <c r="A35" s="46" t="s">
        <v>138</v>
      </c>
      <c r="B35" s="43"/>
      <c r="C35" s="26">
        <v>0.13</v>
      </c>
      <c r="D35" s="26">
        <f>D34*C35</f>
        <v>875.78261399199994</v>
      </c>
      <c r="E35" s="26"/>
      <c r="F35" s="26">
        <f>C35</f>
        <v>0.13</v>
      </c>
      <c r="G35" s="26">
        <f>G34*F35</f>
        <v>883.31897482400007</v>
      </c>
      <c r="H35" s="26">
        <f t="shared" si="3"/>
        <v>7.5363608320001276</v>
      </c>
      <c r="I35" s="44">
        <f t="shared" si="8"/>
        <v>8.6052871016105495E-3</v>
      </c>
      <c r="J35" s="45">
        <f t="shared" si="1"/>
        <v>0.11504424778761062</v>
      </c>
    </row>
    <row r="36" spans="1:10" x14ac:dyDescent="0.2">
      <c r="A36" s="46" t="s">
        <v>139</v>
      </c>
      <c r="B36" s="24"/>
      <c r="C36" s="25"/>
      <c r="D36" s="25">
        <f>SUM(D34:D35)</f>
        <v>7612.5719523919988</v>
      </c>
      <c r="E36" s="25"/>
      <c r="F36" s="25"/>
      <c r="G36" s="25">
        <f>SUM(G34:G35)</f>
        <v>7678.0803196240004</v>
      </c>
      <c r="H36" s="25">
        <f t="shared" si="3"/>
        <v>65.508367232001547</v>
      </c>
      <c r="I36" s="27">
        <f t="shared" si="8"/>
        <v>8.6052871016106067E-3</v>
      </c>
      <c r="J36" s="47">
        <f t="shared" si="1"/>
        <v>1</v>
      </c>
    </row>
    <row r="37" spans="1:10" x14ac:dyDescent="0.2">
      <c r="A37" s="46" t="s">
        <v>140</v>
      </c>
      <c r="B37" s="43"/>
      <c r="C37" s="26">
        <v>0</v>
      </c>
      <c r="D37" s="26">
        <f>D34*C37</f>
        <v>0</v>
      </c>
      <c r="E37" s="26"/>
      <c r="F37" s="26">
        <v>0</v>
      </c>
      <c r="G37" s="26">
        <f>G34*F37</f>
        <v>0</v>
      </c>
      <c r="H37" s="26">
        <f t="shared" si="3"/>
        <v>0</v>
      </c>
      <c r="I37" s="44" t="str">
        <f t="shared" si="8"/>
        <v>N/A</v>
      </c>
      <c r="J37" s="45">
        <f t="shared" si="1"/>
        <v>0</v>
      </c>
    </row>
    <row r="38" spans="1:10" ht="13.5" thickBot="1" x14ac:dyDescent="0.25">
      <c r="A38" s="48" t="s">
        <v>141</v>
      </c>
      <c r="B38" s="49"/>
      <c r="C38" s="50"/>
      <c r="D38" s="50">
        <f>SUM(D36:D37)</f>
        <v>7612.5719523919988</v>
      </c>
      <c r="E38" s="50"/>
      <c r="F38" s="50"/>
      <c r="G38" s="50">
        <f>SUM(G36:G37)</f>
        <v>7678.0803196240004</v>
      </c>
      <c r="H38" s="50">
        <f t="shared" si="3"/>
        <v>65.508367232001547</v>
      </c>
      <c r="I38" s="51">
        <f t="shared" si="8"/>
        <v>8.6052871016106067E-3</v>
      </c>
      <c r="J38" s="52">
        <f t="shared" si="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49</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185675</v>
      </c>
      <c r="C13" s="103">
        <v>9.0999999999999998E-2</v>
      </c>
      <c r="D13" s="104">
        <f>B13*C13</f>
        <v>16896.424999999999</v>
      </c>
      <c r="E13" s="102">
        <f>B13</f>
        <v>185675</v>
      </c>
      <c r="F13" s="103">
        <f>C13</f>
        <v>9.0999999999999998E-2</v>
      </c>
      <c r="G13" s="104">
        <f>E13*F13</f>
        <v>16896.424999999999</v>
      </c>
      <c r="H13" s="104">
        <f>G13-D13</f>
        <v>0</v>
      </c>
      <c r="I13" s="105">
        <f t="shared" ref="I13:I18" si="0">IF(ISERROR(H13/ABS(D13)),"N/A",(H13/ABS(D13)))</f>
        <v>0</v>
      </c>
      <c r="J13" s="123">
        <f t="shared" ref="J13:J29" si="1">G13/$G$38</f>
        <v>0.49922530792320946</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16896.424999999999</v>
      </c>
      <c r="E15" s="76"/>
      <c r="F15" s="25"/>
      <c r="G15" s="25">
        <f>SUM(G13:G14)</f>
        <v>16896.424999999999</v>
      </c>
      <c r="H15" s="25">
        <f t="shared" si="3"/>
        <v>0</v>
      </c>
      <c r="I15" s="27">
        <f t="shared" si="0"/>
        <v>0</v>
      </c>
      <c r="J15" s="47">
        <f t="shared" si="1"/>
        <v>0.49922530792320946</v>
      </c>
    </row>
    <row r="16" spans="1:10" s="1" customFormat="1" x14ac:dyDescent="0.2">
      <c r="A16" s="107" t="s">
        <v>38</v>
      </c>
      <c r="B16" s="73">
        <v>1</v>
      </c>
      <c r="C16" s="78">
        <f>VLOOKUP($B$3,'Data for Bill Impacts'!$A$3:$Y$15,7,0)</f>
        <v>106.19</v>
      </c>
      <c r="D16" s="22">
        <f>B16*C16</f>
        <v>106.19</v>
      </c>
      <c r="E16" s="73">
        <f t="shared" ref="E16:E31" si="4">B16</f>
        <v>1</v>
      </c>
      <c r="F16" s="78">
        <f>VLOOKUP($B$3,'Data for Bill Impacts'!$A$3:$Y$15,17,0)</f>
        <v>107.59</v>
      </c>
      <c r="G16" s="22">
        <f>E16*F16</f>
        <v>107.59</v>
      </c>
      <c r="H16" s="22">
        <f t="shared" si="3"/>
        <v>1.4000000000000057</v>
      </c>
      <c r="I16" s="23">
        <f t="shared" si="0"/>
        <v>1.3183915622940067E-2</v>
      </c>
      <c r="J16" s="124">
        <f t="shared" si="1"/>
        <v>3.1788766487264681E-3</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-8.9999999999999993E-3</v>
      </c>
      <c r="D19" s="22">
        <f t="shared" si="6"/>
        <v>-8.9999999999999993E-3</v>
      </c>
      <c r="E19" s="73">
        <f t="shared" si="4"/>
        <v>1</v>
      </c>
      <c r="F19" s="121">
        <f>VLOOKUP($B$3,'Data for Bill Impacts'!$A$3:$Y$15,22,0)</f>
        <v>-8.9999999999999993E-3</v>
      </c>
      <c r="G19" s="22">
        <f t="shared" si="5"/>
        <v>-8.9999999999999993E-3</v>
      </c>
      <c r="H19" s="22">
        <f t="shared" si="3"/>
        <v>0</v>
      </c>
      <c r="I19" s="23">
        <f>IF(ISERROR(H19/ABS(D19)),"N/A",(H19/ABS(D19)))</f>
        <v>0</v>
      </c>
      <c r="J19" s="124">
        <f t="shared" si="1"/>
        <v>-2.6591588287515765E-7</v>
      </c>
    </row>
    <row r="20" spans="1:10" s="1" customFormat="1" x14ac:dyDescent="0.2">
      <c r="A20" s="107" t="s">
        <v>39</v>
      </c>
      <c r="B20" s="73">
        <f>IF($B$10="kWh",$B$4,$B$5)</f>
        <v>500</v>
      </c>
      <c r="C20" s="78">
        <f>VLOOKUP($B$3,'Data for Bill Impacts'!$A$3:$Y$15,10,0)</f>
        <v>17.932099999999998</v>
      </c>
      <c r="D20" s="22">
        <f>B20*C20</f>
        <v>8966.0499999999993</v>
      </c>
      <c r="E20" s="73">
        <f>B20</f>
        <v>500</v>
      </c>
      <c r="F20" s="78">
        <f>VLOOKUP($B$3,'Data for Bill Impacts'!$A$3:$Y$15,19,0)</f>
        <v>18.440200000000001</v>
      </c>
      <c r="G20" s="22">
        <f>E20*F20</f>
        <v>9220.1</v>
      </c>
      <c r="H20" s="22">
        <f>G20-D20</f>
        <v>254.05000000000109</v>
      </c>
      <c r="I20" s="23">
        <f>IF(ISERROR(H20/D20),0,(H20/D20))</f>
        <v>2.8334662421021645E-2</v>
      </c>
      <c r="J20" s="124">
        <f t="shared" si="1"/>
        <v>0.27241900352191567</v>
      </c>
    </row>
    <row r="21" spans="1:10" s="1" customFormat="1" x14ac:dyDescent="0.2">
      <c r="A21" s="107" t="s">
        <v>199</v>
      </c>
      <c r="B21" s="73">
        <f>IF($B$10="kWh",$B$4,$B$5)</f>
        <v>500</v>
      </c>
      <c r="C21" s="125">
        <f>VLOOKUP($B$3,'Data for Bill Impacts'!$A$3:$Y$15,14,0)</f>
        <v>5.1599999999999997E-3</v>
      </c>
      <c r="D21" s="22">
        <f>B21*C21</f>
        <v>2.5799999999999996</v>
      </c>
      <c r="E21" s="73">
        <f>B21</f>
        <v>500</v>
      </c>
      <c r="F21" s="125">
        <f>VLOOKUP($B$3,'Data for Bill Impacts'!$A$3:$Y$15,23,0)</f>
        <v>5.1599999999999997E-3</v>
      </c>
      <c r="G21" s="22">
        <f>E21*F21</f>
        <v>2.5799999999999996</v>
      </c>
      <c r="H21" s="22">
        <f>G21-D21</f>
        <v>0</v>
      </c>
      <c r="I21" s="23">
        <f>IF(ISERROR(H21/D21),0,(H21/D21))</f>
        <v>0</v>
      </c>
      <c r="J21" s="124">
        <f t="shared" si="1"/>
        <v>7.6229219757545174E-5</v>
      </c>
    </row>
    <row r="22" spans="1:10" x14ac:dyDescent="0.2">
      <c r="A22" s="107" t="s">
        <v>147</v>
      </c>
      <c r="B22" s="73">
        <f>B9</f>
        <v>185675</v>
      </c>
      <c r="C22" s="125">
        <f>VLOOKUP($B$3,'Data for Bill Impacts'!$A$3:$Y$15,20,0)</f>
        <v>0</v>
      </c>
      <c r="D22" s="22">
        <f>B22*C22</f>
        <v>0</v>
      </c>
      <c r="E22" s="73">
        <f t="shared" si="4"/>
        <v>185675</v>
      </c>
      <c r="F22" s="125">
        <f>VLOOKUP($B$3,'Data for Bill Impacts'!$A$3:$Y$15,21,0)</f>
        <v>0</v>
      </c>
      <c r="G22" s="22">
        <f>E22*F22</f>
        <v>0</v>
      </c>
      <c r="H22" s="22">
        <f t="shared" si="3"/>
        <v>0</v>
      </c>
      <c r="I22" s="23" t="str">
        <f t="shared" ref="I22:I38" si="7">IF(ISERROR(H22/ABS(D22)),"N/A",(H22/ABS(D22)))</f>
        <v>N/A</v>
      </c>
      <c r="J22" s="124">
        <f t="shared" si="1"/>
        <v>0</v>
      </c>
    </row>
    <row r="23" spans="1:10" x14ac:dyDescent="0.2">
      <c r="A23" s="110" t="s">
        <v>79</v>
      </c>
      <c r="B23" s="74"/>
      <c r="C23" s="190"/>
      <c r="D23" s="35">
        <f>SUM(D16:D22)</f>
        <v>9074.8109999999997</v>
      </c>
      <c r="E23" s="73"/>
      <c r="F23" s="35"/>
      <c r="G23" s="35">
        <f>SUM(G16:G22)</f>
        <v>9330.2610000000004</v>
      </c>
      <c r="H23" s="35">
        <f t="shared" si="3"/>
        <v>255.45000000000073</v>
      </c>
      <c r="I23" s="36">
        <f t="shared" si="7"/>
        <v>2.8149346581433018E-2</v>
      </c>
      <c r="J23" s="111">
        <f t="shared" si="1"/>
        <v>0.27567384347451679</v>
      </c>
    </row>
    <row r="24" spans="1:10" x14ac:dyDescent="0.2">
      <c r="A24" s="107" t="s">
        <v>40</v>
      </c>
      <c r="B24" s="73">
        <f>B5</f>
        <v>500</v>
      </c>
      <c r="C24" s="125">
        <f>VLOOKUP($B$3,'Data for Bill Impacts'!$A$3:$Y$15,15,0)</f>
        <v>1.6718177000000001</v>
      </c>
      <c r="D24" s="22">
        <f>B24*C24</f>
        <v>835.90885000000003</v>
      </c>
      <c r="E24" s="73">
        <f t="shared" si="4"/>
        <v>500</v>
      </c>
      <c r="F24" s="78">
        <f>VLOOKUP($B$3,'Data for Bill Impacts'!$A$3:$Y$15,24,0)</f>
        <v>1.5908</v>
      </c>
      <c r="G24" s="22">
        <f>E24*F24</f>
        <v>795.4</v>
      </c>
      <c r="H24" s="22">
        <f t="shared" si="3"/>
        <v>-40.508850000000052</v>
      </c>
      <c r="I24" s="23">
        <f t="shared" si="7"/>
        <v>-4.8460845940319991E-2</v>
      </c>
      <c r="J24" s="124">
        <f t="shared" si="1"/>
        <v>2.3501054804322265E-2</v>
      </c>
    </row>
    <row r="25" spans="1:10" s="1" customFormat="1" x14ac:dyDescent="0.2">
      <c r="A25" s="107" t="s">
        <v>41</v>
      </c>
      <c r="B25" s="73">
        <f>B5</f>
        <v>500</v>
      </c>
      <c r="C25" s="125">
        <f>VLOOKUP($B$3,'Data for Bill Impacts'!$A$3:$Y$15,16,0)</f>
        <v>1.2769135</v>
      </c>
      <c r="D25" s="22">
        <f>B25*C25</f>
        <v>638.45675000000006</v>
      </c>
      <c r="E25" s="73">
        <f t="shared" si="4"/>
        <v>500</v>
      </c>
      <c r="F25" s="125">
        <f>VLOOKUP($B$3,'Data for Bill Impacts'!$A$3:$Y$15,25,0)</f>
        <v>1.2918000000000001</v>
      </c>
      <c r="G25" s="22">
        <f>E25*F25</f>
        <v>645.9</v>
      </c>
      <c r="H25" s="22">
        <f t="shared" si="3"/>
        <v>7.4432499999999209</v>
      </c>
      <c r="I25" s="23">
        <f t="shared" si="7"/>
        <v>1.1658189846062275E-2</v>
      </c>
      <c r="J25" s="124">
        <f t="shared" si="1"/>
        <v>1.9083896527673814E-2</v>
      </c>
    </row>
    <row r="26" spans="1:10" x14ac:dyDescent="0.2">
      <c r="A26" s="110" t="s">
        <v>76</v>
      </c>
      <c r="B26" s="74"/>
      <c r="C26" s="35"/>
      <c r="D26" s="35">
        <f>SUM(D24:D25)</f>
        <v>1474.3656000000001</v>
      </c>
      <c r="E26" s="73"/>
      <c r="F26" s="35"/>
      <c r="G26" s="35">
        <f>SUM(G24:G25)</f>
        <v>1441.3</v>
      </c>
      <c r="H26" s="35">
        <f t="shared" si="3"/>
        <v>-33.065600000000131</v>
      </c>
      <c r="I26" s="36">
        <f t="shared" si="7"/>
        <v>-2.2427001823699718E-2</v>
      </c>
      <c r="J26" s="111">
        <f t="shared" si="1"/>
        <v>4.2584951331996079E-2</v>
      </c>
    </row>
    <row r="27" spans="1:10" s="1" customFormat="1" x14ac:dyDescent="0.2">
      <c r="A27" s="110" t="s">
        <v>80</v>
      </c>
      <c r="B27" s="74"/>
      <c r="C27" s="35"/>
      <c r="D27" s="35">
        <f>D23+D26</f>
        <v>10549.176599999999</v>
      </c>
      <c r="E27" s="73"/>
      <c r="F27" s="35"/>
      <c r="G27" s="35">
        <f>G23+G26</f>
        <v>10771.561</v>
      </c>
      <c r="H27" s="35">
        <f t="shared" si="3"/>
        <v>222.38440000000082</v>
      </c>
      <c r="I27" s="36">
        <f t="shared" si="7"/>
        <v>2.1080735343837247E-2</v>
      </c>
      <c r="J27" s="111">
        <f t="shared" si="1"/>
        <v>0.31825879480651287</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3"/>
        <v>0</v>
      </c>
      <c r="I28" s="23">
        <f t="shared" si="7"/>
        <v>0</v>
      </c>
      <c r="J28" s="124">
        <f t="shared" si="1"/>
        <v>1.9749572621137957E-2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7"/>
        <v>0</v>
      </c>
      <c r="J29" s="124">
        <f t="shared" si="1"/>
        <v>1.1520584028997142E-2</v>
      </c>
    </row>
    <row r="30" spans="1:10" x14ac:dyDescent="0.2">
      <c r="A30" s="107" t="s">
        <v>100</v>
      </c>
      <c r="B30" s="73">
        <f>B9</f>
        <v>185675</v>
      </c>
      <c r="C30" s="34">
        <v>0</v>
      </c>
      <c r="D30" s="22">
        <f>B30*C30</f>
        <v>0</v>
      </c>
      <c r="E30" s="73">
        <f t="shared" si="4"/>
        <v>185675</v>
      </c>
      <c r="F30" s="34">
        <v>0</v>
      </c>
      <c r="G30" s="22">
        <f>E30*F30</f>
        <v>0</v>
      </c>
      <c r="H30" s="22">
        <f>G30-D30</f>
        <v>0</v>
      </c>
      <c r="I30" s="23" t="str">
        <f t="shared" si="7"/>
        <v>N/A</v>
      </c>
      <c r="J30" s="124">
        <f t="shared" ref="J30" si="8">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G31/$G$38</f>
        <v>7.3865523020877125E-6</v>
      </c>
    </row>
    <row r="32" spans="1:10" x14ac:dyDescent="0.2">
      <c r="A32" s="110" t="s">
        <v>45</v>
      </c>
      <c r="B32" s="74"/>
      <c r="C32" s="35"/>
      <c r="D32" s="35">
        <f>SUM(D28:D31)</f>
        <v>1058.5974999999999</v>
      </c>
      <c r="E32" s="73"/>
      <c r="F32" s="35"/>
      <c r="G32" s="35">
        <f>SUM(G28:G31)</f>
        <v>1058.5974999999999</v>
      </c>
      <c r="H32" s="35">
        <f t="shared" si="3"/>
        <v>0</v>
      </c>
      <c r="I32" s="36">
        <f t="shared" si="7"/>
        <v>0</v>
      </c>
      <c r="J32" s="111">
        <f>G32/$G$38</f>
        <v>3.1277543202437183E-2</v>
      </c>
    </row>
    <row r="33" spans="1:10" ht="13.5" thickBot="1" x14ac:dyDescent="0.25">
      <c r="A33" s="112" t="s">
        <v>46</v>
      </c>
      <c r="B33" s="113">
        <f>B4</f>
        <v>175000</v>
      </c>
      <c r="C33" s="114">
        <v>7.0000000000000001E-3</v>
      </c>
      <c r="D33" s="115">
        <f>B33*C33</f>
        <v>1225</v>
      </c>
      <c r="E33" s="116">
        <f t="shared" ref="E33" si="9">B33</f>
        <v>175000</v>
      </c>
      <c r="F33" s="114">
        <f>C33</f>
        <v>7.0000000000000001E-3</v>
      </c>
      <c r="G33" s="115">
        <f>E33*F33</f>
        <v>1225</v>
      </c>
      <c r="H33" s="115">
        <f t="shared" si="3"/>
        <v>0</v>
      </c>
      <c r="I33" s="117">
        <f t="shared" si="7"/>
        <v>0</v>
      </c>
      <c r="J33" s="118">
        <f t="shared" ref="J33:J38" si="10">G33/$G$38</f>
        <v>3.6194106280229787E-2</v>
      </c>
    </row>
    <row r="34" spans="1:10" x14ac:dyDescent="0.2">
      <c r="A34" s="37" t="s">
        <v>146</v>
      </c>
      <c r="B34" s="38"/>
      <c r="C34" s="39"/>
      <c r="D34" s="39">
        <f>SUM(D15,D23,D26,D32,D33)</f>
        <v>29729.199099999998</v>
      </c>
      <c r="E34" s="38"/>
      <c r="F34" s="39"/>
      <c r="G34" s="39">
        <f>SUM(G15,G23,G26,G32,G33)</f>
        <v>29951.583500000001</v>
      </c>
      <c r="H34" s="39">
        <f t="shared" si="3"/>
        <v>222.38440000000264</v>
      </c>
      <c r="I34" s="40">
        <f t="shared" si="7"/>
        <v>7.4803360578927485E-3</v>
      </c>
      <c r="J34" s="41">
        <f t="shared" si="10"/>
        <v>0.88495575221238942</v>
      </c>
    </row>
    <row r="35" spans="1:10" x14ac:dyDescent="0.2">
      <c r="A35" s="46" t="s">
        <v>138</v>
      </c>
      <c r="B35" s="43"/>
      <c r="C35" s="26">
        <v>0.13</v>
      </c>
      <c r="D35" s="26">
        <f>D34*C35</f>
        <v>3864.7958829999998</v>
      </c>
      <c r="E35" s="26"/>
      <c r="F35" s="26">
        <f>C35</f>
        <v>0.13</v>
      </c>
      <c r="G35" s="26">
        <f>G34*F35</f>
        <v>3893.7058550000002</v>
      </c>
      <c r="H35" s="26">
        <f t="shared" si="3"/>
        <v>28.90997200000038</v>
      </c>
      <c r="I35" s="44">
        <f t="shared" si="7"/>
        <v>7.4803360578927581E-3</v>
      </c>
      <c r="J35" s="45">
        <f t="shared" si="10"/>
        <v>0.11504424778761062</v>
      </c>
    </row>
    <row r="36" spans="1:10" x14ac:dyDescent="0.2">
      <c r="A36" s="46" t="s">
        <v>139</v>
      </c>
      <c r="B36" s="24"/>
      <c r="C36" s="25"/>
      <c r="D36" s="25">
        <f>SUM(D34:D35)</f>
        <v>33593.994982999997</v>
      </c>
      <c r="E36" s="25"/>
      <c r="F36" s="25"/>
      <c r="G36" s="25">
        <f>SUM(G34:G35)</f>
        <v>33845.289355000001</v>
      </c>
      <c r="H36" s="25">
        <f t="shared" si="3"/>
        <v>251.29437200000393</v>
      </c>
      <c r="I36" s="27">
        <f t="shared" si="7"/>
        <v>7.4803360578927771E-3</v>
      </c>
      <c r="J36" s="47">
        <f t="shared" si="10"/>
        <v>1</v>
      </c>
    </row>
    <row r="37" spans="1:10" x14ac:dyDescent="0.2">
      <c r="A37" s="46" t="s">
        <v>140</v>
      </c>
      <c r="B37" s="43"/>
      <c r="C37" s="26">
        <v>0</v>
      </c>
      <c r="D37" s="26">
        <f>D34*C37</f>
        <v>0</v>
      </c>
      <c r="E37" s="26"/>
      <c r="F37" s="26">
        <f>C37</f>
        <v>0</v>
      </c>
      <c r="G37" s="26">
        <f>G34*F37</f>
        <v>0</v>
      </c>
      <c r="H37" s="26">
        <f t="shared" si="3"/>
        <v>0</v>
      </c>
      <c r="I37" s="44" t="str">
        <f t="shared" si="7"/>
        <v>N/A</v>
      </c>
      <c r="J37" s="45">
        <f t="shared" si="10"/>
        <v>0</v>
      </c>
    </row>
    <row r="38" spans="1:10" ht="13.5" thickBot="1" x14ac:dyDescent="0.25">
      <c r="A38" s="46" t="s">
        <v>141</v>
      </c>
      <c r="B38" s="49"/>
      <c r="C38" s="50"/>
      <c r="D38" s="50">
        <f>SUM(D36:D37)</f>
        <v>33593.994982999997</v>
      </c>
      <c r="E38" s="50"/>
      <c r="F38" s="50"/>
      <c r="G38" s="50">
        <f>SUM(G36:G37)</f>
        <v>33845.289355000001</v>
      </c>
      <c r="H38" s="50">
        <f t="shared" si="3"/>
        <v>251.29437200000393</v>
      </c>
      <c r="I38" s="51">
        <f t="shared" si="7"/>
        <v>7.4803360578927771E-3</v>
      </c>
      <c r="J38" s="52">
        <f t="shared" si="10"/>
        <v>1</v>
      </c>
    </row>
    <row r="39" spans="1:10" x14ac:dyDescent="0.2">
      <c r="F39" s="69"/>
    </row>
    <row r="40" spans="1:10" x14ac:dyDescent="0.2">
      <c r="F40" s="69"/>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1" tint="0.499984740745262"/>
    <pageSetUpPr fitToPage="1"/>
  </sheetPr>
  <dimension ref="A1:J40"/>
  <sheetViews>
    <sheetView tabSelected="1" view="pageBreakPreview" topLeftCell="A10"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10</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49</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318.29999999999995</v>
      </c>
      <c r="C13" s="103">
        <v>9.0999999999999998E-2</v>
      </c>
      <c r="D13" s="104">
        <f>B13*C13</f>
        <v>28.965299999999996</v>
      </c>
      <c r="E13" s="102">
        <f>B13</f>
        <v>318.29999999999995</v>
      </c>
      <c r="F13" s="103">
        <f>C13</f>
        <v>9.0999999999999998E-2</v>
      </c>
      <c r="G13" s="104">
        <f>E13*F13</f>
        <v>28.965299999999996</v>
      </c>
      <c r="H13" s="104">
        <f>G13-D13</f>
        <v>0</v>
      </c>
      <c r="I13" s="105">
        <f t="shared" ref="I13:I18" si="0">IF(ISERROR(H13/ABS(D13)),"N/A",(H13/ABS(D13)))</f>
        <v>0</v>
      </c>
      <c r="J13" s="123">
        <f t="shared" ref="J13:J29" si="1">G13/$G$38</f>
        <v>7.2131533928633834E-2</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28.965299999999996</v>
      </c>
      <c r="E15" s="76"/>
      <c r="F15" s="25"/>
      <c r="G15" s="25">
        <f>SUM(G13:G14)</f>
        <v>28.965299999999996</v>
      </c>
      <c r="H15" s="25">
        <f t="shared" si="3"/>
        <v>0</v>
      </c>
      <c r="I15" s="27">
        <f t="shared" si="0"/>
        <v>0</v>
      </c>
      <c r="J15" s="47">
        <f t="shared" si="1"/>
        <v>7.2131533928633834E-2</v>
      </c>
    </row>
    <row r="16" spans="1:10" s="1" customFormat="1" x14ac:dyDescent="0.2">
      <c r="A16" s="107" t="s">
        <v>38</v>
      </c>
      <c r="B16" s="73">
        <v>1</v>
      </c>
      <c r="C16" s="78">
        <f>VLOOKUP($B$3,'Data for Bill Impacts'!$A$3:$Y$15,7,0)</f>
        <v>196.16</v>
      </c>
      <c r="D16" s="22">
        <f>B16*C16</f>
        <v>196.16</v>
      </c>
      <c r="E16" s="73">
        <f t="shared" ref="E16:E33" si="4">B16</f>
        <v>1</v>
      </c>
      <c r="F16" s="78">
        <f>VLOOKUP($B$3,'Data for Bill Impacts'!$A$3:$Y$15,17,0)</f>
        <v>196.16</v>
      </c>
      <c r="G16" s="22">
        <f>E16*F16</f>
        <v>196.16</v>
      </c>
      <c r="H16" s="22">
        <f t="shared" si="3"/>
        <v>0</v>
      </c>
      <c r="I16" s="23">
        <f t="shared" si="0"/>
        <v>0</v>
      </c>
      <c r="J16" s="124">
        <f t="shared" si="1"/>
        <v>0.48849215079563524</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1.0999999999999999E-2</v>
      </c>
      <c r="D19" s="22">
        <f t="shared" si="6"/>
        <v>1.0999999999999999E-2</v>
      </c>
      <c r="E19" s="73">
        <f t="shared" si="4"/>
        <v>1</v>
      </c>
      <c r="F19" s="121">
        <f>VLOOKUP($B$3,'Data for Bill Impacts'!$A$3:$Y$15,22,0)</f>
        <v>1.0999999999999999E-2</v>
      </c>
      <c r="G19" s="22">
        <f t="shared" si="5"/>
        <v>1.0999999999999999E-2</v>
      </c>
      <c r="H19" s="22">
        <f t="shared" si="3"/>
        <v>0</v>
      </c>
      <c r="I19" s="23">
        <f>IF(ISERROR(H19/ABS(D19)),"N/A",(H19/ABS(D19)))</f>
        <v>0</v>
      </c>
      <c r="J19" s="124">
        <f t="shared" si="1"/>
        <v>2.7393014165742188E-5</v>
      </c>
    </row>
    <row r="20" spans="1:10" x14ac:dyDescent="0.2">
      <c r="A20" s="107" t="s">
        <v>39</v>
      </c>
      <c r="B20" s="73">
        <f>IF($B$10="kWh",$B$4,$B$5)</f>
        <v>10</v>
      </c>
      <c r="C20" s="78">
        <f>VLOOKUP($B$3,'Data for Bill Impacts'!$A$3:$Y$15,10,0)</f>
        <v>10.644599999999999</v>
      </c>
      <c r="D20" s="22">
        <f>B20*C20</f>
        <v>106.44599999999998</v>
      </c>
      <c r="E20" s="73">
        <f t="shared" si="4"/>
        <v>10</v>
      </c>
      <c r="F20" s="78">
        <f>VLOOKUP($B$3,'Data for Bill Impacts'!$A$3:$Y$15,19,0)</f>
        <v>11.409800000000001</v>
      </c>
      <c r="G20" s="22">
        <f>E20*F20</f>
        <v>114.09800000000001</v>
      </c>
      <c r="H20" s="22">
        <f t="shared" si="3"/>
        <v>7.6520000000000294</v>
      </c>
      <c r="I20" s="23">
        <f t="shared" ref="I20" si="7">IF(ISERROR(H20/D20),0,(H20/D20))</f>
        <v>7.1886214606467422E-2</v>
      </c>
      <c r="J20" s="124">
        <f t="shared" si="1"/>
        <v>0.28413528457116843</v>
      </c>
    </row>
    <row r="21" spans="1:10" s="1" customFormat="1" x14ac:dyDescent="0.2">
      <c r="A21" s="107" t="s">
        <v>199</v>
      </c>
      <c r="B21" s="73">
        <f>IF($B$10="kWh",$B$4,$B$5)</f>
        <v>10</v>
      </c>
      <c r="C21" s="125">
        <f>VLOOKUP($B$3,'Data for Bill Impacts'!$A$3:$Y$15,14,0)</f>
        <v>2.82E-3</v>
      </c>
      <c r="D21" s="22">
        <f>B21*C21</f>
        <v>2.8199999999999999E-2</v>
      </c>
      <c r="E21" s="73">
        <f>B21</f>
        <v>10</v>
      </c>
      <c r="F21" s="125">
        <f>VLOOKUP($B$3,'Data for Bill Impacts'!$A$3:$Y$15,23,0)</f>
        <v>2.82E-3</v>
      </c>
      <c r="G21" s="22">
        <f>E21*F21</f>
        <v>2.8199999999999999E-2</v>
      </c>
      <c r="H21" s="22">
        <f>G21-D21</f>
        <v>0</v>
      </c>
      <c r="I21" s="23">
        <f>IF(ISERROR(H21/D21),0,(H21/D21))</f>
        <v>0</v>
      </c>
      <c r="J21" s="124">
        <f t="shared" si="1"/>
        <v>7.0225727224902706E-5</v>
      </c>
    </row>
    <row r="22" spans="1:10" s="1" customFormat="1" x14ac:dyDescent="0.2">
      <c r="A22" s="107" t="s">
        <v>147</v>
      </c>
      <c r="B22" s="73">
        <f>B9</f>
        <v>318.29999999999995</v>
      </c>
      <c r="C22" s="125">
        <f>VLOOKUP($B$3,'Data for Bill Impacts'!$A$3:$Y$15,20,0)</f>
        <v>0</v>
      </c>
      <c r="D22" s="22">
        <f>B22*C22</f>
        <v>0</v>
      </c>
      <c r="E22" s="73">
        <f t="shared" si="4"/>
        <v>318.29999999999995</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302.64519999999999</v>
      </c>
      <c r="E23" s="73"/>
      <c r="F23" s="35"/>
      <c r="G23" s="35">
        <f>SUM(G16:G22)</f>
        <v>310.29720000000003</v>
      </c>
      <c r="H23" s="35">
        <f t="shared" si="3"/>
        <v>7.6520000000000437</v>
      </c>
      <c r="I23" s="36">
        <f t="shared" si="8"/>
        <v>2.5283731577438018E-2</v>
      </c>
      <c r="J23" s="111">
        <f t="shared" si="1"/>
        <v>0.77272505410819436</v>
      </c>
    </row>
    <row r="24" spans="1:10" x14ac:dyDescent="0.2">
      <c r="A24" s="107" t="s">
        <v>40</v>
      </c>
      <c r="B24" s="73">
        <f>B5</f>
        <v>10</v>
      </c>
      <c r="C24" s="125">
        <f>VLOOKUP($B$3,'Data for Bill Impacts'!$A$3:$Y$15,15,0)</f>
        <v>0.63108279999999994</v>
      </c>
      <c r="D24" s="22">
        <f>B24*C24</f>
        <v>6.310827999999999</v>
      </c>
      <c r="E24" s="73">
        <f t="shared" si="4"/>
        <v>10</v>
      </c>
      <c r="F24" s="78">
        <f>VLOOKUP($B$3,'Data for Bill Impacts'!$A$3:$Y$15,24,0)</f>
        <v>0.63949999999999996</v>
      </c>
      <c r="G24" s="22">
        <f>E24*F24</f>
        <v>6.3949999999999996</v>
      </c>
      <c r="H24" s="22">
        <f t="shared" si="3"/>
        <v>8.417200000000058E-2</v>
      </c>
      <c r="I24" s="23">
        <f t="shared" si="8"/>
        <v>1.3337710994500341E-2</v>
      </c>
      <c r="J24" s="124">
        <f t="shared" si="1"/>
        <v>1.5925302326356482E-2</v>
      </c>
    </row>
    <row r="25" spans="1:10" s="1" customFormat="1" x14ac:dyDescent="0.2">
      <c r="A25" s="107" t="s">
        <v>41</v>
      </c>
      <c r="B25" s="73">
        <f>B5</f>
        <v>10</v>
      </c>
      <c r="C25" s="125">
        <f>VLOOKUP($B$3,'Data for Bill Impacts'!$A$3:$Y$15,16,0)</f>
        <v>0.54747599999999996</v>
      </c>
      <c r="D25" s="22">
        <f>B25*C25</f>
        <v>5.4747599999999998</v>
      </c>
      <c r="E25" s="73">
        <f t="shared" si="4"/>
        <v>10</v>
      </c>
      <c r="F25" s="125">
        <f>VLOOKUP($B$3,'Data for Bill Impacts'!$A$3:$Y$15,25,0)</f>
        <v>0.55430000000000001</v>
      </c>
      <c r="G25" s="22">
        <f>E25*F25</f>
        <v>5.5430000000000001</v>
      </c>
      <c r="H25" s="22">
        <f t="shared" si="3"/>
        <v>6.82400000000003E-2</v>
      </c>
      <c r="I25" s="23">
        <f t="shared" si="8"/>
        <v>1.246447332851126E-2</v>
      </c>
      <c r="J25" s="124">
        <f t="shared" si="1"/>
        <v>1.3803588865518997E-2</v>
      </c>
    </row>
    <row r="26" spans="1:10" x14ac:dyDescent="0.2">
      <c r="A26" s="110" t="s">
        <v>76</v>
      </c>
      <c r="B26" s="74"/>
      <c r="C26" s="35"/>
      <c r="D26" s="35">
        <f>SUM(D24:D25)</f>
        <v>11.785587999999999</v>
      </c>
      <c r="E26" s="73"/>
      <c r="F26" s="35"/>
      <c r="G26" s="35">
        <f>SUM(G24:G25)</f>
        <v>11.937999999999999</v>
      </c>
      <c r="H26" s="35">
        <f t="shared" si="3"/>
        <v>0.15241199999999999</v>
      </c>
      <c r="I26" s="36">
        <f t="shared" si="8"/>
        <v>1.2932065841772172E-2</v>
      </c>
      <c r="J26" s="111">
        <f t="shared" si="1"/>
        <v>2.9728891191875474E-2</v>
      </c>
    </row>
    <row r="27" spans="1:10" s="1" customFormat="1" x14ac:dyDescent="0.2">
      <c r="A27" s="110" t="s">
        <v>80</v>
      </c>
      <c r="B27" s="74"/>
      <c r="C27" s="35"/>
      <c r="D27" s="35">
        <f>D23+D26</f>
        <v>314.43078800000001</v>
      </c>
      <c r="E27" s="73"/>
      <c r="F27" s="35"/>
      <c r="G27" s="35">
        <f>G23+G26</f>
        <v>322.23520000000002</v>
      </c>
      <c r="H27" s="35">
        <f t="shared" si="3"/>
        <v>7.8044120000000134</v>
      </c>
      <c r="I27" s="36">
        <f t="shared" si="8"/>
        <v>2.4820762781028977E-2</v>
      </c>
      <c r="J27" s="111">
        <f t="shared" si="1"/>
        <v>0.80245394530006986</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3"/>
        <v>0</v>
      </c>
      <c r="I28" s="23">
        <f t="shared" si="8"/>
        <v>0</v>
      </c>
      <c r="J28" s="124">
        <f t="shared" si="1"/>
        <v>2.853555188385514E-3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8"/>
        <v>0</v>
      </c>
      <c r="J29" s="124">
        <f t="shared" si="1"/>
        <v>1.6645738598915498E-3</v>
      </c>
    </row>
    <row r="30" spans="1:10" x14ac:dyDescent="0.2">
      <c r="A30" s="107" t="s">
        <v>100</v>
      </c>
      <c r="B30" s="73">
        <f>B9</f>
        <v>318.29999999999995</v>
      </c>
      <c r="C30" s="34">
        <v>0</v>
      </c>
      <c r="D30" s="22">
        <f>B30*C30</f>
        <v>0</v>
      </c>
      <c r="E30" s="73">
        <f t="shared" si="4"/>
        <v>318.29999999999995</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6.2256850376686795E-4</v>
      </c>
    </row>
    <row r="32" spans="1:10" x14ac:dyDescent="0.2">
      <c r="A32" s="110" t="s">
        <v>45</v>
      </c>
      <c r="B32" s="74"/>
      <c r="C32" s="35"/>
      <c r="D32" s="35">
        <f>SUM(D28:D31)</f>
        <v>2.0643099999999999</v>
      </c>
      <c r="E32" s="73"/>
      <c r="F32" s="35"/>
      <c r="G32" s="35">
        <f>SUM(G28:G31)</f>
        <v>2.0643099999999999</v>
      </c>
      <c r="H32" s="35">
        <f t="shared" si="3"/>
        <v>0</v>
      </c>
      <c r="I32" s="36">
        <f t="shared" si="8"/>
        <v>0</v>
      </c>
      <c r="J32" s="111">
        <f t="shared" si="10"/>
        <v>5.1406975520439328E-3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3"/>
        <v>0</v>
      </c>
      <c r="I33" s="117">
        <f t="shared" si="8"/>
        <v>0</v>
      </c>
      <c r="J33" s="118">
        <f t="shared" si="10"/>
        <v>5.2295754316416913E-3</v>
      </c>
    </row>
    <row r="34" spans="1:10" x14ac:dyDescent="0.2">
      <c r="A34" s="37" t="s">
        <v>146</v>
      </c>
      <c r="B34" s="38"/>
      <c r="C34" s="39"/>
      <c r="D34" s="39">
        <f>SUM(D15,D23,D26,D32,D33)</f>
        <v>347.56039800000002</v>
      </c>
      <c r="E34" s="38"/>
      <c r="F34" s="39"/>
      <c r="G34" s="39">
        <f>SUM(G15,G23,G26,G32,G33)</f>
        <v>355.36481000000003</v>
      </c>
      <c r="H34" s="39">
        <f t="shared" si="3"/>
        <v>7.8044120000000134</v>
      </c>
      <c r="I34" s="40">
        <f t="shared" si="8"/>
        <v>2.2454836756171551E-2</v>
      </c>
      <c r="J34" s="41">
        <f t="shared" si="10"/>
        <v>0.88495575221238931</v>
      </c>
    </row>
    <row r="35" spans="1:10" x14ac:dyDescent="0.2">
      <c r="A35" s="46" t="s">
        <v>138</v>
      </c>
      <c r="B35" s="43"/>
      <c r="C35" s="26">
        <v>0.13</v>
      </c>
      <c r="D35" s="26">
        <f>D34*C35</f>
        <v>45.182851740000004</v>
      </c>
      <c r="E35" s="26"/>
      <c r="F35" s="26">
        <f>C35</f>
        <v>0.13</v>
      </c>
      <c r="G35" s="26">
        <f>G34*F35</f>
        <v>46.197425300000006</v>
      </c>
      <c r="H35" s="26">
        <f t="shared" si="3"/>
        <v>1.0145735600000023</v>
      </c>
      <c r="I35" s="44">
        <f t="shared" si="8"/>
        <v>2.2454836756171562E-2</v>
      </c>
      <c r="J35" s="45">
        <f t="shared" si="10"/>
        <v>0.11504424778761062</v>
      </c>
    </row>
    <row r="36" spans="1:10" x14ac:dyDescent="0.2">
      <c r="A36" s="46" t="s">
        <v>139</v>
      </c>
      <c r="B36" s="24"/>
      <c r="C36" s="25"/>
      <c r="D36" s="25">
        <f>SUM(D34:D35)</f>
        <v>392.74324974000001</v>
      </c>
      <c r="E36" s="25"/>
      <c r="F36" s="25"/>
      <c r="G36" s="25">
        <f>SUM(G34:G35)</f>
        <v>401.56223530000005</v>
      </c>
      <c r="H36" s="25">
        <f t="shared" si="3"/>
        <v>8.8189855600000442</v>
      </c>
      <c r="I36" s="27">
        <f t="shared" si="8"/>
        <v>2.2454836756171624E-2</v>
      </c>
      <c r="J36" s="47">
        <f t="shared" si="10"/>
        <v>1</v>
      </c>
    </row>
    <row r="37" spans="1:10" x14ac:dyDescent="0.2">
      <c r="A37" s="46" t="s">
        <v>140</v>
      </c>
      <c r="B37" s="43"/>
      <c r="C37" s="26">
        <v>0</v>
      </c>
      <c r="D37" s="26">
        <f>D34*C37</f>
        <v>0</v>
      </c>
      <c r="E37" s="26"/>
      <c r="F37" s="26">
        <v>0</v>
      </c>
      <c r="G37" s="26">
        <f>G34*F37</f>
        <v>0</v>
      </c>
      <c r="H37" s="26">
        <f t="shared" si="3"/>
        <v>0</v>
      </c>
      <c r="I37" s="44" t="str">
        <f t="shared" si="8"/>
        <v>N/A</v>
      </c>
      <c r="J37" s="45">
        <f t="shared" si="10"/>
        <v>0</v>
      </c>
    </row>
    <row r="38" spans="1:10" ht="13.5" thickBot="1" x14ac:dyDescent="0.25">
      <c r="A38" s="46" t="s">
        <v>141</v>
      </c>
      <c r="B38" s="49"/>
      <c r="C38" s="50"/>
      <c r="D38" s="50">
        <f>SUM(D36:D37)</f>
        <v>392.74324974000001</v>
      </c>
      <c r="E38" s="50"/>
      <c r="F38" s="50"/>
      <c r="G38" s="50">
        <f>SUM(G36:G37)</f>
        <v>401.56223530000005</v>
      </c>
      <c r="H38" s="50">
        <f t="shared" si="3"/>
        <v>8.8189855600000442</v>
      </c>
      <c r="I38" s="51">
        <f t="shared" si="8"/>
        <v>2.2454836756171624E-2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theme="1" tint="0.499984740745262"/>
    <pageSetUpPr fitToPage="1"/>
  </sheetPr>
  <dimension ref="A1:J43"/>
  <sheetViews>
    <sheetView tabSelected="1"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10</v>
      </c>
    </row>
    <row r="4" spans="1:10" x14ac:dyDescent="0.2">
      <c r="A4" s="15" t="s">
        <v>62</v>
      </c>
      <c r="B4" s="79">
        <f>'Data for Bill Impacts_HONI Avg '!C14</f>
        <v>1328</v>
      </c>
    </row>
    <row r="5" spans="1:10" x14ac:dyDescent="0.2">
      <c r="A5" s="15" t="s">
        <v>16</v>
      </c>
      <c r="B5" s="79">
        <v>12</v>
      </c>
    </row>
    <row r="6" spans="1:10" x14ac:dyDescent="0.2">
      <c r="A6" s="15" t="s">
        <v>20</v>
      </c>
      <c r="B6" s="80">
        <f>VLOOKUP($B$3,'Data for Bill Impacts'!$A$3:$Y$15,2,0)</f>
        <v>1.0609999999999999</v>
      </c>
    </row>
    <row r="7" spans="1:10" x14ac:dyDescent="0.2">
      <c r="A7" s="81" t="s">
        <v>49</v>
      </c>
      <c r="B7" s="82">
        <f>B4/(B5*730)</f>
        <v>0.15159817351598173</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1409.0079999999998</v>
      </c>
      <c r="C13" s="103">
        <v>9.0999999999999998E-2</v>
      </c>
      <c r="D13" s="104">
        <f>B13*C13</f>
        <v>128.21972799999998</v>
      </c>
      <c r="E13" s="102">
        <f>B13</f>
        <v>1409.0079999999998</v>
      </c>
      <c r="F13" s="103">
        <f>C13</f>
        <v>9.0999999999999998E-2</v>
      </c>
      <c r="G13" s="104">
        <f>E13*F13</f>
        <v>128.21972799999998</v>
      </c>
      <c r="H13" s="104">
        <f>G13-D13</f>
        <v>0</v>
      </c>
      <c r="I13" s="105">
        <f t="shared" ref="I13:I18" si="0">IF(ISERROR(H13/ABS(D13)),"N/A",(H13/ABS(D13)))</f>
        <v>0</v>
      </c>
      <c r="J13" s="123">
        <f t="shared" ref="J13:J38" si="1">G13/$G$38</f>
        <v>0.23004543321786683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128.21972799999998</v>
      </c>
      <c r="E15" s="76"/>
      <c r="F15" s="25"/>
      <c r="G15" s="25">
        <f>SUM(G13:G14)</f>
        <v>128.21972799999998</v>
      </c>
      <c r="H15" s="25">
        <f t="shared" si="3"/>
        <v>0</v>
      </c>
      <c r="I15" s="27">
        <f t="shared" si="0"/>
        <v>0</v>
      </c>
      <c r="J15" s="47">
        <f t="shared" si="1"/>
        <v>0.23004543321786683</v>
      </c>
    </row>
    <row r="16" spans="1:10" s="1" customFormat="1" x14ac:dyDescent="0.2">
      <c r="A16" s="107" t="s">
        <v>38</v>
      </c>
      <c r="B16" s="73">
        <v>1</v>
      </c>
      <c r="C16" s="78">
        <f>VLOOKUP($B$3,'Data for Bill Impacts'!$A$3:$Y$15,7,0)</f>
        <v>196.16</v>
      </c>
      <c r="D16" s="22">
        <f>B16*C16</f>
        <v>196.16</v>
      </c>
      <c r="E16" s="73">
        <f t="shared" ref="E16:E33" si="4">B16</f>
        <v>1</v>
      </c>
      <c r="F16" s="22">
        <f>VLOOKUP($B$3,'Data for Bill Impacts'!$A$3:$Y$15,17,0)</f>
        <v>196.16</v>
      </c>
      <c r="G16" s="22">
        <f>E16*F16</f>
        <v>196.16</v>
      </c>
      <c r="H16" s="22">
        <f t="shared" si="3"/>
        <v>0</v>
      </c>
      <c r="I16" s="23">
        <f t="shared" si="0"/>
        <v>0</v>
      </c>
      <c r="J16" s="124">
        <f t="shared" si="1"/>
        <v>0.35194047658576194</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98</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1.0999999999999999E-2</v>
      </c>
      <c r="D19" s="22">
        <f t="shared" si="6"/>
        <v>1.0999999999999999E-2</v>
      </c>
      <c r="E19" s="73">
        <f t="shared" si="4"/>
        <v>1</v>
      </c>
      <c r="F19" s="121">
        <f>VLOOKUP($B$3,'Data for Bill Impacts'!$A$3:$Y$15,22,0)</f>
        <v>1.0999999999999999E-2</v>
      </c>
      <c r="G19" s="22">
        <f t="shared" si="5"/>
        <v>1.0999999999999999E-2</v>
      </c>
      <c r="H19" s="22">
        <f t="shared" si="3"/>
        <v>0</v>
      </c>
      <c r="I19" s="23">
        <f>IF(ISERROR(H19/ABS(D19)),"N/A",(H19/ABS(D19)))</f>
        <v>0</v>
      </c>
      <c r="J19" s="124">
        <f t="shared" si="1"/>
        <v>1.9735650705767646E-5</v>
      </c>
    </row>
    <row r="20" spans="1:10" x14ac:dyDescent="0.2">
      <c r="A20" s="107" t="s">
        <v>39</v>
      </c>
      <c r="B20" s="73">
        <f>IF($B$10="kWh",$B$4,$B$5)</f>
        <v>12</v>
      </c>
      <c r="C20" s="78">
        <f>VLOOKUP($B$3,'Data for Bill Impacts'!$A$3:$Y$15,10,0)</f>
        <v>10.644599999999999</v>
      </c>
      <c r="D20" s="22">
        <f>B20*C20</f>
        <v>127.73519999999999</v>
      </c>
      <c r="E20" s="73">
        <f t="shared" si="4"/>
        <v>12</v>
      </c>
      <c r="F20" s="78">
        <f>VLOOKUP($B$3,'Data for Bill Impacts'!$A$3:$Y$15,19,0)</f>
        <v>11.409800000000001</v>
      </c>
      <c r="G20" s="22">
        <f>E20*F20</f>
        <v>136.91759999999999</v>
      </c>
      <c r="H20" s="22">
        <f t="shared" si="3"/>
        <v>9.1824000000000012</v>
      </c>
      <c r="I20" s="23">
        <f t="shared" ref="I20" si="7">IF(ISERROR(H20/D20),0,(H20/D20))</f>
        <v>7.1886214606467144E-2</v>
      </c>
      <c r="J20" s="124">
        <f t="shared" si="1"/>
        <v>0.24565072082472839</v>
      </c>
    </row>
    <row r="21" spans="1:10" s="1" customFormat="1" x14ac:dyDescent="0.2">
      <c r="A21" s="107" t="s">
        <v>199</v>
      </c>
      <c r="B21" s="73">
        <f>IF($B$10="kWh",$B$4,$B$5)</f>
        <v>12</v>
      </c>
      <c r="C21" s="125">
        <f>VLOOKUP($B$3,'Data for Bill Impacts'!$A$3:$Y$15,14,0)</f>
        <v>2.82E-3</v>
      </c>
      <c r="D21" s="22">
        <f>B21*C21</f>
        <v>3.3840000000000002E-2</v>
      </c>
      <c r="E21" s="73">
        <f>B21</f>
        <v>12</v>
      </c>
      <c r="F21" s="125">
        <f>VLOOKUP($B$3,'Data for Bill Impacts'!$A$3:$Y$15,23,0)</f>
        <v>2.82E-3</v>
      </c>
      <c r="G21" s="22">
        <f>E21*F21</f>
        <v>3.3840000000000002E-2</v>
      </c>
      <c r="H21" s="22">
        <f>G21-D21</f>
        <v>0</v>
      </c>
      <c r="I21" s="23">
        <f>IF(ISERROR(H21/D21),0,(H21/D21))</f>
        <v>0</v>
      </c>
      <c r="J21" s="124">
        <f t="shared" si="1"/>
        <v>6.0714038171197928E-5</v>
      </c>
    </row>
    <row r="22" spans="1:10" s="1" customFormat="1" x14ac:dyDescent="0.2">
      <c r="A22" s="107" t="s">
        <v>147</v>
      </c>
      <c r="B22" s="73">
        <f>B9</f>
        <v>1409.0079999999998</v>
      </c>
      <c r="C22" s="125">
        <f>VLOOKUP($B$3,'Data for Bill Impacts'!$A$3:$Y$15,20,0)</f>
        <v>0</v>
      </c>
      <c r="D22" s="22">
        <f>B22*C22</f>
        <v>0</v>
      </c>
      <c r="E22" s="73">
        <f t="shared" si="4"/>
        <v>1409.0079999999998</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79</v>
      </c>
      <c r="B23" s="74"/>
      <c r="C23" s="35"/>
      <c r="D23" s="35">
        <f>SUM(D16:D22)</f>
        <v>323.94004000000001</v>
      </c>
      <c r="E23" s="73"/>
      <c r="F23" s="35"/>
      <c r="G23" s="35">
        <f>SUM(G16:G22)</f>
        <v>333.12243999999998</v>
      </c>
      <c r="H23" s="35">
        <f t="shared" si="3"/>
        <v>9.1823999999999728</v>
      </c>
      <c r="I23" s="36">
        <f t="shared" si="8"/>
        <v>2.8345986497995038E-2</v>
      </c>
      <c r="J23" s="111">
        <f t="shared" si="1"/>
        <v>0.59767164709936726</v>
      </c>
    </row>
    <row r="24" spans="1:10" x14ac:dyDescent="0.2">
      <c r="A24" s="107" t="s">
        <v>40</v>
      </c>
      <c r="B24" s="73">
        <f>B5</f>
        <v>12</v>
      </c>
      <c r="C24" s="125">
        <f>VLOOKUP($B$3,'Data for Bill Impacts'!$A$3:$Y$15,15,0)</f>
        <v>0.63108279999999994</v>
      </c>
      <c r="D24" s="22">
        <f>B24*C24</f>
        <v>7.5729935999999993</v>
      </c>
      <c r="E24" s="73">
        <f t="shared" si="4"/>
        <v>12</v>
      </c>
      <c r="F24" s="78">
        <f>VLOOKUP($B$3,'Data for Bill Impacts'!$A$3:$Y$15,24,0)</f>
        <v>0.63949999999999996</v>
      </c>
      <c r="G24" s="22">
        <f>E24*F24</f>
        <v>7.6739999999999995</v>
      </c>
      <c r="H24" s="22">
        <f t="shared" si="3"/>
        <v>0.10100640000000016</v>
      </c>
      <c r="I24" s="23">
        <f t="shared" si="8"/>
        <v>1.3337710994500269E-2</v>
      </c>
      <c r="J24" s="124">
        <f t="shared" si="1"/>
        <v>1.3768307592369173E-2</v>
      </c>
    </row>
    <row r="25" spans="1:10" s="1" customFormat="1" x14ac:dyDescent="0.2">
      <c r="A25" s="107" t="s">
        <v>41</v>
      </c>
      <c r="B25" s="73">
        <f>B5</f>
        <v>12</v>
      </c>
      <c r="C25" s="125">
        <f>VLOOKUP($B$3,'Data for Bill Impacts'!$A$3:$Y$15,16,0)</f>
        <v>0.54747599999999996</v>
      </c>
      <c r="D25" s="22">
        <f>B25*C25</f>
        <v>6.5697119999999991</v>
      </c>
      <c r="E25" s="73">
        <f t="shared" si="4"/>
        <v>12</v>
      </c>
      <c r="F25" s="125">
        <f>VLOOKUP($B$3,'Data for Bill Impacts'!$A$3:$Y$15,25,0)</f>
        <v>0.55430000000000001</v>
      </c>
      <c r="G25" s="22">
        <f>E25*F25</f>
        <v>6.6516000000000002</v>
      </c>
      <c r="H25" s="22">
        <f t="shared" si="3"/>
        <v>8.1888000000001071E-2</v>
      </c>
      <c r="I25" s="23">
        <f t="shared" si="8"/>
        <v>1.2464473328511369E-2</v>
      </c>
      <c r="J25" s="124">
        <f t="shared" si="1"/>
        <v>1.1933968566771281E-2</v>
      </c>
    </row>
    <row r="26" spans="1:10" x14ac:dyDescent="0.2">
      <c r="A26" s="110" t="s">
        <v>76</v>
      </c>
      <c r="B26" s="74"/>
      <c r="C26" s="35"/>
      <c r="D26" s="35">
        <f>SUM(D24:D25)</f>
        <v>14.142705599999999</v>
      </c>
      <c r="E26" s="73"/>
      <c r="F26" s="35"/>
      <c r="G26" s="35">
        <f>SUM(G24:G25)</f>
        <v>14.3256</v>
      </c>
      <c r="H26" s="35">
        <f t="shared" si="3"/>
        <v>0.18289440000000035</v>
      </c>
      <c r="I26" s="36">
        <f t="shared" si="8"/>
        <v>1.2932065841772197E-2</v>
      </c>
      <c r="J26" s="111">
        <f t="shared" si="1"/>
        <v>2.5702276159140454E-2</v>
      </c>
    </row>
    <row r="27" spans="1:10" s="1" customFormat="1" x14ac:dyDescent="0.2">
      <c r="A27" s="110" t="s">
        <v>80</v>
      </c>
      <c r="B27" s="74"/>
      <c r="C27" s="35"/>
      <c r="D27" s="35">
        <f>D23+D26</f>
        <v>338.08274560000001</v>
      </c>
      <c r="E27" s="73"/>
      <c r="F27" s="35"/>
      <c r="G27" s="35">
        <f>G23+G26</f>
        <v>347.44803999999999</v>
      </c>
      <c r="H27" s="35">
        <f t="shared" si="3"/>
        <v>9.365294399999982</v>
      </c>
      <c r="I27" s="36">
        <f t="shared" si="8"/>
        <v>2.7701190084040723E-2</v>
      </c>
      <c r="J27" s="111">
        <f t="shared" si="1"/>
        <v>0.62337392325850782</v>
      </c>
    </row>
    <row r="28" spans="1:10" x14ac:dyDescent="0.2">
      <c r="A28" s="107" t="s">
        <v>42</v>
      </c>
      <c r="B28" s="73">
        <f>B9</f>
        <v>1409.0079999999998</v>
      </c>
      <c r="C28" s="34">
        <v>3.5999999999999999E-3</v>
      </c>
      <c r="D28" s="22">
        <f>B28*C28</f>
        <v>5.0724287999999991</v>
      </c>
      <c r="E28" s="73">
        <f t="shared" si="4"/>
        <v>1409.0079999999998</v>
      </c>
      <c r="F28" s="34">
        <v>3.5999999999999999E-3</v>
      </c>
      <c r="G28" s="22">
        <f>E28*F28</f>
        <v>5.0724287999999991</v>
      </c>
      <c r="H28" s="22">
        <f t="shared" si="3"/>
        <v>0</v>
      </c>
      <c r="I28" s="23">
        <f t="shared" si="8"/>
        <v>0</v>
      </c>
      <c r="J28" s="124">
        <f t="shared" si="1"/>
        <v>9.100698456970556E-3</v>
      </c>
    </row>
    <row r="29" spans="1:10" x14ac:dyDescent="0.2">
      <c r="A29" s="107" t="s">
        <v>43</v>
      </c>
      <c r="B29" s="73">
        <f>B9</f>
        <v>1409.0079999999998</v>
      </c>
      <c r="C29" s="34">
        <v>2.0999999999999999E-3</v>
      </c>
      <c r="D29" s="22">
        <f>B29*C29</f>
        <v>2.9589167999999995</v>
      </c>
      <c r="E29" s="73">
        <f t="shared" si="4"/>
        <v>1409.0079999999998</v>
      </c>
      <c r="F29" s="34">
        <v>2.0999999999999999E-3</v>
      </c>
      <c r="G29" s="22">
        <f>E29*F29</f>
        <v>2.9589167999999995</v>
      </c>
      <c r="H29" s="22">
        <f>G29-D29</f>
        <v>0</v>
      </c>
      <c r="I29" s="23">
        <f t="shared" si="8"/>
        <v>0</v>
      </c>
      <c r="J29" s="124">
        <f t="shared" si="1"/>
        <v>5.3087407665661579E-3</v>
      </c>
    </row>
    <row r="30" spans="1:10" x14ac:dyDescent="0.2">
      <c r="A30" s="107" t="s">
        <v>100</v>
      </c>
      <c r="B30" s="73">
        <f>B9</f>
        <v>1409.0079999999998</v>
      </c>
      <c r="C30" s="34">
        <v>0</v>
      </c>
      <c r="D30" s="22">
        <f>B30*C30</f>
        <v>0</v>
      </c>
      <c r="E30" s="73">
        <f t="shared" si="4"/>
        <v>1409.0079999999998</v>
      </c>
      <c r="F30" s="34">
        <v>0</v>
      </c>
      <c r="G30" s="22">
        <f>E30*F30</f>
        <v>0</v>
      </c>
      <c r="H30" s="22">
        <f>G30-D30</f>
        <v>0</v>
      </c>
      <c r="I30" s="23" t="str">
        <f t="shared" si="8"/>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si="1"/>
        <v>4.485375160401738E-4</v>
      </c>
    </row>
    <row r="32" spans="1:10" x14ac:dyDescent="0.2">
      <c r="A32" s="110" t="s">
        <v>45</v>
      </c>
      <c r="B32" s="74"/>
      <c r="C32" s="35"/>
      <c r="D32" s="35">
        <f>SUM(D28:D31)</f>
        <v>8.2813455999999981</v>
      </c>
      <c r="E32" s="73"/>
      <c r="F32" s="35"/>
      <c r="G32" s="35">
        <f>SUM(G28:G31)</f>
        <v>8.2813455999999981</v>
      </c>
      <c r="H32" s="35">
        <f t="shared" si="3"/>
        <v>0</v>
      </c>
      <c r="I32" s="36">
        <f t="shared" si="8"/>
        <v>0</v>
      </c>
      <c r="J32" s="111">
        <f t="shared" si="1"/>
        <v>1.4857976739576888E-2</v>
      </c>
    </row>
    <row r="33" spans="1:10" ht="13.5" thickBot="1" x14ac:dyDescent="0.25">
      <c r="A33" s="112" t="s">
        <v>46</v>
      </c>
      <c r="B33" s="113">
        <f>B4</f>
        <v>1328</v>
      </c>
      <c r="C33" s="114">
        <v>7.0000000000000001E-3</v>
      </c>
      <c r="D33" s="115">
        <f>B33*C33</f>
        <v>9.2959999999999994</v>
      </c>
      <c r="E33" s="116">
        <f t="shared" si="4"/>
        <v>1328</v>
      </c>
      <c r="F33" s="114">
        <f>C33</f>
        <v>7.0000000000000001E-3</v>
      </c>
      <c r="G33" s="115">
        <f>E33*F33</f>
        <v>9.2959999999999994</v>
      </c>
      <c r="H33" s="115">
        <f t="shared" si="3"/>
        <v>0</v>
      </c>
      <c r="I33" s="117">
        <f t="shared" si="8"/>
        <v>0</v>
      </c>
      <c r="J33" s="118">
        <f t="shared" si="1"/>
        <v>1.6678418996437822E-2</v>
      </c>
    </row>
    <row r="34" spans="1:10" x14ac:dyDescent="0.2">
      <c r="A34" s="37" t="s">
        <v>146</v>
      </c>
      <c r="B34" s="38"/>
      <c r="C34" s="39"/>
      <c r="D34" s="39">
        <f>SUM(D15,D23,D26,D32,D33)</f>
        <v>483.87981919999999</v>
      </c>
      <c r="E34" s="38"/>
      <c r="F34" s="39"/>
      <c r="G34" s="39">
        <f>SUM(G15,G23,G26,G32,G33)</f>
        <v>493.24511359999997</v>
      </c>
      <c r="H34" s="39">
        <f t="shared" si="3"/>
        <v>9.365294399999982</v>
      </c>
      <c r="I34" s="40">
        <f t="shared" si="8"/>
        <v>1.9354587706268991E-2</v>
      </c>
      <c r="J34" s="41">
        <f t="shared" si="1"/>
        <v>0.88495575221238931</v>
      </c>
    </row>
    <row r="35" spans="1:10" x14ac:dyDescent="0.2">
      <c r="A35" s="46" t="s">
        <v>138</v>
      </c>
      <c r="B35" s="43"/>
      <c r="C35" s="26">
        <v>0.13</v>
      </c>
      <c r="D35" s="26">
        <f>D34*C35</f>
        <v>62.904376495999998</v>
      </c>
      <c r="E35" s="26"/>
      <c r="F35" s="26">
        <f>C35</f>
        <v>0.13</v>
      </c>
      <c r="G35" s="26">
        <f>G34*F35</f>
        <v>64.121864767999995</v>
      </c>
      <c r="H35" s="26">
        <f t="shared" si="3"/>
        <v>1.2174882719999971</v>
      </c>
      <c r="I35" s="44">
        <f t="shared" si="8"/>
        <v>1.9354587706268984E-2</v>
      </c>
      <c r="J35" s="45">
        <f t="shared" si="1"/>
        <v>0.11504424778761062</v>
      </c>
    </row>
    <row r="36" spans="1:10" x14ac:dyDescent="0.2">
      <c r="A36" s="46" t="s">
        <v>139</v>
      </c>
      <c r="B36" s="24"/>
      <c r="C36" s="25"/>
      <c r="D36" s="25">
        <f>SUM(D34:D35)</f>
        <v>546.78419569599998</v>
      </c>
      <c r="E36" s="25"/>
      <c r="F36" s="25"/>
      <c r="G36" s="25">
        <f>SUM(G34:G35)</f>
        <v>557.36697836799999</v>
      </c>
      <c r="H36" s="25">
        <f t="shared" si="3"/>
        <v>10.582782672000008</v>
      </c>
      <c r="I36" s="27">
        <f t="shared" si="8"/>
        <v>1.9354587706269043E-2</v>
      </c>
      <c r="J36" s="47">
        <f t="shared" si="1"/>
        <v>1</v>
      </c>
    </row>
    <row r="37" spans="1:10" x14ac:dyDescent="0.2">
      <c r="A37" s="46" t="s">
        <v>140</v>
      </c>
      <c r="B37" s="43"/>
      <c r="C37" s="26">
        <v>0</v>
      </c>
      <c r="D37" s="26">
        <f>D34*C37</f>
        <v>0</v>
      </c>
      <c r="E37" s="26"/>
      <c r="F37" s="26">
        <f>C37</f>
        <v>0</v>
      </c>
      <c r="G37" s="26">
        <f>G34*F37</f>
        <v>0</v>
      </c>
      <c r="H37" s="26">
        <f t="shared" si="3"/>
        <v>0</v>
      </c>
      <c r="I37" s="44" t="str">
        <f t="shared" si="8"/>
        <v>N/A</v>
      </c>
      <c r="J37" s="45">
        <f t="shared" si="1"/>
        <v>0</v>
      </c>
    </row>
    <row r="38" spans="1:10" ht="13.5" thickBot="1" x14ac:dyDescent="0.25">
      <c r="A38" s="46" t="s">
        <v>141</v>
      </c>
      <c r="B38" s="49"/>
      <c r="C38" s="50"/>
      <c r="D38" s="50">
        <f>SUM(D36:D37)</f>
        <v>546.78419569599998</v>
      </c>
      <c r="E38" s="50"/>
      <c r="F38" s="50"/>
      <c r="G38" s="50">
        <f>SUM(G36:G37)</f>
        <v>557.36697836799999</v>
      </c>
      <c r="H38" s="50">
        <f t="shared" si="3"/>
        <v>10.582782672000008</v>
      </c>
      <c r="I38" s="51">
        <f t="shared" si="8"/>
        <v>1.9354587706269043E-2</v>
      </c>
      <c r="J38" s="52">
        <f t="shared" si="1"/>
        <v>1</v>
      </c>
    </row>
    <row r="39" spans="1:10" x14ac:dyDescent="0.2">
      <c r="F39" s="69"/>
      <c r="G39" s="129"/>
    </row>
    <row r="40" spans="1:10" x14ac:dyDescent="0.2">
      <c r="F40" s="132"/>
    </row>
    <row r="41" spans="1:10" x14ac:dyDescent="0.2">
      <c r="F41" s="130"/>
    </row>
    <row r="42" spans="1:10" x14ac:dyDescent="0.2">
      <c r="F42" s="131"/>
      <c r="G42" s="129"/>
      <c r="H42" s="129"/>
    </row>
    <row r="43" spans="1:10" x14ac:dyDescent="0.2">
      <c r="F43" s="130"/>
      <c r="G43" s="12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1" tint="0.499984740745262"/>
    <pageSetUpPr fitToPage="1"/>
  </sheetPr>
  <dimension ref="A1:J4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10</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49</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5305</v>
      </c>
      <c r="C13" s="103">
        <v>9.0999999999999998E-2</v>
      </c>
      <c r="D13" s="104">
        <f>B13*C13</f>
        <v>482.755</v>
      </c>
      <c r="E13" s="102">
        <f>B13</f>
        <v>5305</v>
      </c>
      <c r="F13" s="103">
        <f>C13</f>
        <v>9.0999999999999998E-2</v>
      </c>
      <c r="G13" s="104">
        <f>E13*F13</f>
        <v>482.755</v>
      </c>
      <c r="H13" s="104">
        <f>G13-D13</f>
        <v>0</v>
      </c>
      <c r="I13" s="105">
        <f t="shared" ref="I13:I18" si="0">IF(ISERROR(H13/ABS(D13)),"N/A",(H13/ABS(D13)))</f>
        <v>0</v>
      </c>
      <c r="J13" s="123">
        <f t="shared" ref="J13:J29" si="1">G13/$G$38</f>
        <v>0.21306971357629673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482.755</v>
      </c>
      <c r="E15" s="76"/>
      <c r="F15" s="25"/>
      <c r="G15" s="25">
        <f>SUM(G13:G14)</f>
        <v>482.755</v>
      </c>
      <c r="H15" s="25">
        <f t="shared" si="3"/>
        <v>0</v>
      </c>
      <c r="I15" s="27">
        <f t="shared" si="0"/>
        <v>0</v>
      </c>
      <c r="J15" s="47">
        <f t="shared" si="1"/>
        <v>0.21306971357629673</v>
      </c>
    </row>
    <row r="16" spans="1:10" s="1" customFormat="1" x14ac:dyDescent="0.2">
      <c r="A16" s="107" t="s">
        <v>38</v>
      </c>
      <c r="B16" s="73">
        <v>1</v>
      </c>
      <c r="C16" s="78">
        <f>VLOOKUP($B$3,'Data for Bill Impacts'!$A$3:$Y$15,7,0)</f>
        <v>196.16</v>
      </c>
      <c r="D16" s="22">
        <f>B16*C16</f>
        <v>196.16</v>
      </c>
      <c r="E16" s="73">
        <f t="shared" ref="E16:E33" si="4">B16</f>
        <v>1</v>
      </c>
      <c r="F16" s="78">
        <f>VLOOKUP($B$3,'Data for Bill Impacts'!$A$3:$Y$15,17,0)</f>
        <v>196.16</v>
      </c>
      <c r="G16" s="22">
        <f>E16*F16</f>
        <v>196.16</v>
      </c>
      <c r="H16" s="22">
        <f t="shared" si="3"/>
        <v>0</v>
      </c>
      <c r="I16" s="23">
        <f t="shared" si="0"/>
        <v>0</v>
      </c>
      <c r="J16" s="124">
        <f t="shared" si="1"/>
        <v>8.6577570434540022E-2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1.0999999999999999E-2</v>
      </c>
      <c r="D19" s="22">
        <f t="shared" si="6"/>
        <v>1.0999999999999999E-2</v>
      </c>
      <c r="E19" s="73">
        <f t="shared" si="4"/>
        <v>1</v>
      </c>
      <c r="F19" s="121">
        <f>VLOOKUP($B$3,'Data for Bill Impacts'!$A$3:$Y$15,22,0)</f>
        <v>1.0999999999999999E-2</v>
      </c>
      <c r="G19" s="22">
        <f t="shared" si="5"/>
        <v>1.0999999999999999E-2</v>
      </c>
      <c r="H19" s="22">
        <f t="shared" si="3"/>
        <v>0</v>
      </c>
      <c r="I19" s="23">
        <f>IF(ISERROR(H19/ABS(D19)),"N/A",(H19/ABS(D19)))</f>
        <v>0</v>
      </c>
      <c r="J19" s="124">
        <f t="shared" si="1"/>
        <v>4.8549820288536912E-6</v>
      </c>
    </row>
    <row r="20" spans="1:10" x14ac:dyDescent="0.2">
      <c r="A20" s="107" t="s">
        <v>39</v>
      </c>
      <c r="B20" s="73">
        <f>IF($B$10="kWh",$B$4,$B$5)</f>
        <v>100</v>
      </c>
      <c r="C20" s="78">
        <f>VLOOKUP($B$3,'Data for Bill Impacts'!$A$3:$Y$15,10,0)</f>
        <v>10.644599999999999</v>
      </c>
      <c r="D20" s="22">
        <f>B20*C20</f>
        <v>1064.4599999999998</v>
      </c>
      <c r="E20" s="73">
        <f t="shared" si="4"/>
        <v>100</v>
      </c>
      <c r="F20" s="78">
        <f>VLOOKUP($B$3,'Data for Bill Impacts'!$A$3:$Y$15,19,0)</f>
        <v>11.409800000000001</v>
      </c>
      <c r="G20" s="22">
        <f>E20*F20</f>
        <v>1140.98</v>
      </c>
      <c r="H20" s="22">
        <f t="shared" si="3"/>
        <v>76.520000000000209</v>
      </c>
      <c r="I20" s="23">
        <f t="shared" ref="I20" si="7">IF(ISERROR(H20/D20),0,(H20/D20))</f>
        <v>7.1886214606467339E-2</v>
      </c>
      <c r="J20" s="124">
        <f t="shared" si="1"/>
        <v>0.50358521775286236</v>
      </c>
    </row>
    <row r="21" spans="1:10" s="1" customFormat="1" x14ac:dyDescent="0.2">
      <c r="A21" s="107" t="s">
        <v>199</v>
      </c>
      <c r="B21" s="73">
        <f>IF($B$10="kWh",$B$4,$B$5)</f>
        <v>100</v>
      </c>
      <c r="C21" s="125">
        <f>VLOOKUP($B$3,'Data for Bill Impacts'!$A$3:$Y$15,14,0)</f>
        <v>2.82E-3</v>
      </c>
      <c r="D21" s="22">
        <f>B21*C21</f>
        <v>0.28200000000000003</v>
      </c>
      <c r="E21" s="73">
        <f>B21</f>
        <v>100</v>
      </c>
      <c r="F21" s="125">
        <f>VLOOKUP($B$3,'Data for Bill Impacts'!$A$3:$Y$15,23,0)</f>
        <v>2.82E-3</v>
      </c>
      <c r="G21" s="22">
        <f>E21*F21</f>
        <v>0.28200000000000003</v>
      </c>
      <c r="H21" s="22">
        <f>G21-D21</f>
        <v>0</v>
      </c>
      <c r="I21" s="23">
        <f>IF(ISERROR(H21/D21),0,(H21/D21))</f>
        <v>0</v>
      </c>
      <c r="J21" s="124">
        <f t="shared" si="1"/>
        <v>1.2446408473970375E-4</v>
      </c>
    </row>
    <row r="22" spans="1:10" s="1" customFormat="1" x14ac:dyDescent="0.2">
      <c r="A22" s="107" t="s">
        <v>147</v>
      </c>
      <c r="B22" s="73">
        <f>B9</f>
        <v>5305</v>
      </c>
      <c r="C22" s="125">
        <f>VLOOKUP($B$3,'Data for Bill Impacts'!$A$3:$Y$15,20,0)</f>
        <v>0</v>
      </c>
      <c r="D22" s="22">
        <f>B22*C22</f>
        <v>0</v>
      </c>
      <c r="E22" s="73">
        <f t="shared" si="4"/>
        <v>5305</v>
      </c>
      <c r="F22" s="125">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1260.9129999999998</v>
      </c>
      <c r="E23" s="73"/>
      <c r="F23" s="35"/>
      <c r="G23" s="35">
        <f>SUM(G16:G22)</f>
        <v>1337.433</v>
      </c>
      <c r="H23" s="35">
        <f t="shared" si="3"/>
        <v>76.520000000000209</v>
      </c>
      <c r="I23" s="36">
        <f t="shared" si="8"/>
        <v>6.0686185327615959E-2</v>
      </c>
      <c r="J23" s="111">
        <f t="shared" si="1"/>
        <v>0.59029210725417092</v>
      </c>
    </row>
    <row r="24" spans="1:10" x14ac:dyDescent="0.2">
      <c r="A24" s="107" t="s">
        <v>40</v>
      </c>
      <c r="B24" s="73">
        <f>B5</f>
        <v>100</v>
      </c>
      <c r="C24" s="125">
        <f>VLOOKUP($B$3,'Data for Bill Impacts'!$A$3:$Y$15,15,0)</f>
        <v>0.63108279999999994</v>
      </c>
      <c r="D24" s="22">
        <f>B24*C24</f>
        <v>63.108279999999993</v>
      </c>
      <c r="E24" s="73">
        <f t="shared" si="4"/>
        <v>100</v>
      </c>
      <c r="F24" s="78">
        <f>VLOOKUP($B$3,'Data for Bill Impacts'!$A$3:$Y$15,24,0)</f>
        <v>0.63949999999999996</v>
      </c>
      <c r="G24" s="22">
        <f>E24*F24</f>
        <v>63.949999999999996</v>
      </c>
      <c r="H24" s="22">
        <f t="shared" si="3"/>
        <v>0.84172000000000224</v>
      </c>
      <c r="I24" s="23">
        <f t="shared" si="8"/>
        <v>1.3337710994500283E-2</v>
      </c>
      <c r="J24" s="124">
        <f t="shared" si="1"/>
        <v>2.8225100067744868E-2</v>
      </c>
    </row>
    <row r="25" spans="1:10" s="1" customFormat="1" x14ac:dyDescent="0.2">
      <c r="A25" s="107" t="s">
        <v>41</v>
      </c>
      <c r="B25" s="73">
        <f>B5</f>
        <v>100</v>
      </c>
      <c r="C25" s="125">
        <f>VLOOKUP($B$3,'Data for Bill Impacts'!$A$3:$Y$15,16,0)</f>
        <v>0.54747599999999996</v>
      </c>
      <c r="D25" s="22">
        <f>B25*C25</f>
        <v>54.747599999999998</v>
      </c>
      <c r="E25" s="73">
        <f t="shared" si="4"/>
        <v>100</v>
      </c>
      <c r="F25" s="125">
        <f>VLOOKUP($B$3,'Data for Bill Impacts'!$A$3:$Y$15,25,0)</f>
        <v>0.55430000000000001</v>
      </c>
      <c r="G25" s="22">
        <f>E25*F25</f>
        <v>55.43</v>
      </c>
      <c r="H25" s="22">
        <f t="shared" si="3"/>
        <v>0.68240000000000123</v>
      </c>
      <c r="I25" s="23">
        <f t="shared" si="8"/>
        <v>1.2464473328511227E-2</v>
      </c>
      <c r="J25" s="124">
        <f t="shared" si="1"/>
        <v>2.4464695805396376E-2</v>
      </c>
    </row>
    <row r="26" spans="1:10" x14ac:dyDescent="0.2">
      <c r="A26" s="110" t="s">
        <v>76</v>
      </c>
      <c r="B26" s="74"/>
      <c r="C26" s="35"/>
      <c r="D26" s="35">
        <f>SUM(D24:D25)</f>
        <v>117.85587999999998</v>
      </c>
      <c r="E26" s="73"/>
      <c r="F26" s="35"/>
      <c r="G26" s="35">
        <f>SUM(G24:G25)</f>
        <v>119.38</v>
      </c>
      <c r="H26" s="35">
        <f t="shared" si="3"/>
        <v>1.5241200000000106</v>
      </c>
      <c r="I26" s="36">
        <f t="shared" si="8"/>
        <v>1.2932065841772263E-2</v>
      </c>
      <c r="J26" s="111">
        <f t="shared" si="1"/>
        <v>5.2689795873141244E-2</v>
      </c>
    </row>
    <row r="27" spans="1:10" s="1" customFormat="1" x14ac:dyDescent="0.2">
      <c r="A27" s="110" t="s">
        <v>80</v>
      </c>
      <c r="B27" s="74"/>
      <c r="C27" s="35"/>
      <c r="D27" s="35">
        <f>D23+D26</f>
        <v>1378.7688799999999</v>
      </c>
      <c r="E27" s="73"/>
      <c r="F27" s="35"/>
      <c r="G27" s="35">
        <f>G23+G26</f>
        <v>1456.8130000000001</v>
      </c>
      <c r="H27" s="35">
        <f t="shared" si="3"/>
        <v>78.044120000000248</v>
      </c>
      <c r="I27" s="36">
        <f t="shared" si="8"/>
        <v>5.6604207660967992E-2</v>
      </c>
      <c r="J27" s="111">
        <f t="shared" si="1"/>
        <v>0.64298190312731218</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3"/>
        <v>0</v>
      </c>
      <c r="I28" s="23">
        <f t="shared" si="8"/>
        <v>0</v>
      </c>
      <c r="J28" s="124">
        <f t="shared" si="1"/>
        <v>8.4291315260952553E-3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8"/>
        <v>0</v>
      </c>
      <c r="J29" s="124">
        <f t="shared" si="1"/>
        <v>4.9169933902222318E-3</v>
      </c>
    </row>
    <row r="30" spans="1:10" x14ac:dyDescent="0.2">
      <c r="A30" s="107" t="s">
        <v>100</v>
      </c>
      <c r="B30" s="73">
        <f>B9</f>
        <v>5305</v>
      </c>
      <c r="C30" s="34">
        <v>0</v>
      </c>
      <c r="D30" s="22">
        <f>B30*C30</f>
        <v>0</v>
      </c>
      <c r="E30" s="73">
        <f t="shared" si="4"/>
        <v>5305</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1.1034050065576572E-4</v>
      </c>
    </row>
    <row r="32" spans="1:10" x14ac:dyDescent="0.2">
      <c r="A32" s="110" t="s">
        <v>45</v>
      </c>
      <c r="B32" s="74"/>
      <c r="C32" s="35"/>
      <c r="D32" s="35">
        <f>SUM(D28:D31)</f>
        <v>30.488499999999998</v>
      </c>
      <c r="E32" s="73"/>
      <c r="F32" s="35"/>
      <c r="G32" s="35">
        <f>SUM(G28:G31)</f>
        <v>30.488499999999998</v>
      </c>
      <c r="H32" s="35">
        <f t="shared" si="3"/>
        <v>0</v>
      </c>
      <c r="I32" s="36">
        <f t="shared" si="8"/>
        <v>0</v>
      </c>
      <c r="J32" s="111">
        <f t="shared" si="10"/>
        <v>1.3456465416973252E-2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3"/>
        <v>0</v>
      </c>
      <c r="I33" s="117">
        <f t="shared" si="8"/>
        <v>0</v>
      </c>
      <c r="J33" s="118">
        <f t="shared" si="10"/>
        <v>1.5447670091807201E-2</v>
      </c>
    </row>
    <row r="34" spans="1:10" x14ac:dyDescent="0.2">
      <c r="A34" s="37" t="s">
        <v>146</v>
      </c>
      <c r="B34" s="38"/>
      <c r="C34" s="39"/>
      <c r="D34" s="39">
        <f>SUM(D15,D23,D26,D32,D33)</f>
        <v>1927.0123799999997</v>
      </c>
      <c r="E34" s="38"/>
      <c r="F34" s="39"/>
      <c r="G34" s="39">
        <f>SUM(G15,G23,G26,G32,G33)</f>
        <v>2005.0565000000001</v>
      </c>
      <c r="H34" s="39">
        <f t="shared" si="3"/>
        <v>78.044120000000476</v>
      </c>
      <c r="I34" s="40">
        <f t="shared" si="8"/>
        <v>4.0500061551239482E-2</v>
      </c>
      <c r="J34" s="41">
        <f t="shared" si="10"/>
        <v>0.88495575221238931</v>
      </c>
    </row>
    <row r="35" spans="1:10" x14ac:dyDescent="0.2">
      <c r="A35" s="46" t="s">
        <v>138</v>
      </c>
      <c r="B35" s="43"/>
      <c r="C35" s="26">
        <v>0.13</v>
      </c>
      <c r="D35" s="26">
        <f>D34*C35</f>
        <v>250.51160939999997</v>
      </c>
      <c r="E35" s="26"/>
      <c r="F35" s="26">
        <f>C35</f>
        <v>0.13</v>
      </c>
      <c r="G35" s="26">
        <f>G34*F35</f>
        <v>260.65734500000002</v>
      </c>
      <c r="H35" s="26">
        <f t="shared" si="3"/>
        <v>10.145735600000052</v>
      </c>
      <c r="I35" s="44">
        <f t="shared" si="8"/>
        <v>4.050006155123944E-2</v>
      </c>
      <c r="J35" s="45">
        <f t="shared" si="10"/>
        <v>0.11504424778761062</v>
      </c>
    </row>
    <row r="36" spans="1:10" x14ac:dyDescent="0.2">
      <c r="A36" s="46" t="s">
        <v>139</v>
      </c>
      <c r="B36" s="24"/>
      <c r="C36" s="25"/>
      <c r="D36" s="25">
        <f>SUM(D34:D35)</f>
        <v>2177.5239893999997</v>
      </c>
      <c r="E36" s="25"/>
      <c r="F36" s="25"/>
      <c r="G36" s="25">
        <f>SUM(G34:G35)</f>
        <v>2265.7138450000002</v>
      </c>
      <c r="H36" s="25">
        <f t="shared" si="3"/>
        <v>88.189855600000556</v>
      </c>
      <c r="I36" s="27">
        <f t="shared" si="8"/>
        <v>4.0500061551239488E-2</v>
      </c>
      <c r="J36" s="47">
        <f t="shared" si="10"/>
        <v>1</v>
      </c>
    </row>
    <row r="37" spans="1:10" x14ac:dyDescent="0.2">
      <c r="A37" s="46"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6" t="s">
        <v>141</v>
      </c>
      <c r="B38" s="49"/>
      <c r="C38" s="50"/>
      <c r="D38" s="50">
        <f>SUM(D36:D37)</f>
        <v>2177.5239893999997</v>
      </c>
      <c r="E38" s="50"/>
      <c r="F38" s="50"/>
      <c r="G38" s="50">
        <f>SUM(G36:G37)</f>
        <v>2265.7138450000002</v>
      </c>
      <c r="H38" s="50">
        <f t="shared" si="3"/>
        <v>88.189855600000556</v>
      </c>
      <c r="I38" s="51">
        <f t="shared" si="8"/>
        <v>4.0500061551239488E-2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49</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206800</v>
      </c>
      <c r="C13" s="103">
        <v>9.0999999999999998E-2</v>
      </c>
      <c r="D13" s="104">
        <f>B13*C13</f>
        <v>18818.8</v>
      </c>
      <c r="E13" s="102">
        <f>B13</f>
        <v>206800</v>
      </c>
      <c r="F13" s="103">
        <f>C13</f>
        <v>9.0999999999999998E-2</v>
      </c>
      <c r="G13" s="104">
        <f>E13*F13</f>
        <v>18818.8</v>
      </c>
      <c r="H13" s="104">
        <f>G13-D13</f>
        <v>0</v>
      </c>
      <c r="I13" s="105">
        <f t="shared" ref="I13:I18" si="0">IF(ISERROR(H13/ABS(D13)),"N/A",(H13/ABS(D13)))</f>
        <v>0</v>
      </c>
      <c r="J13" s="123">
        <f t="shared" ref="J13:J29" si="1">G13/$G$38</f>
        <v>0.63028767825568555</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18818.8</v>
      </c>
      <c r="E15" s="76"/>
      <c r="F15" s="25"/>
      <c r="G15" s="25">
        <f>SUM(G13:G14)</f>
        <v>18818.8</v>
      </c>
      <c r="H15" s="25">
        <f t="shared" si="3"/>
        <v>0</v>
      </c>
      <c r="I15" s="27">
        <f t="shared" si="0"/>
        <v>0</v>
      </c>
      <c r="J15" s="47">
        <f t="shared" si="1"/>
        <v>0.63028767825568555</v>
      </c>
    </row>
    <row r="16" spans="1:10" s="1" customFormat="1" x14ac:dyDescent="0.2">
      <c r="A16" s="107" t="s">
        <v>225</v>
      </c>
      <c r="B16" s="73">
        <v>1</v>
      </c>
      <c r="C16" s="78">
        <f>VLOOKUP($B$3,'Data for Bill Impacts'!$A$3:$Y$15,7,0)</f>
        <v>1255.93</v>
      </c>
      <c r="D16" s="22">
        <f>B16*C16</f>
        <v>1255.93</v>
      </c>
      <c r="E16" s="73">
        <f t="shared" ref="E16:E33" si="4">B16</f>
        <v>1</v>
      </c>
      <c r="F16" s="78">
        <f>VLOOKUP($B$3,'Data for Bill Impacts'!$A$3:$Y$15,17,0)</f>
        <v>1270.3699999999999</v>
      </c>
      <c r="G16" s="22">
        <f>E16*F16</f>
        <v>1270.3699999999999</v>
      </c>
      <c r="H16" s="22">
        <f t="shared" si="3"/>
        <v>14.439999999999827</v>
      </c>
      <c r="I16" s="23">
        <f t="shared" si="0"/>
        <v>1.1497456068411318E-2</v>
      </c>
      <c r="J16" s="124">
        <f t="shared" si="1"/>
        <v>4.2547801019495145E-2</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3.819</v>
      </c>
      <c r="D19" s="22">
        <f t="shared" si="6"/>
        <v>3.819</v>
      </c>
      <c r="E19" s="73">
        <f t="shared" si="4"/>
        <v>1</v>
      </c>
      <c r="F19" s="121">
        <f>VLOOKUP($B$3,'Data for Bill Impacts'!$A$3:$Y$15,22,0)</f>
        <v>3.819</v>
      </c>
      <c r="G19" s="22">
        <f t="shared" si="5"/>
        <v>3.819</v>
      </c>
      <c r="H19" s="22">
        <f t="shared" si="3"/>
        <v>0</v>
      </c>
      <c r="I19" s="23">
        <f>IF(ISERROR(H19/ABS(D19)),"N/A",(H19/ABS(D19)))</f>
        <v>0</v>
      </c>
      <c r="J19" s="124">
        <f t="shared" si="1"/>
        <v>1.2790765847229703E-4</v>
      </c>
    </row>
    <row r="20" spans="1:10" x14ac:dyDescent="0.2">
      <c r="A20" s="107" t="s">
        <v>226</v>
      </c>
      <c r="B20" s="73">
        <f>IF($B$10="kWh",$B$4,$B$5)</f>
        <v>500</v>
      </c>
      <c r="C20" s="125">
        <f>VLOOKUP($B$3,'Data for Bill Impacts'!$A$3:$Y$15,10,0)</f>
        <v>1.4136569223533728</v>
      </c>
      <c r="D20" s="22">
        <f>B20*C20</f>
        <v>706.82846117668646</v>
      </c>
      <c r="E20" s="73">
        <f t="shared" si="4"/>
        <v>500</v>
      </c>
      <c r="F20" s="125">
        <f>VLOOKUP($B$3,'Data for Bill Impacts'!$A$3:$Y$15,19,0)</f>
        <v>1.4496644372303882</v>
      </c>
      <c r="G20" s="22">
        <f>E20*F20</f>
        <v>724.83221861519405</v>
      </c>
      <c r="H20" s="22">
        <f t="shared" si="3"/>
        <v>18.003757438507591</v>
      </c>
      <c r="I20" s="23">
        <f t="shared" ref="I20" si="7">IF(ISERROR(H20/D20),0,(H20/D20))</f>
        <v>2.5471183501207625E-2</v>
      </c>
      <c r="J20" s="124">
        <f t="shared" si="1"/>
        <v>2.4276405307240002E-2</v>
      </c>
    </row>
    <row r="21" spans="1:10" s="1" customFormat="1" x14ac:dyDescent="0.2">
      <c r="A21" s="107" t="s">
        <v>199</v>
      </c>
      <c r="B21" s="73">
        <f>IF($B$10="kWh",$B$4,$B$5)</f>
        <v>500</v>
      </c>
      <c r="C21" s="125">
        <f>VLOOKUP($B$3,'Data for Bill Impacts'!$A$3:$Y$15,14,0)</f>
        <v>-0.13666999999999996</v>
      </c>
      <c r="D21" s="22">
        <f>B21*C21</f>
        <v>-68.33499999999998</v>
      </c>
      <c r="E21" s="73">
        <f>B21</f>
        <v>500</v>
      </c>
      <c r="F21" s="125">
        <f>VLOOKUP($B$3,'Data for Bill Impacts'!$A$3:$Y$15,23,0)</f>
        <v>-0.13666999999999996</v>
      </c>
      <c r="G21" s="22">
        <f>E21*F21</f>
        <v>-68.33499999999998</v>
      </c>
      <c r="H21" s="22">
        <f>G21-D21</f>
        <v>0</v>
      </c>
      <c r="I21" s="23">
        <f>IF(ISERROR(H21/D21),0,(H21/D21))</f>
        <v>0</v>
      </c>
      <c r="J21" s="124">
        <f t="shared" si="1"/>
        <v>-2.2887064262122059E-3</v>
      </c>
    </row>
    <row r="22" spans="1:10" s="1" customFormat="1" x14ac:dyDescent="0.2">
      <c r="A22" s="107" t="s">
        <v>147</v>
      </c>
      <c r="B22" s="73">
        <f>B9</f>
        <v>206800</v>
      </c>
      <c r="C22" s="78">
        <f>VLOOKUP($B$3,'Data for Bill Impacts'!$A$3:$Y$15,20,0)</f>
        <v>0</v>
      </c>
      <c r="D22" s="22">
        <f>B22*C22</f>
        <v>0</v>
      </c>
      <c r="E22" s="73">
        <f t="shared" si="4"/>
        <v>206800</v>
      </c>
      <c r="F22" s="78">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1898.2424611766864</v>
      </c>
      <c r="E23" s="73"/>
      <c r="F23" s="35"/>
      <c r="G23" s="35">
        <f>SUM(G16:G22)</f>
        <v>1930.6862186151939</v>
      </c>
      <c r="H23" s="35">
        <f t="shared" si="3"/>
        <v>32.443757438507419</v>
      </c>
      <c r="I23" s="36">
        <f t="shared" si="8"/>
        <v>1.7091471770363895E-2</v>
      </c>
      <c r="J23" s="111">
        <f t="shared" si="1"/>
        <v>6.4663407558995231E-2</v>
      </c>
    </row>
    <row r="24" spans="1:10" x14ac:dyDescent="0.2">
      <c r="A24" s="107" t="s">
        <v>40</v>
      </c>
      <c r="B24" s="73">
        <f>B5</f>
        <v>500</v>
      </c>
      <c r="C24" s="125">
        <f>VLOOKUP($B$3,'Data for Bill Impacts'!$A$3:$Y$15,15,0)</f>
        <v>3.4866480000000002</v>
      </c>
      <c r="D24" s="22">
        <f>B24*C24</f>
        <v>1743.3240000000001</v>
      </c>
      <c r="E24" s="73">
        <f t="shared" si="4"/>
        <v>500</v>
      </c>
      <c r="F24" s="78">
        <f>VLOOKUP($B$3,'Data for Bill Impacts'!$A$3:$Y$15,24,0)</f>
        <v>3.5367000000000002</v>
      </c>
      <c r="G24" s="22">
        <f>E24*F24</f>
        <v>1768.3500000000001</v>
      </c>
      <c r="H24" s="22">
        <f t="shared" si="3"/>
        <v>25.026000000000067</v>
      </c>
      <c r="I24" s="23">
        <f t="shared" si="8"/>
        <v>1.435533498076093E-2</v>
      </c>
      <c r="J24" s="124">
        <f t="shared" si="1"/>
        <v>5.9226370217199904E-2</v>
      </c>
    </row>
    <row r="25" spans="1:10" s="1" customFormat="1" x14ac:dyDescent="0.2">
      <c r="A25" s="107" t="s">
        <v>41</v>
      </c>
      <c r="B25" s="73">
        <f>B5</f>
        <v>500</v>
      </c>
      <c r="C25" s="125">
        <f>VLOOKUP($B$3,'Data for Bill Impacts'!$A$3:$Y$15,16,0)</f>
        <v>2.6021643999999999</v>
      </c>
      <c r="D25" s="22">
        <f>B25*C25</f>
        <v>1301.0822000000001</v>
      </c>
      <c r="E25" s="73">
        <f t="shared" si="4"/>
        <v>500</v>
      </c>
      <c r="F25" s="125">
        <f>VLOOKUP($B$3,'Data for Bill Impacts'!$A$3:$Y$15,25,0)</f>
        <v>2.6514000000000002</v>
      </c>
      <c r="G25" s="22">
        <f>E25*F25</f>
        <v>1325.7</v>
      </c>
      <c r="H25" s="22">
        <f t="shared" si="3"/>
        <v>24.617799999999988</v>
      </c>
      <c r="I25" s="23">
        <f t="shared" si="8"/>
        <v>1.8921018210840166E-2</v>
      </c>
      <c r="J25" s="124">
        <f t="shared" si="1"/>
        <v>4.4400938160964694E-2</v>
      </c>
    </row>
    <row r="26" spans="1:10" x14ac:dyDescent="0.2">
      <c r="A26" s="110" t="s">
        <v>76</v>
      </c>
      <c r="B26" s="74"/>
      <c r="C26" s="35"/>
      <c r="D26" s="35">
        <f>SUM(D24:D25)</f>
        <v>3044.4062000000004</v>
      </c>
      <c r="E26" s="73"/>
      <c r="F26" s="35"/>
      <c r="G26" s="35">
        <f>SUM(G24:G25)</f>
        <v>3094.05</v>
      </c>
      <c r="H26" s="35">
        <f t="shared" si="3"/>
        <v>49.643799999999828</v>
      </c>
      <c r="I26" s="36">
        <f t="shared" si="8"/>
        <v>1.63065625079859E-2</v>
      </c>
      <c r="J26" s="111">
        <f t="shared" si="1"/>
        <v>0.1036273083781646</v>
      </c>
    </row>
    <row r="27" spans="1:10" s="1" customFormat="1" x14ac:dyDescent="0.2">
      <c r="A27" s="110" t="s">
        <v>80</v>
      </c>
      <c r="B27" s="74"/>
      <c r="C27" s="35"/>
      <c r="D27" s="35">
        <f>D23+D26</f>
        <v>4942.6486611766868</v>
      </c>
      <c r="E27" s="73"/>
      <c r="F27" s="35"/>
      <c r="G27" s="35">
        <f>G23+G26</f>
        <v>5024.736218615194</v>
      </c>
      <c r="H27" s="35">
        <f t="shared" si="3"/>
        <v>82.087557438507247</v>
      </c>
      <c r="I27" s="36">
        <f t="shared" si="8"/>
        <v>1.6608009807228503E-2</v>
      </c>
      <c r="J27" s="111">
        <f t="shared" si="1"/>
        <v>0.16829071593715983</v>
      </c>
    </row>
    <row r="28" spans="1:10" x14ac:dyDescent="0.2">
      <c r="A28" s="107" t="s">
        <v>42</v>
      </c>
      <c r="B28" s="73">
        <f>B9</f>
        <v>206800</v>
      </c>
      <c r="C28" s="34">
        <v>3.5999999999999999E-3</v>
      </c>
      <c r="D28" s="22">
        <f>B28*C28</f>
        <v>744.48</v>
      </c>
      <c r="E28" s="73">
        <f t="shared" si="4"/>
        <v>206800</v>
      </c>
      <c r="F28" s="34">
        <v>3.5999999999999999E-3</v>
      </c>
      <c r="G28" s="22">
        <f>E28*F28</f>
        <v>744.48</v>
      </c>
      <c r="H28" s="22">
        <f t="shared" si="3"/>
        <v>0</v>
      </c>
      <c r="I28" s="23">
        <f t="shared" si="8"/>
        <v>0</v>
      </c>
      <c r="J28" s="124">
        <f t="shared" si="1"/>
        <v>2.4934457601323824E-2</v>
      </c>
    </row>
    <row r="29" spans="1:10" x14ac:dyDescent="0.2">
      <c r="A29" s="107" t="s">
        <v>43</v>
      </c>
      <c r="B29" s="73">
        <f>B9</f>
        <v>206800</v>
      </c>
      <c r="C29" s="34">
        <v>2.0999999999999999E-3</v>
      </c>
      <c r="D29" s="22">
        <f>B29*C29</f>
        <v>434.28</v>
      </c>
      <c r="E29" s="73">
        <f t="shared" si="4"/>
        <v>206800</v>
      </c>
      <c r="F29" s="34">
        <v>2.0999999999999999E-3</v>
      </c>
      <c r="G29" s="22">
        <f>E29*F29</f>
        <v>434.28</v>
      </c>
      <c r="H29" s="22">
        <f>G29-D29</f>
        <v>0</v>
      </c>
      <c r="I29" s="23">
        <f t="shared" si="8"/>
        <v>0</v>
      </c>
      <c r="J29" s="124">
        <f t="shared" si="1"/>
        <v>1.4545100267438896E-2</v>
      </c>
    </row>
    <row r="30" spans="1:10" x14ac:dyDescent="0.2">
      <c r="A30" s="107" t="s">
        <v>100</v>
      </c>
      <c r="B30" s="73">
        <f>B9</f>
        <v>206800</v>
      </c>
      <c r="C30" s="34">
        <v>0</v>
      </c>
      <c r="D30" s="22">
        <f>B30*C30</f>
        <v>0</v>
      </c>
      <c r="E30" s="73">
        <f t="shared" si="4"/>
        <v>206800</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8.3731119712160915E-6</v>
      </c>
    </row>
    <row r="32" spans="1:10" x14ac:dyDescent="0.2">
      <c r="A32" s="110" t="s">
        <v>45</v>
      </c>
      <c r="B32" s="74"/>
      <c r="C32" s="35"/>
      <c r="D32" s="35">
        <f>SUM(D28:D31)</f>
        <v>1179.01</v>
      </c>
      <c r="E32" s="73"/>
      <c r="F32" s="35"/>
      <c r="G32" s="35">
        <f>SUM(G28:G31)</f>
        <v>1179.01</v>
      </c>
      <c r="H32" s="35">
        <f t="shared" si="3"/>
        <v>0</v>
      </c>
      <c r="I32" s="36">
        <f t="shared" si="8"/>
        <v>0</v>
      </c>
      <c r="J32" s="111">
        <f t="shared" si="10"/>
        <v>3.9487930980733936E-2</v>
      </c>
    </row>
    <row r="33" spans="1:10" ht="13.5" thickBot="1" x14ac:dyDescent="0.25">
      <c r="A33" s="112" t="s">
        <v>46</v>
      </c>
      <c r="B33" s="113">
        <f>B4</f>
        <v>200000</v>
      </c>
      <c r="C33" s="114">
        <v>7.0000000000000001E-3</v>
      </c>
      <c r="D33" s="115">
        <f>B33*C33</f>
        <v>1400</v>
      </c>
      <c r="E33" s="116">
        <f t="shared" si="4"/>
        <v>200000</v>
      </c>
      <c r="F33" s="114">
        <f>C33</f>
        <v>7.0000000000000001E-3</v>
      </c>
      <c r="G33" s="115">
        <f>E33*F33</f>
        <v>1400</v>
      </c>
      <c r="H33" s="115">
        <f t="shared" si="3"/>
        <v>0</v>
      </c>
      <c r="I33" s="117">
        <f t="shared" si="8"/>
        <v>0</v>
      </c>
      <c r="J33" s="118">
        <f t="shared" si="10"/>
        <v>4.6889427038810112E-2</v>
      </c>
    </row>
    <row r="34" spans="1:10" x14ac:dyDescent="0.2">
      <c r="A34" s="37" t="s">
        <v>146</v>
      </c>
      <c r="B34" s="38"/>
      <c r="C34" s="39"/>
      <c r="D34" s="39">
        <f>SUM(D15,D23,D26,D32,D33)</f>
        <v>26340.458661176686</v>
      </c>
      <c r="E34" s="38"/>
      <c r="F34" s="39"/>
      <c r="G34" s="39">
        <f>SUM(G15,G23,G26,G32,G33)</f>
        <v>26422.546218615193</v>
      </c>
      <c r="H34" s="39">
        <f t="shared" si="3"/>
        <v>82.087557438506337</v>
      </c>
      <c r="I34" s="40">
        <f t="shared" si="8"/>
        <v>3.1164057731270845E-3</v>
      </c>
      <c r="J34" s="41">
        <f t="shared" si="10"/>
        <v>0.88495575221238942</v>
      </c>
    </row>
    <row r="35" spans="1:10" x14ac:dyDescent="0.2">
      <c r="A35" s="46" t="s">
        <v>138</v>
      </c>
      <c r="B35" s="43"/>
      <c r="C35" s="26">
        <v>0.13</v>
      </c>
      <c r="D35" s="26">
        <f>D34*C35</f>
        <v>3424.2596259529691</v>
      </c>
      <c r="E35" s="26"/>
      <c r="F35" s="26">
        <f>C35</f>
        <v>0.13</v>
      </c>
      <c r="G35" s="26">
        <f>G34*F35</f>
        <v>3434.9310084199751</v>
      </c>
      <c r="H35" s="26">
        <f t="shared" si="3"/>
        <v>10.671382467005969</v>
      </c>
      <c r="I35" s="44">
        <f t="shared" si="8"/>
        <v>3.116405773127127E-3</v>
      </c>
      <c r="J35" s="45">
        <f t="shared" si="10"/>
        <v>0.11504424778761062</v>
      </c>
    </row>
    <row r="36" spans="1:10" x14ac:dyDescent="0.2">
      <c r="A36" s="46" t="s">
        <v>139</v>
      </c>
      <c r="B36" s="24"/>
      <c r="C36" s="25"/>
      <c r="D36" s="25">
        <f>SUM(D34:D35)</f>
        <v>29764.718287129654</v>
      </c>
      <c r="E36" s="25"/>
      <c r="F36" s="25"/>
      <c r="G36" s="25">
        <f>SUM(G34:G35)</f>
        <v>29857.477227035168</v>
      </c>
      <c r="H36" s="25">
        <f t="shared" si="3"/>
        <v>92.758939905514126</v>
      </c>
      <c r="I36" s="27">
        <f t="shared" si="8"/>
        <v>3.1164057731271505E-3</v>
      </c>
      <c r="J36" s="47">
        <f t="shared" si="10"/>
        <v>1</v>
      </c>
    </row>
    <row r="37" spans="1:10" x14ac:dyDescent="0.2">
      <c r="A37" s="46"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6" t="s">
        <v>141</v>
      </c>
      <c r="B38" s="49"/>
      <c r="C38" s="50"/>
      <c r="D38" s="50">
        <f>SUM(D36:D37)</f>
        <v>29764.718287129654</v>
      </c>
      <c r="E38" s="50"/>
      <c r="F38" s="50"/>
      <c r="G38" s="50">
        <f>SUM(G36:G37)</f>
        <v>29857.477227035168</v>
      </c>
      <c r="H38" s="50">
        <f t="shared" si="3"/>
        <v>92.758939905514126</v>
      </c>
      <c r="I38" s="51">
        <f t="shared" si="8"/>
        <v>3.1164057731271505E-3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40"/>
  <sheetViews>
    <sheetView tabSelected="1" topLeftCell="A7"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11</v>
      </c>
    </row>
    <row r="4" spans="1:10" x14ac:dyDescent="0.2">
      <c r="A4" s="15" t="s">
        <v>62</v>
      </c>
      <c r="B4" s="79">
        <f>'Data for Bill Impacts_HONI Avg '!C15</f>
        <v>1601036</v>
      </c>
    </row>
    <row r="5" spans="1:10" x14ac:dyDescent="0.2">
      <c r="A5" s="15" t="s">
        <v>16</v>
      </c>
      <c r="B5" s="79">
        <v>2960</v>
      </c>
    </row>
    <row r="6" spans="1:10" x14ac:dyDescent="0.2">
      <c r="A6" s="15" t="s">
        <v>20</v>
      </c>
      <c r="B6" s="80">
        <f>VLOOKUP($B$3,'Data for Bill Impacts'!$A$3:$Y$15,2,0)</f>
        <v>1.034</v>
      </c>
    </row>
    <row r="7" spans="1:10" x14ac:dyDescent="0.2">
      <c r="A7" s="81" t="s">
        <v>49</v>
      </c>
      <c r="B7" s="82">
        <f>B4/(B5*730)</f>
        <v>0.74094594594594598</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1655471.2240000002</v>
      </c>
      <c r="C13" s="103">
        <v>9.0999999999999998E-2</v>
      </c>
      <c r="D13" s="104">
        <f>B13*C13</f>
        <v>150647.88138400001</v>
      </c>
      <c r="E13" s="102">
        <f>B13</f>
        <v>1655471.2240000002</v>
      </c>
      <c r="F13" s="103">
        <f>C13</f>
        <v>9.0999999999999998E-2</v>
      </c>
      <c r="G13" s="104">
        <f>E13*F13</f>
        <v>150647.88138400001</v>
      </c>
      <c r="H13" s="104">
        <f>G13-D13</f>
        <v>0</v>
      </c>
      <c r="I13" s="105">
        <f t="shared" ref="I13:I18" si="0">IF(ISERROR(H13/ABS(D13)),"N/A",(H13/ABS(D13)))</f>
        <v>0</v>
      </c>
      <c r="J13" s="123">
        <f t="shared" ref="J13:J38" si="1">G13/$G$38</f>
        <v>0.68448629212155343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150647.88138400001</v>
      </c>
      <c r="E15" s="76"/>
      <c r="F15" s="25"/>
      <c r="G15" s="25">
        <f>SUM(G13:G14)</f>
        <v>150647.88138400001</v>
      </c>
      <c r="H15" s="25">
        <f t="shared" si="3"/>
        <v>0</v>
      </c>
      <c r="I15" s="27">
        <f t="shared" si="0"/>
        <v>0</v>
      </c>
      <c r="J15" s="47">
        <f t="shared" si="1"/>
        <v>0.68448629212155343</v>
      </c>
    </row>
    <row r="16" spans="1:10" s="1" customFormat="1" x14ac:dyDescent="0.2">
      <c r="A16" s="107" t="s">
        <v>225</v>
      </c>
      <c r="B16" s="73">
        <v>1</v>
      </c>
      <c r="C16" s="78">
        <f>VLOOKUP($B$3,'Data for Bill Impacts'!$A$3:$Y$15,7,0)</f>
        <v>1255.93</v>
      </c>
      <c r="D16" s="22">
        <f>B16*C16</f>
        <v>1255.93</v>
      </c>
      <c r="E16" s="73">
        <f t="shared" ref="E16:E33" si="4">B16</f>
        <v>1</v>
      </c>
      <c r="F16" s="78">
        <f>VLOOKUP($B$3,'Data for Bill Impacts'!$A$3:$Y$15,17,0)</f>
        <v>1270.3699999999999</v>
      </c>
      <c r="G16" s="22">
        <f>E16*F16</f>
        <v>1270.3699999999999</v>
      </c>
      <c r="H16" s="22">
        <f t="shared" si="3"/>
        <v>14.439999999999827</v>
      </c>
      <c r="I16" s="23">
        <f t="shared" si="0"/>
        <v>1.1497456068411318E-2</v>
      </c>
      <c r="J16" s="124">
        <f t="shared" si="1"/>
        <v>5.7720748737646096E-3</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3.819</v>
      </c>
      <c r="D19" s="22">
        <f t="shared" si="6"/>
        <v>3.819</v>
      </c>
      <c r="E19" s="73">
        <f t="shared" si="4"/>
        <v>1</v>
      </c>
      <c r="F19" s="121">
        <f>VLOOKUP($B$3,'Data for Bill Impacts'!$A$3:$Y$15,22,0)</f>
        <v>3.819</v>
      </c>
      <c r="G19" s="22">
        <f t="shared" si="5"/>
        <v>3.819</v>
      </c>
      <c r="H19" s="22">
        <f t="shared" si="3"/>
        <v>0</v>
      </c>
      <c r="I19" s="23">
        <f>IF(ISERROR(H19/ABS(D19)),"N/A",(H19/ABS(D19)))</f>
        <v>0</v>
      </c>
      <c r="J19" s="124">
        <f t="shared" si="1"/>
        <v>1.735207376032734E-5</v>
      </c>
    </row>
    <row r="20" spans="1:10" x14ac:dyDescent="0.2">
      <c r="A20" s="107" t="s">
        <v>226</v>
      </c>
      <c r="B20" s="73">
        <f>IF($B$10="kWh",$B$4,$B$5)</f>
        <v>2960</v>
      </c>
      <c r="C20" s="125">
        <f>VLOOKUP($B$3,'Data for Bill Impacts'!$A$3:$Y$15,10,0)</f>
        <v>1.4136569223533728</v>
      </c>
      <c r="D20" s="22">
        <f>B20*C20</f>
        <v>4184.4244901659831</v>
      </c>
      <c r="E20" s="73">
        <f t="shared" si="4"/>
        <v>2960</v>
      </c>
      <c r="F20" s="125">
        <f>VLOOKUP($B$3,'Data for Bill Impacts'!$A$3:$Y$15,19,0)</f>
        <v>1.4496644372303882</v>
      </c>
      <c r="G20" s="22">
        <f>E20*F20</f>
        <v>4291.0067342019493</v>
      </c>
      <c r="H20" s="22">
        <f t="shared" si="3"/>
        <v>106.58224403596614</v>
      </c>
      <c r="I20" s="23">
        <f t="shared" ref="I20" si="7">IF(ISERROR(H20/D20),0,(H20/D20))</f>
        <v>2.5471183501207917E-2</v>
      </c>
      <c r="J20" s="124">
        <f t="shared" si="1"/>
        <v>1.9496691636012978E-2</v>
      </c>
    </row>
    <row r="21" spans="1:10" s="1" customFormat="1" x14ac:dyDescent="0.2">
      <c r="A21" s="107" t="s">
        <v>199</v>
      </c>
      <c r="B21" s="73">
        <f>IF($B$10="kWh",$B$4,$B$5)</f>
        <v>2960</v>
      </c>
      <c r="C21" s="125">
        <f>VLOOKUP($B$3,'Data for Bill Impacts'!$A$3:$Y$15,14,0)</f>
        <v>-0.13666999999999996</v>
      </c>
      <c r="D21" s="22">
        <f>B21*C21</f>
        <v>-404.5431999999999</v>
      </c>
      <c r="E21" s="73">
        <f>B21</f>
        <v>2960</v>
      </c>
      <c r="F21" s="125">
        <f>VLOOKUP($B$3,'Data for Bill Impacts'!$A$3:$Y$15,23,0)</f>
        <v>-0.13666999999999996</v>
      </c>
      <c r="G21" s="22">
        <f>E21*F21</f>
        <v>-404.5431999999999</v>
      </c>
      <c r="H21" s="22">
        <f>G21-D21</f>
        <v>0</v>
      </c>
      <c r="I21" s="23">
        <f>IF(ISERROR(H21/D21),0,(H21/D21))</f>
        <v>0</v>
      </c>
      <c r="J21" s="124">
        <f t="shared" si="1"/>
        <v>-1.8380894070800875E-3</v>
      </c>
    </row>
    <row r="22" spans="1:10" s="1" customFormat="1" x14ac:dyDescent="0.2">
      <c r="A22" s="107" t="s">
        <v>147</v>
      </c>
      <c r="B22" s="73">
        <f>B9</f>
        <v>1655471.2240000002</v>
      </c>
      <c r="C22" s="78">
        <f>VLOOKUP($B$3,'Data for Bill Impacts'!$A$3:$Y$15,20,0)</f>
        <v>0</v>
      </c>
      <c r="D22" s="22">
        <f>B22*C22</f>
        <v>0</v>
      </c>
      <c r="E22" s="73">
        <f t="shared" si="4"/>
        <v>1655471.2240000002</v>
      </c>
      <c r="F22" s="78">
        <f>VLOOKUP($B$3,'Data for Bill Impacts'!$A$3:$Y$15,21,0)</f>
        <v>0</v>
      </c>
      <c r="G22" s="22">
        <f>E22*F22</f>
        <v>0</v>
      </c>
      <c r="H22" s="22">
        <f t="shared" si="3"/>
        <v>0</v>
      </c>
      <c r="I22" s="23" t="str">
        <f t="shared" ref="I22:I38" si="8">IF(ISERROR(H22/ABS(D22)),"N/A",(H22/ABS(D22)))</f>
        <v>N/A</v>
      </c>
      <c r="J22" s="124">
        <f t="shared" si="1"/>
        <v>0</v>
      </c>
    </row>
    <row r="23" spans="1:10" x14ac:dyDescent="0.2">
      <c r="A23" s="110" t="s">
        <v>79</v>
      </c>
      <c r="B23" s="74"/>
      <c r="C23" s="35"/>
      <c r="D23" s="35">
        <f>SUM(D16:D22)</f>
        <v>5039.6302901659828</v>
      </c>
      <c r="E23" s="73"/>
      <c r="F23" s="35"/>
      <c r="G23" s="35">
        <f>SUM(G16:G22)</f>
        <v>5160.6525342019486</v>
      </c>
      <c r="H23" s="35">
        <f t="shared" si="3"/>
        <v>121.02224403596574</v>
      </c>
      <c r="I23" s="36">
        <f t="shared" si="8"/>
        <v>2.4014111565310838E-2</v>
      </c>
      <c r="J23" s="111">
        <f t="shared" si="1"/>
        <v>2.3448029176457823E-2</v>
      </c>
    </row>
    <row r="24" spans="1:10" x14ac:dyDescent="0.2">
      <c r="A24" s="107" t="s">
        <v>40</v>
      </c>
      <c r="B24" s="73">
        <f>B5</f>
        <v>2960</v>
      </c>
      <c r="C24" s="125">
        <f>VLOOKUP($B$3,'Data for Bill Impacts'!$A$3:$Y$15,15,0)</f>
        <v>3.4866480000000002</v>
      </c>
      <c r="D24" s="22">
        <f>B24*C24</f>
        <v>10320.478080000001</v>
      </c>
      <c r="E24" s="73">
        <f t="shared" si="4"/>
        <v>2960</v>
      </c>
      <c r="F24" s="78">
        <f>VLOOKUP($B$3,'Data for Bill Impacts'!$A$3:$Y$15,24,0)</f>
        <v>3.5367000000000002</v>
      </c>
      <c r="G24" s="22">
        <f>E24*F24</f>
        <v>10468.632000000001</v>
      </c>
      <c r="H24" s="22">
        <f t="shared" si="3"/>
        <v>148.15392000000065</v>
      </c>
      <c r="I24" s="23">
        <f t="shared" si="8"/>
        <v>1.4355334980760954E-2</v>
      </c>
      <c r="J24" s="124">
        <f t="shared" si="1"/>
        <v>4.7565455520744482E-2</v>
      </c>
    </row>
    <row r="25" spans="1:10" s="1" customFormat="1" x14ac:dyDescent="0.2">
      <c r="A25" s="107" t="s">
        <v>41</v>
      </c>
      <c r="B25" s="73">
        <f>B5</f>
        <v>2960</v>
      </c>
      <c r="C25" s="125">
        <f>VLOOKUP($B$3,'Data for Bill Impacts'!$A$3:$Y$15,16,0)</f>
        <v>2.6021643999999999</v>
      </c>
      <c r="D25" s="22">
        <f>B25*C25</f>
        <v>7702.4066240000002</v>
      </c>
      <c r="E25" s="73">
        <f t="shared" si="4"/>
        <v>2960</v>
      </c>
      <c r="F25" s="125">
        <f>VLOOKUP($B$3,'Data for Bill Impacts'!$A$3:$Y$15,25,0)</f>
        <v>2.6514000000000002</v>
      </c>
      <c r="G25" s="22">
        <f>E25*F25</f>
        <v>7848.1440000000002</v>
      </c>
      <c r="H25" s="22">
        <f t="shared" si="3"/>
        <v>145.73737600000004</v>
      </c>
      <c r="I25" s="23">
        <f t="shared" si="8"/>
        <v>1.892101821084018E-2</v>
      </c>
      <c r="J25" s="124">
        <f t="shared" si="1"/>
        <v>3.5658961395567026E-2</v>
      </c>
    </row>
    <row r="26" spans="1:10" x14ac:dyDescent="0.2">
      <c r="A26" s="110" t="s">
        <v>76</v>
      </c>
      <c r="B26" s="74"/>
      <c r="C26" s="35"/>
      <c r="D26" s="35">
        <f>SUM(D24:D25)</f>
        <v>18022.884704</v>
      </c>
      <c r="E26" s="73"/>
      <c r="F26" s="35"/>
      <c r="G26" s="35">
        <f>SUM(G24:G25)</f>
        <v>18316.776000000002</v>
      </c>
      <c r="H26" s="35">
        <f t="shared" si="3"/>
        <v>293.8912960000016</v>
      </c>
      <c r="I26" s="36">
        <f t="shared" si="8"/>
        <v>1.6306562507986046E-2</v>
      </c>
      <c r="J26" s="111">
        <f t="shared" si="1"/>
        <v>8.3224416916311508E-2</v>
      </c>
    </row>
    <row r="27" spans="1:10" s="1" customFormat="1" x14ac:dyDescent="0.2">
      <c r="A27" s="110" t="s">
        <v>80</v>
      </c>
      <c r="B27" s="74"/>
      <c r="C27" s="35"/>
      <c r="D27" s="35">
        <f>D23+D26</f>
        <v>23062.514994165984</v>
      </c>
      <c r="E27" s="73"/>
      <c r="F27" s="35"/>
      <c r="G27" s="35">
        <f>G23+G26</f>
        <v>23477.42853420195</v>
      </c>
      <c r="H27" s="35">
        <f t="shared" si="3"/>
        <v>414.91354003596643</v>
      </c>
      <c r="I27" s="36">
        <f t="shared" si="8"/>
        <v>1.7990819307474714E-2</v>
      </c>
      <c r="J27" s="111">
        <f t="shared" si="1"/>
        <v>0.10667244609276932</v>
      </c>
    </row>
    <row r="28" spans="1:10" x14ac:dyDescent="0.2">
      <c r="A28" s="107" t="s">
        <v>42</v>
      </c>
      <c r="B28" s="73">
        <f>B9</f>
        <v>1655471.2240000002</v>
      </c>
      <c r="C28" s="34">
        <v>3.5999999999999999E-3</v>
      </c>
      <c r="D28" s="22">
        <f>B28*C28</f>
        <v>5959.6964064000003</v>
      </c>
      <c r="E28" s="73">
        <f t="shared" si="4"/>
        <v>1655471.2240000002</v>
      </c>
      <c r="F28" s="34">
        <v>3.5999999999999999E-3</v>
      </c>
      <c r="G28" s="22">
        <f>E28*F28</f>
        <v>5959.6964064000003</v>
      </c>
      <c r="H28" s="22">
        <f t="shared" si="3"/>
        <v>0</v>
      </c>
      <c r="I28" s="23">
        <f t="shared" si="8"/>
        <v>0</v>
      </c>
      <c r="J28" s="124">
        <f t="shared" si="1"/>
        <v>2.7078578589424088E-2</v>
      </c>
    </row>
    <row r="29" spans="1:10" x14ac:dyDescent="0.2">
      <c r="A29" s="107" t="s">
        <v>43</v>
      </c>
      <c r="B29" s="73">
        <f>B9</f>
        <v>1655471.2240000002</v>
      </c>
      <c r="C29" s="34">
        <v>2.0999999999999999E-3</v>
      </c>
      <c r="D29" s="22">
        <f>B29*C29</f>
        <v>3476.4895704</v>
      </c>
      <c r="E29" s="73">
        <f t="shared" si="4"/>
        <v>1655471.2240000002</v>
      </c>
      <c r="F29" s="34">
        <v>2.0999999999999999E-3</v>
      </c>
      <c r="G29" s="22">
        <f>E29*F29</f>
        <v>3476.4895704</v>
      </c>
      <c r="H29" s="22">
        <f>G29-D29</f>
        <v>0</v>
      </c>
      <c r="I29" s="23">
        <f t="shared" si="8"/>
        <v>0</v>
      </c>
      <c r="J29" s="124">
        <f t="shared" si="1"/>
        <v>1.5795837510497384E-2</v>
      </c>
    </row>
    <row r="30" spans="1:10" x14ac:dyDescent="0.2">
      <c r="A30" s="107" t="s">
        <v>100</v>
      </c>
      <c r="B30" s="73">
        <f>B9</f>
        <v>1655471.2240000002</v>
      </c>
      <c r="C30" s="34">
        <v>0</v>
      </c>
      <c r="D30" s="22">
        <f>B30*C30</f>
        <v>0</v>
      </c>
      <c r="E30" s="73">
        <f t="shared" si="4"/>
        <v>1655471.2240000002</v>
      </c>
      <c r="F30" s="34">
        <v>0</v>
      </c>
      <c r="G30" s="22">
        <f>E30*F30</f>
        <v>0</v>
      </c>
      <c r="H30" s="22">
        <f>G30-D30</f>
        <v>0</v>
      </c>
      <c r="I30" s="23" t="str">
        <f t="shared" si="8"/>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si="1"/>
        <v>1.1359042786283937E-6</v>
      </c>
    </row>
    <row r="32" spans="1:10" x14ac:dyDescent="0.2">
      <c r="A32" s="110" t="s">
        <v>45</v>
      </c>
      <c r="B32" s="74"/>
      <c r="C32" s="35"/>
      <c r="D32" s="35">
        <f>SUM(D28:D31)</f>
        <v>9436.4359767999995</v>
      </c>
      <c r="E32" s="73"/>
      <c r="F32" s="35"/>
      <c r="G32" s="35">
        <f>SUM(G28:G31)</f>
        <v>9436.4359767999995</v>
      </c>
      <c r="H32" s="35">
        <f t="shared" si="3"/>
        <v>0</v>
      </c>
      <c r="I32" s="36">
        <f t="shared" si="8"/>
        <v>0</v>
      </c>
      <c r="J32" s="111">
        <f t="shared" si="1"/>
        <v>4.2875552004200096E-2</v>
      </c>
    </row>
    <row r="33" spans="1:10" ht="13.5" thickBot="1" x14ac:dyDescent="0.25">
      <c r="A33" s="112" t="s">
        <v>46</v>
      </c>
      <c r="B33" s="113">
        <f>B4</f>
        <v>1601036</v>
      </c>
      <c r="C33" s="114">
        <v>7.0000000000000001E-3</v>
      </c>
      <c r="D33" s="115">
        <f>B33*C33</f>
        <v>11207.252</v>
      </c>
      <c r="E33" s="116">
        <f t="shared" si="4"/>
        <v>1601036</v>
      </c>
      <c r="F33" s="114">
        <f>C33</f>
        <v>7.0000000000000001E-3</v>
      </c>
      <c r="G33" s="115">
        <f>E33*F33</f>
        <v>11207.252</v>
      </c>
      <c r="H33" s="115">
        <f t="shared" si="3"/>
        <v>0</v>
      </c>
      <c r="I33" s="117">
        <f t="shared" si="8"/>
        <v>0</v>
      </c>
      <c r="J33" s="118">
        <f t="shared" si="1"/>
        <v>5.092146199386649E-2</v>
      </c>
    </row>
    <row r="34" spans="1:10" x14ac:dyDescent="0.2">
      <c r="A34" s="37" t="s">
        <v>146</v>
      </c>
      <c r="B34" s="38"/>
      <c r="C34" s="39"/>
      <c r="D34" s="39">
        <f>SUM(D15,D23,D26,D32,D33)</f>
        <v>194354.08435496598</v>
      </c>
      <c r="E34" s="38"/>
      <c r="F34" s="39"/>
      <c r="G34" s="39">
        <f>SUM(G15,G23,G26,G32,G33)</f>
        <v>194768.99789500199</v>
      </c>
      <c r="H34" s="39">
        <f t="shared" si="3"/>
        <v>414.91354003601009</v>
      </c>
      <c r="I34" s="40">
        <f t="shared" si="8"/>
        <v>2.1348331392831289E-3</v>
      </c>
      <c r="J34" s="41">
        <f t="shared" si="1"/>
        <v>0.88495575221238942</v>
      </c>
    </row>
    <row r="35" spans="1:10" x14ac:dyDescent="0.2">
      <c r="A35" s="46" t="s">
        <v>138</v>
      </c>
      <c r="B35" s="43"/>
      <c r="C35" s="26">
        <v>0.13</v>
      </c>
      <c r="D35" s="26">
        <f>D34*C35</f>
        <v>25266.030966145579</v>
      </c>
      <c r="E35" s="26"/>
      <c r="F35" s="26">
        <f>C35</f>
        <v>0.13</v>
      </c>
      <c r="G35" s="26">
        <f>G34*F35</f>
        <v>25319.96972635026</v>
      </c>
      <c r="H35" s="26">
        <f t="shared" si="3"/>
        <v>53.938760204680875</v>
      </c>
      <c r="I35" s="44">
        <f t="shared" si="8"/>
        <v>2.1348331392831116E-3</v>
      </c>
      <c r="J35" s="45">
        <f t="shared" si="1"/>
        <v>0.11504424778761063</v>
      </c>
    </row>
    <row r="36" spans="1:10" x14ac:dyDescent="0.2">
      <c r="A36" s="46" t="s">
        <v>139</v>
      </c>
      <c r="B36" s="24"/>
      <c r="C36" s="25"/>
      <c r="D36" s="25">
        <f>SUM(D34:D35)</f>
        <v>219620.11532111155</v>
      </c>
      <c r="E36" s="25"/>
      <c r="F36" s="25"/>
      <c r="G36" s="25">
        <f>SUM(G34:G35)</f>
        <v>220088.96762135223</v>
      </c>
      <c r="H36" s="25">
        <f t="shared" si="3"/>
        <v>468.85230024068733</v>
      </c>
      <c r="I36" s="27">
        <f t="shared" si="8"/>
        <v>2.1348331392831107E-3</v>
      </c>
      <c r="J36" s="47">
        <f t="shared" si="1"/>
        <v>1</v>
      </c>
    </row>
    <row r="37" spans="1:10" x14ac:dyDescent="0.2">
      <c r="A37" s="46" t="s">
        <v>140</v>
      </c>
      <c r="B37" s="43"/>
      <c r="C37" s="26">
        <v>0</v>
      </c>
      <c r="D37" s="26">
        <f>D34*C37</f>
        <v>0</v>
      </c>
      <c r="E37" s="26"/>
      <c r="F37" s="26">
        <f>C37</f>
        <v>0</v>
      </c>
      <c r="G37" s="26">
        <f>G34*F37</f>
        <v>0</v>
      </c>
      <c r="H37" s="26">
        <f t="shared" si="3"/>
        <v>0</v>
      </c>
      <c r="I37" s="44" t="str">
        <f t="shared" si="8"/>
        <v>N/A</v>
      </c>
      <c r="J37" s="45">
        <f t="shared" si="1"/>
        <v>0</v>
      </c>
    </row>
    <row r="38" spans="1:10" ht="13.5" thickBot="1" x14ac:dyDescent="0.25">
      <c r="A38" s="46" t="s">
        <v>141</v>
      </c>
      <c r="B38" s="49"/>
      <c r="C38" s="50"/>
      <c r="D38" s="50">
        <f>SUM(D36:D37)</f>
        <v>219620.11532111155</v>
      </c>
      <c r="E38" s="50"/>
      <c r="F38" s="50"/>
      <c r="G38" s="50">
        <f>SUM(G36:G37)</f>
        <v>220088.96762135223</v>
      </c>
      <c r="H38" s="50">
        <f t="shared" si="3"/>
        <v>468.85230024068733</v>
      </c>
      <c r="I38" s="51">
        <f t="shared" si="8"/>
        <v>2.1348331392831107E-3</v>
      </c>
      <c r="J38" s="52">
        <f t="shared" si="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4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49</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B9</f>
        <v>4136000</v>
      </c>
      <c r="C13" s="103">
        <v>9.0999999999999998E-2</v>
      </c>
      <c r="D13" s="104">
        <f>B13*C13</f>
        <v>376376</v>
      </c>
      <c r="E13" s="102">
        <f>B13</f>
        <v>4136000</v>
      </c>
      <c r="F13" s="103">
        <f>C13</f>
        <v>9.0999999999999998E-2</v>
      </c>
      <c r="G13" s="104">
        <f>E13*F13</f>
        <v>376376</v>
      </c>
      <c r="H13" s="104">
        <f>G13-D13</f>
        <v>0</v>
      </c>
      <c r="I13" s="105">
        <f t="shared" ref="I13:I18" si="0">IF(ISERROR(H13/ABS(D13)),"N/A",(H13/ABS(D13)))</f>
        <v>0</v>
      </c>
      <c r="J13" s="123">
        <f t="shared" ref="J13:J29" si="1">G13/$G$38</f>
        <v>0.66055521788422678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376376</v>
      </c>
      <c r="E15" s="76"/>
      <c r="F15" s="25"/>
      <c r="G15" s="25">
        <f>SUM(G13:G14)</f>
        <v>376376</v>
      </c>
      <c r="H15" s="25">
        <f t="shared" si="3"/>
        <v>0</v>
      </c>
      <c r="I15" s="27">
        <f t="shared" si="0"/>
        <v>0</v>
      </c>
      <c r="J15" s="47">
        <f t="shared" si="1"/>
        <v>0.66055521788422678</v>
      </c>
    </row>
    <row r="16" spans="1:10" s="1" customFormat="1" x14ac:dyDescent="0.2">
      <c r="A16" s="107" t="s">
        <v>225</v>
      </c>
      <c r="B16" s="73">
        <v>1</v>
      </c>
      <c r="C16" s="78">
        <f>VLOOKUP($B$3,'Data for Bill Impacts'!$A$3:$Y$15,7,0)</f>
        <v>1255.93</v>
      </c>
      <c r="D16" s="22">
        <f>B16*C16</f>
        <v>1255.93</v>
      </c>
      <c r="E16" s="73">
        <f t="shared" ref="E16:E33" si="4">B16</f>
        <v>1</v>
      </c>
      <c r="F16" s="78">
        <f>VLOOKUP($B$3,'Data for Bill Impacts'!$A$3:$Y$15,17,0)</f>
        <v>1270.3699999999999</v>
      </c>
      <c r="G16" s="22">
        <f>E16*F16</f>
        <v>1270.3699999999999</v>
      </c>
      <c r="H16" s="22">
        <f t="shared" si="3"/>
        <v>14.439999999999827</v>
      </c>
      <c r="I16" s="23">
        <f t="shared" si="0"/>
        <v>1.1497456068411318E-2</v>
      </c>
      <c r="J16" s="124">
        <f t="shared" si="1"/>
        <v>2.2295511194751661E-3</v>
      </c>
    </row>
    <row r="17" spans="1:10" hidden="1" x14ac:dyDescent="0.2">
      <c r="A17" s="107" t="s">
        <v>83</v>
      </c>
      <c r="B17" s="73">
        <v>1</v>
      </c>
      <c r="C17" s="78">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v>0</v>
      </c>
      <c r="D18" s="22">
        <f t="shared" ref="D18:D19" si="6">B18*C18</f>
        <v>0</v>
      </c>
      <c r="E18" s="73">
        <f t="shared" si="4"/>
        <v>1</v>
      </c>
      <c r="F18" s="78">
        <v>0</v>
      </c>
      <c r="G18" s="22">
        <f t="shared" si="5"/>
        <v>0</v>
      </c>
      <c r="H18" s="22">
        <f t="shared" si="3"/>
        <v>0</v>
      </c>
      <c r="I18" s="23" t="str">
        <f t="shared" si="0"/>
        <v>N/A</v>
      </c>
      <c r="J18" s="124">
        <f t="shared" si="1"/>
        <v>0</v>
      </c>
    </row>
    <row r="19" spans="1:10" x14ac:dyDescent="0.2">
      <c r="A19" s="107" t="s">
        <v>85</v>
      </c>
      <c r="B19" s="73">
        <v>1</v>
      </c>
      <c r="C19" s="121">
        <f>VLOOKUP($B$3,'Data for Bill Impacts'!$A$3:$Y$15,13,0)</f>
        <v>3.819</v>
      </c>
      <c r="D19" s="22">
        <f t="shared" si="6"/>
        <v>3.819</v>
      </c>
      <c r="E19" s="73">
        <f t="shared" si="4"/>
        <v>1</v>
      </c>
      <c r="F19" s="121">
        <f>VLOOKUP($B$3,'Data for Bill Impacts'!$A$3:$Y$15,22,0)</f>
        <v>3.819</v>
      </c>
      <c r="G19" s="22">
        <f t="shared" si="5"/>
        <v>3.819</v>
      </c>
      <c r="H19" s="22">
        <f t="shared" si="3"/>
        <v>0</v>
      </c>
      <c r="I19" s="23">
        <f>IF(ISERROR(H19/ABS(D19)),"N/A",(H19/ABS(D19)))</f>
        <v>0</v>
      </c>
      <c r="J19" s="124">
        <f t="shared" si="1"/>
        <v>6.7025006299547843E-6</v>
      </c>
    </row>
    <row r="20" spans="1:10" x14ac:dyDescent="0.2">
      <c r="A20" s="107" t="s">
        <v>226</v>
      </c>
      <c r="B20" s="73">
        <f>IF($B$10="kWh",$B$4,$B$5)</f>
        <v>10000</v>
      </c>
      <c r="C20" s="125">
        <f>VLOOKUP($B$3,'Data for Bill Impacts'!$A$3:$Y$15,10,0)</f>
        <v>1.4136569223533728</v>
      </c>
      <c r="D20" s="22">
        <f>B20*C20</f>
        <v>14136.569223533728</v>
      </c>
      <c r="E20" s="73">
        <f t="shared" si="4"/>
        <v>10000</v>
      </c>
      <c r="F20" s="125">
        <f>VLOOKUP($B$3,'Data for Bill Impacts'!$A$3:$Y$15,19,0)</f>
        <v>1.4496644372303882</v>
      </c>
      <c r="G20" s="22">
        <f>E20*F20</f>
        <v>14496.644372303881</v>
      </c>
      <c r="H20" s="22">
        <f t="shared" si="3"/>
        <v>360.07514877015274</v>
      </c>
      <c r="I20" s="23">
        <f t="shared" ref="I20" si="7">IF(ISERROR(H20/D20),0,(H20/D20))</f>
        <v>2.5471183501207691E-2</v>
      </c>
      <c r="J20" s="124">
        <f t="shared" si="1"/>
        <v>2.5442201633306426E-2</v>
      </c>
    </row>
    <row r="21" spans="1:10" s="1" customFormat="1" x14ac:dyDescent="0.2">
      <c r="A21" s="107" t="s">
        <v>199</v>
      </c>
      <c r="B21" s="73">
        <f>IF($B$10="kWh",$B$4,$B$5)</f>
        <v>10000</v>
      </c>
      <c r="C21" s="125">
        <f>VLOOKUP($B$3,'Data for Bill Impacts'!$A$3:$Y$15,14,0)</f>
        <v>-0.13666999999999996</v>
      </c>
      <c r="D21" s="22">
        <f>B21*C21</f>
        <v>-1366.6999999999996</v>
      </c>
      <c r="E21" s="73">
        <f>B21</f>
        <v>10000</v>
      </c>
      <c r="F21" s="125">
        <f>VLOOKUP($B$3,'Data for Bill Impacts'!$A$3:$Y$15,23,0)</f>
        <v>-0.13666999999999996</v>
      </c>
      <c r="G21" s="22">
        <f>E21*F21</f>
        <v>-1366.6999999999996</v>
      </c>
      <c r="H21" s="22">
        <f>G21-D21</f>
        <v>0</v>
      </c>
      <c r="I21" s="23">
        <f>IF(ISERROR(H21/D21),0,(H21/D21))</f>
        <v>0</v>
      </c>
      <c r="J21" s="124">
        <f t="shared" si="1"/>
        <v>-2.3986141950665622E-3</v>
      </c>
    </row>
    <row r="22" spans="1:10" s="1" customFormat="1" x14ac:dyDescent="0.2">
      <c r="A22" s="107" t="s">
        <v>147</v>
      </c>
      <c r="B22" s="73">
        <f>B9</f>
        <v>4136000</v>
      </c>
      <c r="C22" s="78">
        <f>VLOOKUP($B$3,'Data for Bill Impacts'!$A$3:$Y$15,20,0)</f>
        <v>0</v>
      </c>
      <c r="D22" s="22">
        <f>B22*C22</f>
        <v>0</v>
      </c>
      <c r="E22" s="73">
        <f t="shared" si="4"/>
        <v>4136000</v>
      </c>
      <c r="F22" s="78">
        <f>VLOOKUP($B$3,'Data for Bill Impacts'!$A$3:$Y$15,21,0)</f>
        <v>0</v>
      </c>
      <c r="G22" s="22">
        <f>E22*F22</f>
        <v>0</v>
      </c>
      <c r="H22" s="22">
        <f t="shared" si="3"/>
        <v>0</v>
      </c>
      <c r="I22" s="23" t="str">
        <f t="shared" ref="I22:I38" si="8">IF(ISERROR(H22/ABS(D22)),"N/A",(H22/ABS(D22)))</f>
        <v>N/A</v>
      </c>
      <c r="J22" s="124">
        <f t="shared" si="1"/>
        <v>0</v>
      </c>
    </row>
    <row r="23" spans="1:10" x14ac:dyDescent="0.2">
      <c r="A23" s="110" t="s">
        <v>97</v>
      </c>
      <c r="B23" s="74"/>
      <c r="C23" s="35"/>
      <c r="D23" s="35">
        <f>SUM(D16:D22)</f>
        <v>14029.618223533729</v>
      </c>
      <c r="E23" s="73"/>
      <c r="F23" s="35"/>
      <c r="G23" s="35">
        <f>SUM(G16:G22)</f>
        <v>14404.133372303882</v>
      </c>
      <c r="H23" s="35">
        <f t="shared" si="3"/>
        <v>374.51514877015325</v>
      </c>
      <c r="I23" s="36">
        <f t="shared" si="8"/>
        <v>2.66946072803271E-2</v>
      </c>
      <c r="J23" s="111">
        <f t="shared" si="1"/>
        <v>2.5279841058344989E-2</v>
      </c>
    </row>
    <row r="24" spans="1:10" x14ac:dyDescent="0.2">
      <c r="A24" s="107" t="s">
        <v>40</v>
      </c>
      <c r="B24" s="73">
        <f>B5</f>
        <v>10000</v>
      </c>
      <c r="C24" s="125">
        <f>VLOOKUP($B$3,'Data for Bill Impacts'!$A$3:$Y$15,15,0)</f>
        <v>3.4866480000000002</v>
      </c>
      <c r="D24" s="22">
        <f>B24*C24</f>
        <v>34866.480000000003</v>
      </c>
      <c r="E24" s="73">
        <f t="shared" si="4"/>
        <v>10000</v>
      </c>
      <c r="F24" s="78">
        <f>VLOOKUP($B$3,'Data for Bill Impacts'!$A$3:$Y$15,24,0)</f>
        <v>3.5367000000000002</v>
      </c>
      <c r="G24" s="22">
        <f>E24*F24</f>
        <v>35367</v>
      </c>
      <c r="H24" s="22">
        <f t="shared" si="3"/>
        <v>500.5199999999968</v>
      </c>
      <c r="I24" s="23">
        <f t="shared" si="8"/>
        <v>1.4355334980760798E-2</v>
      </c>
      <c r="J24" s="124">
        <f t="shared" si="1"/>
        <v>6.2070526258080877E-2</v>
      </c>
    </row>
    <row r="25" spans="1:10" s="1" customFormat="1" x14ac:dyDescent="0.2">
      <c r="A25" s="107" t="s">
        <v>41</v>
      </c>
      <c r="B25" s="73">
        <f>B5</f>
        <v>10000</v>
      </c>
      <c r="C25" s="125">
        <f>VLOOKUP($B$3,'Data for Bill Impacts'!$A$3:$Y$15,16,0)</f>
        <v>2.6021643999999999</v>
      </c>
      <c r="D25" s="22">
        <f>B25*C25</f>
        <v>26021.644</v>
      </c>
      <c r="E25" s="73">
        <f t="shared" si="4"/>
        <v>10000</v>
      </c>
      <c r="F25" s="125">
        <f>VLOOKUP($B$3,'Data for Bill Impacts'!$A$3:$Y$15,25,0)</f>
        <v>2.6514000000000002</v>
      </c>
      <c r="G25" s="22">
        <f>E25*F25</f>
        <v>26514.000000000004</v>
      </c>
      <c r="H25" s="22">
        <f t="shared" si="3"/>
        <v>492.35600000000341</v>
      </c>
      <c r="I25" s="23">
        <f t="shared" si="8"/>
        <v>1.8921018210840308E-2</v>
      </c>
      <c r="J25" s="124">
        <f t="shared" si="1"/>
        <v>4.653315048510636E-2</v>
      </c>
    </row>
    <row r="26" spans="1:10" x14ac:dyDescent="0.2">
      <c r="A26" s="110" t="s">
        <v>76</v>
      </c>
      <c r="B26" s="74"/>
      <c r="C26" s="35"/>
      <c r="D26" s="35">
        <f>SUM(D24:D25)</f>
        <v>60888.124000000003</v>
      </c>
      <c r="E26" s="73"/>
      <c r="F26" s="35"/>
      <c r="G26" s="35">
        <f>SUM(G24:G25)</f>
        <v>61881</v>
      </c>
      <c r="H26" s="35">
        <f t="shared" si="3"/>
        <v>992.87599999999657</v>
      </c>
      <c r="I26" s="36">
        <f t="shared" si="8"/>
        <v>1.63065625079859E-2</v>
      </c>
      <c r="J26" s="111">
        <f t="shared" si="1"/>
        <v>0.10860367674318723</v>
      </c>
    </row>
    <row r="27" spans="1:10" s="1" customFormat="1" x14ac:dyDescent="0.2">
      <c r="A27" s="110" t="s">
        <v>80</v>
      </c>
      <c r="B27" s="74"/>
      <c r="C27" s="35"/>
      <c r="D27" s="35">
        <f>D23+D26</f>
        <v>74917.742223533729</v>
      </c>
      <c r="E27" s="73"/>
      <c r="F27" s="35"/>
      <c r="G27" s="35">
        <f>G23+G26</f>
        <v>76285.133372303884</v>
      </c>
      <c r="H27" s="35">
        <f t="shared" si="3"/>
        <v>1367.3911487701553</v>
      </c>
      <c r="I27" s="36">
        <f t="shared" si="8"/>
        <v>1.8251900126544658E-2</v>
      </c>
      <c r="J27" s="111">
        <f t="shared" si="1"/>
        <v>0.13388351780153221</v>
      </c>
    </row>
    <row r="28" spans="1:10" x14ac:dyDescent="0.2">
      <c r="A28" s="107" t="s">
        <v>42</v>
      </c>
      <c r="B28" s="73">
        <f>B9</f>
        <v>4136000</v>
      </c>
      <c r="C28" s="34">
        <v>3.5999999999999999E-3</v>
      </c>
      <c r="D28" s="22">
        <f>B28*C28</f>
        <v>14889.6</v>
      </c>
      <c r="E28" s="73">
        <f t="shared" si="4"/>
        <v>4136000</v>
      </c>
      <c r="F28" s="34">
        <v>3.5999999999999999E-3</v>
      </c>
      <c r="G28" s="22">
        <f>E28*F28</f>
        <v>14889.6</v>
      </c>
      <c r="H28" s="22">
        <f t="shared" si="3"/>
        <v>0</v>
      </c>
      <c r="I28" s="23">
        <f t="shared" si="8"/>
        <v>0</v>
      </c>
      <c r="J28" s="124">
        <f t="shared" si="1"/>
        <v>2.6131854773441938E-2</v>
      </c>
    </row>
    <row r="29" spans="1:10" x14ac:dyDescent="0.2">
      <c r="A29" s="107" t="s">
        <v>43</v>
      </c>
      <c r="B29" s="73">
        <f>B9</f>
        <v>4136000</v>
      </c>
      <c r="C29" s="34">
        <v>2.0999999999999999E-3</v>
      </c>
      <c r="D29" s="22">
        <f>B29*C29</f>
        <v>8685.6</v>
      </c>
      <c r="E29" s="73">
        <f t="shared" si="4"/>
        <v>4136000</v>
      </c>
      <c r="F29" s="34">
        <v>2.0999999999999999E-3</v>
      </c>
      <c r="G29" s="22">
        <f>E29*F29</f>
        <v>8685.6</v>
      </c>
      <c r="H29" s="22">
        <f>G29-D29</f>
        <v>0</v>
      </c>
      <c r="I29" s="23">
        <f t="shared" si="8"/>
        <v>0</v>
      </c>
      <c r="J29" s="124">
        <f t="shared" si="1"/>
        <v>1.5243581951174465E-2</v>
      </c>
    </row>
    <row r="30" spans="1:10" x14ac:dyDescent="0.2">
      <c r="A30" s="107" t="s">
        <v>100</v>
      </c>
      <c r="B30" s="73">
        <f>B9</f>
        <v>4136000</v>
      </c>
      <c r="C30" s="34">
        <v>0</v>
      </c>
      <c r="D30" s="22">
        <f>B30*C30</f>
        <v>0</v>
      </c>
      <c r="E30" s="73">
        <f t="shared" si="4"/>
        <v>4136000</v>
      </c>
      <c r="F30" s="34">
        <v>0</v>
      </c>
      <c r="G30" s="22">
        <f>E30*F30</f>
        <v>0</v>
      </c>
      <c r="H30" s="22">
        <f>G30-D30</f>
        <v>0</v>
      </c>
      <c r="I30" s="23" t="str">
        <f t="shared" si="8"/>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8"/>
        <v>0</v>
      </c>
      <c r="J31" s="124">
        <f t="shared" ref="J31:J38" si="10">G31/$G$38</f>
        <v>4.3876018787344755E-7</v>
      </c>
    </row>
    <row r="32" spans="1:10" x14ac:dyDescent="0.2">
      <c r="A32" s="110" t="s">
        <v>45</v>
      </c>
      <c r="B32" s="74"/>
      <c r="C32" s="35"/>
      <c r="D32" s="35">
        <f>SUM(D28:D31)</f>
        <v>23575.45</v>
      </c>
      <c r="E32" s="73"/>
      <c r="F32" s="35"/>
      <c r="G32" s="35">
        <f>SUM(G28:G31)</f>
        <v>23575.45</v>
      </c>
      <c r="H32" s="35">
        <f t="shared" si="3"/>
        <v>0</v>
      </c>
      <c r="I32" s="36">
        <f t="shared" si="8"/>
        <v>0</v>
      </c>
      <c r="J32" s="111">
        <f t="shared" si="10"/>
        <v>4.137587548480428E-2</v>
      </c>
    </row>
    <row r="33" spans="1:10" ht="13.5" thickBot="1" x14ac:dyDescent="0.25">
      <c r="A33" s="112" t="s">
        <v>46</v>
      </c>
      <c r="B33" s="113">
        <f>B4</f>
        <v>4000000</v>
      </c>
      <c r="C33" s="114">
        <v>7.0000000000000001E-3</v>
      </c>
      <c r="D33" s="115">
        <f>B33*C33</f>
        <v>28000</v>
      </c>
      <c r="E33" s="116">
        <f t="shared" si="4"/>
        <v>4000000</v>
      </c>
      <c r="F33" s="114">
        <f>C33</f>
        <v>7.0000000000000001E-3</v>
      </c>
      <c r="G33" s="115">
        <f>E33*F33</f>
        <v>28000</v>
      </c>
      <c r="H33" s="115">
        <f t="shared" si="3"/>
        <v>0</v>
      </c>
      <c r="I33" s="117">
        <f t="shared" si="8"/>
        <v>0</v>
      </c>
      <c r="J33" s="118">
        <f t="shared" si="10"/>
        <v>4.9141141041826125E-2</v>
      </c>
    </row>
    <row r="34" spans="1:10" x14ac:dyDescent="0.2">
      <c r="A34" s="37" t="s">
        <v>146</v>
      </c>
      <c r="B34" s="38"/>
      <c r="C34" s="39"/>
      <c r="D34" s="39">
        <f>SUM(D15,D23,D26,D32,D33)</f>
        <v>502869.19222353376</v>
      </c>
      <c r="E34" s="38"/>
      <c r="F34" s="39"/>
      <c r="G34" s="39">
        <f>SUM(G15,G23,G26,G32,G33)</f>
        <v>504236.58337230387</v>
      </c>
      <c r="H34" s="39">
        <f t="shared" si="3"/>
        <v>1367.3911487701116</v>
      </c>
      <c r="I34" s="40">
        <f t="shared" si="8"/>
        <v>2.719178605322641E-3</v>
      </c>
      <c r="J34" s="41">
        <f t="shared" si="10"/>
        <v>0.88495575221238931</v>
      </c>
    </row>
    <row r="35" spans="1:10" x14ac:dyDescent="0.2">
      <c r="A35" s="46" t="s">
        <v>138</v>
      </c>
      <c r="B35" s="43"/>
      <c r="C35" s="26">
        <v>0.13</v>
      </c>
      <c r="D35" s="26">
        <f>D34*C35</f>
        <v>65372.994989059393</v>
      </c>
      <c r="E35" s="26"/>
      <c r="F35" s="26">
        <f>C35</f>
        <v>0.13</v>
      </c>
      <c r="G35" s="26">
        <f>G34*F35</f>
        <v>65550.755838399506</v>
      </c>
      <c r="H35" s="26">
        <f t="shared" si="3"/>
        <v>177.76084934011305</v>
      </c>
      <c r="I35" s="44">
        <f t="shared" si="8"/>
        <v>2.7191786053226185E-3</v>
      </c>
      <c r="J35" s="45">
        <f t="shared" si="10"/>
        <v>0.11504424778761062</v>
      </c>
    </row>
    <row r="36" spans="1:10" x14ac:dyDescent="0.2">
      <c r="A36" s="46" t="s">
        <v>139</v>
      </c>
      <c r="B36" s="24"/>
      <c r="C36" s="25"/>
      <c r="D36" s="25">
        <f>SUM(D34:D35)</f>
        <v>568242.18721259315</v>
      </c>
      <c r="E36" s="25"/>
      <c r="F36" s="25"/>
      <c r="G36" s="25">
        <f>SUM(G34:G35)</f>
        <v>569787.33921070339</v>
      </c>
      <c r="H36" s="25">
        <f t="shared" si="3"/>
        <v>1545.1519981102319</v>
      </c>
      <c r="I36" s="27">
        <f t="shared" si="8"/>
        <v>2.7191786053226514E-3</v>
      </c>
      <c r="J36" s="47">
        <f t="shared" si="10"/>
        <v>1</v>
      </c>
    </row>
    <row r="37" spans="1:10" x14ac:dyDescent="0.2">
      <c r="A37" s="46" t="s">
        <v>140</v>
      </c>
      <c r="B37" s="43"/>
      <c r="C37" s="26">
        <v>0</v>
      </c>
      <c r="D37" s="26">
        <f>D34*C37</f>
        <v>0</v>
      </c>
      <c r="E37" s="26"/>
      <c r="F37" s="26">
        <f>C37</f>
        <v>0</v>
      </c>
      <c r="G37" s="26">
        <f>G34*F37</f>
        <v>0</v>
      </c>
      <c r="H37" s="26">
        <f t="shared" si="3"/>
        <v>0</v>
      </c>
      <c r="I37" s="44" t="str">
        <f t="shared" si="8"/>
        <v>N/A</v>
      </c>
      <c r="J37" s="45">
        <f t="shared" si="10"/>
        <v>0</v>
      </c>
    </row>
    <row r="38" spans="1:10" ht="13.5" thickBot="1" x14ac:dyDescent="0.25">
      <c r="A38" s="46" t="s">
        <v>141</v>
      </c>
      <c r="B38" s="49"/>
      <c r="C38" s="50"/>
      <c r="D38" s="50">
        <f>SUM(D36:D37)</f>
        <v>568242.18721259315</v>
      </c>
      <c r="E38" s="50"/>
      <c r="F38" s="50"/>
      <c r="G38" s="50">
        <f>SUM(G36:G37)</f>
        <v>569787.33921070339</v>
      </c>
      <c r="H38" s="50">
        <f t="shared" si="3"/>
        <v>1545.1519981102319</v>
      </c>
      <c r="I38" s="51">
        <f t="shared" si="8"/>
        <v>2.7191786053226514E-3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Q93"/>
  <sheetViews>
    <sheetView workbookViewId="0">
      <selection activeCell="N25" sqref="N25"/>
    </sheetView>
  </sheetViews>
  <sheetFormatPr defaultRowHeight="12.75" x14ac:dyDescent="0.2"/>
  <cols>
    <col min="1" max="1" width="33" customWidth="1"/>
    <col min="2" max="2" width="16" customWidth="1"/>
    <col min="3" max="3" width="12.5703125" customWidth="1"/>
    <col min="4" max="4" width="8.85546875" customWidth="1"/>
    <col min="5" max="5" width="30.7109375" customWidth="1"/>
    <col min="6" max="6" width="12.140625" customWidth="1"/>
    <col min="7" max="7" width="27.140625" customWidth="1"/>
    <col min="8" max="8" width="10.28515625" customWidth="1"/>
    <col min="9" max="9" width="10.7109375" customWidth="1"/>
  </cols>
  <sheetData>
    <row r="1" spans="1:6" x14ac:dyDescent="0.2">
      <c r="A1" s="9">
        <v>1</v>
      </c>
      <c r="B1" s="9">
        <v>2</v>
      </c>
      <c r="C1" s="9">
        <v>3</v>
      </c>
      <c r="D1" s="9">
        <v>4</v>
      </c>
      <c r="E1" s="9">
        <v>5</v>
      </c>
      <c r="F1" s="9">
        <v>6</v>
      </c>
    </row>
    <row r="2" spans="1:6" s="12" customFormat="1" ht="51" x14ac:dyDescent="0.2">
      <c r="A2" s="10" t="s">
        <v>13</v>
      </c>
      <c r="B2" s="10" t="s">
        <v>14</v>
      </c>
      <c r="C2" s="147" t="s">
        <v>107</v>
      </c>
      <c r="D2" s="10" t="s">
        <v>15</v>
      </c>
      <c r="E2" s="147" t="s">
        <v>108</v>
      </c>
      <c r="F2" s="11" t="s">
        <v>17</v>
      </c>
    </row>
    <row r="3" spans="1:6" x14ac:dyDescent="0.2">
      <c r="A3" s="6" t="s">
        <v>0</v>
      </c>
      <c r="B3" s="126">
        <v>1.0569999999999999</v>
      </c>
      <c r="C3" s="145">
        <v>755</v>
      </c>
      <c r="D3" s="7">
        <v>600</v>
      </c>
      <c r="E3" s="166" t="s">
        <v>231</v>
      </c>
      <c r="F3" s="4" t="s">
        <v>18</v>
      </c>
    </row>
    <row r="4" spans="1:6" x14ac:dyDescent="0.2">
      <c r="A4" s="6" t="s">
        <v>1</v>
      </c>
      <c r="B4" s="126">
        <v>1.0760000000000001</v>
      </c>
      <c r="C4" s="145">
        <v>920</v>
      </c>
      <c r="D4" s="7">
        <v>600</v>
      </c>
      <c r="E4" s="166" t="s">
        <v>231</v>
      </c>
      <c r="F4" s="4" t="s">
        <v>18</v>
      </c>
    </row>
    <row r="5" spans="1:6" x14ac:dyDescent="0.2">
      <c r="A5" s="6" t="s">
        <v>2</v>
      </c>
      <c r="B5" s="126">
        <v>1.105</v>
      </c>
      <c r="C5" s="145">
        <v>1152</v>
      </c>
      <c r="D5" s="7">
        <v>600</v>
      </c>
      <c r="E5" s="166" t="s">
        <v>231</v>
      </c>
      <c r="F5" s="4" t="s">
        <v>18</v>
      </c>
    </row>
    <row r="6" spans="1:6" x14ac:dyDescent="0.2">
      <c r="A6" s="6" t="s">
        <v>3</v>
      </c>
      <c r="B6" s="126">
        <v>1.1040000000000001</v>
      </c>
      <c r="C6" s="145">
        <v>352</v>
      </c>
      <c r="D6" s="7">
        <v>600</v>
      </c>
      <c r="E6" s="166" t="s">
        <v>231</v>
      </c>
      <c r="F6" s="4" t="s">
        <v>18</v>
      </c>
    </row>
    <row r="7" spans="1:6" x14ac:dyDescent="0.2">
      <c r="A7" s="6" t="s">
        <v>4</v>
      </c>
      <c r="B7" s="126">
        <v>1.0960000000000001</v>
      </c>
      <c r="C7" s="145">
        <v>1982</v>
      </c>
      <c r="D7" s="7">
        <v>750</v>
      </c>
      <c r="E7" s="166" t="s">
        <v>231</v>
      </c>
      <c r="F7" s="4" t="s">
        <v>18</v>
      </c>
    </row>
    <row r="8" spans="1:6" x14ac:dyDescent="0.2">
      <c r="A8" s="6" t="s">
        <v>6</v>
      </c>
      <c r="B8" s="126">
        <v>1.0669999999999999</v>
      </c>
      <c r="C8" s="145">
        <v>2759</v>
      </c>
      <c r="D8" s="7">
        <v>750</v>
      </c>
      <c r="E8" s="166" t="s">
        <v>231</v>
      </c>
      <c r="F8" s="4" t="s">
        <v>18</v>
      </c>
    </row>
    <row r="9" spans="1:6" x14ac:dyDescent="0.2">
      <c r="A9" s="6" t="s">
        <v>8</v>
      </c>
      <c r="B9" s="126">
        <v>1.0920000000000001</v>
      </c>
      <c r="C9" s="145">
        <v>517</v>
      </c>
      <c r="D9" s="7">
        <v>750</v>
      </c>
      <c r="E9" s="166" t="s">
        <v>231</v>
      </c>
      <c r="F9" s="4" t="s">
        <v>18</v>
      </c>
    </row>
    <row r="10" spans="1:6" x14ac:dyDescent="0.2">
      <c r="A10" s="6" t="s">
        <v>9</v>
      </c>
      <c r="B10" s="126">
        <v>1.0920000000000001</v>
      </c>
      <c r="C10" s="145">
        <v>71</v>
      </c>
      <c r="D10" s="7">
        <v>750</v>
      </c>
      <c r="E10" s="166" t="s">
        <v>231</v>
      </c>
      <c r="F10" s="4" t="s">
        <v>18</v>
      </c>
    </row>
    <row r="11" spans="1:6" x14ac:dyDescent="0.2">
      <c r="A11" s="8" t="s">
        <v>12</v>
      </c>
      <c r="B11" s="126">
        <v>1.0920000000000001</v>
      </c>
      <c r="C11" s="145">
        <v>364</v>
      </c>
      <c r="D11" s="7">
        <v>750</v>
      </c>
      <c r="E11" s="166" t="s">
        <v>231</v>
      </c>
      <c r="F11" s="4" t="s">
        <v>18</v>
      </c>
    </row>
    <row r="12" spans="1:6" x14ac:dyDescent="0.2">
      <c r="A12" s="6" t="s">
        <v>5</v>
      </c>
      <c r="B12" s="126">
        <v>1.0609999999999999</v>
      </c>
      <c r="C12" s="145">
        <v>36104</v>
      </c>
      <c r="D12" s="7">
        <v>0</v>
      </c>
      <c r="E12" s="166">
        <v>124</v>
      </c>
      <c r="F12" s="4" t="s">
        <v>19</v>
      </c>
    </row>
    <row r="13" spans="1:6" x14ac:dyDescent="0.2">
      <c r="A13" s="6" t="s">
        <v>7</v>
      </c>
      <c r="B13" s="126">
        <v>1.05</v>
      </c>
      <c r="C13" s="145">
        <v>50525</v>
      </c>
      <c r="D13" s="7">
        <v>0</v>
      </c>
      <c r="E13" s="166">
        <v>135</v>
      </c>
      <c r="F13" s="4" t="s">
        <v>19</v>
      </c>
    </row>
    <row r="14" spans="1:6" x14ac:dyDescent="0.2">
      <c r="A14" s="8" t="s">
        <v>10</v>
      </c>
      <c r="B14" s="126">
        <v>1.0609999999999999</v>
      </c>
      <c r="C14" s="145">
        <v>1328</v>
      </c>
      <c r="D14" s="7">
        <v>0</v>
      </c>
      <c r="E14" s="166">
        <v>13</v>
      </c>
      <c r="F14" s="4" t="s">
        <v>19</v>
      </c>
    </row>
    <row r="15" spans="1:6" x14ac:dyDescent="0.2">
      <c r="A15" s="8" t="s">
        <v>11</v>
      </c>
      <c r="B15" s="126">
        <v>1.034</v>
      </c>
      <c r="C15" s="145">
        <v>1601036</v>
      </c>
      <c r="D15" s="7">
        <v>0</v>
      </c>
      <c r="E15" s="166">
        <v>3091</v>
      </c>
      <c r="F15" s="4" t="s">
        <v>19</v>
      </c>
    </row>
    <row r="16" spans="1:6" x14ac:dyDescent="0.2">
      <c r="A16" s="8" t="s">
        <v>200</v>
      </c>
      <c r="B16" s="144">
        <v>1.0569999999999999</v>
      </c>
      <c r="C16" s="145">
        <v>505</v>
      </c>
      <c r="D16" s="2">
        <v>600</v>
      </c>
      <c r="E16" s="166">
        <v>0</v>
      </c>
      <c r="F16" s="4" t="s">
        <v>18</v>
      </c>
    </row>
    <row r="17" spans="1:17" x14ac:dyDescent="0.2">
      <c r="A17" s="8" t="s">
        <v>201</v>
      </c>
      <c r="B17" s="144">
        <v>1.0569999999999999</v>
      </c>
      <c r="C17" s="145">
        <v>2695</v>
      </c>
      <c r="D17" s="2">
        <v>750</v>
      </c>
      <c r="E17" s="166">
        <v>0</v>
      </c>
      <c r="F17" s="4" t="s">
        <v>18</v>
      </c>
    </row>
    <row r="18" spans="1:17" x14ac:dyDescent="0.2">
      <c r="A18" s="8" t="s">
        <v>202</v>
      </c>
      <c r="B18" s="144">
        <v>1.0465</v>
      </c>
      <c r="C18" s="145">
        <v>61239</v>
      </c>
      <c r="D18" s="2">
        <v>0</v>
      </c>
      <c r="E18" s="166">
        <v>177</v>
      </c>
      <c r="F18" s="4" t="s">
        <v>19</v>
      </c>
    </row>
    <row r="19" spans="1:17" x14ac:dyDescent="0.2">
      <c r="A19" s="8" t="s">
        <v>185</v>
      </c>
      <c r="B19" s="144">
        <v>1.0667</v>
      </c>
      <c r="C19" s="145">
        <v>634</v>
      </c>
      <c r="D19" s="2">
        <v>600</v>
      </c>
      <c r="E19" s="166">
        <v>0</v>
      </c>
      <c r="F19" s="4" t="s">
        <v>18</v>
      </c>
    </row>
    <row r="20" spans="1:17" x14ac:dyDescent="0.2">
      <c r="A20" s="8" t="s">
        <v>186</v>
      </c>
      <c r="B20" s="144">
        <v>1.0667</v>
      </c>
      <c r="C20" s="145">
        <v>1988</v>
      </c>
      <c r="D20" s="2">
        <v>750</v>
      </c>
      <c r="E20" s="166">
        <v>0</v>
      </c>
      <c r="F20" s="4" t="s">
        <v>18</v>
      </c>
    </row>
    <row r="21" spans="1:17" x14ac:dyDescent="0.2">
      <c r="A21" s="8" t="s">
        <v>187</v>
      </c>
      <c r="B21" s="144">
        <v>1.0563</v>
      </c>
      <c r="C21" s="145">
        <v>53895</v>
      </c>
      <c r="D21" s="2">
        <v>0</v>
      </c>
      <c r="E21" s="166">
        <v>152</v>
      </c>
      <c r="F21" s="4" t="s">
        <v>19</v>
      </c>
    </row>
    <row r="24" spans="1:17" x14ac:dyDescent="0.2">
      <c r="A24" t="s">
        <v>176</v>
      </c>
      <c r="P24" s="68"/>
      <c r="Q24" s="68"/>
    </row>
    <row r="25" spans="1:17" x14ac:dyDescent="0.2">
      <c r="A25" t="s">
        <v>183</v>
      </c>
      <c r="P25" s="68"/>
      <c r="Q25" s="68"/>
    </row>
    <row r="26" spans="1:17" x14ac:dyDescent="0.2">
      <c r="A26" s="2"/>
      <c r="B26" s="2" t="s">
        <v>156</v>
      </c>
      <c r="C26" s="2" t="s">
        <v>18</v>
      </c>
      <c r="D26" s="2" t="s">
        <v>19</v>
      </c>
      <c r="E26" s="2" t="s">
        <v>174</v>
      </c>
      <c r="F26" s="2" t="s">
        <v>175</v>
      </c>
      <c r="G26" s="191" t="s">
        <v>178</v>
      </c>
      <c r="P26" s="68"/>
      <c r="Q26" s="68"/>
    </row>
    <row r="27" spans="1:17" x14ac:dyDescent="0.2">
      <c r="A27" s="2" t="s">
        <v>154</v>
      </c>
      <c r="B27" s="7">
        <v>19418.566687409872</v>
      </c>
      <c r="C27" s="207">
        <v>161729721.0589301</v>
      </c>
      <c r="D27" s="207"/>
      <c r="E27" s="312">
        <f>C27/B27/12</f>
        <v>694.05105803452705</v>
      </c>
      <c r="F27" s="2"/>
      <c r="G27" s="2"/>
      <c r="P27" s="68"/>
      <c r="Q27" s="68"/>
    </row>
    <row r="28" spans="1:17" x14ac:dyDescent="0.2">
      <c r="A28" s="2" t="s">
        <v>155</v>
      </c>
      <c r="B28" s="7">
        <v>18350.288148811247</v>
      </c>
      <c r="C28" s="207">
        <v>125510697.71705748</v>
      </c>
      <c r="D28" s="207"/>
      <c r="E28" s="312">
        <f t="shared" ref="E28:E32" si="0">C28/B28/12</f>
        <v>569.97605296090956</v>
      </c>
      <c r="F28" s="2"/>
      <c r="G28" s="2"/>
      <c r="P28" s="68"/>
      <c r="Q28" s="68"/>
    </row>
    <row r="29" spans="1:17" x14ac:dyDescent="0.2">
      <c r="A29" s="2" t="s">
        <v>157</v>
      </c>
      <c r="B29" s="7">
        <v>2323</v>
      </c>
      <c r="C29" s="207">
        <v>50718751.18218828</v>
      </c>
      <c r="D29" s="207"/>
      <c r="E29" s="312">
        <f t="shared" si="0"/>
        <v>1819.4414974238871</v>
      </c>
      <c r="F29" s="2"/>
      <c r="G29" s="2"/>
      <c r="P29" s="68"/>
      <c r="Q29" s="68"/>
    </row>
    <row r="30" spans="1:17" x14ac:dyDescent="0.2">
      <c r="A30" s="2" t="s">
        <v>158</v>
      </c>
      <c r="B30" s="7">
        <v>2015.8425960310308</v>
      </c>
      <c r="C30" s="207">
        <v>52794286.118376628</v>
      </c>
      <c r="D30" s="207"/>
      <c r="E30" s="312">
        <f t="shared" si="0"/>
        <v>2182.4738954619888</v>
      </c>
      <c r="F30" s="2"/>
      <c r="G30" s="2"/>
      <c r="P30" s="68"/>
      <c r="Q30" s="68"/>
    </row>
    <row r="31" spans="1:17" ht="15" x14ac:dyDescent="0.25">
      <c r="A31" s="2" t="s">
        <v>159</v>
      </c>
      <c r="B31" s="7">
        <v>192.5</v>
      </c>
      <c r="C31" s="207">
        <v>117617226.00314158</v>
      </c>
      <c r="D31" s="208">
        <v>330828.24519909511</v>
      </c>
      <c r="E31" s="312">
        <f t="shared" si="0"/>
        <v>50916.548053308041</v>
      </c>
      <c r="F31" s="207">
        <f>D31/B31/12</f>
        <v>143.21569056237885</v>
      </c>
      <c r="G31" s="2"/>
      <c r="P31" s="68"/>
      <c r="Q31" s="68"/>
    </row>
    <row r="32" spans="1:17" ht="15" x14ac:dyDescent="0.25">
      <c r="A32" s="2" t="s">
        <v>160</v>
      </c>
      <c r="B32" s="7">
        <v>172.31491330236395</v>
      </c>
      <c r="C32" s="207">
        <v>118323904.22795868</v>
      </c>
      <c r="D32" s="208">
        <v>332815.95673575735</v>
      </c>
      <c r="E32" s="312">
        <f t="shared" si="0"/>
        <v>57222.704427374818</v>
      </c>
      <c r="F32" s="207">
        <f>D32/B32/12</f>
        <v>160.95335296165933</v>
      </c>
      <c r="G32" s="2"/>
      <c r="P32" s="68"/>
      <c r="Q32" s="68"/>
    </row>
    <row r="33" spans="1:17" x14ac:dyDescent="0.2">
      <c r="A33" s="2"/>
      <c r="B33" s="2"/>
      <c r="C33" s="2"/>
      <c r="D33" s="2"/>
      <c r="E33" s="312"/>
      <c r="F33" s="2"/>
      <c r="G33" s="2"/>
      <c r="P33" s="68"/>
      <c r="Q33" s="68"/>
    </row>
    <row r="34" spans="1:17" x14ac:dyDescent="0.2">
      <c r="A34" s="2" t="s">
        <v>173</v>
      </c>
      <c r="B34" s="2">
        <v>7</v>
      </c>
      <c r="C34" s="207">
        <f>SUM(C37:C43)</f>
        <v>7261337.5641666669</v>
      </c>
      <c r="D34" s="7">
        <f>SUM(B37:B43)</f>
        <v>14525.396666666666</v>
      </c>
      <c r="E34" s="207">
        <f>C34/B34</f>
        <v>1037333.9377380953</v>
      </c>
      <c r="F34" s="207">
        <f>D34/B34</f>
        <v>2075.0566666666664</v>
      </c>
      <c r="G34" s="2" t="s">
        <v>177</v>
      </c>
      <c r="P34" s="68"/>
      <c r="Q34" s="68"/>
    </row>
    <row r="35" spans="1:17" x14ac:dyDescent="0.2">
      <c r="C35" s="71"/>
      <c r="D35" s="5"/>
      <c r="E35" s="71"/>
      <c r="F35" s="71"/>
      <c r="P35" s="68"/>
      <c r="Q35" s="68"/>
    </row>
    <row r="36" spans="1:17" ht="30" x14ac:dyDescent="0.2">
      <c r="A36" s="209" t="s">
        <v>165</v>
      </c>
      <c r="B36" s="313" t="s">
        <v>228</v>
      </c>
      <c r="C36" s="313" t="s">
        <v>229</v>
      </c>
      <c r="O36" s="68"/>
      <c r="P36" s="68"/>
    </row>
    <row r="37" spans="1:17" ht="15" x14ac:dyDescent="0.2">
      <c r="A37" s="210" t="s">
        <v>166</v>
      </c>
      <c r="B37" s="7">
        <v>409.77833333333336</v>
      </c>
      <c r="C37" s="207">
        <v>204485.26583333334</v>
      </c>
      <c r="M37" s="68"/>
      <c r="N37" s="68"/>
    </row>
    <row r="38" spans="1:17" ht="15" x14ac:dyDescent="0.2">
      <c r="A38" s="210" t="s">
        <v>167</v>
      </c>
      <c r="B38" s="7">
        <v>1196.93</v>
      </c>
      <c r="C38" s="207">
        <v>271625.35499999998</v>
      </c>
    </row>
    <row r="39" spans="1:17" ht="15" x14ac:dyDescent="0.2">
      <c r="A39" s="210" t="s">
        <v>168</v>
      </c>
      <c r="B39" s="7">
        <v>1584.7099999999998</v>
      </c>
      <c r="C39" s="207">
        <v>620798.19666666666</v>
      </c>
    </row>
    <row r="40" spans="1:17" ht="15" x14ac:dyDescent="0.2">
      <c r="A40" s="210" t="s">
        <v>169</v>
      </c>
      <c r="B40" s="7">
        <v>1614.2658333333331</v>
      </c>
      <c r="C40" s="207">
        <v>854024.50166666659</v>
      </c>
    </row>
    <row r="41" spans="1:17" ht="15" x14ac:dyDescent="0.2">
      <c r="A41" s="210" t="s">
        <v>170</v>
      </c>
      <c r="B41" s="7">
        <v>2379.9216666666666</v>
      </c>
      <c r="C41" s="207">
        <v>1367652.7433333334</v>
      </c>
    </row>
    <row r="42" spans="1:17" ht="15" x14ac:dyDescent="0.2">
      <c r="A42" s="210" t="s">
        <v>171</v>
      </c>
      <c r="B42" s="7">
        <v>3405.1316666666667</v>
      </c>
      <c r="C42" s="207">
        <v>1619967.3816666666</v>
      </c>
    </row>
    <row r="43" spans="1:17" ht="15" x14ac:dyDescent="0.2">
      <c r="A43" s="210" t="s">
        <v>172</v>
      </c>
      <c r="B43" s="7">
        <v>3934.6591666666664</v>
      </c>
      <c r="C43" s="207">
        <v>2322784.12</v>
      </c>
    </row>
    <row r="44" spans="1:17" ht="15" x14ac:dyDescent="0.25">
      <c r="B44" s="196"/>
      <c r="C44" s="194"/>
    </row>
    <row r="45" spans="1:17" ht="15" x14ac:dyDescent="0.25">
      <c r="A45" s="213" t="s">
        <v>184</v>
      </c>
      <c r="B45" s="196"/>
      <c r="C45" s="194"/>
    </row>
    <row r="46" spans="1:17" ht="51.75" x14ac:dyDescent="0.25">
      <c r="A46" s="210" t="s">
        <v>179</v>
      </c>
      <c r="B46" s="260" t="s">
        <v>203</v>
      </c>
      <c r="C46" s="259" t="s">
        <v>204</v>
      </c>
      <c r="D46" s="264" t="s">
        <v>208</v>
      </c>
      <c r="E46" s="2" t="s">
        <v>209</v>
      </c>
    </row>
    <row r="47" spans="1:17" ht="15" x14ac:dyDescent="0.25">
      <c r="A47" s="210" t="s">
        <v>180</v>
      </c>
      <c r="B47" s="261">
        <v>4.1274030573589995</v>
      </c>
      <c r="C47" s="212">
        <v>1367.6845611291665</v>
      </c>
      <c r="D47" s="262">
        <v>3.0178033551474743E-3</v>
      </c>
      <c r="E47" s="2" t="s">
        <v>216</v>
      </c>
    </row>
    <row r="48" spans="1:17" ht="15" x14ac:dyDescent="0.25">
      <c r="A48" s="210" t="s">
        <v>181</v>
      </c>
      <c r="B48" s="258">
        <v>274.09386280146123</v>
      </c>
      <c r="C48" s="212">
        <v>105611.58783602084</v>
      </c>
      <c r="D48" s="262">
        <v>2.5953010310481887E-3</v>
      </c>
      <c r="E48" s="2" t="s">
        <v>216</v>
      </c>
    </row>
    <row r="49" spans="1:5" ht="15" x14ac:dyDescent="0.25">
      <c r="A49" s="210" t="s">
        <v>182</v>
      </c>
      <c r="B49" s="261">
        <f>C49*D49</f>
        <v>210.7703131136349</v>
      </c>
      <c r="C49" s="212">
        <v>76826.384713261112</v>
      </c>
      <c r="D49" s="262">
        <v>2.7434625994740259E-3</v>
      </c>
      <c r="E49" s="2" t="s">
        <v>215</v>
      </c>
    </row>
    <row r="50" spans="1:5" ht="15" x14ac:dyDescent="0.25">
      <c r="B50" s="196"/>
      <c r="C50" s="194"/>
      <c r="D50" s="263"/>
    </row>
    <row r="51" spans="1:5" ht="15" x14ac:dyDescent="0.25">
      <c r="A51" s="213" t="s">
        <v>205</v>
      </c>
      <c r="B51" s="196"/>
      <c r="C51" s="194"/>
      <c r="D51" s="263"/>
    </row>
    <row r="52" spans="1:5" ht="51.75" x14ac:dyDescent="0.25">
      <c r="A52" s="210" t="s">
        <v>179</v>
      </c>
      <c r="B52" s="260" t="s">
        <v>203</v>
      </c>
      <c r="C52" s="259" t="s">
        <v>204</v>
      </c>
      <c r="D52" s="265" t="s">
        <v>208</v>
      </c>
      <c r="E52" s="2" t="s">
        <v>209</v>
      </c>
    </row>
    <row r="53" spans="1:5" ht="15" x14ac:dyDescent="0.25">
      <c r="A53" s="210" t="s">
        <v>206</v>
      </c>
      <c r="B53" s="261">
        <f>C53*D53</f>
        <v>0.45421640025856702</v>
      </c>
      <c r="C53" s="212">
        <v>126.02277222660564</v>
      </c>
      <c r="D53" s="262">
        <v>3.6042406640747894E-3</v>
      </c>
      <c r="E53" s="264" t="s">
        <v>217</v>
      </c>
    </row>
    <row r="54" spans="1:5" ht="39" x14ac:dyDescent="0.25">
      <c r="A54" s="210" t="s">
        <v>207</v>
      </c>
      <c r="B54" s="305">
        <f>C54*D54</f>
        <v>0.34019202971725299</v>
      </c>
      <c r="C54" s="212">
        <v>131.07998865929491</v>
      </c>
      <c r="D54" s="262">
        <f>D48</f>
        <v>2.5953010310481887E-3</v>
      </c>
      <c r="E54" s="264" t="s">
        <v>219</v>
      </c>
    </row>
    <row r="55" spans="1:5" ht="15" x14ac:dyDescent="0.25">
      <c r="B55" s="196"/>
      <c r="C55" s="194"/>
      <c r="D55" s="263"/>
    </row>
    <row r="56" spans="1:5" ht="15" x14ac:dyDescent="0.25">
      <c r="A56" s="213" t="s">
        <v>210</v>
      </c>
      <c r="B56" s="196"/>
      <c r="C56" s="194"/>
      <c r="D56" s="263"/>
    </row>
    <row r="57" spans="1:5" ht="30" x14ac:dyDescent="0.25">
      <c r="A57" s="210" t="s">
        <v>179</v>
      </c>
      <c r="B57" s="259" t="s">
        <v>204</v>
      </c>
      <c r="C57" s="2" t="s">
        <v>209</v>
      </c>
    </row>
    <row r="58" spans="1:5" ht="15" x14ac:dyDescent="0.25">
      <c r="A58" s="210" t="s">
        <v>211</v>
      </c>
      <c r="B58" s="212">
        <v>945.37196740482466</v>
      </c>
      <c r="C58" s="2" t="s">
        <v>218</v>
      </c>
    </row>
    <row r="59" spans="1:5" ht="15" x14ac:dyDescent="0.25">
      <c r="A59" s="210" t="s">
        <v>212</v>
      </c>
      <c r="B59" s="212">
        <v>550.73927083333308</v>
      </c>
      <c r="C59" s="2" t="s">
        <v>220</v>
      </c>
    </row>
    <row r="60" spans="1:5" ht="15" x14ac:dyDescent="0.25">
      <c r="A60" s="210" t="s">
        <v>213</v>
      </c>
      <c r="B60" s="212">
        <v>1544.8923697916664</v>
      </c>
      <c r="C60" s="2" t="s">
        <v>214</v>
      </c>
    </row>
    <row r="61" spans="1:5" ht="15" x14ac:dyDescent="0.25">
      <c r="B61" s="194"/>
    </row>
    <row r="62" spans="1:5" ht="15" x14ac:dyDescent="0.25">
      <c r="B62" s="196"/>
      <c r="C62" s="194"/>
    </row>
    <row r="63" spans="1:5" ht="15" x14ac:dyDescent="0.25">
      <c r="B63" s="196"/>
      <c r="C63" s="194"/>
    </row>
    <row r="64" spans="1:5" ht="15" x14ac:dyDescent="0.25">
      <c r="B64" s="196"/>
      <c r="C64" s="194"/>
    </row>
    <row r="65" spans="1:16" ht="15" x14ac:dyDescent="0.25">
      <c r="B65" s="194"/>
      <c r="C65" s="195"/>
    </row>
    <row r="66" spans="1:16" ht="15" x14ac:dyDescent="0.25">
      <c r="A66" s="202" t="s">
        <v>161</v>
      </c>
      <c r="B66" s="203"/>
      <c r="C66" s="195"/>
    </row>
    <row r="67" spans="1:16" ht="15.75" thickBot="1" x14ac:dyDescent="0.3">
      <c r="A67" s="204"/>
      <c r="B67" s="205"/>
    </row>
    <row r="68" spans="1:16" ht="15" x14ac:dyDescent="0.25">
      <c r="A68" s="202"/>
      <c r="B68" s="203"/>
    </row>
    <row r="69" spans="1:16" ht="15" x14ac:dyDescent="0.25">
      <c r="A69" s="197" t="s">
        <v>149</v>
      </c>
      <c r="B69" s="201" t="s">
        <v>162</v>
      </c>
    </row>
    <row r="70" spans="1:16" ht="15" x14ac:dyDescent="0.25">
      <c r="A70" s="198"/>
      <c r="B70" s="206"/>
    </row>
    <row r="71" spans="1:16" x14ac:dyDescent="0.2">
      <c r="G71" s="143"/>
      <c r="H71" s="143"/>
      <c r="I71" s="143"/>
      <c r="J71" s="143"/>
      <c r="K71" s="143"/>
      <c r="L71" s="143"/>
      <c r="M71" s="143"/>
      <c r="N71" s="143"/>
      <c r="O71" s="143"/>
      <c r="P71" s="143"/>
    </row>
    <row r="72" spans="1:16" ht="15" x14ac:dyDescent="0.25">
      <c r="A72" s="197" t="s">
        <v>150</v>
      </c>
      <c r="B72" s="199">
        <v>46.799999999999983</v>
      </c>
      <c r="G72" s="143"/>
      <c r="H72" s="143"/>
      <c r="I72" s="143"/>
      <c r="J72" s="143"/>
      <c r="K72" s="143"/>
      <c r="L72" s="143"/>
      <c r="M72" s="143"/>
      <c r="N72" s="143"/>
      <c r="O72" s="143"/>
      <c r="P72" s="143"/>
    </row>
    <row r="73" spans="1:16" ht="15" x14ac:dyDescent="0.25">
      <c r="A73" s="197" t="s">
        <v>151</v>
      </c>
      <c r="B73" s="199">
        <v>70.599999999999966</v>
      </c>
      <c r="G73" s="143"/>
      <c r="H73" s="143"/>
      <c r="I73" s="143"/>
      <c r="J73" s="143"/>
      <c r="K73" s="143"/>
      <c r="L73" s="143"/>
      <c r="M73" s="143"/>
      <c r="N73" s="143"/>
      <c r="O73" s="143"/>
      <c r="P73" s="143"/>
    </row>
    <row r="74" spans="1:16" ht="15" x14ac:dyDescent="0.25">
      <c r="A74" s="197" t="s">
        <v>152</v>
      </c>
      <c r="B74" s="200">
        <v>126.19999999999997</v>
      </c>
      <c r="G74" s="143"/>
      <c r="H74" s="143"/>
      <c r="I74" s="143"/>
      <c r="J74" s="143"/>
      <c r="K74" s="143"/>
      <c r="L74" s="143"/>
      <c r="M74" s="143"/>
      <c r="N74" s="143"/>
      <c r="O74" s="143"/>
      <c r="P74" s="143"/>
    </row>
    <row r="75" spans="1:16" ht="15" x14ac:dyDescent="0.25">
      <c r="A75" s="197" t="s">
        <v>153</v>
      </c>
      <c r="B75" s="199">
        <v>243.59999999999991</v>
      </c>
      <c r="G75" s="143"/>
      <c r="H75" s="143"/>
      <c r="I75" s="143"/>
      <c r="J75" s="143"/>
      <c r="K75" s="143"/>
      <c r="L75" s="143"/>
      <c r="M75" s="143"/>
      <c r="N75" s="143"/>
      <c r="O75" s="143"/>
      <c r="P75" s="143"/>
    </row>
    <row r="76" spans="1:16" ht="15" x14ac:dyDescent="0.25">
      <c r="A76" s="197"/>
      <c r="B76" s="199"/>
      <c r="G76" s="143"/>
      <c r="H76" s="143"/>
      <c r="I76" s="143"/>
      <c r="J76" s="143"/>
      <c r="K76" s="143"/>
      <c r="L76" s="143"/>
      <c r="M76" s="143"/>
      <c r="N76" s="143"/>
      <c r="O76" s="143"/>
      <c r="P76" s="143"/>
    </row>
    <row r="77" spans="1:16" ht="15" x14ac:dyDescent="0.25">
      <c r="A77" s="197" t="s">
        <v>163</v>
      </c>
      <c r="B77" s="199">
        <v>5700.8784787599261</v>
      </c>
      <c r="G77" s="143"/>
      <c r="H77" s="143"/>
      <c r="I77" s="143"/>
      <c r="J77" s="143"/>
      <c r="K77" s="143"/>
      <c r="L77" s="143"/>
      <c r="M77" s="143"/>
      <c r="N77" s="143"/>
      <c r="O77" s="143"/>
      <c r="P77" s="143"/>
    </row>
    <row r="78" spans="1:16" ht="15" x14ac:dyDescent="0.25">
      <c r="A78" s="197"/>
      <c r="B78" s="200"/>
      <c r="G78" s="143"/>
      <c r="H78" s="143"/>
      <c r="I78" s="143"/>
      <c r="J78" s="143"/>
      <c r="K78" s="143"/>
      <c r="L78" s="143"/>
      <c r="M78" s="143"/>
      <c r="N78" s="143"/>
      <c r="O78" s="143"/>
      <c r="P78" s="143"/>
    </row>
    <row r="79" spans="1:16" ht="15" x14ac:dyDescent="0.25">
      <c r="A79" s="197" t="s">
        <v>164</v>
      </c>
      <c r="B79" s="199">
        <v>5944.4784787599256</v>
      </c>
      <c r="G79" s="143"/>
      <c r="H79" s="143"/>
      <c r="I79" s="143"/>
      <c r="J79" s="143"/>
      <c r="K79" s="143"/>
      <c r="L79" s="143"/>
      <c r="M79" s="143"/>
      <c r="N79" s="143"/>
      <c r="O79" s="143"/>
      <c r="P79" s="143"/>
    </row>
    <row r="80" spans="1:16" ht="15.75" thickBot="1" x14ac:dyDescent="0.3">
      <c r="A80" s="204"/>
      <c r="B80" s="205"/>
      <c r="G80" s="143"/>
      <c r="H80" s="143"/>
      <c r="I80" s="143"/>
      <c r="J80" s="143"/>
      <c r="K80" s="143"/>
      <c r="L80" s="143"/>
      <c r="M80" s="143"/>
      <c r="N80" s="143"/>
      <c r="O80" s="143"/>
      <c r="P80" s="143"/>
    </row>
    <row r="81" spans="1:16" x14ac:dyDescent="0.2">
      <c r="G81" s="143"/>
      <c r="H81" s="143"/>
      <c r="I81" s="143"/>
      <c r="J81" s="143"/>
      <c r="K81" s="143"/>
      <c r="L81" s="143"/>
      <c r="M81" s="143"/>
      <c r="N81" s="143"/>
      <c r="O81" s="143"/>
      <c r="P81" s="143"/>
    </row>
    <row r="83" spans="1:16" x14ac:dyDescent="0.2">
      <c r="A83" t="s">
        <v>221</v>
      </c>
    </row>
    <row r="84" spans="1:16" x14ac:dyDescent="0.2">
      <c r="A84" t="s">
        <v>222</v>
      </c>
      <c r="B84">
        <v>810</v>
      </c>
    </row>
    <row r="85" spans="1:16" x14ac:dyDescent="0.2">
      <c r="A85" t="s">
        <v>223</v>
      </c>
      <c r="B85">
        <v>21</v>
      </c>
    </row>
    <row r="86" spans="1:16" x14ac:dyDescent="0.2">
      <c r="A86" t="s">
        <v>224</v>
      </c>
      <c r="B86">
        <v>1847</v>
      </c>
    </row>
    <row r="88" spans="1:16" x14ac:dyDescent="0.2">
      <c r="A88" t="s">
        <v>230</v>
      </c>
    </row>
    <row r="90" spans="1:16" x14ac:dyDescent="0.2">
      <c r="B90" s="314" t="s">
        <v>18</v>
      </c>
      <c r="C90" s="314" t="s">
        <v>19</v>
      </c>
    </row>
    <row r="91" spans="1:16" x14ac:dyDescent="0.2">
      <c r="A91" t="s">
        <v>60</v>
      </c>
      <c r="B91" s="71">
        <v>750000</v>
      </c>
      <c r="C91" s="71">
        <v>1500</v>
      </c>
    </row>
    <row r="92" spans="1:16" x14ac:dyDescent="0.2">
      <c r="A92" t="s">
        <v>136</v>
      </c>
      <c r="B92" s="71">
        <v>1037333.9377380953</v>
      </c>
      <c r="C92" s="71">
        <v>2075.0566666666664</v>
      </c>
    </row>
    <row r="93" spans="1:16" x14ac:dyDescent="0.2">
      <c r="A93" t="s">
        <v>61</v>
      </c>
      <c r="B93" s="71">
        <v>2000000</v>
      </c>
      <c r="C93" s="71">
        <v>3500</v>
      </c>
    </row>
  </sheetData>
  <pageMargins left="0.7" right="0.7" top="0.75" bottom="0.75" header="0.3" footer="0.3"/>
  <pageSetup paperSize="17" scale="54"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5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81">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30" si="1">G12/$G$39</f>
        <v>0.16401144749438445</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9.1</v>
      </c>
      <c r="E14" s="76"/>
      <c r="F14" s="25"/>
      <c r="G14" s="25">
        <f>SUM(G12:G13)</f>
        <v>9.1</v>
      </c>
      <c r="H14" s="25">
        <f t="shared" si="3"/>
        <v>0</v>
      </c>
      <c r="I14" s="27">
        <f t="shared" si="0"/>
        <v>0</v>
      </c>
      <c r="J14" s="47">
        <f t="shared" si="1"/>
        <v>0.16401144749438445</v>
      </c>
    </row>
    <row r="15" spans="1:10" x14ac:dyDescent="0.2">
      <c r="A15" s="107" t="s">
        <v>38</v>
      </c>
      <c r="B15" s="73">
        <v>1</v>
      </c>
      <c r="C15" s="78">
        <f>VLOOKUP($B$3,'Data for Bill Impacts'!$A$3:$Y$15,7,0)</f>
        <v>36.659999999999997</v>
      </c>
      <c r="D15" s="22">
        <f>B15*C15</f>
        <v>36.659999999999997</v>
      </c>
      <c r="E15" s="73">
        <f t="shared" ref="E15:E34" si="4">B15</f>
        <v>1</v>
      </c>
      <c r="F15" s="78">
        <f>VLOOKUP($B$3,'Data for Bill Impacts'!$A$3:$Y$15,17,0)</f>
        <v>37.369999999999997</v>
      </c>
      <c r="G15" s="22">
        <f>E15*F15</f>
        <v>37.369999999999997</v>
      </c>
      <c r="H15" s="22">
        <f t="shared" si="3"/>
        <v>0.71000000000000085</v>
      </c>
      <c r="I15" s="23">
        <f t="shared" si="0"/>
        <v>1.936715766503003E-2</v>
      </c>
      <c r="J15" s="124">
        <f t="shared" si="1"/>
        <v>0.67352832888627989</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2E-3</v>
      </c>
      <c r="D18" s="22">
        <f t="shared" si="6"/>
        <v>2E-3</v>
      </c>
      <c r="E18" s="73">
        <f t="shared" si="4"/>
        <v>1</v>
      </c>
      <c r="F18" s="121">
        <f>VLOOKUP($B$3,'Data for Bill Impacts'!$A$3:$Y$15,22,0)</f>
        <v>2E-3</v>
      </c>
      <c r="G18" s="22">
        <f t="shared" si="5"/>
        <v>2E-3</v>
      </c>
      <c r="H18" s="22">
        <f t="shared" si="3"/>
        <v>0</v>
      </c>
      <c r="I18" s="23">
        <f t="shared" si="0"/>
        <v>0</v>
      </c>
      <c r="J18" s="124">
        <f t="shared" si="1"/>
        <v>3.6046471976787799E-5</v>
      </c>
    </row>
    <row r="19" spans="1:10" x14ac:dyDescent="0.2">
      <c r="A19" s="107" t="s">
        <v>39</v>
      </c>
      <c r="B19" s="73">
        <f>IF($B$9="kWh",$B$4,$B$5)</f>
        <v>100</v>
      </c>
      <c r="C19" s="125">
        <f>VLOOKUP($B$3,'Data for Bill Impacts'!$A$3:$Y$15,10,0)</f>
        <v>2.98E-2</v>
      </c>
      <c r="D19" s="22">
        <f>B19*C19</f>
        <v>2.98</v>
      </c>
      <c r="E19" s="73">
        <f t="shared" si="4"/>
        <v>100</v>
      </c>
      <c r="F19" s="78">
        <f>VLOOKUP($B$3,'Data for Bill Impacts'!$A$3:$Y$15,19,0)</f>
        <v>3.0300000000000001E-2</v>
      </c>
      <c r="G19" s="22">
        <f>E19*F19</f>
        <v>3.0300000000000002</v>
      </c>
      <c r="H19" s="22">
        <f t="shared" si="3"/>
        <v>5.0000000000000266E-2</v>
      </c>
      <c r="I19" s="23">
        <f>IF(ISERROR(H19/ABS(D19)),"N/A",(H19/ABS(D19)))</f>
        <v>1.6778523489932976E-2</v>
      </c>
      <c r="J19" s="124">
        <f t="shared" si="1"/>
        <v>5.4610405044833513E-2</v>
      </c>
    </row>
    <row r="20" spans="1:10" s="1" customFormat="1" x14ac:dyDescent="0.2">
      <c r="A20" s="107" t="s">
        <v>199</v>
      </c>
      <c r="B20" s="73">
        <f>IF($B$9="kWh",$B$4,$B$5)</f>
        <v>100</v>
      </c>
      <c r="C20" s="125">
        <f>VLOOKUP($B$3,'Data for Bill Impacts'!$A$3:$Y$15,14,0)</f>
        <v>2.0000000000000002E-5</v>
      </c>
      <c r="D20" s="22">
        <f>B20*C20</f>
        <v>2E-3</v>
      </c>
      <c r="E20" s="73">
        <f>B20</f>
        <v>100</v>
      </c>
      <c r="F20" s="78">
        <f>VLOOKUP($B$3,'Data for Bill Impacts'!$A$3:$Y$15,23,0)</f>
        <v>2.0000000000000002E-5</v>
      </c>
      <c r="G20" s="22">
        <f>E20*F20</f>
        <v>2E-3</v>
      </c>
      <c r="H20" s="22">
        <f>G20-D20</f>
        <v>0</v>
      </c>
      <c r="I20" s="23">
        <f>IF(ISERROR(H20/D20),0,(H20/D20))</f>
        <v>0</v>
      </c>
      <c r="J20" s="124">
        <f t="shared" si="1"/>
        <v>3.6046471976787799E-5</v>
      </c>
    </row>
    <row r="21" spans="1:10" hidden="1" x14ac:dyDescent="0.2">
      <c r="A21" s="107" t="s">
        <v>86</v>
      </c>
      <c r="B21" s="73">
        <f>IF($B$9="kWh",$B$4,$B$5)</f>
        <v>100</v>
      </c>
      <c r="C21" s="125">
        <v>0</v>
      </c>
      <c r="D21" s="22">
        <f>B21*C21</f>
        <v>0</v>
      </c>
      <c r="E21" s="73">
        <f t="shared" si="4"/>
        <v>100</v>
      </c>
      <c r="F21" s="78">
        <v>0</v>
      </c>
      <c r="G21" s="22">
        <f>E21*F21</f>
        <v>0</v>
      </c>
      <c r="H21" s="22">
        <f t="shared" si="3"/>
        <v>0</v>
      </c>
      <c r="I21" s="23">
        <f>IF(ISERROR(H21/D21),0,(H21/D21))</f>
        <v>0</v>
      </c>
      <c r="J21" s="124">
        <f t="shared" si="1"/>
        <v>0</v>
      </c>
    </row>
    <row r="22" spans="1:10" x14ac:dyDescent="0.2">
      <c r="A22" s="110" t="s">
        <v>72</v>
      </c>
      <c r="B22" s="74"/>
      <c r="C22" s="35"/>
      <c r="D22" s="35">
        <f>SUM(D15:D21)</f>
        <v>39.643999999999998</v>
      </c>
      <c r="E22" s="73"/>
      <c r="F22" s="35"/>
      <c r="G22" s="35">
        <f>SUM(G15:G21)</f>
        <v>40.404000000000003</v>
      </c>
      <c r="H22" s="35">
        <f t="shared" si="3"/>
        <v>0.76000000000000512</v>
      </c>
      <c r="I22" s="36">
        <f t="shared" ref="I22:I39" si="7">IF(ISERROR(H22/ABS(D22)),"N/A",(H22/ABS(D22)))</f>
        <v>1.9170618504691886E-2</v>
      </c>
      <c r="J22" s="111">
        <f t="shared" si="1"/>
        <v>0.72821082687506711</v>
      </c>
    </row>
    <row r="23" spans="1:10" s="1" customFormat="1" x14ac:dyDescent="0.2">
      <c r="A23" s="119" t="s">
        <v>81</v>
      </c>
      <c r="B23" s="120">
        <f>B8-B4</f>
        <v>9.2000000000000028</v>
      </c>
      <c r="C23" s="257">
        <f>IF(B4&gt;B7,C13,C12)</f>
        <v>9.0999999999999998E-2</v>
      </c>
      <c r="D23" s="22">
        <f>B23*C23</f>
        <v>0.83720000000000028</v>
      </c>
      <c r="E23" s="73">
        <f>B23</f>
        <v>9.2000000000000028</v>
      </c>
      <c r="F23" s="257">
        <f>C23</f>
        <v>9.0999999999999998E-2</v>
      </c>
      <c r="G23" s="22">
        <f>E23*F23</f>
        <v>0.83720000000000028</v>
      </c>
      <c r="H23" s="22">
        <f t="shared" si="3"/>
        <v>0</v>
      </c>
      <c r="I23" s="23">
        <f t="shared" si="7"/>
        <v>0</v>
      </c>
      <c r="J23" s="124">
        <f t="shared" si="1"/>
        <v>1.5089053169483377E-2</v>
      </c>
    </row>
    <row r="24" spans="1:10" x14ac:dyDescent="0.2">
      <c r="A24" s="110" t="s">
        <v>79</v>
      </c>
      <c r="B24" s="74"/>
      <c r="C24" s="35"/>
      <c r="D24" s="35">
        <f>SUM(D22,D23:D23)</f>
        <v>40.481200000000001</v>
      </c>
      <c r="E24" s="73"/>
      <c r="F24" s="35"/>
      <c r="G24" s="35">
        <f>SUM(G22,G23:G23)</f>
        <v>41.241200000000006</v>
      </c>
      <c r="H24" s="35">
        <f t="shared" si="3"/>
        <v>0.76000000000000512</v>
      </c>
      <c r="I24" s="36">
        <f t="shared" si="7"/>
        <v>1.8774147011452354E-2</v>
      </c>
      <c r="J24" s="111">
        <f t="shared" si="1"/>
        <v>0.7432998800445505</v>
      </c>
    </row>
    <row r="25" spans="1:10" x14ac:dyDescent="0.2">
      <c r="A25" s="107" t="s">
        <v>40</v>
      </c>
      <c r="B25" s="73">
        <f>B8</f>
        <v>109.2</v>
      </c>
      <c r="C25" s="125">
        <f>VLOOKUP($B$3,'Data for Bill Impacts'!$A$3:$Y$15,15,0)</f>
        <v>4.7699999999999999E-3</v>
      </c>
      <c r="D25" s="22">
        <f>B25*C25</f>
        <v>0.52088400000000001</v>
      </c>
      <c r="E25" s="73">
        <f t="shared" si="4"/>
        <v>109.2</v>
      </c>
      <c r="F25" s="78">
        <f>VLOOKUP($B$3,'Data for Bill Impacts'!$A$3:$Y$15,24,0)</f>
        <v>4.7000000000000002E-3</v>
      </c>
      <c r="G25" s="22">
        <f>E25*F25</f>
        <v>0.51324000000000003</v>
      </c>
      <c r="H25" s="22">
        <f t="shared" si="3"/>
        <v>-7.6439999999999841E-3</v>
      </c>
      <c r="I25" s="23">
        <f t="shared" si="7"/>
        <v>-1.4675052410901437E-2</v>
      </c>
      <c r="J25" s="124">
        <f t="shared" si="1"/>
        <v>9.250245638683284E-3</v>
      </c>
    </row>
    <row r="26" spans="1:10" s="1" customFormat="1" x14ac:dyDescent="0.2">
      <c r="A26" s="107" t="s">
        <v>41</v>
      </c>
      <c r="B26" s="73">
        <f>B8</f>
        <v>109.2</v>
      </c>
      <c r="C26" s="125">
        <f>VLOOKUP($B$3,'Data for Bill Impacts'!$A$3:$Y$15,16,0)</f>
        <v>3.7950000000000002E-3</v>
      </c>
      <c r="D26" s="22">
        <f>B26*C26</f>
        <v>0.414414</v>
      </c>
      <c r="E26" s="73">
        <f t="shared" si="4"/>
        <v>109.2</v>
      </c>
      <c r="F26" s="78">
        <f>VLOOKUP($B$3,'Data for Bill Impacts'!$A$3:$Y$15,25,0)</f>
        <v>3.8E-3</v>
      </c>
      <c r="G26" s="22">
        <f>E26*F26</f>
        <v>0.41496</v>
      </c>
      <c r="H26" s="22">
        <f t="shared" si="3"/>
        <v>5.4599999999999094E-4</v>
      </c>
      <c r="I26" s="23">
        <f t="shared" si="7"/>
        <v>1.3175230566534696E-3</v>
      </c>
      <c r="J26" s="124">
        <f t="shared" si="1"/>
        <v>7.4789220057439321E-3</v>
      </c>
    </row>
    <row r="27" spans="1:10" s="1" customFormat="1" x14ac:dyDescent="0.2">
      <c r="A27" s="110" t="s">
        <v>76</v>
      </c>
      <c r="B27" s="74"/>
      <c r="C27" s="35"/>
      <c r="D27" s="35">
        <f>SUM(D25:D26)</f>
        <v>0.93529799999999996</v>
      </c>
      <c r="E27" s="73"/>
      <c r="F27" s="35"/>
      <c r="G27" s="35">
        <f>SUM(G25:G26)</f>
        <v>0.92820000000000003</v>
      </c>
      <c r="H27" s="35">
        <f t="shared" si="3"/>
        <v>-7.0979999999999377E-3</v>
      </c>
      <c r="I27" s="36">
        <f t="shared" si="7"/>
        <v>-7.5890251021598866E-3</v>
      </c>
      <c r="J27" s="111">
        <f t="shared" si="1"/>
        <v>1.6729167644427216E-2</v>
      </c>
    </row>
    <row r="28" spans="1:10" s="1" customFormat="1" x14ac:dyDescent="0.2">
      <c r="A28" s="110" t="s">
        <v>80</v>
      </c>
      <c r="B28" s="74"/>
      <c r="C28" s="35"/>
      <c r="D28" s="35">
        <f>D24+D27</f>
        <v>41.416498000000004</v>
      </c>
      <c r="E28" s="73"/>
      <c r="F28" s="35"/>
      <c r="G28" s="35">
        <f>G24+G27</f>
        <v>42.169400000000003</v>
      </c>
      <c r="H28" s="35">
        <f t="shared" si="3"/>
        <v>0.75290199999999885</v>
      </c>
      <c r="I28" s="36">
        <f t="shared" si="7"/>
        <v>1.8178794353882814E-2</v>
      </c>
      <c r="J28" s="111">
        <f t="shared" si="1"/>
        <v>0.76002904768897772</v>
      </c>
    </row>
    <row r="29" spans="1:10" x14ac:dyDescent="0.2">
      <c r="A29" s="107" t="s">
        <v>42</v>
      </c>
      <c r="B29" s="73">
        <f>B8</f>
        <v>109.2</v>
      </c>
      <c r="C29" s="34">
        <v>3.5999999999999999E-3</v>
      </c>
      <c r="D29" s="22">
        <f>B29*C29</f>
        <v>0.39312000000000002</v>
      </c>
      <c r="E29" s="73">
        <f t="shared" si="4"/>
        <v>109.2</v>
      </c>
      <c r="F29" s="34">
        <v>3.5999999999999999E-3</v>
      </c>
      <c r="G29" s="22">
        <f>E29*F29</f>
        <v>0.39312000000000002</v>
      </c>
      <c r="H29" s="22">
        <f t="shared" si="3"/>
        <v>0</v>
      </c>
      <c r="I29" s="23">
        <f t="shared" si="7"/>
        <v>0</v>
      </c>
      <c r="J29" s="124">
        <f t="shared" si="1"/>
        <v>7.0852945317574096E-3</v>
      </c>
    </row>
    <row r="30" spans="1:10" s="1" customFormat="1" x14ac:dyDescent="0.2">
      <c r="A30" s="107" t="s">
        <v>43</v>
      </c>
      <c r="B30" s="73">
        <f>B8</f>
        <v>109.2</v>
      </c>
      <c r="C30" s="34">
        <v>2.0999999999999999E-3</v>
      </c>
      <c r="D30" s="22">
        <f>B30*C30</f>
        <v>0.22932</v>
      </c>
      <c r="E30" s="73">
        <f t="shared" si="4"/>
        <v>109.2</v>
      </c>
      <c r="F30" s="34">
        <v>2.0999999999999999E-3</v>
      </c>
      <c r="G30" s="22">
        <f>E30*F30</f>
        <v>0.22932</v>
      </c>
      <c r="H30" s="22">
        <f>G30-D30</f>
        <v>0</v>
      </c>
      <c r="I30" s="23">
        <f t="shared" si="7"/>
        <v>0</v>
      </c>
      <c r="J30" s="124">
        <f t="shared" si="1"/>
        <v>4.1330884768584885E-3</v>
      </c>
    </row>
    <row r="31" spans="1:10" s="1" customFormat="1" x14ac:dyDescent="0.2">
      <c r="A31" s="107" t="s">
        <v>100</v>
      </c>
      <c r="B31" s="73">
        <f>B8</f>
        <v>109.2</v>
      </c>
      <c r="C31" s="34">
        <v>0</v>
      </c>
      <c r="D31" s="22">
        <f>B31*C31</f>
        <v>0</v>
      </c>
      <c r="E31" s="73">
        <f t="shared" si="4"/>
        <v>109.2</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ref="J32:J39" si="9">G32/$G$39</f>
        <v>4.5058089970984741E-3</v>
      </c>
    </row>
    <row r="33" spans="1:10" s="1" customFormat="1" x14ac:dyDescent="0.2">
      <c r="A33" s="110" t="s">
        <v>45</v>
      </c>
      <c r="B33" s="74"/>
      <c r="C33" s="35"/>
      <c r="D33" s="35">
        <f>SUM(D29:D32)</f>
        <v>0.87243999999999999</v>
      </c>
      <c r="E33" s="73"/>
      <c r="F33" s="35"/>
      <c r="G33" s="35">
        <f>SUM(G29:G32)</f>
        <v>0.87243999999999999</v>
      </c>
      <c r="H33" s="35">
        <f t="shared" si="3"/>
        <v>0</v>
      </c>
      <c r="I33" s="36">
        <f t="shared" si="7"/>
        <v>0</v>
      </c>
      <c r="J33" s="111">
        <f t="shared" si="9"/>
        <v>1.5724192005714371E-2</v>
      </c>
    </row>
    <row r="34" spans="1:10" ht="13.5" thickBot="1" x14ac:dyDescent="0.25">
      <c r="A34" s="112" t="s">
        <v>46</v>
      </c>
      <c r="B34" s="113">
        <f>B4</f>
        <v>100</v>
      </c>
      <c r="C34" s="114">
        <v>7.0000000000000001E-3</v>
      </c>
      <c r="D34" s="115">
        <f>B34*C34</f>
        <v>0.70000000000000007</v>
      </c>
      <c r="E34" s="116">
        <f t="shared" si="4"/>
        <v>100</v>
      </c>
      <c r="F34" s="114">
        <f>C34</f>
        <v>7.0000000000000001E-3</v>
      </c>
      <c r="G34" s="115">
        <f>E34*F34</f>
        <v>0.70000000000000007</v>
      </c>
      <c r="H34" s="115">
        <f t="shared" si="3"/>
        <v>0</v>
      </c>
      <c r="I34" s="117">
        <f t="shared" si="7"/>
        <v>0</v>
      </c>
      <c r="J34" s="118">
        <f t="shared" si="9"/>
        <v>1.261626519187573E-2</v>
      </c>
    </row>
    <row r="35" spans="1:10" x14ac:dyDescent="0.2">
      <c r="A35" s="37" t="s">
        <v>146</v>
      </c>
      <c r="B35" s="38"/>
      <c r="C35" s="39"/>
      <c r="D35" s="39">
        <f>SUM(D14,D24,D27,D33,D34)</f>
        <v>52.088938000000006</v>
      </c>
      <c r="E35" s="38"/>
      <c r="F35" s="39"/>
      <c r="G35" s="39">
        <f>SUM(G14,G24,G27,G33,G34)</f>
        <v>52.841840000000005</v>
      </c>
      <c r="H35" s="39">
        <f t="shared" si="3"/>
        <v>0.75290199999999885</v>
      </c>
      <c r="I35" s="40">
        <f t="shared" si="7"/>
        <v>1.4454162993301932E-2</v>
      </c>
      <c r="J35" s="41">
        <f t="shared" si="9"/>
        <v>0.95238095238095233</v>
      </c>
    </row>
    <row r="36" spans="1:10" x14ac:dyDescent="0.2">
      <c r="A36" s="46" t="s">
        <v>138</v>
      </c>
      <c r="B36" s="43"/>
      <c r="C36" s="26">
        <v>0.13</v>
      </c>
      <c r="D36" s="26">
        <f>D35*C36</f>
        <v>6.7715619400000007</v>
      </c>
      <c r="E36" s="26"/>
      <c r="F36" s="26">
        <f>C36</f>
        <v>0.13</v>
      </c>
      <c r="G36" s="26">
        <f>G35*F36</f>
        <v>6.8694392000000013</v>
      </c>
      <c r="H36" s="26">
        <f t="shared" si="3"/>
        <v>9.7877260000000632E-2</v>
      </c>
      <c r="I36" s="44">
        <f t="shared" si="7"/>
        <v>1.4454162993302048E-2</v>
      </c>
      <c r="J36" s="45">
        <f t="shared" si="9"/>
        <v>0.12380952380952381</v>
      </c>
    </row>
    <row r="37" spans="1:10" x14ac:dyDescent="0.2">
      <c r="A37" s="46" t="s">
        <v>139</v>
      </c>
      <c r="B37" s="24"/>
      <c r="C37" s="25"/>
      <c r="D37" s="25">
        <f>SUM(D35:D36)</f>
        <v>58.860499940000004</v>
      </c>
      <c r="E37" s="25"/>
      <c r="F37" s="25"/>
      <c r="G37" s="25">
        <f>SUM(G35:G36)</f>
        <v>59.711279200000007</v>
      </c>
      <c r="H37" s="25">
        <f t="shared" si="3"/>
        <v>0.85077926000000303</v>
      </c>
      <c r="I37" s="27">
        <f t="shared" si="7"/>
        <v>1.4454162993302006E-2</v>
      </c>
      <c r="J37" s="47">
        <f t="shared" si="9"/>
        <v>1.0761904761904761</v>
      </c>
    </row>
    <row r="38" spans="1:10" x14ac:dyDescent="0.2">
      <c r="A38" s="46" t="s">
        <v>140</v>
      </c>
      <c r="B38" s="43"/>
      <c r="C38" s="26">
        <v>-0.08</v>
      </c>
      <c r="D38" s="26">
        <f>D35*C38</f>
        <v>-4.1671150400000005</v>
      </c>
      <c r="E38" s="26"/>
      <c r="F38" s="26">
        <f>C38</f>
        <v>-0.08</v>
      </c>
      <c r="G38" s="26">
        <f>G35*F38</f>
        <v>-4.2273472000000005</v>
      </c>
      <c r="H38" s="26">
        <f t="shared" si="3"/>
        <v>-6.0232159999999979E-2</v>
      </c>
      <c r="I38" s="44">
        <f t="shared" si="7"/>
        <v>-1.4454162993301949E-2</v>
      </c>
      <c r="J38" s="45">
        <f t="shared" si="9"/>
        <v>-7.6190476190476183E-2</v>
      </c>
    </row>
    <row r="39" spans="1:10" ht="13.5" thickBot="1" x14ac:dyDescent="0.25">
      <c r="A39" s="46" t="s">
        <v>141</v>
      </c>
      <c r="B39" s="49"/>
      <c r="C39" s="50"/>
      <c r="D39" s="50">
        <f>SUM(D37:D38)</f>
        <v>54.693384900000005</v>
      </c>
      <c r="E39" s="50"/>
      <c r="F39" s="50"/>
      <c r="G39" s="50">
        <f>SUM(G37:G38)</f>
        <v>55.48393200000001</v>
      </c>
      <c r="H39" s="50">
        <f t="shared" si="3"/>
        <v>0.79054710000000483</v>
      </c>
      <c r="I39" s="51">
        <f t="shared" si="7"/>
        <v>1.4454162993302043E-2</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50"/>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12</v>
      </c>
    </row>
    <row r="4" spans="1:10" x14ac:dyDescent="0.2">
      <c r="A4" s="15" t="s">
        <v>62</v>
      </c>
      <c r="B4" s="79">
        <f>'Data for Bill Impacts_HONI Avg '!C11</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81">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364</v>
      </c>
      <c r="C12" s="103">
        <v>9.0999999999999998E-2</v>
      </c>
      <c r="D12" s="104">
        <f>B12*C12</f>
        <v>33.124000000000002</v>
      </c>
      <c r="E12" s="102">
        <f>B12</f>
        <v>364</v>
      </c>
      <c r="F12" s="103">
        <f>C12</f>
        <v>9.0999999999999998E-2</v>
      </c>
      <c r="G12" s="104">
        <f>E12*F12</f>
        <v>33.124000000000002</v>
      </c>
      <c r="H12" s="104">
        <f>G12-D12</f>
        <v>0</v>
      </c>
      <c r="I12" s="105">
        <f t="shared" ref="I12:I18" si="0">IF(ISERROR(H12/ABS(D12)),"N/A",(H12/ABS(D12)))</f>
        <v>0</v>
      </c>
      <c r="J12" s="123">
        <f t="shared" ref="J12:J39" si="1">G12/$G$39</f>
        <v>0.33913045163381128</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33.124000000000002</v>
      </c>
      <c r="E14" s="76"/>
      <c r="F14" s="25"/>
      <c r="G14" s="25">
        <f>SUM(G12:G13)</f>
        <v>33.124000000000002</v>
      </c>
      <c r="H14" s="25">
        <f t="shared" si="3"/>
        <v>0</v>
      </c>
      <c r="I14" s="27">
        <f t="shared" si="0"/>
        <v>0</v>
      </c>
      <c r="J14" s="47">
        <f t="shared" si="1"/>
        <v>0.33913045163381128</v>
      </c>
    </row>
    <row r="15" spans="1:10" x14ac:dyDescent="0.2">
      <c r="A15" s="107" t="s">
        <v>38</v>
      </c>
      <c r="B15" s="73">
        <v>1</v>
      </c>
      <c r="C15" s="78">
        <f>VLOOKUP($B$3,'Data for Bill Impacts'!$A$3:$Y$15,7,0)</f>
        <v>36.659999999999997</v>
      </c>
      <c r="D15" s="22">
        <f>B15*C15</f>
        <v>36.659999999999997</v>
      </c>
      <c r="E15" s="73">
        <f t="shared" ref="E15:E34" si="4">B15</f>
        <v>1</v>
      </c>
      <c r="F15" s="78">
        <f>VLOOKUP($B$3,'Data for Bill Impacts'!$A$3:$Y$15,17,0)</f>
        <v>37.369999999999997</v>
      </c>
      <c r="G15" s="22">
        <f>E15*F15</f>
        <v>37.369999999999997</v>
      </c>
      <c r="H15" s="22">
        <f t="shared" si="3"/>
        <v>0.71000000000000085</v>
      </c>
      <c r="I15" s="23">
        <f t="shared" si="0"/>
        <v>1.936715766503003E-2</v>
      </c>
      <c r="J15" s="124">
        <f t="shared" si="1"/>
        <v>0.38260188919078386</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2E-3</v>
      </c>
      <c r="D18" s="22">
        <f t="shared" si="6"/>
        <v>2E-3</v>
      </c>
      <c r="E18" s="73">
        <f t="shared" si="4"/>
        <v>1</v>
      </c>
      <c r="F18" s="121">
        <f>VLOOKUP($B$3,'Data for Bill Impacts'!$A$3:$Y$15,22,0)</f>
        <v>2E-3</v>
      </c>
      <c r="G18" s="22">
        <f t="shared" si="5"/>
        <v>2E-3</v>
      </c>
      <c r="H18" s="22">
        <f t="shared" si="3"/>
        <v>0</v>
      </c>
      <c r="I18" s="23">
        <f t="shared" si="0"/>
        <v>0</v>
      </c>
      <c r="J18" s="124">
        <f t="shared" si="1"/>
        <v>2.0476419009407756E-5</v>
      </c>
    </row>
    <row r="19" spans="1:10" x14ac:dyDescent="0.2">
      <c r="A19" s="107" t="s">
        <v>39</v>
      </c>
      <c r="B19" s="73">
        <f>IF($B$9="kWh",$B$4,$B$5)</f>
        <v>364</v>
      </c>
      <c r="C19" s="125">
        <f>VLOOKUP($B$3,'Data for Bill Impacts'!$A$3:$Y$15,10,0)</f>
        <v>2.98E-2</v>
      </c>
      <c r="D19" s="22">
        <f>B19*C19</f>
        <v>10.847200000000001</v>
      </c>
      <c r="E19" s="73">
        <f t="shared" si="4"/>
        <v>364</v>
      </c>
      <c r="F19" s="78">
        <f>VLOOKUP($B$3,'Data for Bill Impacts'!$A$3:$Y$15,19,0)</f>
        <v>3.0300000000000001E-2</v>
      </c>
      <c r="G19" s="22">
        <f>E19*F19</f>
        <v>11.029199999999999</v>
      </c>
      <c r="H19" s="22">
        <f t="shared" si="3"/>
        <v>0.18199999999999861</v>
      </c>
      <c r="I19" s="23">
        <f>IF(ISERROR(H19/ABS(D19)),"N/A",(H19/ABS(D19)))</f>
        <v>1.6778523489932758E-2</v>
      </c>
      <c r="J19" s="124">
        <f t="shared" si="1"/>
        <v>0.11291926026927999</v>
      </c>
    </row>
    <row r="20" spans="1:10" s="1" customFormat="1" x14ac:dyDescent="0.2">
      <c r="A20" s="107" t="s">
        <v>199</v>
      </c>
      <c r="B20" s="73">
        <f>IF($B$9="kWh",$B$4,$B$5)</f>
        <v>364</v>
      </c>
      <c r="C20" s="125">
        <f>VLOOKUP($B$3,'Data for Bill Impacts'!$A$3:$Y$15,14,0)</f>
        <v>2.0000000000000002E-5</v>
      </c>
      <c r="D20" s="22">
        <f>B20*C20</f>
        <v>7.2800000000000009E-3</v>
      </c>
      <c r="E20" s="73">
        <f>B20</f>
        <v>364</v>
      </c>
      <c r="F20" s="125">
        <f>VLOOKUP($B$3,'Data for Bill Impacts'!$A$3:$Y$15,23,0)</f>
        <v>2.0000000000000002E-5</v>
      </c>
      <c r="G20" s="22">
        <f>E20*F20</f>
        <v>7.2800000000000009E-3</v>
      </c>
      <c r="H20" s="22">
        <f>G20-D20</f>
        <v>0</v>
      </c>
      <c r="I20" s="23">
        <f>IF(ISERROR(H20/D20),0,(H20/D20))</f>
        <v>0</v>
      </c>
      <c r="J20" s="124">
        <f t="shared" si="1"/>
        <v>7.4534165194244231E-5</v>
      </c>
    </row>
    <row r="21" spans="1:10" hidden="1" x14ac:dyDescent="0.2">
      <c r="A21" s="107" t="s">
        <v>86</v>
      </c>
      <c r="B21" s="73">
        <f>IF($B$9="kWh",$B$4,$B$5)</f>
        <v>364</v>
      </c>
      <c r="C21" s="125">
        <v>0</v>
      </c>
      <c r="D21" s="22">
        <f>B21*C21</f>
        <v>0</v>
      </c>
      <c r="E21" s="73">
        <f t="shared" si="4"/>
        <v>364</v>
      </c>
      <c r="F21" s="78">
        <v>0</v>
      </c>
      <c r="G21" s="22">
        <f>E21*F21</f>
        <v>0</v>
      </c>
      <c r="H21" s="22">
        <f t="shared" si="3"/>
        <v>0</v>
      </c>
      <c r="I21" s="23">
        <f>IF(ISERROR(H21/D21),0,(H21/D21))</f>
        <v>0</v>
      </c>
      <c r="J21" s="124">
        <f t="shared" si="1"/>
        <v>0</v>
      </c>
    </row>
    <row r="22" spans="1:10" x14ac:dyDescent="0.2">
      <c r="A22" s="110" t="s">
        <v>72</v>
      </c>
      <c r="B22" s="74"/>
      <c r="C22" s="35"/>
      <c r="D22" s="35">
        <f>SUM(D15:D21)</f>
        <v>47.516480000000001</v>
      </c>
      <c r="E22" s="73"/>
      <c r="F22" s="35"/>
      <c r="G22" s="35">
        <f>SUM(G15:G21)</f>
        <v>48.408480000000004</v>
      </c>
      <c r="H22" s="35">
        <f t="shared" si="3"/>
        <v>0.89200000000000301</v>
      </c>
      <c r="I22" s="36">
        <f t="shared" ref="I22:I39" si="7">IF(ISERROR(H22/ABS(D22)),"N/A",(H22/ABS(D22)))</f>
        <v>1.8772434321734331E-2</v>
      </c>
      <c r="J22" s="111">
        <f t="shared" si="1"/>
        <v>0.49561616004426762</v>
      </c>
    </row>
    <row r="23" spans="1:10" s="1" customFormat="1" x14ac:dyDescent="0.2">
      <c r="A23" s="119" t="s">
        <v>81</v>
      </c>
      <c r="B23" s="120">
        <f>B8-B4</f>
        <v>33.488000000000056</v>
      </c>
      <c r="C23" s="257">
        <f>IF(B4&gt;B7,C13,C12)</f>
        <v>9.0999999999999998E-2</v>
      </c>
      <c r="D23" s="22">
        <f>B23*C23</f>
        <v>3.0474080000000052</v>
      </c>
      <c r="E23" s="73">
        <f>B23</f>
        <v>33.488000000000056</v>
      </c>
      <c r="F23" s="257">
        <f>C23</f>
        <v>9.0999999999999998E-2</v>
      </c>
      <c r="G23" s="22">
        <f>E23*F23</f>
        <v>3.0474080000000052</v>
      </c>
      <c r="H23" s="22">
        <f t="shared" si="3"/>
        <v>0</v>
      </c>
      <c r="I23" s="23">
        <f t="shared" si="7"/>
        <v>0</v>
      </c>
      <c r="J23" s="124">
        <f t="shared" si="1"/>
        <v>3.1200001550310687E-2</v>
      </c>
    </row>
    <row r="24" spans="1:10" x14ac:dyDescent="0.2">
      <c r="A24" s="110" t="s">
        <v>79</v>
      </c>
      <c r="B24" s="74"/>
      <c r="C24" s="35"/>
      <c r="D24" s="35">
        <f>SUM(D22,D23:D23)</f>
        <v>50.563888000000006</v>
      </c>
      <c r="E24" s="73"/>
      <c r="F24" s="35"/>
      <c r="G24" s="35">
        <f>SUM(G22,G23:G23)</f>
        <v>51.455888000000009</v>
      </c>
      <c r="H24" s="35">
        <f t="shared" si="3"/>
        <v>0.89200000000000301</v>
      </c>
      <c r="I24" s="36">
        <f t="shared" si="7"/>
        <v>1.7641048488992835E-2</v>
      </c>
      <c r="J24" s="111">
        <f t="shared" si="1"/>
        <v>0.52681616159457823</v>
      </c>
    </row>
    <row r="25" spans="1:10" x14ac:dyDescent="0.2">
      <c r="A25" s="107" t="s">
        <v>40</v>
      </c>
      <c r="B25" s="73">
        <f>B8</f>
        <v>397.48800000000006</v>
      </c>
      <c r="C25" s="125">
        <f>VLOOKUP($B$3,'Data for Bill Impacts'!$A$3:$Y$15,15,0)</f>
        <v>4.7699999999999999E-3</v>
      </c>
      <c r="D25" s="22">
        <f>B25*C25</f>
        <v>1.8960177600000003</v>
      </c>
      <c r="E25" s="73">
        <f t="shared" si="4"/>
        <v>397.48800000000006</v>
      </c>
      <c r="F25" s="78">
        <f>VLOOKUP($B$3,'Data for Bill Impacts'!$A$3:$Y$15,24,0)</f>
        <v>4.7000000000000002E-3</v>
      </c>
      <c r="G25" s="22">
        <f>E25*F25</f>
        <v>1.8681936000000003</v>
      </c>
      <c r="H25" s="22">
        <f t="shared" si="3"/>
        <v>-2.7824159999999987E-2</v>
      </c>
      <c r="I25" s="23">
        <f t="shared" si="7"/>
        <v>-1.4675052410901458E-2</v>
      </c>
      <c r="J25" s="124">
        <f t="shared" si="1"/>
        <v>1.9126957472146957E-2</v>
      </c>
    </row>
    <row r="26" spans="1:10" s="1" customFormat="1" x14ac:dyDescent="0.2">
      <c r="A26" s="107" t="s">
        <v>41</v>
      </c>
      <c r="B26" s="73">
        <f>B8</f>
        <v>397.48800000000006</v>
      </c>
      <c r="C26" s="125">
        <f>VLOOKUP($B$3,'Data for Bill Impacts'!$A$3:$Y$15,16,0)</f>
        <v>3.7950000000000002E-3</v>
      </c>
      <c r="D26" s="22">
        <f>B26*C26</f>
        <v>1.5084669600000002</v>
      </c>
      <c r="E26" s="73">
        <f t="shared" si="4"/>
        <v>397.48800000000006</v>
      </c>
      <c r="F26" s="78">
        <f>VLOOKUP($B$3,'Data for Bill Impacts'!$A$3:$Y$15,25,0)</f>
        <v>3.8E-3</v>
      </c>
      <c r="G26" s="22">
        <f>E26*F26</f>
        <v>1.5104544000000002</v>
      </c>
      <c r="H26" s="22">
        <f t="shared" si="3"/>
        <v>1.9874399999999515E-3</v>
      </c>
      <c r="I26" s="23">
        <f t="shared" si="7"/>
        <v>1.317523056653459E-3</v>
      </c>
      <c r="J26" s="124">
        <f t="shared" si="1"/>
        <v>1.5464348594501794E-2</v>
      </c>
    </row>
    <row r="27" spans="1:10" s="1" customFormat="1" x14ac:dyDescent="0.2">
      <c r="A27" s="110" t="s">
        <v>76</v>
      </c>
      <c r="B27" s="74"/>
      <c r="C27" s="35"/>
      <c r="D27" s="35">
        <f>SUM(D25:D26)</f>
        <v>3.4044847200000006</v>
      </c>
      <c r="E27" s="73"/>
      <c r="F27" s="35"/>
      <c r="G27" s="35">
        <f>SUM(G25:G26)</f>
        <v>3.3786480000000005</v>
      </c>
      <c r="H27" s="35">
        <f t="shared" si="3"/>
        <v>-2.5836720000000035E-2</v>
      </c>
      <c r="I27" s="36">
        <f t="shared" si="7"/>
        <v>-7.589025102159962E-3</v>
      </c>
      <c r="J27" s="111">
        <f t="shared" si="1"/>
        <v>3.4591306066648751E-2</v>
      </c>
    </row>
    <row r="28" spans="1:10" s="1" customFormat="1" x14ac:dyDescent="0.2">
      <c r="A28" s="110" t="s">
        <v>80</v>
      </c>
      <c r="B28" s="74"/>
      <c r="C28" s="35"/>
      <c r="D28" s="35">
        <f>D24+D27</f>
        <v>53.968372720000005</v>
      </c>
      <c r="E28" s="73"/>
      <c r="F28" s="35"/>
      <c r="G28" s="35">
        <f>G24+G27</f>
        <v>54.834536000000007</v>
      </c>
      <c r="H28" s="35">
        <f t="shared" si="3"/>
        <v>0.86616328000000209</v>
      </c>
      <c r="I28" s="36">
        <f t="shared" si="7"/>
        <v>1.6049460755354825E-2</v>
      </c>
      <c r="J28" s="111">
        <f t="shared" si="1"/>
        <v>0.56140746766122696</v>
      </c>
    </row>
    <row r="29" spans="1:10" x14ac:dyDescent="0.2">
      <c r="A29" s="107" t="s">
        <v>42</v>
      </c>
      <c r="B29" s="73">
        <f>B8</f>
        <v>397.48800000000006</v>
      </c>
      <c r="C29" s="34">
        <v>3.5999999999999999E-3</v>
      </c>
      <c r="D29" s="22">
        <f>B29*C29</f>
        <v>1.4309568000000001</v>
      </c>
      <c r="E29" s="73">
        <f t="shared" si="4"/>
        <v>397.48800000000006</v>
      </c>
      <c r="F29" s="34">
        <v>3.5999999999999999E-3</v>
      </c>
      <c r="G29" s="22">
        <f>E29*F29</f>
        <v>1.4309568000000001</v>
      </c>
      <c r="H29" s="22">
        <f t="shared" si="3"/>
        <v>0</v>
      </c>
      <c r="I29" s="23">
        <f t="shared" si="7"/>
        <v>0</v>
      </c>
      <c r="J29" s="124">
        <f t="shared" si="1"/>
        <v>1.4650435510580647E-2</v>
      </c>
    </row>
    <row r="30" spans="1:10" s="1" customFormat="1" x14ac:dyDescent="0.2">
      <c r="A30" s="107" t="s">
        <v>43</v>
      </c>
      <c r="B30" s="73">
        <f>B8</f>
        <v>397.48800000000006</v>
      </c>
      <c r="C30" s="34">
        <v>2.0999999999999999E-3</v>
      </c>
      <c r="D30" s="22">
        <f>B30*C30</f>
        <v>0.83472480000000004</v>
      </c>
      <c r="E30" s="73">
        <f t="shared" si="4"/>
        <v>397.48800000000006</v>
      </c>
      <c r="F30" s="34">
        <v>2.0999999999999999E-3</v>
      </c>
      <c r="G30" s="22">
        <f>E30*F30</f>
        <v>0.83472480000000004</v>
      </c>
      <c r="H30" s="22">
        <f>G30-D30</f>
        <v>0</v>
      </c>
      <c r="I30" s="23">
        <f t="shared" si="7"/>
        <v>0</v>
      </c>
      <c r="J30" s="124">
        <f t="shared" si="1"/>
        <v>8.5460873811720427E-3</v>
      </c>
    </row>
    <row r="31" spans="1:10" s="1" customFormat="1" x14ac:dyDescent="0.2">
      <c r="A31" s="107" t="s">
        <v>100</v>
      </c>
      <c r="B31" s="73">
        <f>B8</f>
        <v>397.48800000000006</v>
      </c>
      <c r="C31" s="34">
        <v>0</v>
      </c>
      <c r="D31" s="22">
        <f>B31*C31</f>
        <v>0</v>
      </c>
      <c r="E31" s="73">
        <f t="shared" si="4"/>
        <v>397.48800000000006</v>
      </c>
      <c r="F31" s="34">
        <v>0</v>
      </c>
      <c r="G31" s="22">
        <f>E31*F31</f>
        <v>0</v>
      </c>
      <c r="H31" s="22">
        <f>G31-D31</f>
        <v>0</v>
      </c>
      <c r="I31" s="23" t="str">
        <f t="shared" si="7"/>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si="1"/>
        <v>2.5595523761759694E-3</v>
      </c>
    </row>
    <row r="33" spans="1:10" s="1" customFormat="1" x14ac:dyDescent="0.2">
      <c r="A33" s="110" t="s">
        <v>45</v>
      </c>
      <c r="B33" s="74"/>
      <c r="C33" s="35"/>
      <c r="D33" s="35">
        <f>SUM(D29:D32)</f>
        <v>2.5156816000000002</v>
      </c>
      <c r="E33" s="73"/>
      <c r="F33" s="35"/>
      <c r="G33" s="35">
        <f>SUM(G29:G32)</f>
        <v>2.5156816000000002</v>
      </c>
      <c r="H33" s="35">
        <f t="shared" si="3"/>
        <v>0</v>
      </c>
      <c r="I33" s="36">
        <f t="shared" si="7"/>
        <v>0</v>
      </c>
      <c r="J33" s="111">
        <f t="shared" si="1"/>
        <v>2.5756075267928658E-2</v>
      </c>
    </row>
    <row r="34" spans="1:10" ht="13.5" thickBot="1" x14ac:dyDescent="0.25">
      <c r="A34" s="112" t="s">
        <v>46</v>
      </c>
      <c r="B34" s="113">
        <f>B4</f>
        <v>364</v>
      </c>
      <c r="C34" s="114">
        <v>7.0000000000000001E-3</v>
      </c>
      <c r="D34" s="115">
        <f>B34*C34</f>
        <v>2.548</v>
      </c>
      <c r="E34" s="116">
        <f t="shared" si="4"/>
        <v>364</v>
      </c>
      <c r="F34" s="114">
        <f>C34</f>
        <v>7.0000000000000001E-3</v>
      </c>
      <c r="G34" s="115">
        <f>E34*F34</f>
        <v>2.548</v>
      </c>
      <c r="H34" s="115">
        <f t="shared" si="3"/>
        <v>0</v>
      </c>
      <c r="I34" s="117">
        <f t="shared" si="7"/>
        <v>0</v>
      </c>
      <c r="J34" s="118">
        <f t="shared" si="1"/>
        <v>2.6086957817985479E-2</v>
      </c>
    </row>
    <row r="35" spans="1:10" x14ac:dyDescent="0.2">
      <c r="A35" s="37" t="s">
        <v>146</v>
      </c>
      <c r="B35" s="38"/>
      <c r="C35" s="39"/>
      <c r="D35" s="39">
        <f>SUM(D14,D24,D27,D33,D34)</f>
        <v>92.15605432000001</v>
      </c>
      <c r="E35" s="38"/>
      <c r="F35" s="39"/>
      <c r="G35" s="39">
        <f>SUM(G14,G24,G27,G33,G34)</f>
        <v>93.022217600000005</v>
      </c>
      <c r="H35" s="39">
        <f t="shared" si="3"/>
        <v>0.86616327999999498</v>
      </c>
      <c r="I35" s="40">
        <f t="shared" si="7"/>
        <v>9.3988754877932894E-3</v>
      </c>
      <c r="J35" s="41">
        <f t="shared" si="1"/>
        <v>0.95238095238095233</v>
      </c>
    </row>
    <row r="36" spans="1:10" x14ac:dyDescent="0.2">
      <c r="A36" s="46" t="s">
        <v>138</v>
      </c>
      <c r="B36" s="43"/>
      <c r="C36" s="26">
        <v>0.13</v>
      </c>
      <c r="D36" s="26">
        <f>D35*C36</f>
        <v>11.980287061600002</v>
      </c>
      <c r="E36" s="26"/>
      <c r="F36" s="26">
        <f>C36</f>
        <v>0.13</v>
      </c>
      <c r="G36" s="26">
        <f>G35*F36</f>
        <v>12.092888288000001</v>
      </c>
      <c r="H36" s="26">
        <f t="shared" si="3"/>
        <v>0.11260122639999892</v>
      </c>
      <c r="I36" s="44">
        <f t="shared" si="7"/>
        <v>9.398875487793253E-3</v>
      </c>
      <c r="J36" s="45">
        <f t="shared" si="1"/>
        <v>0.12380952380952381</v>
      </c>
    </row>
    <row r="37" spans="1:10" x14ac:dyDescent="0.2">
      <c r="A37" s="46" t="s">
        <v>139</v>
      </c>
      <c r="B37" s="24"/>
      <c r="C37" s="25"/>
      <c r="D37" s="25">
        <f>SUM(D35:D36)</f>
        <v>104.1363413816</v>
      </c>
      <c r="E37" s="25"/>
      <c r="F37" s="25"/>
      <c r="G37" s="25">
        <f>SUM(G35:G36)</f>
        <v>105.115105888</v>
      </c>
      <c r="H37" s="25">
        <f t="shared" si="3"/>
        <v>0.97876450639999746</v>
      </c>
      <c r="I37" s="27">
        <f t="shared" si="7"/>
        <v>9.3988754877933206E-3</v>
      </c>
      <c r="J37" s="47">
        <f t="shared" si="1"/>
        <v>1.0761904761904761</v>
      </c>
    </row>
    <row r="38" spans="1:10" x14ac:dyDescent="0.2">
      <c r="A38" s="46" t="s">
        <v>140</v>
      </c>
      <c r="B38" s="43"/>
      <c r="C38" s="26">
        <v>-0.08</v>
      </c>
      <c r="D38" s="26">
        <f>D35*C38</f>
        <v>-7.3724843456000011</v>
      </c>
      <c r="E38" s="26"/>
      <c r="F38" s="26">
        <f>C38</f>
        <v>-0.08</v>
      </c>
      <c r="G38" s="26">
        <f>G35*F38</f>
        <v>-7.4417774080000001</v>
      </c>
      <c r="H38" s="26">
        <f t="shared" si="3"/>
        <v>-6.9293062399998995E-2</v>
      </c>
      <c r="I38" s="44">
        <f t="shared" si="7"/>
        <v>-9.3988754877932078E-3</v>
      </c>
      <c r="J38" s="45">
        <f t="shared" si="1"/>
        <v>-7.6190476190476183E-2</v>
      </c>
    </row>
    <row r="39" spans="1:10" ht="13.5" thickBot="1" x14ac:dyDescent="0.25">
      <c r="A39" s="46" t="s">
        <v>141</v>
      </c>
      <c r="B39" s="49"/>
      <c r="C39" s="50"/>
      <c r="D39" s="50">
        <f>SUM(D37:D38)</f>
        <v>96.763857036000005</v>
      </c>
      <c r="E39" s="50"/>
      <c r="F39" s="50"/>
      <c r="G39" s="50">
        <f>SUM(G37:G38)</f>
        <v>97.673328480000009</v>
      </c>
      <c r="H39" s="50">
        <f t="shared" si="3"/>
        <v>0.90947144400000468</v>
      </c>
      <c r="I39" s="51">
        <f t="shared" si="7"/>
        <v>9.3988754877933935E-3</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50"/>
  <sheetViews>
    <sheetView tabSelected="1" view="pageBreakPreview" topLeftCell="A13"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30" si="1">G12/$G$39</f>
        <v>0.33341814122976926</v>
      </c>
    </row>
    <row r="13" spans="1:10" x14ac:dyDescent="0.2">
      <c r="A13" s="107" t="s">
        <v>32</v>
      </c>
      <c r="B13" s="73">
        <f>IF(B4&gt;B7,(B4)-B7,0)</f>
        <v>250</v>
      </c>
      <c r="C13" s="21">
        <v>0.106</v>
      </c>
      <c r="D13" s="22">
        <f>B13*C13</f>
        <v>26.5</v>
      </c>
      <c r="E13" s="73">
        <f t="shared" ref="E13" si="2">B13</f>
        <v>250</v>
      </c>
      <c r="F13" s="21">
        <f>C13</f>
        <v>0.106</v>
      </c>
      <c r="G13" s="22">
        <f>E13*F13</f>
        <v>26.5</v>
      </c>
      <c r="H13" s="22">
        <f t="shared" ref="H13:H39" si="3">G13-D13</f>
        <v>0</v>
      </c>
      <c r="I13" s="23">
        <f t="shared" si="0"/>
        <v>0</v>
      </c>
      <c r="J13" s="124">
        <f t="shared" si="1"/>
        <v>0.12945905849947084</v>
      </c>
    </row>
    <row r="14" spans="1:10" s="1" customFormat="1" x14ac:dyDescent="0.2">
      <c r="A14" s="46" t="s">
        <v>33</v>
      </c>
      <c r="B14" s="24"/>
      <c r="C14" s="25"/>
      <c r="D14" s="25">
        <f>SUM(D12:D13)</f>
        <v>94.75</v>
      </c>
      <c r="E14" s="76"/>
      <c r="F14" s="25"/>
      <c r="G14" s="25">
        <f>SUM(G12:G13)</f>
        <v>94.75</v>
      </c>
      <c r="H14" s="25">
        <f t="shared" si="3"/>
        <v>0</v>
      </c>
      <c r="I14" s="27">
        <f t="shared" si="0"/>
        <v>0</v>
      </c>
      <c r="J14" s="47">
        <f t="shared" si="1"/>
        <v>0.46287719972924007</v>
      </c>
    </row>
    <row r="15" spans="1:10" x14ac:dyDescent="0.2">
      <c r="A15" s="107" t="s">
        <v>38</v>
      </c>
      <c r="B15" s="73">
        <v>1</v>
      </c>
      <c r="C15" s="78">
        <f>VLOOKUP($B$3,'Data for Bill Impacts'!$A$3:$Y$15,7,0)</f>
        <v>36.659999999999997</v>
      </c>
      <c r="D15" s="22">
        <f>B15*C15</f>
        <v>36.659999999999997</v>
      </c>
      <c r="E15" s="73">
        <f t="shared" ref="E15:E34" si="4">B15</f>
        <v>1</v>
      </c>
      <c r="F15" s="121">
        <f>VLOOKUP($B$3,'Data for Bill Impacts'!$A$3:$Y$15,17,0)</f>
        <v>37.369999999999997</v>
      </c>
      <c r="G15" s="22">
        <f>E15*F15</f>
        <v>37.369999999999997</v>
      </c>
      <c r="H15" s="22">
        <f t="shared" si="3"/>
        <v>0.71000000000000085</v>
      </c>
      <c r="I15" s="23">
        <f t="shared" si="0"/>
        <v>1.936715766503003E-2</v>
      </c>
      <c r="J15" s="124">
        <f t="shared" si="1"/>
        <v>0.18256169872170661</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2E-3</v>
      </c>
      <c r="D18" s="22">
        <f t="shared" si="6"/>
        <v>2E-3</v>
      </c>
      <c r="E18" s="73">
        <f t="shared" si="4"/>
        <v>1</v>
      </c>
      <c r="F18" s="121">
        <f>VLOOKUP($B$3,'Data for Bill Impacts'!$A$3:$Y$15,22,0)</f>
        <v>2E-3</v>
      </c>
      <c r="G18" s="22">
        <f t="shared" si="5"/>
        <v>2E-3</v>
      </c>
      <c r="H18" s="22">
        <f t="shared" si="3"/>
        <v>0</v>
      </c>
      <c r="I18" s="23">
        <f t="shared" si="0"/>
        <v>0</v>
      </c>
      <c r="J18" s="124">
        <f t="shared" si="1"/>
        <v>9.7704949810921396E-6</v>
      </c>
    </row>
    <row r="19" spans="1:10" x14ac:dyDescent="0.2">
      <c r="A19" s="107" t="s">
        <v>39</v>
      </c>
      <c r="B19" s="73">
        <f>IF($B$9="kWh",$B$4,$B$5)</f>
        <v>1000</v>
      </c>
      <c r="C19" s="125">
        <f>VLOOKUP($B$3,'Data for Bill Impacts'!$A$3:$Y$15,10,0)</f>
        <v>2.98E-2</v>
      </c>
      <c r="D19" s="22">
        <f>B19*C19</f>
        <v>29.8</v>
      </c>
      <c r="E19" s="73">
        <f t="shared" si="4"/>
        <v>1000</v>
      </c>
      <c r="F19" s="78">
        <f>VLOOKUP($B$3,'Data for Bill Impacts'!$A$3:$Y$15,19,0)</f>
        <v>3.0300000000000001E-2</v>
      </c>
      <c r="G19" s="22">
        <f>E19*F19</f>
        <v>30.3</v>
      </c>
      <c r="H19" s="22">
        <f t="shared" si="3"/>
        <v>0.5</v>
      </c>
      <c r="I19" s="23">
        <f>IF(ISERROR(H19/ABS(D19)),"N/A",(H19/ABS(D19)))</f>
        <v>1.6778523489932886E-2</v>
      </c>
      <c r="J19" s="124">
        <f t="shared" si="1"/>
        <v>0.1480229989635459</v>
      </c>
    </row>
    <row r="20" spans="1:10" s="1" customFormat="1" x14ac:dyDescent="0.2">
      <c r="A20" s="107" t="s">
        <v>199</v>
      </c>
      <c r="B20" s="73">
        <f>IF($B$9="kWh",$B$4,$B$5)</f>
        <v>1000</v>
      </c>
      <c r="C20" s="125">
        <f>VLOOKUP($B$3,'Data for Bill Impacts'!$A$3:$Y$15,14,0)</f>
        <v>2.0000000000000002E-5</v>
      </c>
      <c r="D20" s="22">
        <f>B20*C20</f>
        <v>0.02</v>
      </c>
      <c r="E20" s="73">
        <f>B20</f>
        <v>1000</v>
      </c>
      <c r="F20" s="125">
        <f>VLOOKUP($B$3,'Data for Bill Impacts'!$A$3:$Y$15,23,0)</f>
        <v>2.0000000000000002E-5</v>
      </c>
      <c r="G20" s="22">
        <f>E20*F20</f>
        <v>0.02</v>
      </c>
      <c r="H20" s="22">
        <f>G20-D20</f>
        <v>0</v>
      </c>
      <c r="I20" s="23">
        <f>IF(ISERROR(H20/D20),0,(H20/D20))</f>
        <v>0</v>
      </c>
      <c r="J20" s="124">
        <f t="shared" si="1"/>
        <v>9.7704949810921386E-5</v>
      </c>
    </row>
    <row r="21" spans="1:10" hidden="1" x14ac:dyDescent="0.2">
      <c r="A21" s="107" t="s">
        <v>86</v>
      </c>
      <c r="B21" s="73">
        <f>IF($B$9="kWh",$B$4,$B$5)</f>
        <v>1000</v>
      </c>
      <c r="C21" s="125">
        <v>0</v>
      </c>
      <c r="D21" s="22">
        <f>B21*C21</f>
        <v>0</v>
      </c>
      <c r="E21" s="73">
        <f t="shared" si="4"/>
        <v>1000</v>
      </c>
      <c r="F21" s="78">
        <v>0</v>
      </c>
      <c r="G21" s="22">
        <f>E21*F21</f>
        <v>0</v>
      </c>
      <c r="H21" s="22">
        <f t="shared" si="3"/>
        <v>0</v>
      </c>
      <c r="I21" s="23">
        <f>IF(ISERROR(H21/D21),0,(H21/D21))</f>
        <v>0</v>
      </c>
      <c r="J21" s="124">
        <f t="shared" si="1"/>
        <v>0</v>
      </c>
    </row>
    <row r="22" spans="1:10" x14ac:dyDescent="0.2">
      <c r="A22" s="110" t="s">
        <v>72</v>
      </c>
      <c r="B22" s="74"/>
      <c r="C22" s="35"/>
      <c r="D22" s="35">
        <f>SUM(D15:D21)</f>
        <v>66.481999999999999</v>
      </c>
      <c r="E22" s="73"/>
      <c r="F22" s="35"/>
      <c r="G22" s="35">
        <f>SUM(G15:G21)</f>
        <v>67.691999999999993</v>
      </c>
      <c r="H22" s="35">
        <f t="shared" si="3"/>
        <v>1.2099999999999937</v>
      </c>
      <c r="I22" s="36">
        <f t="shared" ref="I22:I39" si="7">IF(ISERROR(H22/ABS(D22)),"N/A",(H22/ABS(D22)))</f>
        <v>1.8200415149965309E-2</v>
      </c>
      <c r="J22" s="111">
        <f t="shared" si="1"/>
        <v>0.33069217313004451</v>
      </c>
    </row>
    <row r="23" spans="1:10" s="1" customFormat="1" x14ac:dyDescent="0.2">
      <c r="A23" s="119" t="s">
        <v>81</v>
      </c>
      <c r="B23" s="120">
        <f>B8-B4</f>
        <v>92</v>
      </c>
      <c r="C23" s="257">
        <f>IF(B4&gt;B7,C13,C12)</f>
        <v>0.106</v>
      </c>
      <c r="D23" s="22">
        <f>B23*C23</f>
        <v>9.7519999999999989</v>
      </c>
      <c r="E23" s="73">
        <f>B23</f>
        <v>92</v>
      </c>
      <c r="F23" s="257">
        <f>C23</f>
        <v>0.106</v>
      </c>
      <c r="G23" s="22">
        <f>E23*F23</f>
        <v>9.7519999999999989</v>
      </c>
      <c r="H23" s="22">
        <f t="shared" si="3"/>
        <v>0</v>
      </c>
      <c r="I23" s="23">
        <f t="shared" si="7"/>
        <v>0</v>
      </c>
      <c r="J23" s="124">
        <f t="shared" si="1"/>
        <v>4.7640933527805261E-2</v>
      </c>
    </row>
    <row r="24" spans="1:10" x14ac:dyDescent="0.2">
      <c r="A24" s="110" t="s">
        <v>79</v>
      </c>
      <c r="B24" s="74"/>
      <c r="C24" s="35"/>
      <c r="D24" s="35">
        <f>SUM(D22,D23:D23)</f>
        <v>76.233999999999995</v>
      </c>
      <c r="E24" s="73"/>
      <c r="F24" s="35"/>
      <c r="G24" s="35">
        <f>SUM(G22,G23:G23)</f>
        <v>77.443999999999988</v>
      </c>
      <c r="H24" s="35">
        <f t="shared" si="3"/>
        <v>1.2099999999999937</v>
      </c>
      <c r="I24" s="36">
        <f t="shared" si="7"/>
        <v>1.5872183015452342E-2</v>
      </c>
      <c r="J24" s="111">
        <f t="shared" si="1"/>
        <v>0.37833310665784975</v>
      </c>
    </row>
    <row r="25" spans="1:10" x14ac:dyDescent="0.2">
      <c r="A25" s="107" t="s">
        <v>40</v>
      </c>
      <c r="B25" s="73">
        <f>B8</f>
        <v>1092</v>
      </c>
      <c r="C25" s="125">
        <f>VLOOKUP($B$3,'Data for Bill Impacts'!$A$3:$Y$15,15,0)</f>
        <v>4.7699999999999999E-3</v>
      </c>
      <c r="D25" s="22">
        <f>B25*C25</f>
        <v>5.2088400000000004</v>
      </c>
      <c r="E25" s="73">
        <f t="shared" si="4"/>
        <v>1092</v>
      </c>
      <c r="F25" s="78">
        <f>VLOOKUP($B$3,'Data for Bill Impacts'!$A$3:$Y$15,24,0)</f>
        <v>4.7000000000000002E-3</v>
      </c>
      <c r="G25" s="22">
        <f>E25*F25</f>
        <v>5.1324000000000005</v>
      </c>
      <c r="H25" s="22">
        <f t="shared" si="3"/>
        <v>-7.6439999999999841E-2</v>
      </c>
      <c r="I25" s="23">
        <f t="shared" si="7"/>
        <v>-1.4675052410901435E-2</v>
      </c>
      <c r="J25" s="124">
        <f t="shared" si="1"/>
        <v>2.5073044220478648E-2</v>
      </c>
    </row>
    <row r="26" spans="1:10" s="1" customFormat="1" x14ac:dyDescent="0.2">
      <c r="A26" s="107" t="s">
        <v>41</v>
      </c>
      <c r="B26" s="73">
        <f>B8</f>
        <v>1092</v>
      </c>
      <c r="C26" s="125">
        <f>VLOOKUP($B$3,'Data for Bill Impacts'!$A$3:$Y$15,16,0)</f>
        <v>3.7950000000000002E-3</v>
      </c>
      <c r="D26" s="22">
        <f>B26*C26</f>
        <v>4.1441400000000002</v>
      </c>
      <c r="E26" s="73">
        <f t="shared" si="4"/>
        <v>1092</v>
      </c>
      <c r="F26" s="78">
        <f>VLOOKUP($B$3,'Data for Bill Impacts'!$A$3:$Y$15,25,0)</f>
        <v>3.8E-3</v>
      </c>
      <c r="G26" s="22">
        <f>E26*F26</f>
        <v>4.1496000000000004</v>
      </c>
      <c r="H26" s="22">
        <f t="shared" si="3"/>
        <v>5.4600000000002424E-3</v>
      </c>
      <c r="I26" s="23">
        <f t="shared" si="7"/>
        <v>1.3175230566535498E-3</v>
      </c>
      <c r="J26" s="124">
        <f t="shared" si="1"/>
        <v>2.0271822986769973E-2</v>
      </c>
    </row>
    <row r="27" spans="1:10" s="1" customFormat="1" x14ac:dyDescent="0.2">
      <c r="A27" s="110" t="s">
        <v>76</v>
      </c>
      <c r="B27" s="74"/>
      <c r="C27" s="35"/>
      <c r="D27" s="35">
        <f>SUM(D25:D26)</f>
        <v>9.3529800000000005</v>
      </c>
      <c r="E27" s="73"/>
      <c r="F27" s="35"/>
      <c r="G27" s="35">
        <f>SUM(G25:G26)</f>
        <v>9.282</v>
      </c>
      <c r="H27" s="35">
        <f t="shared" si="3"/>
        <v>-7.0980000000000487E-2</v>
      </c>
      <c r="I27" s="36">
        <f t="shared" si="7"/>
        <v>-7.5890251021600054E-3</v>
      </c>
      <c r="J27" s="111">
        <f t="shared" si="1"/>
        <v>4.5344867207248618E-2</v>
      </c>
    </row>
    <row r="28" spans="1:10" s="1" customFormat="1" x14ac:dyDescent="0.2">
      <c r="A28" s="110" t="s">
        <v>80</v>
      </c>
      <c r="B28" s="74"/>
      <c r="C28" s="35"/>
      <c r="D28" s="35">
        <f>D24+D27</f>
        <v>85.586979999999997</v>
      </c>
      <c r="E28" s="73"/>
      <c r="F28" s="35"/>
      <c r="G28" s="35">
        <f>G24+G27</f>
        <v>86.725999999999985</v>
      </c>
      <c r="H28" s="35">
        <f t="shared" si="3"/>
        <v>1.1390199999999879</v>
      </c>
      <c r="I28" s="36">
        <f t="shared" si="7"/>
        <v>1.330833264592334E-2</v>
      </c>
      <c r="J28" s="111">
        <f t="shared" si="1"/>
        <v>0.42367797386509837</v>
      </c>
    </row>
    <row r="29" spans="1:10" x14ac:dyDescent="0.2">
      <c r="A29" s="107" t="s">
        <v>42</v>
      </c>
      <c r="B29" s="73">
        <f>B8</f>
        <v>1092</v>
      </c>
      <c r="C29" s="34">
        <v>3.5999999999999999E-3</v>
      </c>
      <c r="D29" s="22">
        <f>B29*C29</f>
        <v>3.9312</v>
      </c>
      <c r="E29" s="73">
        <f t="shared" si="4"/>
        <v>1092</v>
      </c>
      <c r="F29" s="34">
        <v>3.5999999999999999E-3</v>
      </c>
      <c r="G29" s="22">
        <f>E29*F29</f>
        <v>3.9312</v>
      </c>
      <c r="H29" s="22">
        <f t="shared" si="3"/>
        <v>0</v>
      </c>
      <c r="I29" s="23">
        <f t="shared" si="7"/>
        <v>0</v>
      </c>
      <c r="J29" s="124">
        <f t="shared" si="1"/>
        <v>1.9204884934834708E-2</v>
      </c>
    </row>
    <row r="30" spans="1:10" s="1" customFormat="1" x14ac:dyDescent="0.2">
      <c r="A30" s="107" t="s">
        <v>43</v>
      </c>
      <c r="B30" s="73">
        <f>B8</f>
        <v>1092</v>
      </c>
      <c r="C30" s="34">
        <v>2.0999999999999999E-3</v>
      </c>
      <c r="D30" s="22">
        <f>B30*C30</f>
        <v>2.2931999999999997</v>
      </c>
      <c r="E30" s="73">
        <f t="shared" si="4"/>
        <v>1092</v>
      </c>
      <c r="F30" s="34">
        <v>2.0999999999999999E-3</v>
      </c>
      <c r="G30" s="22">
        <f>E30*F30</f>
        <v>2.2931999999999997</v>
      </c>
      <c r="H30" s="22">
        <f>G30-D30</f>
        <v>0</v>
      </c>
      <c r="I30" s="23">
        <f t="shared" si="7"/>
        <v>0</v>
      </c>
      <c r="J30" s="124">
        <f t="shared" si="1"/>
        <v>1.1202849545320245E-2</v>
      </c>
    </row>
    <row r="31" spans="1:10" s="1" customFormat="1" x14ac:dyDescent="0.2">
      <c r="A31" s="107" t="s">
        <v>100</v>
      </c>
      <c r="B31" s="73">
        <f>B8</f>
        <v>1092</v>
      </c>
      <c r="C31" s="34">
        <v>0</v>
      </c>
      <c r="D31" s="22">
        <f>B31*C31</f>
        <v>0</v>
      </c>
      <c r="E31" s="73">
        <f t="shared" si="4"/>
        <v>1092</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ref="J32:J39" si="9">G32/$G$39</f>
        <v>1.2213118726365174E-3</v>
      </c>
    </row>
    <row r="33" spans="1:10" s="1" customFormat="1" x14ac:dyDescent="0.2">
      <c r="A33" s="110" t="s">
        <v>45</v>
      </c>
      <c r="B33" s="74"/>
      <c r="C33" s="35"/>
      <c r="D33" s="35">
        <f>SUM(D29:D32)</f>
        <v>6.4743999999999993</v>
      </c>
      <c r="E33" s="73"/>
      <c r="F33" s="35"/>
      <c r="G33" s="35">
        <f>SUM(G29:G32)</f>
        <v>6.4743999999999993</v>
      </c>
      <c r="H33" s="35">
        <f t="shared" si="3"/>
        <v>0</v>
      </c>
      <c r="I33" s="36">
        <f t="shared" si="7"/>
        <v>0</v>
      </c>
      <c r="J33" s="111">
        <f t="shared" si="9"/>
        <v>3.1629046352791471E-2</v>
      </c>
    </row>
    <row r="34" spans="1:10" ht="13.5" thickBot="1" x14ac:dyDescent="0.25">
      <c r="A34" s="112" t="s">
        <v>46</v>
      </c>
      <c r="B34" s="113">
        <f>B4</f>
        <v>1000</v>
      </c>
      <c r="C34" s="114">
        <v>7.0000000000000001E-3</v>
      </c>
      <c r="D34" s="115">
        <f>B34*C34</f>
        <v>7</v>
      </c>
      <c r="E34" s="116">
        <f t="shared" si="4"/>
        <v>1000</v>
      </c>
      <c r="F34" s="114">
        <f>C34</f>
        <v>7.0000000000000001E-3</v>
      </c>
      <c r="G34" s="115">
        <f>E34*F34</f>
        <v>7</v>
      </c>
      <c r="H34" s="115">
        <f t="shared" si="3"/>
        <v>0</v>
      </c>
      <c r="I34" s="117">
        <f t="shared" si="7"/>
        <v>0</v>
      </c>
      <c r="J34" s="118">
        <f t="shared" si="9"/>
        <v>3.4196732433822485E-2</v>
      </c>
    </row>
    <row r="35" spans="1:10" x14ac:dyDescent="0.2">
      <c r="A35" s="37" t="s">
        <v>146</v>
      </c>
      <c r="B35" s="38"/>
      <c r="C35" s="39"/>
      <c r="D35" s="39">
        <f>SUM(D14,D24,D27,D33,D34)</f>
        <v>193.81137999999999</v>
      </c>
      <c r="E35" s="38"/>
      <c r="F35" s="39"/>
      <c r="G35" s="39">
        <f>SUM(G14,G24,G27,G33,G34)</f>
        <v>194.9504</v>
      </c>
      <c r="H35" s="39">
        <f t="shared" si="3"/>
        <v>1.1390200000000164</v>
      </c>
      <c r="I35" s="40">
        <f t="shared" si="7"/>
        <v>5.8769510851221247E-3</v>
      </c>
      <c r="J35" s="41">
        <f t="shared" si="9"/>
        <v>0.95238095238095244</v>
      </c>
    </row>
    <row r="36" spans="1:10" x14ac:dyDescent="0.2">
      <c r="A36" s="46" t="s">
        <v>138</v>
      </c>
      <c r="B36" s="43"/>
      <c r="C36" s="26">
        <v>0.13</v>
      </c>
      <c r="D36" s="26">
        <f>D35*C36</f>
        <v>25.1954794</v>
      </c>
      <c r="E36" s="26"/>
      <c r="F36" s="26">
        <f>C36</f>
        <v>0.13</v>
      </c>
      <c r="G36" s="26">
        <f>G35*F36</f>
        <v>25.343552000000003</v>
      </c>
      <c r="H36" s="26">
        <f t="shared" si="3"/>
        <v>0.14807260000000255</v>
      </c>
      <c r="I36" s="44">
        <f t="shared" si="7"/>
        <v>5.8769510851221412E-3</v>
      </c>
      <c r="J36" s="45">
        <f t="shared" si="9"/>
        <v>0.12380952380952383</v>
      </c>
    </row>
    <row r="37" spans="1:10" x14ac:dyDescent="0.2">
      <c r="A37" s="46" t="s">
        <v>139</v>
      </c>
      <c r="B37" s="24"/>
      <c r="C37" s="25"/>
      <c r="D37" s="25">
        <f>SUM(D35:D36)</f>
        <v>219.0068594</v>
      </c>
      <c r="E37" s="25"/>
      <c r="F37" s="25"/>
      <c r="G37" s="25">
        <f>SUM(G35:G36)</f>
        <v>220.29395199999999</v>
      </c>
      <c r="H37" s="25">
        <f t="shared" si="3"/>
        <v>1.287092599999994</v>
      </c>
      <c r="I37" s="27">
        <f t="shared" si="7"/>
        <v>5.8769510851220128E-3</v>
      </c>
      <c r="J37" s="47">
        <f t="shared" si="9"/>
        <v>1.0761904761904761</v>
      </c>
    </row>
    <row r="38" spans="1:10" x14ac:dyDescent="0.2">
      <c r="A38" s="46" t="s">
        <v>140</v>
      </c>
      <c r="B38" s="43"/>
      <c r="C38" s="26">
        <v>-0.08</v>
      </c>
      <c r="D38" s="26">
        <f>D35*C38</f>
        <v>-15.5049104</v>
      </c>
      <c r="E38" s="26"/>
      <c r="F38" s="26">
        <f>C38</f>
        <v>-0.08</v>
      </c>
      <c r="G38" s="26">
        <f>G35*F38</f>
        <v>-15.596032000000001</v>
      </c>
      <c r="H38" s="26">
        <f t="shared" si="3"/>
        <v>-9.1121600000001024E-2</v>
      </c>
      <c r="I38" s="44">
        <f t="shared" si="7"/>
        <v>-5.8769510851221056E-3</v>
      </c>
      <c r="J38" s="45">
        <f t="shared" si="9"/>
        <v>-7.6190476190476197E-2</v>
      </c>
    </row>
    <row r="39" spans="1:10" ht="13.5" thickBot="1" x14ac:dyDescent="0.25">
      <c r="A39" s="46" t="s">
        <v>141</v>
      </c>
      <c r="B39" s="49"/>
      <c r="C39" s="50"/>
      <c r="D39" s="50">
        <f>SUM(D37:D38)</f>
        <v>203.501949</v>
      </c>
      <c r="E39" s="50"/>
      <c r="F39" s="50"/>
      <c r="G39" s="50">
        <f>SUM(G37:G38)</f>
        <v>204.69791999999998</v>
      </c>
      <c r="H39" s="50">
        <f t="shared" si="3"/>
        <v>1.1959709999999859</v>
      </c>
      <c r="I39" s="51">
        <f t="shared" si="7"/>
        <v>5.8769510851219703E-3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5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v>
      </c>
      <c r="C12" s="103">
        <v>9.0999999999999998E-2</v>
      </c>
      <c r="D12" s="104">
        <f>B12*C12</f>
        <v>1.8199999999999998</v>
      </c>
      <c r="E12" s="102">
        <f>B12</f>
        <v>20</v>
      </c>
      <c r="F12" s="103">
        <f>C12</f>
        <v>9.0999999999999998E-2</v>
      </c>
      <c r="G12" s="104">
        <f>E12*F12</f>
        <v>1.8199999999999998</v>
      </c>
      <c r="H12" s="104">
        <f>G12-D12</f>
        <v>0</v>
      </c>
      <c r="I12" s="105">
        <f t="shared" ref="I12:I18" si="0">IF(ISERROR(H12/ABS(D12)),"N/A",(H12/ABS(D12)))</f>
        <v>0</v>
      </c>
      <c r="J12" s="123">
        <f t="shared" ref="J12:J30" si="1">G12/$G$39</f>
        <v>0.18931834444661139</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1.8199999999999998</v>
      </c>
      <c r="E14" s="76"/>
      <c r="F14" s="25"/>
      <c r="G14" s="25">
        <f>SUM(G12:G13)</f>
        <v>1.8199999999999998</v>
      </c>
      <c r="H14" s="25">
        <f t="shared" si="3"/>
        <v>0</v>
      </c>
      <c r="I14" s="27">
        <f t="shared" si="0"/>
        <v>0</v>
      </c>
      <c r="J14" s="47">
        <f t="shared" si="1"/>
        <v>0.18931834444661139</v>
      </c>
    </row>
    <row r="15" spans="1:10" x14ac:dyDescent="0.2">
      <c r="A15" s="107" t="s">
        <v>38</v>
      </c>
      <c r="B15" s="73">
        <v>1</v>
      </c>
      <c r="C15" s="78">
        <f>VLOOKUP($B$3,'Data for Bill Impacts'!$A$3:$Y$15,7,0)</f>
        <v>3.57</v>
      </c>
      <c r="D15" s="22">
        <f>B15*C15</f>
        <v>3.57</v>
      </c>
      <c r="E15" s="73">
        <f t="shared" ref="E15:E34" si="4">B15</f>
        <v>1</v>
      </c>
      <c r="F15" s="121">
        <f>VLOOKUP($B$3,'Data for Bill Impacts'!$A$3:$Y$15,17,0)</f>
        <v>3.72</v>
      </c>
      <c r="G15" s="22">
        <f>E15*F15</f>
        <v>3.72</v>
      </c>
      <c r="H15" s="22">
        <f t="shared" si="3"/>
        <v>0.15000000000000036</v>
      </c>
      <c r="I15" s="23">
        <f t="shared" si="0"/>
        <v>4.2016806722689176E-2</v>
      </c>
      <c r="J15" s="124">
        <f t="shared" si="1"/>
        <v>0.38695837436340352</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6.0000000000000001E-3</v>
      </c>
      <c r="D18" s="22">
        <f t="shared" si="6"/>
        <v>6.0000000000000001E-3</v>
      </c>
      <c r="E18" s="73">
        <f t="shared" si="4"/>
        <v>1</v>
      </c>
      <c r="F18" s="121">
        <f>VLOOKUP($B$3,'Data for Bill Impacts'!$A$3:$Y$15,22,0)</f>
        <v>6.0000000000000001E-3</v>
      </c>
      <c r="G18" s="22">
        <f t="shared" si="5"/>
        <v>6.0000000000000001E-3</v>
      </c>
      <c r="H18" s="22">
        <f t="shared" si="3"/>
        <v>0</v>
      </c>
      <c r="I18" s="23">
        <f t="shared" si="0"/>
        <v>0</v>
      </c>
      <c r="J18" s="124">
        <f t="shared" si="1"/>
        <v>6.2412641026355405E-4</v>
      </c>
    </row>
    <row r="19" spans="1:10" x14ac:dyDescent="0.2">
      <c r="A19" s="107" t="s">
        <v>39</v>
      </c>
      <c r="B19" s="73">
        <f>IF($B$9="kWh",$B$4,$B$5)</f>
        <v>20</v>
      </c>
      <c r="C19" s="125">
        <f>VLOOKUP($B$3,'Data for Bill Impacts'!$A$3:$Y$15,10,0)</f>
        <v>0.13539999999999999</v>
      </c>
      <c r="D19" s="22">
        <f>B19*C19</f>
        <v>2.7079999999999997</v>
      </c>
      <c r="E19" s="73">
        <f t="shared" si="4"/>
        <v>20</v>
      </c>
      <c r="F19" s="125">
        <f>VLOOKUP($B$3,'Data for Bill Impacts'!$A$3:$Y$15,19,0)</f>
        <v>0.13830000000000001</v>
      </c>
      <c r="G19" s="22">
        <f>E19*F19</f>
        <v>2.766</v>
      </c>
      <c r="H19" s="22">
        <f t="shared" si="3"/>
        <v>5.8000000000000274E-2</v>
      </c>
      <c r="I19" s="23">
        <f>IF(ISERROR(H19/ABS(D19)),"N/A",(H19/ABS(D19)))</f>
        <v>2.1418020679468346E-2</v>
      </c>
      <c r="J19" s="124">
        <f t="shared" si="1"/>
        <v>0.28772227513149845</v>
      </c>
    </row>
    <row r="20" spans="1:10" s="1" customFormat="1" x14ac:dyDescent="0.2">
      <c r="A20" s="107" t="s">
        <v>199</v>
      </c>
      <c r="B20" s="73">
        <f>IF($B$9="kWh",$B$4,$B$5)</f>
        <v>20</v>
      </c>
      <c r="C20" s="125">
        <f>VLOOKUP($B$3,'Data for Bill Impacts'!$A$3:$Y$15,14,0)</f>
        <v>-6.0000000000000002E-5</v>
      </c>
      <c r="D20" s="22">
        <f>B20*C20</f>
        <v>-1.2000000000000001E-3</v>
      </c>
      <c r="E20" s="73">
        <f>B20</f>
        <v>20</v>
      </c>
      <c r="F20" s="125">
        <f>VLOOKUP($B$3,'Data for Bill Impacts'!$A$3:$Y$15,23,0)</f>
        <v>-6.0000000000000002E-5</v>
      </c>
      <c r="G20" s="22">
        <f>E20*F20</f>
        <v>-1.2000000000000001E-3</v>
      </c>
      <c r="H20" s="22">
        <f>G20-D20</f>
        <v>0</v>
      </c>
      <c r="I20" s="23">
        <f>IF(ISERROR(H20/D20),0,(H20/D20))</f>
        <v>0</v>
      </c>
      <c r="J20" s="124">
        <f t="shared" si="1"/>
        <v>-1.2482528205271082E-4</v>
      </c>
    </row>
    <row r="21" spans="1:10" hidden="1" x14ac:dyDescent="0.2">
      <c r="A21" s="107" t="s">
        <v>86</v>
      </c>
      <c r="B21" s="73">
        <f>IF($B$9="kWh",$B$4,$B$5)</f>
        <v>20</v>
      </c>
      <c r="C21" s="125">
        <v>0</v>
      </c>
      <c r="D21" s="22">
        <f>B21*C21</f>
        <v>0</v>
      </c>
      <c r="E21" s="73">
        <f t="shared" si="4"/>
        <v>20</v>
      </c>
      <c r="F21" s="78">
        <v>0</v>
      </c>
      <c r="G21" s="22">
        <f>E21*F21</f>
        <v>0</v>
      </c>
      <c r="H21" s="22">
        <f t="shared" si="3"/>
        <v>0</v>
      </c>
      <c r="I21" s="23">
        <f>IF(ISERROR(H21/D21),0,(H21/D21))</f>
        <v>0</v>
      </c>
      <c r="J21" s="124">
        <f t="shared" si="1"/>
        <v>0</v>
      </c>
    </row>
    <row r="22" spans="1:10" x14ac:dyDescent="0.2">
      <c r="A22" s="110" t="s">
        <v>72</v>
      </c>
      <c r="B22" s="74"/>
      <c r="C22" s="35"/>
      <c r="D22" s="35">
        <f>SUM(D15:D21)</f>
        <v>6.2827999999999991</v>
      </c>
      <c r="E22" s="73"/>
      <c r="F22" s="35"/>
      <c r="G22" s="35">
        <f>SUM(G15:G21)</f>
        <v>6.4908000000000001</v>
      </c>
      <c r="H22" s="35">
        <f t="shared" si="3"/>
        <v>0.20800000000000107</v>
      </c>
      <c r="I22" s="36">
        <f t="shared" ref="I22:I39" si="7">IF(ISERROR(H22/ABS(D22)),"N/A",(H22/ABS(D22)))</f>
        <v>3.3106258356147118E-2</v>
      </c>
      <c r="J22" s="111">
        <f t="shared" si="1"/>
        <v>0.67517995062311287</v>
      </c>
    </row>
    <row r="23" spans="1:10" s="1" customFormat="1" x14ac:dyDescent="0.2">
      <c r="A23" s="119" t="s">
        <v>81</v>
      </c>
      <c r="B23" s="120">
        <f>B8-B4</f>
        <v>1.8400000000000034</v>
      </c>
      <c r="C23" s="257">
        <f>IF(B4&gt;B7,C13,C12)</f>
        <v>9.0999999999999998E-2</v>
      </c>
      <c r="D23" s="22">
        <f>B23*C23</f>
        <v>0.16744000000000031</v>
      </c>
      <c r="E23" s="73">
        <f>B23</f>
        <v>1.8400000000000034</v>
      </c>
      <c r="F23" s="257">
        <f>C23</f>
        <v>9.0999999999999998E-2</v>
      </c>
      <c r="G23" s="22">
        <f>E23*F23</f>
        <v>0.16744000000000031</v>
      </c>
      <c r="H23" s="22">
        <f t="shared" si="3"/>
        <v>0</v>
      </c>
      <c r="I23" s="23">
        <f t="shared" si="7"/>
        <v>0</v>
      </c>
      <c r="J23" s="124">
        <f t="shared" si="1"/>
        <v>1.7417287689088283E-2</v>
      </c>
    </row>
    <row r="24" spans="1:10" x14ac:dyDescent="0.2">
      <c r="A24" s="110" t="s">
        <v>79</v>
      </c>
      <c r="B24" s="74"/>
      <c r="C24" s="35"/>
      <c r="D24" s="35">
        <f>SUM(D22,D23:D23)</f>
        <v>6.4502399999999991</v>
      </c>
      <c r="E24" s="73"/>
      <c r="F24" s="35"/>
      <c r="G24" s="35">
        <f>SUM(G22,G23:G23)</f>
        <v>6.6582400000000002</v>
      </c>
      <c r="H24" s="35">
        <f t="shared" si="3"/>
        <v>0.20800000000000107</v>
      </c>
      <c r="I24" s="36">
        <f t="shared" si="7"/>
        <v>3.2246862132261918E-2</v>
      </c>
      <c r="J24" s="111">
        <f t="shared" si="1"/>
        <v>0.6925972383122011</v>
      </c>
    </row>
    <row r="25" spans="1:10" x14ac:dyDescent="0.2">
      <c r="A25" s="107" t="s">
        <v>40</v>
      </c>
      <c r="B25" s="73">
        <f>B8</f>
        <v>21.840000000000003</v>
      </c>
      <c r="C25" s="125">
        <f>VLOOKUP($B$3,'Data for Bill Impacts'!$A$3:$Y$15,15,0)</f>
        <v>4.6979999999999999E-3</v>
      </c>
      <c r="D25" s="22">
        <f>B25*C25</f>
        <v>0.10260432000000001</v>
      </c>
      <c r="E25" s="73">
        <f t="shared" si="4"/>
        <v>21.840000000000003</v>
      </c>
      <c r="F25" s="125">
        <f>VLOOKUP($B$3,'Data for Bill Impacts'!$A$3:$Y$15,24,0)</f>
        <v>3.836E-3</v>
      </c>
      <c r="G25" s="22">
        <f>E25*F25</f>
        <v>8.3778240000000018E-2</v>
      </c>
      <c r="H25" s="22">
        <f t="shared" si="3"/>
        <v>-1.8826079999999995E-2</v>
      </c>
      <c r="I25" s="23">
        <f t="shared" si="7"/>
        <v>-0.1834823329076202</v>
      </c>
      <c r="J25" s="124">
        <f t="shared" si="1"/>
        <v>8.7147020315664174E-3</v>
      </c>
    </row>
    <row r="26" spans="1:10" s="1" customFormat="1" x14ac:dyDescent="0.2">
      <c r="A26" s="107" t="s">
        <v>41</v>
      </c>
      <c r="B26" s="73">
        <f>B8</f>
        <v>21.840000000000003</v>
      </c>
      <c r="C26" s="125">
        <f>VLOOKUP($B$3,'Data for Bill Impacts'!$A$3:$Y$15,16,0)</f>
        <v>4.2899999999999995E-3</v>
      </c>
      <c r="D26" s="22">
        <f>B26*C26</f>
        <v>9.3693600000000002E-2</v>
      </c>
      <c r="E26" s="73">
        <f t="shared" si="4"/>
        <v>21.840000000000003</v>
      </c>
      <c r="F26" s="125">
        <f>VLOOKUP($B$3,'Data for Bill Impacts'!$A$3:$Y$15,25,0)</f>
        <v>3.6240000000000001E-3</v>
      </c>
      <c r="G26" s="22">
        <f>E26*F26</f>
        <v>7.9148160000000009E-2</v>
      </c>
      <c r="H26" s="22">
        <f t="shared" si="3"/>
        <v>-1.4545439999999993E-2</v>
      </c>
      <c r="I26" s="23">
        <f t="shared" si="7"/>
        <v>-0.15524475524475517</v>
      </c>
      <c r="J26" s="124">
        <f t="shared" si="1"/>
        <v>8.2330761632942381E-3</v>
      </c>
    </row>
    <row r="27" spans="1:10" s="1" customFormat="1" x14ac:dyDescent="0.2">
      <c r="A27" s="110" t="s">
        <v>76</v>
      </c>
      <c r="B27" s="74"/>
      <c r="C27" s="35"/>
      <c r="D27" s="35">
        <f>SUM(D25:D26)</f>
        <v>0.19629792000000001</v>
      </c>
      <c r="E27" s="73"/>
      <c r="F27" s="35"/>
      <c r="G27" s="35">
        <f>SUM(G25:G26)</f>
        <v>0.16292640000000003</v>
      </c>
      <c r="H27" s="35">
        <f t="shared" si="3"/>
        <v>-3.3371519999999988E-2</v>
      </c>
      <c r="I27" s="36">
        <f t="shared" si="7"/>
        <v>-0.17000445037828207</v>
      </c>
      <c r="J27" s="111">
        <f t="shared" si="1"/>
        <v>1.6947778194860656E-2</v>
      </c>
    </row>
    <row r="28" spans="1:10" s="1" customFormat="1" x14ac:dyDescent="0.2">
      <c r="A28" s="110" t="s">
        <v>80</v>
      </c>
      <c r="B28" s="74"/>
      <c r="C28" s="35"/>
      <c r="D28" s="35">
        <f>D24+D27</f>
        <v>6.6465379199999992</v>
      </c>
      <c r="E28" s="73"/>
      <c r="F28" s="35"/>
      <c r="G28" s="35">
        <f>G24+G27</f>
        <v>6.8211664000000001</v>
      </c>
      <c r="H28" s="35">
        <f t="shared" si="3"/>
        <v>0.17462848000000086</v>
      </c>
      <c r="I28" s="36">
        <f t="shared" si="7"/>
        <v>2.6273600196356193E-2</v>
      </c>
      <c r="J28" s="111">
        <f t="shared" si="1"/>
        <v>0.7095450165070617</v>
      </c>
    </row>
    <row r="29" spans="1:10" x14ac:dyDescent="0.2">
      <c r="A29" s="107" t="s">
        <v>42</v>
      </c>
      <c r="B29" s="73">
        <f>B8</f>
        <v>21.840000000000003</v>
      </c>
      <c r="C29" s="34">
        <v>3.5999999999999999E-3</v>
      </c>
      <c r="D29" s="22">
        <f>B29*C29</f>
        <v>7.8624000000000013E-2</v>
      </c>
      <c r="E29" s="73">
        <f t="shared" si="4"/>
        <v>21.840000000000003</v>
      </c>
      <c r="F29" s="34">
        <v>3.5999999999999999E-3</v>
      </c>
      <c r="G29" s="22">
        <f>E29*F29</f>
        <v>7.8624000000000013E-2</v>
      </c>
      <c r="H29" s="22">
        <f t="shared" si="3"/>
        <v>0</v>
      </c>
      <c r="I29" s="23">
        <f t="shared" si="7"/>
        <v>0</v>
      </c>
      <c r="J29" s="124">
        <f t="shared" si="1"/>
        <v>8.1785524800936146E-3</v>
      </c>
    </row>
    <row r="30" spans="1:10" s="1" customFormat="1" x14ac:dyDescent="0.2">
      <c r="A30" s="107" t="s">
        <v>43</v>
      </c>
      <c r="B30" s="73">
        <f>B8</f>
        <v>21.840000000000003</v>
      </c>
      <c r="C30" s="34">
        <v>2.0999999999999999E-3</v>
      </c>
      <c r="D30" s="22">
        <f>B30*C30</f>
        <v>4.5864000000000002E-2</v>
      </c>
      <c r="E30" s="73">
        <f t="shared" si="4"/>
        <v>21.840000000000003</v>
      </c>
      <c r="F30" s="34">
        <v>2.0999999999999999E-3</v>
      </c>
      <c r="G30" s="22">
        <f>E30*F30</f>
        <v>4.5864000000000002E-2</v>
      </c>
      <c r="H30" s="22">
        <f>G30-D30</f>
        <v>0</v>
      </c>
      <c r="I30" s="23">
        <f t="shared" si="7"/>
        <v>0</v>
      </c>
      <c r="J30" s="124">
        <f t="shared" si="1"/>
        <v>4.7708222800546072E-3</v>
      </c>
    </row>
    <row r="31" spans="1:10" s="1" customFormat="1" x14ac:dyDescent="0.2">
      <c r="A31" s="107" t="s">
        <v>100</v>
      </c>
      <c r="B31" s="73">
        <f>B8</f>
        <v>21.840000000000003</v>
      </c>
      <c r="C31" s="34">
        <v>0</v>
      </c>
      <c r="D31" s="22">
        <f>B31*C31</f>
        <v>0</v>
      </c>
      <c r="E31" s="73">
        <f t="shared" si="4"/>
        <v>21.840000000000003</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ref="J32:J39" si="9">G32/$G$39</f>
        <v>2.6005267094314753E-2</v>
      </c>
    </row>
    <row r="33" spans="1:10" s="1" customFormat="1" x14ac:dyDescent="0.2">
      <c r="A33" s="110" t="s">
        <v>45</v>
      </c>
      <c r="B33" s="74"/>
      <c r="C33" s="35"/>
      <c r="D33" s="35">
        <f>SUM(D29:D32)</f>
        <v>0.37448800000000004</v>
      </c>
      <c r="E33" s="73"/>
      <c r="F33" s="35"/>
      <c r="G33" s="35">
        <f>SUM(G29:G32)</f>
        <v>0.37448800000000004</v>
      </c>
      <c r="H33" s="35">
        <f t="shared" si="3"/>
        <v>0</v>
      </c>
      <c r="I33" s="36">
        <f t="shared" si="7"/>
        <v>0</v>
      </c>
      <c r="J33" s="111">
        <f t="shared" si="9"/>
        <v>3.8954641854462978E-2</v>
      </c>
    </row>
    <row r="34" spans="1:10" ht="13.5" thickBot="1" x14ac:dyDescent="0.25">
      <c r="A34" s="112" t="s">
        <v>46</v>
      </c>
      <c r="B34" s="113">
        <f>B4</f>
        <v>20</v>
      </c>
      <c r="C34" s="114">
        <v>7.0000000000000001E-3</v>
      </c>
      <c r="D34" s="115">
        <f>B34*C34</f>
        <v>0.14000000000000001</v>
      </c>
      <c r="E34" s="116">
        <f t="shared" si="4"/>
        <v>20</v>
      </c>
      <c r="F34" s="114">
        <f>C34</f>
        <v>7.0000000000000001E-3</v>
      </c>
      <c r="G34" s="115">
        <f>E34*F34</f>
        <v>0.14000000000000001</v>
      </c>
      <c r="H34" s="115">
        <f t="shared" si="3"/>
        <v>0</v>
      </c>
      <c r="I34" s="117">
        <f t="shared" si="7"/>
        <v>0</v>
      </c>
      <c r="J34" s="118">
        <f t="shared" si="9"/>
        <v>1.4562949572816264E-2</v>
      </c>
    </row>
    <row r="35" spans="1:10" x14ac:dyDescent="0.2">
      <c r="A35" s="37" t="s">
        <v>146</v>
      </c>
      <c r="B35" s="38"/>
      <c r="C35" s="39"/>
      <c r="D35" s="39">
        <f>SUM(D14,D24,D27,D33,D34)</f>
        <v>8.9810259199999987</v>
      </c>
      <c r="E35" s="38"/>
      <c r="F35" s="39"/>
      <c r="G35" s="39">
        <f>SUM(G14,G24,G27,G33,G34)</f>
        <v>9.1556543999999995</v>
      </c>
      <c r="H35" s="39">
        <f t="shared" si="3"/>
        <v>0.17462848000000086</v>
      </c>
      <c r="I35" s="40">
        <f t="shared" si="7"/>
        <v>1.9444157221628518E-2</v>
      </c>
      <c r="J35" s="41">
        <f t="shared" si="9"/>
        <v>0.95238095238095233</v>
      </c>
    </row>
    <row r="36" spans="1:10" x14ac:dyDescent="0.2">
      <c r="A36" s="46" t="s">
        <v>138</v>
      </c>
      <c r="B36" s="43"/>
      <c r="C36" s="26">
        <v>0.13</v>
      </c>
      <c r="D36" s="26">
        <f>D35*C36</f>
        <v>1.1675333695999999</v>
      </c>
      <c r="E36" s="26"/>
      <c r="F36" s="26">
        <f>C36</f>
        <v>0.13</v>
      </c>
      <c r="G36" s="26">
        <f>G35*F36</f>
        <v>1.1902350719999999</v>
      </c>
      <c r="H36" s="26">
        <f t="shared" si="3"/>
        <v>2.2701702400000023E-2</v>
      </c>
      <c r="I36" s="44">
        <f t="shared" si="7"/>
        <v>1.9444157221628438E-2</v>
      </c>
      <c r="J36" s="45">
        <f t="shared" si="9"/>
        <v>0.1238095238095238</v>
      </c>
    </row>
    <row r="37" spans="1:10" x14ac:dyDescent="0.2">
      <c r="A37" s="46" t="s">
        <v>139</v>
      </c>
      <c r="B37" s="24"/>
      <c r="C37" s="25"/>
      <c r="D37" s="25">
        <f>SUM(D35:D36)</f>
        <v>10.148559289599998</v>
      </c>
      <c r="E37" s="25"/>
      <c r="F37" s="25"/>
      <c r="G37" s="25">
        <f>SUM(G35:G36)</f>
        <v>10.345889472</v>
      </c>
      <c r="H37" s="25">
        <f t="shared" si="3"/>
        <v>0.19733018240000177</v>
      </c>
      <c r="I37" s="27">
        <f t="shared" si="7"/>
        <v>1.9444157221628598E-2</v>
      </c>
      <c r="J37" s="47">
        <f t="shared" si="9"/>
        <v>1.0761904761904761</v>
      </c>
    </row>
    <row r="38" spans="1:10" x14ac:dyDescent="0.2">
      <c r="A38" s="46" t="s">
        <v>140</v>
      </c>
      <c r="B38" s="43"/>
      <c r="C38" s="26">
        <v>-0.08</v>
      </c>
      <c r="D38" s="26">
        <f>D35*C38</f>
        <v>-0.71848207359999994</v>
      </c>
      <c r="E38" s="26"/>
      <c r="F38" s="26">
        <f>C38</f>
        <v>-0.08</v>
      </c>
      <c r="G38" s="26">
        <f>G35*F38</f>
        <v>-0.73245235200000003</v>
      </c>
      <c r="H38" s="26">
        <f t="shared" si="3"/>
        <v>-1.3970278400000091E-2</v>
      </c>
      <c r="I38" s="44">
        <f t="shared" si="7"/>
        <v>-1.9444157221628545E-2</v>
      </c>
      <c r="J38" s="45">
        <f t="shared" si="9"/>
        <v>-7.6190476190476183E-2</v>
      </c>
    </row>
    <row r="39" spans="1:10" ht="13.5" thickBot="1" x14ac:dyDescent="0.25">
      <c r="A39" s="46" t="s">
        <v>141</v>
      </c>
      <c r="B39" s="49"/>
      <c r="C39" s="50"/>
      <c r="D39" s="50">
        <f>SUM(D37:D38)</f>
        <v>9.4300772159999973</v>
      </c>
      <c r="E39" s="50"/>
      <c r="F39" s="50"/>
      <c r="G39" s="50">
        <f>SUM(G37:G38)</f>
        <v>9.6134371200000004</v>
      </c>
      <c r="H39" s="50">
        <f t="shared" si="3"/>
        <v>0.18335990400000313</v>
      </c>
      <c r="I39" s="51">
        <f t="shared" si="7"/>
        <v>1.9444157221628754E-2</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1" tint="0.499984740745262"/>
    <pageSetUpPr fitToPage="1"/>
  </sheetPr>
  <dimension ref="A1:J50"/>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9</v>
      </c>
    </row>
    <row r="4" spans="1:10" x14ac:dyDescent="0.2">
      <c r="A4" s="15" t="s">
        <v>62</v>
      </c>
      <c r="B4" s="79">
        <f>'Data for Bill Impacts_HONI Avg '!C10</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71</v>
      </c>
      <c r="C12" s="103">
        <v>9.0999999999999998E-2</v>
      </c>
      <c r="D12" s="104">
        <f>B12*C12</f>
        <v>6.4609999999999994</v>
      </c>
      <c r="E12" s="102">
        <f>B12</f>
        <v>71</v>
      </c>
      <c r="F12" s="103">
        <f>C12</f>
        <v>9.0999999999999998E-2</v>
      </c>
      <c r="G12" s="104">
        <f>E12*F12</f>
        <v>6.4609999999999994</v>
      </c>
      <c r="H12" s="104">
        <f>G12-D12</f>
        <v>0</v>
      </c>
      <c r="I12" s="105">
        <f t="shared" ref="I12:I18" si="0">IF(ISERROR(H12/ABS(D12)),"N/A",(H12/ABS(D12)))</f>
        <v>0</v>
      </c>
      <c r="J12" s="123">
        <f t="shared" ref="J12:J39" si="1">G12/$G$39</f>
        <v>0.27514736893079933</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6.4609999999999994</v>
      </c>
      <c r="E14" s="76"/>
      <c r="F14" s="25"/>
      <c r="G14" s="25">
        <f>SUM(G12:G13)</f>
        <v>6.4609999999999994</v>
      </c>
      <c r="H14" s="25">
        <f t="shared" si="3"/>
        <v>0</v>
      </c>
      <c r="I14" s="27">
        <f t="shared" si="0"/>
        <v>0</v>
      </c>
      <c r="J14" s="47">
        <f t="shared" si="1"/>
        <v>0.27514736893079933</v>
      </c>
    </row>
    <row r="15" spans="1:10" x14ac:dyDescent="0.2">
      <c r="A15" s="107" t="s">
        <v>38</v>
      </c>
      <c r="B15" s="73">
        <v>1</v>
      </c>
      <c r="C15" s="78">
        <f>VLOOKUP($B$3,'Data for Bill Impacts'!$A$3:$Y$15,7,0)</f>
        <v>3.57</v>
      </c>
      <c r="D15" s="22">
        <f>B15*C15</f>
        <v>3.57</v>
      </c>
      <c r="E15" s="73">
        <f t="shared" ref="E15:E34" si="4">B15</f>
        <v>1</v>
      </c>
      <c r="F15" s="121">
        <f>VLOOKUP($B$3,'Data for Bill Impacts'!$A$3:$Y$15,17,0)</f>
        <v>3.72</v>
      </c>
      <c r="G15" s="22">
        <f>E15*F15</f>
        <v>3.72</v>
      </c>
      <c r="H15" s="22">
        <f t="shared" si="3"/>
        <v>0.15000000000000036</v>
      </c>
      <c r="I15" s="23">
        <f t="shared" si="0"/>
        <v>4.2016806722689176E-2</v>
      </c>
      <c r="J15" s="124">
        <f t="shared" si="1"/>
        <v>0.15841947259287628</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6.0000000000000001E-3</v>
      </c>
      <c r="D18" s="22">
        <f t="shared" si="6"/>
        <v>6.0000000000000001E-3</v>
      </c>
      <c r="E18" s="73">
        <f t="shared" si="4"/>
        <v>1</v>
      </c>
      <c r="F18" s="121">
        <f>VLOOKUP($B$3,'Data for Bill Impacts'!$A$3:$Y$15,22,0)</f>
        <v>6.0000000000000001E-3</v>
      </c>
      <c r="G18" s="22">
        <f t="shared" si="5"/>
        <v>6.0000000000000001E-3</v>
      </c>
      <c r="H18" s="22">
        <f t="shared" si="3"/>
        <v>0</v>
      </c>
      <c r="I18" s="23">
        <f t="shared" si="0"/>
        <v>0</v>
      </c>
      <c r="J18" s="124">
        <f t="shared" si="1"/>
        <v>2.555152783756069E-4</v>
      </c>
    </row>
    <row r="19" spans="1:10" x14ac:dyDescent="0.2">
      <c r="A19" s="107" t="s">
        <v>39</v>
      </c>
      <c r="B19" s="73">
        <f>IF($B$9="kWh",$B$4,$B$5)</f>
        <v>71</v>
      </c>
      <c r="C19" s="125">
        <f>VLOOKUP($B$3,'Data for Bill Impacts'!$A$3:$Y$15,10,0)</f>
        <v>0.13539999999999999</v>
      </c>
      <c r="D19" s="22">
        <f>B19*C19</f>
        <v>9.6133999999999986</v>
      </c>
      <c r="E19" s="73">
        <f t="shared" si="4"/>
        <v>71</v>
      </c>
      <c r="F19" s="125">
        <f>VLOOKUP($B$3,'Data for Bill Impacts'!$A$3:$Y$15,19,0)</f>
        <v>0.13830000000000001</v>
      </c>
      <c r="G19" s="22">
        <f>E19*F19</f>
        <v>9.8193000000000001</v>
      </c>
      <c r="H19" s="22">
        <f t="shared" si="3"/>
        <v>0.20590000000000153</v>
      </c>
      <c r="I19" s="23">
        <f>IF(ISERROR(H19/ABS(D19)),"N/A",(H19/ABS(D19)))</f>
        <v>2.1418020679468405E-2</v>
      </c>
      <c r="J19" s="124">
        <f t="shared" si="1"/>
        <v>0.41816352882559948</v>
      </c>
    </row>
    <row r="20" spans="1:10" s="1" customFormat="1" x14ac:dyDescent="0.2">
      <c r="A20" s="107" t="s">
        <v>199</v>
      </c>
      <c r="B20" s="73">
        <f>IF($B$9="kWh",$B$4,$B$5)</f>
        <v>71</v>
      </c>
      <c r="C20" s="125">
        <f>VLOOKUP($B$3,'Data for Bill Impacts'!$A$3:$Y$15,14,0)</f>
        <v>-6.0000000000000002E-5</v>
      </c>
      <c r="D20" s="22">
        <f>B20*C20</f>
        <v>-4.2599999999999999E-3</v>
      </c>
      <c r="E20" s="73">
        <f>B20</f>
        <v>71</v>
      </c>
      <c r="F20" s="125">
        <f>VLOOKUP($B$3,'Data for Bill Impacts'!$A$3:$Y$15,23,0)</f>
        <v>-6.0000000000000002E-5</v>
      </c>
      <c r="G20" s="22">
        <f>E20*F20</f>
        <v>-4.2599999999999999E-3</v>
      </c>
      <c r="H20" s="22">
        <f>G20-D20</f>
        <v>0</v>
      </c>
      <c r="I20" s="23">
        <f>IF(ISERROR(H20/D20),0,(H20/D20))</f>
        <v>0</v>
      </c>
      <c r="J20" s="124">
        <f t="shared" si="1"/>
        <v>-1.8141584764668088E-4</v>
      </c>
    </row>
    <row r="21" spans="1:10" hidden="1" x14ac:dyDescent="0.2">
      <c r="A21" s="107" t="s">
        <v>86</v>
      </c>
      <c r="B21" s="73">
        <f>IF($B$9="kWh",$B$4,$B$5)</f>
        <v>71</v>
      </c>
      <c r="C21" s="125">
        <v>0</v>
      </c>
      <c r="D21" s="22">
        <f>B21*C21</f>
        <v>0</v>
      </c>
      <c r="E21" s="73">
        <f t="shared" si="4"/>
        <v>71</v>
      </c>
      <c r="F21" s="78">
        <v>0</v>
      </c>
      <c r="G21" s="22">
        <f>E21*F21</f>
        <v>0</v>
      </c>
      <c r="H21" s="22">
        <f t="shared" si="3"/>
        <v>0</v>
      </c>
      <c r="I21" s="23">
        <f>IF(ISERROR(H21/D21),0,(H21/D21))</f>
        <v>0</v>
      </c>
      <c r="J21" s="124">
        <f t="shared" si="1"/>
        <v>0</v>
      </c>
    </row>
    <row r="22" spans="1:10" x14ac:dyDescent="0.2">
      <c r="A22" s="110" t="s">
        <v>72</v>
      </c>
      <c r="B22" s="74"/>
      <c r="C22" s="35"/>
      <c r="D22" s="35">
        <f>SUM(D15:D21)</f>
        <v>13.185139999999999</v>
      </c>
      <c r="E22" s="73"/>
      <c r="F22" s="35"/>
      <c r="G22" s="35">
        <f>SUM(G15:G21)</f>
        <v>13.541040000000001</v>
      </c>
      <c r="H22" s="35">
        <f t="shared" si="3"/>
        <v>0.35590000000000188</v>
      </c>
      <c r="I22" s="36">
        <f t="shared" ref="I22:I39" si="7">IF(ISERROR(H22/ABS(D22)),"N/A",(H22/ABS(D22)))</f>
        <v>2.6992508232753079E-2</v>
      </c>
      <c r="J22" s="111">
        <f t="shared" si="1"/>
        <v>0.57665710084920463</v>
      </c>
    </row>
    <row r="23" spans="1:10" s="1" customFormat="1" x14ac:dyDescent="0.2">
      <c r="A23" s="119" t="s">
        <v>81</v>
      </c>
      <c r="B23" s="120">
        <f>B8-B4</f>
        <v>6.5320000000000107</v>
      </c>
      <c r="C23" s="257">
        <f>IF(B4&gt;B7,C13,C12)</f>
        <v>9.0999999999999998E-2</v>
      </c>
      <c r="D23" s="22">
        <f>B23*C23</f>
        <v>0.59441200000000094</v>
      </c>
      <c r="E23" s="73">
        <f>B23</f>
        <v>6.5320000000000107</v>
      </c>
      <c r="F23" s="257">
        <f>C23</f>
        <v>9.0999999999999998E-2</v>
      </c>
      <c r="G23" s="22">
        <f>E23*F23</f>
        <v>0.59441200000000094</v>
      </c>
      <c r="H23" s="22">
        <f t="shared" si="3"/>
        <v>0</v>
      </c>
      <c r="I23" s="23">
        <f t="shared" si="7"/>
        <v>0</v>
      </c>
      <c r="J23" s="124">
        <f t="shared" si="1"/>
        <v>2.5313557941633581E-2</v>
      </c>
    </row>
    <row r="24" spans="1:10" x14ac:dyDescent="0.2">
      <c r="A24" s="110" t="s">
        <v>79</v>
      </c>
      <c r="B24" s="74"/>
      <c r="C24" s="35"/>
      <c r="D24" s="35">
        <f>SUM(D22,D23:D23)</f>
        <v>13.779551999999999</v>
      </c>
      <c r="E24" s="73"/>
      <c r="F24" s="35"/>
      <c r="G24" s="35">
        <f>SUM(G22,G23:G23)</f>
        <v>14.135452000000001</v>
      </c>
      <c r="H24" s="35">
        <f t="shared" si="3"/>
        <v>0.35590000000000188</v>
      </c>
      <c r="I24" s="36">
        <f t="shared" si="7"/>
        <v>2.5828125616856188E-2</v>
      </c>
      <c r="J24" s="111">
        <f t="shared" si="1"/>
        <v>0.60197065879083822</v>
      </c>
    </row>
    <row r="25" spans="1:10" x14ac:dyDescent="0.2">
      <c r="A25" s="107" t="s">
        <v>40</v>
      </c>
      <c r="B25" s="73">
        <f>B8</f>
        <v>77.532000000000011</v>
      </c>
      <c r="C25" s="125">
        <f>VLOOKUP($B$3,'Data for Bill Impacts'!$A$3:$Y$15,15,0)</f>
        <v>4.6979999999999999E-3</v>
      </c>
      <c r="D25" s="22">
        <f>B25*C25</f>
        <v>0.36424533600000003</v>
      </c>
      <c r="E25" s="73">
        <f t="shared" si="4"/>
        <v>77.532000000000011</v>
      </c>
      <c r="F25" s="125">
        <f>VLOOKUP($B$3,'Data for Bill Impacts'!$A$3:$Y$15,24,0)</f>
        <v>3.836E-3</v>
      </c>
      <c r="G25" s="22">
        <f>E25*F25</f>
        <v>0.29741275200000006</v>
      </c>
      <c r="H25" s="22">
        <f t="shared" si="3"/>
        <v>-6.6832583999999973E-2</v>
      </c>
      <c r="I25" s="23">
        <f t="shared" si="7"/>
        <v>-0.18348233290762017</v>
      </c>
      <c r="J25" s="124">
        <f t="shared" si="1"/>
        <v>1.2665583686622559E-2</v>
      </c>
    </row>
    <row r="26" spans="1:10" s="1" customFormat="1" x14ac:dyDescent="0.2">
      <c r="A26" s="107" t="s">
        <v>41</v>
      </c>
      <c r="B26" s="73">
        <f>B8</f>
        <v>77.532000000000011</v>
      </c>
      <c r="C26" s="125">
        <f>VLOOKUP($B$3,'Data for Bill Impacts'!$A$3:$Y$15,16,0)</f>
        <v>4.2899999999999995E-3</v>
      </c>
      <c r="D26" s="22">
        <f>B26*C26</f>
        <v>0.33261228000000004</v>
      </c>
      <c r="E26" s="73">
        <f t="shared" si="4"/>
        <v>77.532000000000011</v>
      </c>
      <c r="F26" s="125">
        <f>VLOOKUP($B$3,'Data for Bill Impacts'!$A$3:$Y$15,25,0)</f>
        <v>3.6240000000000001E-3</v>
      </c>
      <c r="G26" s="22">
        <f>E26*F26</f>
        <v>0.28097596800000002</v>
      </c>
      <c r="H26" s="22">
        <f t="shared" si="3"/>
        <v>-5.1636312000000018E-2</v>
      </c>
      <c r="I26" s="23">
        <f t="shared" si="7"/>
        <v>-0.15524475524475528</v>
      </c>
      <c r="J26" s="124">
        <f t="shared" si="1"/>
        <v>1.1965608780062604E-2</v>
      </c>
    </row>
    <row r="27" spans="1:10" s="1" customFormat="1" x14ac:dyDescent="0.2">
      <c r="A27" s="110" t="s">
        <v>76</v>
      </c>
      <c r="B27" s="74"/>
      <c r="C27" s="35"/>
      <c r="D27" s="35">
        <f>SUM(D25:D26)</f>
        <v>0.69685761600000007</v>
      </c>
      <c r="E27" s="73"/>
      <c r="F27" s="35"/>
      <c r="G27" s="35">
        <f>SUM(G25:G26)</f>
        <v>0.57838872000000008</v>
      </c>
      <c r="H27" s="35">
        <f t="shared" si="3"/>
        <v>-0.11846889599999999</v>
      </c>
      <c r="I27" s="36">
        <f t="shared" si="7"/>
        <v>-0.17000445037828213</v>
      </c>
      <c r="J27" s="111">
        <f t="shared" si="1"/>
        <v>2.4631192466685162E-2</v>
      </c>
    </row>
    <row r="28" spans="1:10" s="1" customFormat="1" x14ac:dyDescent="0.2">
      <c r="A28" s="110" t="s">
        <v>80</v>
      </c>
      <c r="B28" s="74"/>
      <c r="C28" s="35"/>
      <c r="D28" s="35">
        <f>D24+D27</f>
        <v>14.476409616</v>
      </c>
      <c r="E28" s="73"/>
      <c r="F28" s="35"/>
      <c r="G28" s="35">
        <f>G24+G27</f>
        <v>14.71384072</v>
      </c>
      <c r="H28" s="35">
        <f t="shared" si="3"/>
        <v>0.23743110400000056</v>
      </c>
      <c r="I28" s="36">
        <f t="shared" si="7"/>
        <v>1.6401242455697074E-2</v>
      </c>
      <c r="J28" s="111">
        <f t="shared" si="1"/>
        <v>0.62660185125752332</v>
      </c>
    </row>
    <row r="29" spans="1:10" x14ac:dyDescent="0.2">
      <c r="A29" s="107" t="s">
        <v>42</v>
      </c>
      <c r="B29" s="73">
        <f>B8</f>
        <v>77.532000000000011</v>
      </c>
      <c r="C29" s="34">
        <v>3.5999999999999999E-3</v>
      </c>
      <c r="D29" s="22">
        <f>B29*C29</f>
        <v>0.27911520000000001</v>
      </c>
      <c r="E29" s="73">
        <f t="shared" si="4"/>
        <v>77.532000000000011</v>
      </c>
      <c r="F29" s="34">
        <v>3.5999999999999999E-3</v>
      </c>
      <c r="G29" s="22">
        <f>E29*F29</f>
        <v>0.27911520000000001</v>
      </c>
      <c r="H29" s="22">
        <f t="shared" si="3"/>
        <v>0</v>
      </c>
      <c r="I29" s="23">
        <f t="shared" si="7"/>
        <v>0</v>
      </c>
      <c r="J29" s="124">
        <f t="shared" si="1"/>
        <v>1.1886366337810532E-2</v>
      </c>
    </row>
    <row r="30" spans="1:10" s="1" customFormat="1" x14ac:dyDescent="0.2">
      <c r="A30" s="107" t="s">
        <v>43</v>
      </c>
      <c r="B30" s="73">
        <f>B8</f>
        <v>77.532000000000011</v>
      </c>
      <c r="C30" s="34">
        <v>2.0999999999999999E-3</v>
      </c>
      <c r="D30" s="22">
        <f>B30*C30</f>
        <v>0.16281720000000002</v>
      </c>
      <c r="E30" s="73">
        <f t="shared" si="4"/>
        <v>77.532000000000011</v>
      </c>
      <c r="F30" s="34">
        <v>2.0999999999999999E-3</v>
      </c>
      <c r="G30" s="22">
        <f>E30*F30</f>
        <v>0.16281720000000002</v>
      </c>
      <c r="H30" s="22">
        <f>G30-D30</f>
        <v>0</v>
      </c>
      <c r="I30" s="23">
        <f t="shared" si="7"/>
        <v>0</v>
      </c>
      <c r="J30" s="124">
        <f t="shared" si="1"/>
        <v>6.9337136970561448E-3</v>
      </c>
    </row>
    <row r="31" spans="1:10" s="1" customFormat="1" x14ac:dyDescent="0.2">
      <c r="A31" s="107" t="s">
        <v>100</v>
      </c>
      <c r="B31" s="73">
        <f>B8</f>
        <v>77.532000000000011</v>
      </c>
      <c r="C31" s="34">
        <v>0</v>
      </c>
      <c r="D31" s="22">
        <f>B31*C31</f>
        <v>0</v>
      </c>
      <c r="E31" s="73">
        <f t="shared" si="4"/>
        <v>77.532000000000011</v>
      </c>
      <c r="F31" s="34">
        <v>0</v>
      </c>
      <c r="G31" s="22">
        <f>E31*F31</f>
        <v>0</v>
      </c>
      <c r="H31" s="22">
        <f>G31-D31</f>
        <v>0</v>
      </c>
      <c r="I31" s="23" t="str">
        <f t="shared" si="7"/>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si="1"/>
        <v>1.0646469932316953E-2</v>
      </c>
    </row>
    <row r="33" spans="1:10" s="1" customFormat="1" x14ac:dyDescent="0.2">
      <c r="A33" s="110" t="s">
        <v>45</v>
      </c>
      <c r="B33" s="74"/>
      <c r="C33" s="35"/>
      <c r="D33" s="35">
        <f>SUM(D29:D32)</f>
        <v>0.6919324</v>
      </c>
      <c r="E33" s="73"/>
      <c r="F33" s="35"/>
      <c r="G33" s="35">
        <f>SUM(G29:G32)</f>
        <v>0.6919324</v>
      </c>
      <c r="H33" s="35">
        <f t="shared" si="3"/>
        <v>0</v>
      </c>
      <c r="I33" s="36">
        <f t="shared" si="7"/>
        <v>0</v>
      </c>
      <c r="J33" s="111">
        <f t="shared" si="1"/>
        <v>2.946654996718363E-2</v>
      </c>
    </row>
    <row r="34" spans="1:10" ht="13.5" thickBot="1" x14ac:dyDescent="0.25">
      <c r="A34" s="112" t="s">
        <v>46</v>
      </c>
      <c r="B34" s="113">
        <f>B4</f>
        <v>71</v>
      </c>
      <c r="C34" s="114">
        <v>7.0000000000000001E-3</v>
      </c>
      <c r="D34" s="115">
        <f>B34*C34</f>
        <v>0.497</v>
      </c>
      <c r="E34" s="116">
        <f t="shared" si="4"/>
        <v>71</v>
      </c>
      <c r="F34" s="114">
        <f>C34</f>
        <v>7.0000000000000001E-3</v>
      </c>
      <c r="G34" s="115">
        <f>E34*F34</f>
        <v>0.497</v>
      </c>
      <c r="H34" s="115">
        <f t="shared" si="3"/>
        <v>0</v>
      </c>
      <c r="I34" s="117">
        <f t="shared" si="7"/>
        <v>0</v>
      </c>
      <c r="J34" s="118">
        <f t="shared" si="1"/>
        <v>2.1165182225446104E-2</v>
      </c>
    </row>
    <row r="35" spans="1:10" x14ac:dyDescent="0.2">
      <c r="A35" s="37" t="s">
        <v>146</v>
      </c>
      <c r="B35" s="38"/>
      <c r="C35" s="39"/>
      <c r="D35" s="39">
        <f>SUM(D14,D24,D27,D33,D34)</f>
        <v>22.126342015999995</v>
      </c>
      <c r="E35" s="38"/>
      <c r="F35" s="39"/>
      <c r="G35" s="39">
        <f>SUM(G14,G24,G27,G33,G34)</f>
        <v>22.363773119999998</v>
      </c>
      <c r="H35" s="39">
        <f t="shared" si="3"/>
        <v>0.23743110400000234</v>
      </c>
      <c r="I35" s="40">
        <f t="shared" si="7"/>
        <v>1.0730698451118183E-2</v>
      </c>
      <c r="J35" s="41">
        <f t="shared" si="1"/>
        <v>0.95238095238095233</v>
      </c>
    </row>
    <row r="36" spans="1:10" x14ac:dyDescent="0.2">
      <c r="A36" s="46" t="s">
        <v>138</v>
      </c>
      <c r="B36" s="43"/>
      <c r="C36" s="26">
        <v>0.13</v>
      </c>
      <c r="D36" s="26">
        <f>D35*C36</f>
        <v>2.8764244620799997</v>
      </c>
      <c r="E36" s="26"/>
      <c r="F36" s="26">
        <f>C36</f>
        <v>0.13</v>
      </c>
      <c r="G36" s="26">
        <f>G35*F36</f>
        <v>2.9072905055999998</v>
      </c>
      <c r="H36" s="26">
        <f t="shared" si="3"/>
        <v>3.0866043520000108E-2</v>
      </c>
      <c r="I36" s="44">
        <f t="shared" si="7"/>
        <v>1.0730698451118114E-2</v>
      </c>
      <c r="J36" s="45">
        <f t="shared" si="1"/>
        <v>0.12380952380952381</v>
      </c>
    </row>
    <row r="37" spans="1:10" x14ac:dyDescent="0.2">
      <c r="A37" s="46" t="s">
        <v>139</v>
      </c>
      <c r="B37" s="24"/>
      <c r="C37" s="25"/>
      <c r="D37" s="25">
        <f>SUM(D35:D36)</f>
        <v>25.002766478079995</v>
      </c>
      <c r="E37" s="25"/>
      <c r="F37" s="25"/>
      <c r="G37" s="25">
        <f>SUM(G35:G36)</f>
        <v>25.271063625599997</v>
      </c>
      <c r="H37" s="25">
        <f t="shared" si="3"/>
        <v>0.268297147520002</v>
      </c>
      <c r="I37" s="27">
        <f t="shared" si="7"/>
        <v>1.0730698451118159E-2</v>
      </c>
      <c r="J37" s="47">
        <f t="shared" si="1"/>
        <v>1.0761904761904761</v>
      </c>
    </row>
    <row r="38" spans="1:10" x14ac:dyDescent="0.2">
      <c r="A38" s="46" t="s">
        <v>140</v>
      </c>
      <c r="B38" s="43"/>
      <c r="C38" s="26">
        <v>-0.08</v>
      </c>
      <c r="D38" s="26">
        <f>D35*C38</f>
        <v>-1.7701073612799996</v>
      </c>
      <c r="E38" s="26"/>
      <c r="F38" s="26">
        <f>C38</f>
        <v>-0.08</v>
      </c>
      <c r="G38" s="26">
        <f>G35*F38</f>
        <v>-1.7891018495999997</v>
      </c>
      <c r="H38" s="26">
        <f t="shared" si="3"/>
        <v>-1.8994488320000169E-2</v>
      </c>
      <c r="I38" s="44">
        <f t="shared" si="7"/>
        <v>-1.0730698451118174E-2</v>
      </c>
      <c r="J38" s="45">
        <f t="shared" si="1"/>
        <v>-7.6190476190476183E-2</v>
      </c>
    </row>
    <row r="39" spans="1:10" ht="13.5" thickBot="1" x14ac:dyDescent="0.25">
      <c r="A39" s="46" t="s">
        <v>141</v>
      </c>
      <c r="B39" s="49"/>
      <c r="C39" s="50"/>
      <c r="D39" s="50">
        <f>SUM(D37:D38)</f>
        <v>23.232659116799994</v>
      </c>
      <c r="E39" s="50"/>
      <c r="F39" s="50"/>
      <c r="G39" s="50">
        <f>SUM(G37:G38)</f>
        <v>23.481961775999999</v>
      </c>
      <c r="H39" s="50">
        <f t="shared" si="3"/>
        <v>0.24930265920000494</v>
      </c>
      <c r="I39" s="51">
        <f t="shared" si="7"/>
        <v>1.0730698451118291E-2</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1" tint="0.499984740745262"/>
    <pageSetUpPr fitToPage="1"/>
  </sheetPr>
  <dimension ref="A1:J50"/>
  <sheetViews>
    <sheetView tabSelected="1" view="pageBreakPreview"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200</v>
      </c>
      <c r="C12" s="103">
        <v>9.0999999999999998E-2</v>
      </c>
      <c r="D12" s="104">
        <f>B12*C12</f>
        <v>18.2</v>
      </c>
      <c r="E12" s="102">
        <f>B12</f>
        <v>200</v>
      </c>
      <c r="F12" s="103">
        <f>C12</f>
        <v>9.0999999999999998E-2</v>
      </c>
      <c r="G12" s="104">
        <f>E12*F12</f>
        <v>18.2</v>
      </c>
      <c r="H12" s="104">
        <f>G12-D12</f>
        <v>0</v>
      </c>
      <c r="I12" s="105">
        <f t="shared" ref="I12:I18" si="0">IF(ISERROR(H12/ABS(D12)),"N/A",(H12/ABS(D12)))</f>
        <v>0</v>
      </c>
      <c r="J12" s="123">
        <f t="shared" ref="J12:J30" si="1">G12/$G$39</f>
        <v>0.31078613400409583</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18.2</v>
      </c>
      <c r="E14" s="76"/>
      <c r="F14" s="25"/>
      <c r="G14" s="25">
        <f>SUM(G12:G13)</f>
        <v>18.2</v>
      </c>
      <c r="H14" s="25">
        <f t="shared" si="3"/>
        <v>0</v>
      </c>
      <c r="I14" s="27">
        <f t="shared" si="0"/>
        <v>0</v>
      </c>
      <c r="J14" s="47">
        <f t="shared" si="1"/>
        <v>0.31078613400409583</v>
      </c>
    </row>
    <row r="15" spans="1:10" x14ac:dyDescent="0.2">
      <c r="A15" s="107" t="s">
        <v>38</v>
      </c>
      <c r="B15" s="73">
        <v>1</v>
      </c>
      <c r="C15" s="78">
        <f>VLOOKUP($B$3,'Data for Bill Impacts'!$A$3:$Y$15,7,0)</f>
        <v>3.57</v>
      </c>
      <c r="D15" s="22">
        <f>B15*C15</f>
        <v>3.57</v>
      </c>
      <c r="E15" s="73">
        <f t="shared" ref="E15:E34" si="4">B15</f>
        <v>1</v>
      </c>
      <c r="F15" s="121">
        <f>VLOOKUP($B$3,'Data for Bill Impacts'!$A$3:$Y$15,17,0)</f>
        <v>3.72</v>
      </c>
      <c r="G15" s="22">
        <f>E15*F15</f>
        <v>3.72</v>
      </c>
      <c r="H15" s="22">
        <f t="shared" si="3"/>
        <v>0.15000000000000036</v>
      </c>
      <c r="I15" s="23">
        <f t="shared" si="0"/>
        <v>4.2016806722689176E-2</v>
      </c>
      <c r="J15" s="124">
        <f t="shared" si="1"/>
        <v>6.3523319697540478E-2</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6.0000000000000001E-3</v>
      </c>
      <c r="D18" s="22">
        <f t="shared" si="6"/>
        <v>6.0000000000000001E-3</v>
      </c>
      <c r="E18" s="73">
        <f t="shared" si="4"/>
        <v>1</v>
      </c>
      <c r="F18" s="121">
        <f>VLOOKUP($B$3,'Data for Bill Impacts'!$A$3:$Y$15,22,0)</f>
        <v>6.0000000000000001E-3</v>
      </c>
      <c r="G18" s="22">
        <f t="shared" si="5"/>
        <v>6.0000000000000001E-3</v>
      </c>
      <c r="H18" s="22">
        <f t="shared" si="3"/>
        <v>0</v>
      </c>
      <c r="I18" s="23">
        <f t="shared" si="0"/>
        <v>0</v>
      </c>
      <c r="J18" s="124">
        <f t="shared" si="1"/>
        <v>1.0245696725409753E-4</v>
      </c>
    </row>
    <row r="19" spans="1:10" x14ac:dyDescent="0.2">
      <c r="A19" s="107" t="s">
        <v>39</v>
      </c>
      <c r="B19" s="73">
        <f>IF($B$9="kWh",$B$4,$B$5)</f>
        <v>200</v>
      </c>
      <c r="C19" s="125">
        <f>VLOOKUP($B$3,'Data for Bill Impacts'!$A$3:$Y$15,10,0)</f>
        <v>0.13539999999999999</v>
      </c>
      <c r="D19" s="22">
        <f>B19*C19</f>
        <v>27.08</v>
      </c>
      <c r="E19" s="73">
        <f t="shared" si="4"/>
        <v>200</v>
      </c>
      <c r="F19" s="125">
        <f>VLOOKUP($B$3,'Data for Bill Impacts'!$A$3:$Y$15,19,0)</f>
        <v>0.13830000000000001</v>
      </c>
      <c r="G19" s="22">
        <f>E19*F19</f>
        <v>27.66</v>
      </c>
      <c r="H19" s="22">
        <f t="shared" si="3"/>
        <v>0.58000000000000185</v>
      </c>
      <c r="I19" s="23">
        <f>IF(ISERROR(H19/ABS(D19)),"N/A",(H19/ABS(D19)))</f>
        <v>2.1418020679468311E-2</v>
      </c>
      <c r="J19" s="124">
        <f t="shared" si="1"/>
        <v>0.47232661904138962</v>
      </c>
    </row>
    <row r="20" spans="1:10" s="1" customFormat="1" x14ac:dyDescent="0.2">
      <c r="A20" s="107" t="s">
        <v>199</v>
      </c>
      <c r="B20" s="73">
        <f>IF($B$9="kWh",$B$4,$B$5)</f>
        <v>200</v>
      </c>
      <c r="C20" s="125">
        <f>VLOOKUP($B$3,'Data for Bill Impacts'!$A$3:$Y$15,14,0)</f>
        <v>-6.0000000000000002E-5</v>
      </c>
      <c r="D20" s="22">
        <f>B20*C20</f>
        <v>-1.2E-2</v>
      </c>
      <c r="E20" s="73">
        <f>B20</f>
        <v>200</v>
      </c>
      <c r="F20" s="125">
        <f>VLOOKUP($B$3,'Data for Bill Impacts'!$A$3:$Y$15,23,0)</f>
        <v>-6.0000000000000002E-5</v>
      </c>
      <c r="G20" s="22">
        <f>E20*F20</f>
        <v>-1.2E-2</v>
      </c>
      <c r="H20" s="22">
        <f>G20-D20</f>
        <v>0</v>
      </c>
      <c r="I20" s="23">
        <f>IF(ISERROR(H20/D20),0,(H20/D20))</f>
        <v>0</v>
      </c>
      <c r="J20" s="124">
        <f t="shared" si="1"/>
        <v>-2.0491393450819507E-4</v>
      </c>
    </row>
    <row r="21" spans="1:10" hidden="1" x14ac:dyDescent="0.2">
      <c r="A21" s="107" t="s">
        <v>86</v>
      </c>
      <c r="B21" s="73">
        <f>IF($B$9="kWh",$B$4,$B$5)</f>
        <v>200</v>
      </c>
      <c r="C21" s="125">
        <v>0</v>
      </c>
      <c r="D21" s="22">
        <f>B21*C21</f>
        <v>0</v>
      </c>
      <c r="E21" s="73">
        <f t="shared" si="4"/>
        <v>200</v>
      </c>
      <c r="F21" s="78">
        <v>0</v>
      </c>
      <c r="G21" s="22">
        <f>E21*F21</f>
        <v>0</v>
      </c>
      <c r="H21" s="22">
        <f t="shared" si="3"/>
        <v>0</v>
      </c>
      <c r="I21" s="23">
        <f>IF(ISERROR(H21/D21),0,(H21/D21))</f>
        <v>0</v>
      </c>
      <c r="J21" s="124">
        <f t="shared" si="1"/>
        <v>0</v>
      </c>
    </row>
    <row r="22" spans="1:10" x14ac:dyDescent="0.2">
      <c r="A22" s="110" t="s">
        <v>72</v>
      </c>
      <c r="B22" s="74"/>
      <c r="C22" s="35"/>
      <c r="D22" s="35">
        <f>SUM(D15:D21)</f>
        <v>30.643999999999998</v>
      </c>
      <c r="E22" s="73"/>
      <c r="F22" s="35"/>
      <c r="G22" s="35">
        <f>SUM(G15:G21)</f>
        <v>31.373999999999999</v>
      </c>
      <c r="H22" s="35">
        <f t="shared" si="3"/>
        <v>0.73000000000000043</v>
      </c>
      <c r="I22" s="36">
        <f t="shared" ref="I22:I39" si="7">IF(ISERROR(H22/ABS(D22)),"N/A",(H22/ABS(D22)))</f>
        <v>2.382195535830833E-2</v>
      </c>
      <c r="J22" s="111">
        <f t="shared" si="1"/>
        <v>0.53574748177167597</v>
      </c>
    </row>
    <row r="23" spans="1:10" s="1" customFormat="1" x14ac:dyDescent="0.2">
      <c r="A23" s="119" t="s">
        <v>81</v>
      </c>
      <c r="B23" s="120">
        <f>B8-B4</f>
        <v>18.400000000000006</v>
      </c>
      <c r="C23" s="257">
        <f>IF(B4&gt;B7,C13,C12)</f>
        <v>9.0999999999999998E-2</v>
      </c>
      <c r="D23" s="22">
        <f>B23*C23</f>
        <v>1.6744000000000006</v>
      </c>
      <c r="E23" s="73">
        <f>B23</f>
        <v>18.400000000000006</v>
      </c>
      <c r="F23" s="257">
        <f>C23</f>
        <v>9.0999999999999998E-2</v>
      </c>
      <c r="G23" s="22">
        <f>E23*F23</f>
        <v>1.6744000000000006</v>
      </c>
      <c r="H23" s="22">
        <f t="shared" si="3"/>
        <v>0</v>
      </c>
      <c r="I23" s="23">
        <f t="shared" si="7"/>
        <v>0</v>
      </c>
      <c r="J23" s="124">
        <f t="shared" si="1"/>
        <v>2.8592324328376828E-2</v>
      </c>
    </row>
    <row r="24" spans="1:10" x14ac:dyDescent="0.2">
      <c r="A24" s="110" t="s">
        <v>79</v>
      </c>
      <c r="B24" s="74"/>
      <c r="C24" s="35"/>
      <c r="D24" s="35">
        <f>SUM(D22,D23:D23)</f>
        <v>32.318399999999997</v>
      </c>
      <c r="E24" s="73"/>
      <c r="F24" s="35"/>
      <c r="G24" s="35">
        <f>SUM(G22,G23:G23)</f>
        <v>33.048400000000001</v>
      </c>
      <c r="H24" s="35">
        <f t="shared" si="3"/>
        <v>0.73000000000000398</v>
      </c>
      <c r="I24" s="36">
        <f t="shared" si="7"/>
        <v>2.2587751868904528E-2</v>
      </c>
      <c r="J24" s="111">
        <f t="shared" si="1"/>
        <v>0.56433980610005285</v>
      </c>
    </row>
    <row r="25" spans="1:10" x14ac:dyDescent="0.2">
      <c r="A25" s="107" t="s">
        <v>40</v>
      </c>
      <c r="B25" s="73">
        <f>B8</f>
        <v>218.4</v>
      </c>
      <c r="C25" s="125">
        <f>VLOOKUP($B$3,'Data for Bill Impacts'!$A$3:$Y$15,15,0)</f>
        <v>4.6979999999999999E-3</v>
      </c>
      <c r="D25" s="22">
        <f>B25*C25</f>
        <v>1.0260431999999999</v>
      </c>
      <c r="E25" s="73">
        <f t="shared" si="4"/>
        <v>218.4</v>
      </c>
      <c r="F25" s="125">
        <f>VLOOKUP($B$3,'Data for Bill Impacts'!$A$3:$Y$15,24,0)</f>
        <v>3.836E-3</v>
      </c>
      <c r="G25" s="22">
        <f>E25*F25</f>
        <v>0.83778240000000004</v>
      </c>
      <c r="H25" s="22">
        <f t="shared" si="3"/>
        <v>-0.18826079999999989</v>
      </c>
      <c r="I25" s="23">
        <f t="shared" si="7"/>
        <v>-0.18348233290762017</v>
      </c>
      <c r="J25" s="124">
        <f t="shared" si="1"/>
        <v>1.4306107320476541E-2</v>
      </c>
    </row>
    <row r="26" spans="1:10" s="1" customFormat="1" x14ac:dyDescent="0.2">
      <c r="A26" s="107" t="s">
        <v>41</v>
      </c>
      <c r="B26" s="73">
        <f>B8</f>
        <v>218.4</v>
      </c>
      <c r="C26" s="125">
        <f>VLOOKUP($B$3,'Data for Bill Impacts'!$A$3:$Y$15,16,0)</f>
        <v>4.2899999999999995E-3</v>
      </c>
      <c r="D26" s="22">
        <f>B26*C26</f>
        <v>0.93693599999999988</v>
      </c>
      <c r="E26" s="73">
        <f t="shared" si="4"/>
        <v>218.4</v>
      </c>
      <c r="F26" s="125">
        <f>VLOOKUP($B$3,'Data for Bill Impacts'!$A$3:$Y$15,25,0)</f>
        <v>3.6240000000000001E-3</v>
      </c>
      <c r="G26" s="22">
        <f>E26*F26</f>
        <v>0.79148160000000001</v>
      </c>
      <c r="H26" s="22">
        <f t="shared" si="3"/>
        <v>-0.14545439999999987</v>
      </c>
      <c r="I26" s="23">
        <f t="shared" si="7"/>
        <v>-0.15524475524475512</v>
      </c>
      <c r="J26" s="124">
        <f t="shared" si="1"/>
        <v>1.351546739557012E-2</v>
      </c>
    </row>
    <row r="27" spans="1:10" s="1" customFormat="1" x14ac:dyDescent="0.2">
      <c r="A27" s="110" t="s">
        <v>76</v>
      </c>
      <c r="B27" s="74"/>
      <c r="C27" s="35"/>
      <c r="D27" s="35">
        <f>SUM(D25:D26)</f>
        <v>1.9629791999999999</v>
      </c>
      <c r="E27" s="73"/>
      <c r="F27" s="35"/>
      <c r="G27" s="35">
        <f>SUM(G25:G26)</f>
        <v>1.629264</v>
      </c>
      <c r="H27" s="35">
        <f t="shared" si="3"/>
        <v>-0.33371519999999988</v>
      </c>
      <c r="I27" s="36">
        <f t="shared" si="7"/>
        <v>-0.1700044503782821</v>
      </c>
      <c r="J27" s="111">
        <f t="shared" si="1"/>
        <v>2.7821574716046661E-2</v>
      </c>
    </row>
    <row r="28" spans="1:10" s="1" customFormat="1" x14ac:dyDescent="0.2">
      <c r="A28" s="110" t="s">
        <v>80</v>
      </c>
      <c r="B28" s="74"/>
      <c r="C28" s="35"/>
      <c r="D28" s="35">
        <f>D24+D27</f>
        <v>34.281379199999996</v>
      </c>
      <c r="E28" s="73"/>
      <c r="F28" s="35"/>
      <c r="G28" s="35">
        <f>G24+G27</f>
        <v>34.677664</v>
      </c>
      <c r="H28" s="35">
        <f t="shared" si="3"/>
        <v>0.39628480000000366</v>
      </c>
      <c r="I28" s="36">
        <f t="shared" si="7"/>
        <v>1.1559768283768574E-2</v>
      </c>
      <c r="J28" s="111">
        <f t="shared" si="1"/>
        <v>0.59216138081609948</v>
      </c>
    </row>
    <row r="29" spans="1:10" x14ac:dyDescent="0.2">
      <c r="A29" s="107" t="s">
        <v>42</v>
      </c>
      <c r="B29" s="73">
        <f>B8</f>
        <v>218.4</v>
      </c>
      <c r="C29" s="34">
        <v>3.5999999999999999E-3</v>
      </c>
      <c r="D29" s="22">
        <f>B29*C29</f>
        <v>0.78624000000000005</v>
      </c>
      <c r="E29" s="73">
        <f t="shared" si="4"/>
        <v>218.4</v>
      </c>
      <c r="F29" s="34">
        <v>3.5999999999999999E-3</v>
      </c>
      <c r="G29" s="22">
        <f>E29*F29</f>
        <v>0.78624000000000005</v>
      </c>
      <c r="H29" s="22">
        <f t="shared" si="3"/>
        <v>0</v>
      </c>
      <c r="I29" s="23">
        <f t="shared" si="7"/>
        <v>0</v>
      </c>
      <c r="J29" s="124">
        <f t="shared" si="1"/>
        <v>1.3425960988976941E-2</v>
      </c>
    </row>
    <row r="30" spans="1:10" s="1" customFormat="1" x14ac:dyDescent="0.2">
      <c r="A30" s="107" t="s">
        <v>43</v>
      </c>
      <c r="B30" s="73">
        <f>B8</f>
        <v>218.4</v>
      </c>
      <c r="C30" s="34">
        <v>2.0999999999999999E-3</v>
      </c>
      <c r="D30" s="22">
        <f>B30*C30</f>
        <v>0.45863999999999999</v>
      </c>
      <c r="E30" s="73">
        <f t="shared" si="4"/>
        <v>218.4</v>
      </c>
      <c r="F30" s="34">
        <v>2.0999999999999999E-3</v>
      </c>
      <c r="G30" s="22">
        <f>E30*F30</f>
        <v>0.45863999999999999</v>
      </c>
      <c r="H30" s="22">
        <f>G30-D30</f>
        <v>0</v>
      </c>
      <c r="I30" s="23">
        <f t="shared" si="7"/>
        <v>0</v>
      </c>
      <c r="J30" s="124">
        <f t="shared" si="1"/>
        <v>7.831810576903216E-3</v>
      </c>
    </row>
    <row r="31" spans="1:10" s="1" customFormat="1" x14ac:dyDescent="0.2">
      <c r="A31" s="107" t="s">
        <v>100</v>
      </c>
      <c r="B31" s="73">
        <f>B8</f>
        <v>218.4</v>
      </c>
      <c r="C31" s="34">
        <v>0</v>
      </c>
      <c r="D31" s="22">
        <f>B31*C31</f>
        <v>0</v>
      </c>
      <c r="E31" s="73">
        <f t="shared" si="4"/>
        <v>218.4</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ref="J32:J39" si="9">G32/$G$39</f>
        <v>4.2690403022540638E-3</v>
      </c>
    </row>
    <row r="33" spans="1:10" s="1" customFormat="1" x14ac:dyDescent="0.2">
      <c r="A33" s="110" t="s">
        <v>45</v>
      </c>
      <c r="B33" s="74"/>
      <c r="C33" s="35"/>
      <c r="D33" s="35">
        <f>SUM(D29:D32)</f>
        <v>1.49488</v>
      </c>
      <c r="E33" s="73"/>
      <c r="F33" s="35"/>
      <c r="G33" s="35">
        <f>SUM(G29:G32)</f>
        <v>1.49488</v>
      </c>
      <c r="H33" s="35">
        <f t="shared" si="3"/>
        <v>0</v>
      </c>
      <c r="I33" s="36">
        <f t="shared" si="7"/>
        <v>0</v>
      </c>
      <c r="J33" s="111">
        <f t="shared" si="9"/>
        <v>2.5526811868134221E-2</v>
      </c>
    </row>
    <row r="34" spans="1:10" ht="13.5" thickBot="1" x14ac:dyDescent="0.25">
      <c r="A34" s="112" t="s">
        <v>46</v>
      </c>
      <c r="B34" s="113">
        <f>B4</f>
        <v>200</v>
      </c>
      <c r="C34" s="114">
        <v>7.0000000000000001E-3</v>
      </c>
      <c r="D34" s="115">
        <f>B34*C34</f>
        <v>1.4000000000000001</v>
      </c>
      <c r="E34" s="116">
        <f t="shared" si="4"/>
        <v>200</v>
      </c>
      <c r="F34" s="114">
        <f>C34</f>
        <v>7.0000000000000001E-3</v>
      </c>
      <c r="G34" s="115">
        <f>E34*F34</f>
        <v>1.4000000000000001</v>
      </c>
      <c r="H34" s="115">
        <f t="shared" si="3"/>
        <v>0</v>
      </c>
      <c r="I34" s="117">
        <f t="shared" si="7"/>
        <v>0</v>
      </c>
      <c r="J34" s="118">
        <f t="shared" si="9"/>
        <v>2.3906625692622759E-2</v>
      </c>
    </row>
    <row r="35" spans="1:10" x14ac:dyDescent="0.2">
      <c r="A35" s="37" t="s">
        <v>146</v>
      </c>
      <c r="B35" s="38"/>
      <c r="C35" s="39"/>
      <c r="D35" s="39">
        <f>SUM(D14,D24,D27,D33,D34)</f>
        <v>55.3762592</v>
      </c>
      <c r="E35" s="38"/>
      <c r="F35" s="39"/>
      <c r="G35" s="39">
        <f>SUM(G14,G24,G27,G33,G34)</f>
        <v>55.772544000000003</v>
      </c>
      <c r="H35" s="39">
        <f t="shared" si="3"/>
        <v>0.39628480000000366</v>
      </c>
      <c r="I35" s="40">
        <f t="shared" si="7"/>
        <v>7.1562219211803255E-3</v>
      </c>
      <c r="J35" s="41">
        <f t="shared" si="9"/>
        <v>0.95238095238095233</v>
      </c>
    </row>
    <row r="36" spans="1:10" x14ac:dyDescent="0.2">
      <c r="A36" s="46" t="s">
        <v>138</v>
      </c>
      <c r="B36" s="43"/>
      <c r="C36" s="26">
        <v>0.13</v>
      </c>
      <c r="D36" s="26">
        <f>D35*C36</f>
        <v>7.198913696</v>
      </c>
      <c r="E36" s="26"/>
      <c r="F36" s="26">
        <f>C36</f>
        <v>0.13</v>
      </c>
      <c r="G36" s="26">
        <f>G35*F36</f>
        <v>7.2504307200000007</v>
      </c>
      <c r="H36" s="26">
        <f t="shared" si="3"/>
        <v>5.1517024000000688E-2</v>
      </c>
      <c r="I36" s="44">
        <f t="shared" si="7"/>
        <v>7.156221921180355E-3</v>
      </c>
      <c r="J36" s="45">
        <f t="shared" si="9"/>
        <v>0.12380952380952381</v>
      </c>
    </row>
    <row r="37" spans="1:10" x14ac:dyDescent="0.2">
      <c r="A37" s="46" t="s">
        <v>139</v>
      </c>
      <c r="B37" s="24"/>
      <c r="C37" s="25"/>
      <c r="D37" s="25">
        <f>SUM(D35:D36)</f>
        <v>62.575172895999998</v>
      </c>
      <c r="E37" s="25"/>
      <c r="F37" s="25"/>
      <c r="G37" s="25">
        <f>SUM(G35:G36)</f>
        <v>63.022974720000008</v>
      </c>
      <c r="H37" s="25">
        <f t="shared" si="3"/>
        <v>0.44780182400000967</v>
      </c>
      <c r="I37" s="27">
        <f t="shared" si="7"/>
        <v>7.156221921180414E-3</v>
      </c>
      <c r="J37" s="47">
        <f t="shared" si="9"/>
        <v>1.0761904761904761</v>
      </c>
    </row>
    <row r="38" spans="1:10" x14ac:dyDescent="0.2">
      <c r="A38" s="46" t="s">
        <v>140</v>
      </c>
      <c r="B38" s="43"/>
      <c r="C38" s="26">
        <v>-0.08</v>
      </c>
      <c r="D38" s="26">
        <f>D35*C38</f>
        <v>-4.430100736</v>
      </c>
      <c r="E38" s="26"/>
      <c r="F38" s="26">
        <f>C38</f>
        <v>-0.08</v>
      </c>
      <c r="G38" s="26">
        <f>G35*F38</f>
        <v>-4.4618035200000001</v>
      </c>
      <c r="H38" s="26">
        <f t="shared" si="3"/>
        <v>-3.170278400000015E-2</v>
      </c>
      <c r="I38" s="44">
        <f t="shared" si="7"/>
        <v>-7.1562219211802934E-3</v>
      </c>
      <c r="J38" s="45">
        <f t="shared" si="9"/>
        <v>-7.6190476190476183E-2</v>
      </c>
    </row>
    <row r="39" spans="1:10" ht="13.5" thickBot="1" x14ac:dyDescent="0.25">
      <c r="A39" s="46" t="s">
        <v>141</v>
      </c>
      <c r="B39" s="49"/>
      <c r="C39" s="50"/>
      <c r="D39" s="50">
        <f>SUM(D37:D38)</f>
        <v>58.145072159999998</v>
      </c>
      <c r="E39" s="50"/>
      <c r="F39" s="50"/>
      <c r="G39" s="50">
        <f>SUM(G37:G38)</f>
        <v>58.561171200000004</v>
      </c>
      <c r="H39" s="50">
        <f t="shared" si="3"/>
        <v>0.41609904000000597</v>
      </c>
      <c r="I39" s="51">
        <f t="shared" si="7"/>
        <v>7.156221921180362E-3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50"/>
  <sheetViews>
    <sheetView tabSelected="1" view="pageBreakPreview"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37" t="s">
        <v>109</v>
      </c>
      <c r="B1" s="338"/>
      <c r="C1" s="338"/>
      <c r="D1" s="338"/>
      <c r="E1" s="338"/>
      <c r="F1" s="338"/>
      <c r="G1" s="338"/>
      <c r="H1" s="338"/>
      <c r="I1" s="338"/>
      <c r="J1" s="339"/>
      <c r="K1" s="128"/>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5">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30" si="1">G12/$G$39</f>
        <v>0.31185972798922829</v>
      </c>
    </row>
    <row r="13" spans="1:11" x14ac:dyDescent="0.2">
      <c r="A13" s="107" t="s">
        <v>32</v>
      </c>
      <c r="B13" s="73">
        <f>IF(B4&gt;B7,(B4)-B7,0)</f>
        <v>0</v>
      </c>
      <c r="C13" s="21">
        <v>0.106</v>
      </c>
      <c r="D13" s="22">
        <f>B13*C13</f>
        <v>0</v>
      </c>
      <c r="E13" s="73">
        <f t="shared" ref="E13:E34" si="2">B13</f>
        <v>0</v>
      </c>
      <c r="F13" s="21">
        <f>C13</f>
        <v>0.106</v>
      </c>
      <c r="G13" s="22">
        <f>E13*F13</f>
        <v>0</v>
      </c>
      <c r="H13" s="22">
        <f t="shared" ref="H13:H39" si="3">G13-D13</f>
        <v>0</v>
      </c>
      <c r="I13" s="23" t="str">
        <f t="shared" si="0"/>
        <v>N/A</v>
      </c>
      <c r="J13" s="124">
        <f t="shared" si="1"/>
        <v>0</v>
      </c>
    </row>
    <row r="14" spans="1:11" s="1" customFormat="1" x14ac:dyDescent="0.2">
      <c r="A14" s="46" t="s">
        <v>33</v>
      </c>
      <c r="B14" s="24"/>
      <c r="C14" s="25"/>
      <c r="D14" s="25">
        <f>SUM(D12:D13)</f>
        <v>9.1</v>
      </c>
      <c r="E14" s="76"/>
      <c r="F14" s="25"/>
      <c r="G14" s="25">
        <f>SUM(G12:G13)</f>
        <v>9.1</v>
      </c>
      <c r="H14" s="25">
        <f t="shared" si="3"/>
        <v>0</v>
      </c>
      <c r="I14" s="27">
        <f t="shared" si="0"/>
        <v>0</v>
      </c>
      <c r="J14" s="47">
        <f t="shared" si="1"/>
        <v>0.31185972798922829</v>
      </c>
    </row>
    <row r="15" spans="1:11" x14ac:dyDescent="0.2">
      <c r="A15" s="107" t="s">
        <v>38</v>
      </c>
      <c r="B15" s="73">
        <v>1</v>
      </c>
      <c r="C15" s="78">
        <f>VLOOKUP($B$3,'Data for Bill Impacts'!$A$3:$Y$15,7,0)</f>
        <v>4.33</v>
      </c>
      <c r="D15" s="22">
        <f>B15*C15</f>
        <v>4.33</v>
      </c>
      <c r="E15" s="73">
        <f t="shared" si="2"/>
        <v>1</v>
      </c>
      <c r="F15" s="78">
        <f>VLOOKUP($B$3,'Data for Bill Impacts'!$A$3:$Y$15,17,0)</f>
        <v>4.7699999999999996</v>
      </c>
      <c r="G15" s="22">
        <f>E15*F15</f>
        <v>4.7699999999999996</v>
      </c>
      <c r="H15" s="22">
        <f t="shared" si="3"/>
        <v>0.4399999999999995</v>
      </c>
      <c r="I15" s="23">
        <f t="shared" si="0"/>
        <v>0.10161662817551952</v>
      </c>
      <c r="J15" s="124">
        <f t="shared" si="1"/>
        <v>0.16346932994600208</v>
      </c>
    </row>
    <row r="16" spans="1:11" hidden="1" x14ac:dyDescent="0.2">
      <c r="A16" s="107" t="s">
        <v>90</v>
      </c>
      <c r="B16" s="73">
        <v>1</v>
      </c>
      <c r="C16" s="78">
        <v>0</v>
      </c>
      <c r="D16" s="22">
        <f>B16*C16</f>
        <v>0</v>
      </c>
      <c r="E16" s="73">
        <f t="shared" si="2"/>
        <v>1</v>
      </c>
      <c r="F16" s="78">
        <v>0</v>
      </c>
      <c r="G16" s="22">
        <f t="shared" ref="G16:G18" si="4">E16*F16</f>
        <v>0</v>
      </c>
      <c r="H16" s="22">
        <f t="shared" si="3"/>
        <v>0</v>
      </c>
      <c r="I16" s="23" t="str">
        <f t="shared" si="0"/>
        <v>N/A</v>
      </c>
      <c r="J16" s="124">
        <f t="shared" si="1"/>
        <v>0</v>
      </c>
    </row>
    <row r="17" spans="1:10" hidden="1" x14ac:dyDescent="0.2">
      <c r="A17" s="107" t="s">
        <v>84</v>
      </c>
      <c r="B17" s="73">
        <v>1</v>
      </c>
      <c r="C17" s="78">
        <v>0</v>
      </c>
      <c r="D17" s="22">
        <f t="shared" ref="D17:D18" si="5">B17*C17</f>
        <v>0</v>
      </c>
      <c r="E17" s="73">
        <f t="shared" si="2"/>
        <v>1</v>
      </c>
      <c r="F17" s="78">
        <v>0</v>
      </c>
      <c r="G17" s="22">
        <f t="shared" si="4"/>
        <v>0</v>
      </c>
      <c r="H17" s="22">
        <f t="shared" ref="H17:H18" si="6">G17-D17</f>
        <v>0</v>
      </c>
      <c r="I17" s="23" t="str">
        <f t="shared" si="0"/>
        <v>N/A</v>
      </c>
      <c r="J17" s="124">
        <f t="shared" si="1"/>
        <v>0</v>
      </c>
    </row>
    <row r="18" spans="1:10" x14ac:dyDescent="0.2">
      <c r="A18" s="107" t="s">
        <v>85</v>
      </c>
      <c r="B18" s="73">
        <v>1</v>
      </c>
      <c r="C18" s="121">
        <f>VLOOKUP($B$3,'Data for Bill Impacts'!$A$3:$Y$15,13,0)</f>
        <v>7.0000000000000001E-3</v>
      </c>
      <c r="D18" s="22">
        <f t="shared" si="5"/>
        <v>7.0000000000000001E-3</v>
      </c>
      <c r="E18" s="73">
        <f t="shared" si="2"/>
        <v>1</v>
      </c>
      <c r="F18" s="121">
        <f>VLOOKUP($B$3,'Data for Bill Impacts'!$A$3:$Y$15,22,0)</f>
        <v>7.0000000000000001E-3</v>
      </c>
      <c r="G18" s="22">
        <f t="shared" si="4"/>
        <v>7.0000000000000001E-3</v>
      </c>
      <c r="H18" s="22">
        <f t="shared" si="6"/>
        <v>0</v>
      </c>
      <c r="I18" s="23">
        <f t="shared" si="0"/>
        <v>0</v>
      </c>
      <c r="J18" s="124">
        <f t="shared" si="1"/>
        <v>2.3989209845325256E-4</v>
      </c>
    </row>
    <row r="19" spans="1:10" x14ac:dyDescent="0.2">
      <c r="A19" s="107" t="s">
        <v>39</v>
      </c>
      <c r="B19" s="73">
        <f>IF($B$9="kWh",$B$4,$B$5)</f>
        <v>100</v>
      </c>
      <c r="C19" s="125">
        <f>VLOOKUP($B$3,'Data for Bill Impacts'!$A$3:$Y$15,10,0)</f>
        <v>0.1043</v>
      </c>
      <c r="D19" s="22">
        <f>B19*C19</f>
        <v>10.43</v>
      </c>
      <c r="E19" s="73">
        <f t="shared" si="2"/>
        <v>100</v>
      </c>
      <c r="F19" s="78">
        <f>VLOOKUP($B$3,'Data for Bill Impacts'!$A$3:$Y$15,19,0)</f>
        <v>0.1069</v>
      </c>
      <c r="G19" s="22">
        <f>E19*F19</f>
        <v>10.69</v>
      </c>
      <c r="H19" s="22">
        <f t="shared" si="3"/>
        <v>0.25999999999999979</v>
      </c>
      <c r="I19" s="23">
        <f>IF(ISERROR(H19/ABS(D19)),"N/A",(H19/ABS(D19)))</f>
        <v>2.4928092042185983E-2</v>
      </c>
      <c r="J19" s="124">
        <f t="shared" si="1"/>
        <v>0.36634950463789567</v>
      </c>
    </row>
    <row r="20" spans="1:10" s="1" customFormat="1" x14ac:dyDescent="0.2">
      <c r="A20" s="107" t="s">
        <v>199</v>
      </c>
      <c r="B20" s="73">
        <f>IF($B$9="kWh",$B$4,$B$5)</f>
        <v>100</v>
      </c>
      <c r="C20" s="125">
        <f>VLOOKUP($B$3,'Data for Bill Impacts'!$A$3:$Y$15,14,0)</f>
        <v>-9.9999999999999991E-6</v>
      </c>
      <c r="D20" s="22">
        <f>B20*C20</f>
        <v>-1E-3</v>
      </c>
      <c r="E20" s="73">
        <f>B20</f>
        <v>100</v>
      </c>
      <c r="F20" s="125">
        <f>VLOOKUP($B$3,'Data for Bill Impacts'!$A$3:$Y$15,23,0)</f>
        <v>-9.9999999999999991E-6</v>
      </c>
      <c r="G20" s="22">
        <f>E20*F20</f>
        <v>-1E-3</v>
      </c>
      <c r="H20" s="22">
        <f>G20-D20</f>
        <v>0</v>
      </c>
      <c r="I20" s="23">
        <f>IF(ISERROR(H20/D20),0,(H20/D20))</f>
        <v>0</v>
      </c>
      <c r="J20" s="124">
        <f t="shared" si="1"/>
        <v>-3.4270299779036076E-5</v>
      </c>
    </row>
    <row r="21" spans="1:10" hidden="1" x14ac:dyDescent="0.2">
      <c r="A21" s="107" t="s">
        <v>86</v>
      </c>
      <c r="B21" s="73">
        <f>IF($B$9="kWh",$B$4,$B$5)</f>
        <v>100</v>
      </c>
      <c r="C21" s="125">
        <v>0</v>
      </c>
      <c r="D21" s="22">
        <f>B21*C21</f>
        <v>0</v>
      </c>
      <c r="E21" s="73">
        <f t="shared" si="2"/>
        <v>100</v>
      </c>
      <c r="F21" s="78">
        <v>0</v>
      </c>
      <c r="G21" s="22">
        <f>E21*F21</f>
        <v>0</v>
      </c>
      <c r="H21" s="22">
        <f t="shared" si="3"/>
        <v>0</v>
      </c>
      <c r="I21" s="23">
        <f>IF(ISERROR(H21/D21),0,(H21/D21))</f>
        <v>0</v>
      </c>
      <c r="J21" s="124">
        <f t="shared" si="1"/>
        <v>0</v>
      </c>
    </row>
    <row r="22" spans="1:10" x14ac:dyDescent="0.2">
      <c r="A22" s="110" t="s">
        <v>72</v>
      </c>
      <c r="B22" s="74"/>
      <c r="C22" s="35"/>
      <c r="D22" s="35">
        <f>SUM(D15:D21)</f>
        <v>14.766</v>
      </c>
      <c r="E22" s="73"/>
      <c r="F22" s="35"/>
      <c r="G22" s="35">
        <f>SUM(G15:G21)</f>
        <v>15.465999999999999</v>
      </c>
      <c r="H22" s="35">
        <f t="shared" si="3"/>
        <v>0.69999999999999929</v>
      </c>
      <c r="I22" s="36">
        <f t="shared" ref="I22:I39" si="7">IF(ISERROR(H22/ABS(D22)),"N/A",(H22/ABS(D22)))</f>
        <v>4.7406203440335859E-2</v>
      </c>
      <c r="J22" s="111">
        <f t="shared" si="1"/>
        <v>0.53002445638257201</v>
      </c>
    </row>
    <row r="23" spans="1:10" s="1" customFormat="1" x14ac:dyDescent="0.2">
      <c r="A23" s="119" t="s">
        <v>81</v>
      </c>
      <c r="B23" s="120">
        <f>B8-B4</f>
        <v>9.2000000000000028</v>
      </c>
      <c r="C23" s="257">
        <f>IF(B4&gt;B7,C13,C12)</f>
        <v>9.0999999999999998E-2</v>
      </c>
      <c r="D23" s="22">
        <f>B23*C23</f>
        <v>0.83720000000000028</v>
      </c>
      <c r="E23" s="73">
        <f>B23</f>
        <v>9.2000000000000028</v>
      </c>
      <c r="F23" s="257">
        <f>C23</f>
        <v>9.0999999999999998E-2</v>
      </c>
      <c r="G23" s="22">
        <f>E23*F23</f>
        <v>0.83720000000000028</v>
      </c>
      <c r="H23" s="22">
        <f t="shared" si="3"/>
        <v>0</v>
      </c>
      <c r="I23" s="23">
        <f t="shared" si="7"/>
        <v>0</v>
      </c>
      <c r="J23" s="124">
        <f t="shared" si="1"/>
        <v>2.8691094975009015E-2</v>
      </c>
    </row>
    <row r="24" spans="1:10" x14ac:dyDescent="0.2">
      <c r="A24" s="110" t="s">
        <v>79</v>
      </c>
      <c r="B24" s="74"/>
      <c r="C24" s="35"/>
      <c r="D24" s="35">
        <f>SUM(D22,D23:D23)</f>
        <v>15.603200000000001</v>
      </c>
      <c r="E24" s="73"/>
      <c r="F24" s="35"/>
      <c r="G24" s="35">
        <f>SUM(G22,G23:G23)</f>
        <v>16.3032</v>
      </c>
      <c r="H24" s="35">
        <f t="shared" si="3"/>
        <v>0.69999999999999929</v>
      </c>
      <c r="I24" s="36">
        <f t="shared" si="7"/>
        <v>4.486259228876123E-2</v>
      </c>
      <c r="J24" s="111">
        <f t="shared" si="1"/>
        <v>0.558715551357581</v>
      </c>
    </row>
    <row r="25" spans="1:10" x14ac:dyDescent="0.2">
      <c r="A25" s="107" t="s">
        <v>40</v>
      </c>
      <c r="B25" s="73">
        <f>B8</f>
        <v>109.2</v>
      </c>
      <c r="C25" s="125">
        <f>VLOOKUP($B$3,'Data for Bill Impacts'!$A$3:$Y$15,15,0)</f>
        <v>4.6979999999999999E-3</v>
      </c>
      <c r="D25" s="22">
        <f>B25*C25</f>
        <v>0.51302159999999997</v>
      </c>
      <c r="E25" s="73">
        <f t="shared" si="2"/>
        <v>109.2</v>
      </c>
      <c r="F25" s="125">
        <f>VLOOKUP($B$3,'Data for Bill Impacts'!$A$3:$Y$15,24,0)</f>
        <v>3.836E-3</v>
      </c>
      <c r="G25" s="22">
        <f>E25*F25</f>
        <v>0.41889120000000002</v>
      </c>
      <c r="H25" s="22">
        <f t="shared" si="3"/>
        <v>-9.4130399999999947E-2</v>
      </c>
      <c r="I25" s="23">
        <f t="shared" si="7"/>
        <v>-0.18348233290762017</v>
      </c>
      <c r="J25" s="124">
        <f t="shared" si="1"/>
        <v>1.4355526998800159E-2</v>
      </c>
    </row>
    <row r="26" spans="1:10" s="1" customFormat="1" x14ac:dyDescent="0.2">
      <c r="A26" s="107" t="s">
        <v>41</v>
      </c>
      <c r="B26" s="73">
        <f>B8</f>
        <v>109.2</v>
      </c>
      <c r="C26" s="125">
        <f>VLOOKUP($B$3,'Data for Bill Impacts'!$A$3:$Y$15,16,0)</f>
        <v>4.2899999999999995E-3</v>
      </c>
      <c r="D26" s="22">
        <f>B26*C26</f>
        <v>0.46846799999999994</v>
      </c>
      <c r="E26" s="73">
        <f t="shared" si="2"/>
        <v>109.2</v>
      </c>
      <c r="F26" s="125">
        <f>VLOOKUP($B$3,'Data for Bill Impacts'!$A$3:$Y$15,25,0)</f>
        <v>3.6240000000000001E-3</v>
      </c>
      <c r="G26" s="22">
        <f>E26*F26</f>
        <v>0.3957408</v>
      </c>
      <c r="H26" s="22">
        <f t="shared" si="3"/>
        <v>-7.2727199999999936E-2</v>
      </c>
      <c r="I26" s="23">
        <f t="shared" si="7"/>
        <v>-0.15524475524475512</v>
      </c>
      <c r="J26" s="124">
        <f t="shared" si="1"/>
        <v>1.3562155850795562E-2</v>
      </c>
    </row>
    <row r="27" spans="1:10" s="1" customFormat="1" x14ac:dyDescent="0.2">
      <c r="A27" s="110" t="s">
        <v>76</v>
      </c>
      <c r="B27" s="74"/>
      <c r="C27" s="35"/>
      <c r="D27" s="35">
        <f>SUM(D25:D26)</f>
        <v>0.98148959999999996</v>
      </c>
      <c r="E27" s="73"/>
      <c r="F27" s="35"/>
      <c r="G27" s="35">
        <f>SUM(G25:G26)</f>
        <v>0.81463200000000002</v>
      </c>
      <c r="H27" s="35">
        <f t="shared" si="3"/>
        <v>-0.16685759999999994</v>
      </c>
      <c r="I27" s="36">
        <f t="shared" si="7"/>
        <v>-0.1700044503782821</v>
      </c>
      <c r="J27" s="111">
        <f t="shared" si="1"/>
        <v>2.7917682849595719E-2</v>
      </c>
    </row>
    <row r="28" spans="1:10" s="1" customFormat="1" x14ac:dyDescent="0.2">
      <c r="A28" s="110" t="s">
        <v>80</v>
      </c>
      <c r="B28" s="74"/>
      <c r="C28" s="35"/>
      <c r="D28" s="35">
        <f>D24+D27</f>
        <v>16.584689600000001</v>
      </c>
      <c r="E28" s="73"/>
      <c r="F28" s="35"/>
      <c r="G28" s="35">
        <f>G24+G27</f>
        <v>17.117832</v>
      </c>
      <c r="H28" s="35">
        <f t="shared" si="3"/>
        <v>0.53314239999999913</v>
      </c>
      <c r="I28" s="36">
        <f t="shared" si="7"/>
        <v>3.2146661339986678E-2</v>
      </c>
      <c r="J28" s="111">
        <f t="shared" si="1"/>
        <v>0.58663323420717672</v>
      </c>
    </row>
    <row r="29" spans="1:10" x14ac:dyDescent="0.2">
      <c r="A29" s="107" t="s">
        <v>42</v>
      </c>
      <c r="B29" s="73">
        <f>B8</f>
        <v>109.2</v>
      </c>
      <c r="C29" s="34">
        <v>3.5999999999999999E-3</v>
      </c>
      <c r="D29" s="22">
        <f>B29*C29</f>
        <v>0.39312000000000002</v>
      </c>
      <c r="E29" s="73">
        <f t="shared" si="2"/>
        <v>109.2</v>
      </c>
      <c r="F29" s="34">
        <v>3.5999999999999999E-3</v>
      </c>
      <c r="G29" s="22">
        <f>E29*F29</f>
        <v>0.39312000000000002</v>
      </c>
      <c r="H29" s="22">
        <f t="shared" si="3"/>
        <v>0</v>
      </c>
      <c r="I29" s="23">
        <f t="shared" si="7"/>
        <v>0</v>
      </c>
      <c r="J29" s="124">
        <f t="shared" si="1"/>
        <v>1.3472340249134664E-2</v>
      </c>
    </row>
    <row r="30" spans="1:10" s="1" customFormat="1" x14ac:dyDescent="0.2">
      <c r="A30" s="107" t="s">
        <v>43</v>
      </c>
      <c r="B30" s="73">
        <f>B8</f>
        <v>109.2</v>
      </c>
      <c r="C30" s="34">
        <v>2.0999999999999999E-3</v>
      </c>
      <c r="D30" s="22">
        <f>B30*C30</f>
        <v>0.22932</v>
      </c>
      <c r="E30" s="73">
        <f t="shared" si="2"/>
        <v>109.2</v>
      </c>
      <c r="F30" s="34">
        <v>2.0999999999999999E-3</v>
      </c>
      <c r="G30" s="22">
        <f>E30*F30</f>
        <v>0.22932</v>
      </c>
      <c r="H30" s="22">
        <f>G30-D30</f>
        <v>0</v>
      </c>
      <c r="I30" s="23">
        <f t="shared" si="7"/>
        <v>0</v>
      </c>
      <c r="J30" s="124">
        <f t="shared" si="1"/>
        <v>7.8588651453285543E-3</v>
      </c>
    </row>
    <row r="31" spans="1:10" s="1" customFormat="1" x14ac:dyDescent="0.2">
      <c r="A31" s="107" t="s">
        <v>100</v>
      </c>
      <c r="B31" s="73">
        <f>B8</f>
        <v>109.2</v>
      </c>
      <c r="C31" s="34">
        <v>0</v>
      </c>
      <c r="D31" s="22">
        <f>B31*C31</f>
        <v>0</v>
      </c>
      <c r="E31" s="73">
        <f t="shared" si="2"/>
        <v>109.2</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2"/>
        <v>1</v>
      </c>
      <c r="F32" s="22">
        <f>C32</f>
        <v>0.25</v>
      </c>
      <c r="G32" s="22">
        <f>E32*F32</f>
        <v>0.25</v>
      </c>
      <c r="H32" s="22">
        <f t="shared" si="3"/>
        <v>0</v>
      </c>
      <c r="I32" s="23">
        <f t="shared" si="7"/>
        <v>0</v>
      </c>
      <c r="J32" s="124">
        <f t="shared" ref="J32:J39" si="9">G32/$G$39</f>
        <v>8.567574944759019E-3</v>
      </c>
    </row>
    <row r="33" spans="1:10" s="1" customFormat="1" x14ac:dyDescent="0.2">
      <c r="A33" s="110" t="s">
        <v>45</v>
      </c>
      <c r="B33" s="74"/>
      <c r="C33" s="35"/>
      <c r="D33" s="35">
        <f>SUM(D29:D32)</f>
        <v>0.87243999999999999</v>
      </c>
      <c r="E33" s="73"/>
      <c r="F33" s="35"/>
      <c r="G33" s="35">
        <f>SUM(G29:G32)</f>
        <v>0.87243999999999999</v>
      </c>
      <c r="H33" s="35">
        <f t="shared" si="3"/>
        <v>0</v>
      </c>
      <c r="I33" s="36">
        <f t="shared" si="7"/>
        <v>0</v>
      </c>
      <c r="J33" s="111">
        <f t="shared" si="9"/>
        <v>2.9898780339222237E-2</v>
      </c>
    </row>
    <row r="34" spans="1:10" ht="13.5" thickBot="1" x14ac:dyDescent="0.25">
      <c r="A34" s="112" t="s">
        <v>46</v>
      </c>
      <c r="B34" s="113">
        <f>B4</f>
        <v>100</v>
      </c>
      <c r="C34" s="114">
        <v>7.0000000000000001E-3</v>
      </c>
      <c r="D34" s="115">
        <f>B34*C34</f>
        <v>0.70000000000000007</v>
      </c>
      <c r="E34" s="116">
        <f t="shared" si="2"/>
        <v>100</v>
      </c>
      <c r="F34" s="114">
        <f>C34</f>
        <v>7.0000000000000001E-3</v>
      </c>
      <c r="G34" s="115">
        <f>E34*F34</f>
        <v>0.70000000000000007</v>
      </c>
      <c r="H34" s="115">
        <f t="shared" si="3"/>
        <v>0</v>
      </c>
      <c r="I34" s="117">
        <f t="shared" si="7"/>
        <v>0</v>
      </c>
      <c r="J34" s="118">
        <f t="shared" si="9"/>
        <v>2.3989209845325259E-2</v>
      </c>
    </row>
    <row r="35" spans="1:10" x14ac:dyDescent="0.2">
      <c r="A35" s="37" t="s">
        <v>146</v>
      </c>
      <c r="B35" s="38"/>
      <c r="C35" s="39"/>
      <c r="D35" s="39">
        <f>SUM(D14,D24,D27,D33,D34)</f>
        <v>27.257129600000003</v>
      </c>
      <c r="E35" s="38"/>
      <c r="F35" s="39"/>
      <c r="G35" s="39">
        <f>SUM(G14,G24,G27,G33,G34)</f>
        <v>27.790271999999998</v>
      </c>
      <c r="H35" s="39">
        <f t="shared" si="3"/>
        <v>0.53314239999999558</v>
      </c>
      <c r="I35" s="40">
        <f t="shared" si="7"/>
        <v>1.9559741169517555E-2</v>
      </c>
      <c r="J35" s="41">
        <f t="shared" si="9"/>
        <v>0.95238095238095244</v>
      </c>
    </row>
    <row r="36" spans="1:10" x14ac:dyDescent="0.2">
      <c r="A36" s="46" t="s">
        <v>138</v>
      </c>
      <c r="B36" s="43"/>
      <c r="C36" s="26">
        <v>0.13</v>
      </c>
      <c r="D36" s="26">
        <f>D35*C36</f>
        <v>3.5434268480000006</v>
      </c>
      <c r="E36" s="26"/>
      <c r="F36" s="26">
        <f>C36</f>
        <v>0.13</v>
      </c>
      <c r="G36" s="26">
        <f>G35*F36</f>
        <v>3.6127353599999998</v>
      </c>
      <c r="H36" s="26">
        <f t="shared" si="3"/>
        <v>6.9308511999999212E-2</v>
      </c>
      <c r="I36" s="44">
        <f t="shared" si="7"/>
        <v>1.9559741169517492E-2</v>
      </c>
      <c r="J36" s="45">
        <f t="shared" si="9"/>
        <v>0.12380952380952383</v>
      </c>
    </row>
    <row r="37" spans="1:10" x14ac:dyDescent="0.2">
      <c r="A37" s="46" t="s">
        <v>139</v>
      </c>
      <c r="B37" s="24"/>
      <c r="C37" s="25"/>
      <c r="D37" s="25">
        <f>SUM(D35:D36)</f>
        <v>30.800556448000002</v>
      </c>
      <c r="E37" s="25"/>
      <c r="F37" s="25"/>
      <c r="G37" s="25">
        <f>SUM(G35:G36)</f>
        <v>31.403007359999997</v>
      </c>
      <c r="H37" s="25">
        <f t="shared" si="3"/>
        <v>0.60245091199999479</v>
      </c>
      <c r="I37" s="27">
        <f t="shared" si="7"/>
        <v>1.9559741169517548E-2</v>
      </c>
      <c r="J37" s="47">
        <f t="shared" si="9"/>
        <v>1.0761904761904761</v>
      </c>
    </row>
    <row r="38" spans="1:10" x14ac:dyDescent="0.2">
      <c r="A38" s="46" t="s">
        <v>140</v>
      </c>
      <c r="B38" s="43"/>
      <c r="C38" s="26">
        <v>-0.08</v>
      </c>
      <c r="D38" s="26">
        <f>D35*C38</f>
        <v>-2.1805703680000001</v>
      </c>
      <c r="E38" s="26"/>
      <c r="F38" s="26">
        <f>C38</f>
        <v>-0.08</v>
      </c>
      <c r="G38" s="26">
        <f>G35*F38</f>
        <v>-2.2232217599999999</v>
      </c>
      <c r="H38" s="26">
        <f t="shared" si="3"/>
        <v>-4.2651391999999788E-2</v>
      </c>
      <c r="I38" s="44">
        <f t="shared" si="7"/>
        <v>-1.9559741169517621E-2</v>
      </c>
      <c r="J38" s="45">
        <f t="shared" si="9"/>
        <v>-7.6190476190476197E-2</v>
      </c>
    </row>
    <row r="39" spans="1:10" ht="13.5" thickBot="1" x14ac:dyDescent="0.25">
      <c r="A39" s="46" t="s">
        <v>141</v>
      </c>
      <c r="B39" s="49"/>
      <c r="C39" s="50"/>
      <c r="D39" s="50">
        <f>SUM(D37:D38)</f>
        <v>28.61998608</v>
      </c>
      <c r="E39" s="50"/>
      <c r="F39" s="50"/>
      <c r="G39" s="50">
        <f>SUM(G37:G38)</f>
        <v>29.179785599999995</v>
      </c>
      <c r="H39" s="50">
        <f t="shared" si="3"/>
        <v>0.559799519999995</v>
      </c>
      <c r="I39" s="51">
        <f t="shared" si="7"/>
        <v>1.9559741169517544E-2</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50"/>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ht="15" customHeight="1" x14ac:dyDescent="0.2">
      <c r="A3" s="13" t="s">
        <v>13</v>
      </c>
      <c r="B3" s="13" t="s">
        <v>8</v>
      </c>
    </row>
    <row r="4" spans="1:10" x14ac:dyDescent="0.2">
      <c r="A4" s="15" t="s">
        <v>62</v>
      </c>
      <c r="B4" s="79">
        <f>'Data for Bill Impacts_HONI Avg '!C9</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517</v>
      </c>
      <c r="C12" s="103">
        <v>9.0999999999999998E-2</v>
      </c>
      <c r="D12" s="104">
        <f>B12*C12</f>
        <v>47.046999999999997</v>
      </c>
      <c r="E12" s="102">
        <f>B12</f>
        <v>517</v>
      </c>
      <c r="F12" s="103">
        <f>C12</f>
        <v>9.0999999999999998E-2</v>
      </c>
      <c r="G12" s="104">
        <f>E12*F12</f>
        <v>47.046999999999997</v>
      </c>
      <c r="H12" s="104">
        <f>G12-D12</f>
        <v>0</v>
      </c>
      <c r="I12" s="105">
        <f t="shared" ref="I12:I18" si="0">IF(ISERROR(H12/ABS(D12)),"N/A",(H12/ABS(D12)))</f>
        <v>0</v>
      </c>
      <c r="J12" s="123">
        <f t="shared" ref="J12:J39" si="1">G12/$G$39</f>
        <v>0.36648233073280584</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47.046999999999997</v>
      </c>
      <c r="E14" s="76"/>
      <c r="F14" s="25"/>
      <c r="G14" s="25">
        <f>SUM(G12:G13)</f>
        <v>47.046999999999997</v>
      </c>
      <c r="H14" s="25">
        <f t="shared" si="3"/>
        <v>0</v>
      </c>
      <c r="I14" s="27">
        <f t="shared" si="0"/>
        <v>0</v>
      </c>
      <c r="J14" s="47">
        <f t="shared" si="1"/>
        <v>0.36648233073280584</v>
      </c>
    </row>
    <row r="15" spans="1:10" x14ac:dyDescent="0.2">
      <c r="A15" s="107" t="s">
        <v>38</v>
      </c>
      <c r="B15" s="73">
        <v>1</v>
      </c>
      <c r="C15" s="78">
        <f>VLOOKUP($B$3,'Data for Bill Impacts'!$A$3:$Y$15,7,0)</f>
        <v>4.33</v>
      </c>
      <c r="D15" s="22">
        <f>B15*C15</f>
        <v>4.33</v>
      </c>
      <c r="E15" s="73">
        <f t="shared" ref="E15:E34" si="4">B15</f>
        <v>1</v>
      </c>
      <c r="F15" s="78">
        <f>VLOOKUP($B$3,'Data for Bill Impacts'!$A$3:$Y$15,17,0)</f>
        <v>4.7699999999999996</v>
      </c>
      <c r="G15" s="22">
        <f>E15*F15</f>
        <v>4.7699999999999996</v>
      </c>
      <c r="H15" s="22">
        <f t="shared" si="3"/>
        <v>0.4399999999999995</v>
      </c>
      <c r="I15" s="23">
        <f t="shared" si="0"/>
        <v>0.10161662817551952</v>
      </c>
      <c r="J15" s="124">
        <f t="shared" si="1"/>
        <v>3.715690092026025E-2</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7.0000000000000001E-3</v>
      </c>
      <c r="D18" s="22">
        <f t="shared" si="6"/>
        <v>7.0000000000000001E-3</v>
      </c>
      <c r="E18" s="73">
        <f t="shared" si="4"/>
        <v>1</v>
      </c>
      <c r="F18" s="121">
        <f>VLOOKUP($B$3,'Data for Bill Impacts'!$A$3:$Y$15,22,0)</f>
        <v>7.0000000000000001E-3</v>
      </c>
      <c r="G18" s="22">
        <f t="shared" si="5"/>
        <v>7.0000000000000001E-3</v>
      </c>
      <c r="H18" s="22">
        <f t="shared" si="3"/>
        <v>0</v>
      </c>
      <c r="I18" s="23">
        <f t="shared" si="0"/>
        <v>0</v>
      </c>
      <c r="J18" s="124">
        <f t="shared" si="1"/>
        <v>5.4527946843149216E-5</v>
      </c>
    </row>
    <row r="19" spans="1:10" x14ac:dyDescent="0.2">
      <c r="A19" s="107" t="s">
        <v>39</v>
      </c>
      <c r="B19" s="73">
        <f>IF($B$9="kWh",$B$4,$B$5)</f>
        <v>517</v>
      </c>
      <c r="C19" s="125">
        <f>VLOOKUP($B$3,'Data for Bill Impacts'!$A$3:$Y$15,10,0)</f>
        <v>0.1043</v>
      </c>
      <c r="D19" s="22">
        <f>B19*C19</f>
        <v>53.923100000000005</v>
      </c>
      <c r="E19" s="73">
        <f t="shared" si="4"/>
        <v>517</v>
      </c>
      <c r="F19" s="78">
        <f>VLOOKUP($B$3,'Data for Bill Impacts'!$A$3:$Y$15,19,0)</f>
        <v>0.1069</v>
      </c>
      <c r="G19" s="22">
        <f>E19*F19</f>
        <v>55.267299999999999</v>
      </c>
      <c r="H19" s="22">
        <f t="shared" si="3"/>
        <v>1.3441999999999936</v>
      </c>
      <c r="I19" s="23">
        <f>IF(ISERROR(H19/ABS(D19)),"N/A",(H19/ABS(D19)))</f>
        <v>2.4928092042185882E-2</v>
      </c>
      <c r="J19" s="124">
        <f t="shared" si="1"/>
        <v>0.43051605665205434</v>
      </c>
    </row>
    <row r="20" spans="1:10" s="1" customFormat="1" x14ac:dyDescent="0.2">
      <c r="A20" s="107" t="s">
        <v>199</v>
      </c>
      <c r="B20" s="73">
        <f>IF($B$9="kWh",$B$4,$B$5)</f>
        <v>517</v>
      </c>
      <c r="C20" s="125">
        <f>VLOOKUP($B$3,'Data for Bill Impacts'!$A$3:$Y$15,14,0)</f>
        <v>-9.9999999999999991E-6</v>
      </c>
      <c r="D20" s="22">
        <f>B20*C20</f>
        <v>-5.1699999999999992E-3</v>
      </c>
      <c r="E20" s="73">
        <f>B20</f>
        <v>517</v>
      </c>
      <c r="F20" s="125">
        <f>VLOOKUP($B$3,'Data for Bill Impacts'!$A$3:$Y$15,23,0)</f>
        <v>-9.9999999999999991E-6</v>
      </c>
      <c r="G20" s="22">
        <f>E20*F20</f>
        <v>-5.1699999999999992E-3</v>
      </c>
      <c r="H20" s="22">
        <f>G20-D20</f>
        <v>0</v>
      </c>
      <c r="I20" s="23">
        <f>IF(ISERROR(H20/D20),0,(H20/D20))</f>
        <v>0</v>
      </c>
      <c r="J20" s="124">
        <f t="shared" si="1"/>
        <v>-4.0272783597011629E-5</v>
      </c>
    </row>
    <row r="21" spans="1:10" hidden="1" x14ac:dyDescent="0.2">
      <c r="A21" s="107" t="s">
        <v>86</v>
      </c>
      <c r="B21" s="73">
        <f>IF($B$9="kWh",$B$4,$B$5)</f>
        <v>517</v>
      </c>
      <c r="C21" s="125">
        <v>0</v>
      </c>
      <c r="D21" s="22">
        <f>B21*C21</f>
        <v>0</v>
      </c>
      <c r="E21" s="73">
        <f t="shared" si="4"/>
        <v>517</v>
      </c>
      <c r="F21" s="78">
        <v>0</v>
      </c>
      <c r="G21" s="22">
        <f>E21*F21</f>
        <v>0</v>
      </c>
      <c r="H21" s="22">
        <f t="shared" si="3"/>
        <v>0</v>
      </c>
      <c r="I21" s="23">
        <f>IF(ISERROR(H21/D21),0,(H21/D21))</f>
        <v>0</v>
      </c>
      <c r="J21" s="124">
        <f t="shared" si="1"/>
        <v>0</v>
      </c>
    </row>
    <row r="22" spans="1:10" x14ac:dyDescent="0.2">
      <c r="A22" s="110" t="s">
        <v>72</v>
      </c>
      <c r="B22" s="74"/>
      <c r="C22" s="35"/>
      <c r="D22" s="35">
        <f>SUM(D15:D21)</f>
        <v>58.254930000000009</v>
      </c>
      <c r="E22" s="73"/>
      <c r="F22" s="35"/>
      <c r="G22" s="35">
        <f>SUM(G15:G21)</f>
        <v>60.03913</v>
      </c>
      <c r="H22" s="35">
        <f t="shared" si="3"/>
        <v>1.7841999999999913</v>
      </c>
      <c r="I22" s="36">
        <f t="shared" ref="I22:I39" si="7">IF(ISERROR(H22/ABS(D22)),"N/A",(H22/ABS(D22)))</f>
        <v>3.0627450758244686E-2</v>
      </c>
      <c r="J22" s="111">
        <f t="shared" si="1"/>
        <v>0.46768721273556074</v>
      </c>
    </row>
    <row r="23" spans="1:10" s="1" customFormat="1" x14ac:dyDescent="0.2">
      <c r="A23" s="119" t="s">
        <v>81</v>
      </c>
      <c r="B23" s="120">
        <f>B8-B4</f>
        <v>47.564000000000078</v>
      </c>
      <c r="C23" s="257">
        <f>IF(B4&gt;B7,C13,C12)</f>
        <v>9.0999999999999998E-2</v>
      </c>
      <c r="D23" s="22">
        <f>B23*C23</f>
        <v>4.3283240000000074</v>
      </c>
      <c r="E23" s="73">
        <f>B23</f>
        <v>47.564000000000078</v>
      </c>
      <c r="F23" s="257">
        <f>C23</f>
        <v>9.0999999999999998E-2</v>
      </c>
      <c r="G23" s="22">
        <f>E23*F23</f>
        <v>4.3283240000000074</v>
      </c>
      <c r="H23" s="22">
        <f t="shared" si="3"/>
        <v>0</v>
      </c>
      <c r="I23" s="23">
        <f t="shared" si="7"/>
        <v>0</v>
      </c>
      <c r="J23" s="124">
        <f t="shared" si="1"/>
        <v>3.3716374427418198E-2</v>
      </c>
    </row>
    <row r="24" spans="1:10" x14ac:dyDescent="0.2">
      <c r="A24" s="110" t="s">
        <v>79</v>
      </c>
      <c r="B24" s="74"/>
      <c r="C24" s="35"/>
      <c r="D24" s="35">
        <f>SUM(D22,D23:D23)</f>
        <v>62.583254000000018</v>
      </c>
      <c r="E24" s="73"/>
      <c r="F24" s="35"/>
      <c r="G24" s="35">
        <f>SUM(G22,G23:G23)</f>
        <v>64.367454000000009</v>
      </c>
      <c r="H24" s="35">
        <f t="shared" si="3"/>
        <v>1.7841999999999913</v>
      </c>
      <c r="I24" s="36">
        <f t="shared" si="7"/>
        <v>2.8509223889189125E-2</v>
      </c>
      <c r="J24" s="111">
        <f t="shared" si="1"/>
        <v>0.50140358716297895</v>
      </c>
    </row>
    <row r="25" spans="1:10" x14ac:dyDescent="0.2">
      <c r="A25" s="107" t="s">
        <v>40</v>
      </c>
      <c r="B25" s="73">
        <f>B8</f>
        <v>564.56400000000008</v>
      </c>
      <c r="C25" s="125">
        <f>VLOOKUP($B$3,'Data for Bill Impacts'!$A$3:$Y$15,15,0)</f>
        <v>4.6979999999999999E-3</v>
      </c>
      <c r="D25" s="22">
        <f>B25*C25</f>
        <v>2.6523216720000002</v>
      </c>
      <c r="E25" s="73">
        <f t="shared" si="4"/>
        <v>564.56400000000008</v>
      </c>
      <c r="F25" s="125">
        <f>VLOOKUP($B$3,'Data for Bill Impacts'!$A$3:$Y$15,24,0)</f>
        <v>3.836E-3</v>
      </c>
      <c r="G25" s="22">
        <f>E25*F25</f>
        <v>2.1656675040000004</v>
      </c>
      <c r="H25" s="22">
        <f t="shared" si="3"/>
        <v>-0.48665416799999983</v>
      </c>
      <c r="I25" s="23">
        <f t="shared" si="7"/>
        <v>-0.18348233290762017</v>
      </c>
      <c r="J25" s="124">
        <f t="shared" si="1"/>
        <v>1.6869914648292524E-2</v>
      </c>
    </row>
    <row r="26" spans="1:10" s="1" customFormat="1" x14ac:dyDescent="0.2">
      <c r="A26" s="107" t="s">
        <v>41</v>
      </c>
      <c r="B26" s="73">
        <f>B8</f>
        <v>564.56400000000008</v>
      </c>
      <c r="C26" s="125">
        <f>VLOOKUP($B$3,'Data for Bill Impacts'!$A$3:$Y$15,16,0)</f>
        <v>4.2899999999999995E-3</v>
      </c>
      <c r="D26" s="22">
        <f>B26*C26</f>
        <v>2.42197956</v>
      </c>
      <c r="E26" s="73">
        <f t="shared" si="4"/>
        <v>564.56400000000008</v>
      </c>
      <c r="F26" s="125">
        <f>VLOOKUP($B$3,'Data for Bill Impacts'!$A$3:$Y$15,25,0)</f>
        <v>3.6240000000000001E-3</v>
      </c>
      <c r="G26" s="22">
        <f>E26*F26</f>
        <v>2.0459799360000002</v>
      </c>
      <c r="H26" s="22">
        <f t="shared" si="3"/>
        <v>-0.37599962399999987</v>
      </c>
      <c r="I26" s="23">
        <f t="shared" si="7"/>
        <v>-0.1552447552447552</v>
      </c>
      <c r="J26" s="124">
        <f t="shared" si="1"/>
        <v>1.5937583598908261E-2</v>
      </c>
    </row>
    <row r="27" spans="1:10" s="1" customFormat="1" x14ac:dyDescent="0.2">
      <c r="A27" s="110" t="s">
        <v>76</v>
      </c>
      <c r="B27" s="74"/>
      <c r="C27" s="35"/>
      <c r="D27" s="35">
        <f>SUM(D25:D26)</f>
        <v>5.0743012319999998</v>
      </c>
      <c r="E27" s="73"/>
      <c r="F27" s="35"/>
      <c r="G27" s="35">
        <f>SUM(G25:G26)</f>
        <v>4.2116474400000001</v>
      </c>
      <c r="H27" s="35">
        <f t="shared" si="3"/>
        <v>-0.8626537919999997</v>
      </c>
      <c r="I27" s="36">
        <f t="shared" si="7"/>
        <v>-0.1700044503782821</v>
      </c>
      <c r="J27" s="111">
        <f t="shared" si="1"/>
        <v>3.2807498247200785E-2</v>
      </c>
    </row>
    <row r="28" spans="1:10" s="1" customFormat="1" x14ac:dyDescent="0.2">
      <c r="A28" s="110" t="s">
        <v>80</v>
      </c>
      <c r="B28" s="74"/>
      <c r="C28" s="35"/>
      <c r="D28" s="35">
        <f>D24+D27</f>
        <v>67.657555232000021</v>
      </c>
      <c r="E28" s="73"/>
      <c r="F28" s="35"/>
      <c r="G28" s="35">
        <f>G24+G27</f>
        <v>68.579101440000017</v>
      </c>
      <c r="H28" s="35">
        <f t="shared" si="3"/>
        <v>0.9215462079999952</v>
      </c>
      <c r="I28" s="36">
        <f t="shared" si="7"/>
        <v>1.3620743534701815E-2</v>
      </c>
      <c r="J28" s="111">
        <f t="shared" si="1"/>
        <v>0.53421108541017981</v>
      </c>
    </row>
    <row r="29" spans="1:10" x14ac:dyDescent="0.2">
      <c r="A29" s="107" t="s">
        <v>42</v>
      </c>
      <c r="B29" s="73">
        <f>B8</f>
        <v>564.56400000000008</v>
      </c>
      <c r="C29" s="34">
        <v>3.5999999999999999E-3</v>
      </c>
      <c r="D29" s="22">
        <f>B29*C29</f>
        <v>2.0324304000000004</v>
      </c>
      <c r="E29" s="73">
        <f t="shared" si="4"/>
        <v>564.56400000000008</v>
      </c>
      <c r="F29" s="34">
        <v>3.5999999999999999E-3</v>
      </c>
      <c r="G29" s="22">
        <f>E29*F29</f>
        <v>2.0324304000000004</v>
      </c>
      <c r="H29" s="22">
        <f t="shared" si="3"/>
        <v>0</v>
      </c>
      <c r="I29" s="23">
        <f t="shared" si="7"/>
        <v>0</v>
      </c>
      <c r="J29" s="124">
        <f t="shared" si="1"/>
        <v>1.5832036687657217E-2</v>
      </c>
    </row>
    <row r="30" spans="1:10" s="1" customFormat="1" x14ac:dyDescent="0.2">
      <c r="A30" s="107" t="s">
        <v>43</v>
      </c>
      <c r="B30" s="73">
        <f>B8</f>
        <v>564.56400000000008</v>
      </c>
      <c r="C30" s="34">
        <v>1.2999999999999999E-3</v>
      </c>
      <c r="D30" s="22">
        <f>B30*C30</f>
        <v>0.73393320000000006</v>
      </c>
      <c r="E30" s="73">
        <f t="shared" si="4"/>
        <v>564.56400000000008</v>
      </c>
      <c r="F30" s="34">
        <v>1.2999999999999999E-3</v>
      </c>
      <c r="G30" s="22">
        <f>E30*F30</f>
        <v>0.73393320000000006</v>
      </c>
      <c r="H30" s="22">
        <f>G30-D30</f>
        <v>0</v>
      </c>
      <c r="I30" s="23">
        <f t="shared" si="7"/>
        <v>0</v>
      </c>
      <c r="J30" s="124">
        <f t="shared" si="1"/>
        <v>5.7171243594317722E-3</v>
      </c>
    </row>
    <row r="31" spans="1:10" s="1" customFormat="1" x14ac:dyDescent="0.2">
      <c r="A31" s="107" t="s">
        <v>100</v>
      </c>
      <c r="B31" s="73">
        <f>B8</f>
        <v>564.56400000000008</v>
      </c>
      <c r="C31" s="34">
        <v>0</v>
      </c>
      <c r="D31" s="22">
        <f>B31*C31</f>
        <v>0</v>
      </c>
      <c r="E31" s="73">
        <f t="shared" si="4"/>
        <v>564.56400000000008</v>
      </c>
      <c r="F31" s="34">
        <v>0</v>
      </c>
      <c r="G31" s="22">
        <f>E31*F31</f>
        <v>0</v>
      </c>
      <c r="H31" s="22">
        <f>G31-D31</f>
        <v>0</v>
      </c>
      <c r="I31" s="23" t="str">
        <f t="shared" si="7"/>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si="1"/>
        <v>1.9474266729696149E-3</v>
      </c>
    </row>
    <row r="33" spans="1:10" s="1" customFormat="1" x14ac:dyDescent="0.2">
      <c r="A33" s="110" t="s">
        <v>45</v>
      </c>
      <c r="B33" s="74"/>
      <c r="C33" s="35"/>
      <c r="D33" s="35">
        <f>SUM(D29:D32)</f>
        <v>3.0163636000000005</v>
      </c>
      <c r="E33" s="73"/>
      <c r="F33" s="35"/>
      <c r="G33" s="35">
        <f>SUM(G29:G32)</f>
        <v>3.0163636000000005</v>
      </c>
      <c r="H33" s="35">
        <f t="shared" si="3"/>
        <v>0</v>
      </c>
      <c r="I33" s="36">
        <f t="shared" si="7"/>
        <v>0</v>
      </c>
      <c r="J33" s="111">
        <f t="shared" si="1"/>
        <v>2.3496587720058602E-2</v>
      </c>
    </row>
    <row r="34" spans="1:10" ht="13.5" thickBot="1" x14ac:dyDescent="0.25">
      <c r="A34" s="112" t="s">
        <v>46</v>
      </c>
      <c r="B34" s="113">
        <f>B4</f>
        <v>517</v>
      </c>
      <c r="C34" s="114">
        <v>7.0000000000000001E-3</v>
      </c>
      <c r="D34" s="115">
        <f>B34*C34</f>
        <v>3.6190000000000002</v>
      </c>
      <c r="E34" s="116">
        <f t="shared" si="4"/>
        <v>517</v>
      </c>
      <c r="F34" s="114">
        <f>C34</f>
        <v>7.0000000000000001E-3</v>
      </c>
      <c r="G34" s="115">
        <f>E34*F34</f>
        <v>3.6190000000000002</v>
      </c>
      <c r="H34" s="115">
        <f t="shared" si="3"/>
        <v>0</v>
      </c>
      <c r="I34" s="117">
        <f t="shared" si="7"/>
        <v>0</v>
      </c>
      <c r="J34" s="118">
        <f t="shared" si="1"/>
        <v>2.8190948517908147E-2</v>
      </c>
    </row>
    <row r="35" spans="1:10" x14ac:dyDescent="0.2">
      <c r="A35" s="37" t="s">
        <v>146</v>
      </c>
      <c r="B35" s="38"/>
      <c r="C35" s="39"/>
      <c r="D35" s="39">
        <f>SUM(D14,D24,D27,D33,D34)</f>
        <v>121.33991883200001</v>
      </c>
      <c r="E35" s="38"/>
      <c r="F35" s="39"/>
      <c r="G35" s="39">
        <f>SUM(G14,G24,G27,G33,G34)</f>
        <v>122.26146504000002</v>
      </c>
      <c r="H35" s="39">
        <f t="shared" si="3"/>
        <v>0.92154620800000941</v>
      </c>
      <c r="I35" s="40">
        <f t="shared" si="7"/>
        <v>7.5947488416893303E-3</v>
      </c>
      <c r="J35" s="41">
        <f t="shared" si="1"/>
        <v>0.95238095238095244</v>
      </c>
    </row>
    <row r="36" spans="1:10" x14ac:dyDescent="0.2">
      <c r="A36" s="46" t="s">
        <v>138</v>
      </c>
      <c r="B36" s="43"/>
      <c r="C36" s="26">
        <v>0.13</v>
      </c>
      <c r="D36" s="26">
        <f>D35*C36</f>
        <v>15.774189448160001</v>
      </c>
      <c r="E36" s="26"/>
      <c r="F36" s="26">
        <f>C36</f>
        <v>0.13</v>
      </c>
      <c r="G36" s="26">
        <f>G35*F36</f>
        <v>15.893990455200003</v>
      </c>
      <c r="H36" s="26">
        <f t="shared" si="3"/>
        <v>0.11980100704000129</v>
      </c>
      <c r="I36" s="44">
        <f t="shared" si="7"/>
        <v>7.5947488416893347E-3</v>
      </c>
      <c r="J36" s="45">
        <f t="shared" si="1"/>
        <v>0.12380952380952381</v>
      </c>
    </row>
    <row r="37" spans="1:10" x14ac:dyDescent="0.2">
      <c r="A37" s="46" t="s">
        <v>139</v>
      </c>
      <c r="B37" s="24"/>
      <c r="C37" s="25"/>
      <c r="D37" s="25">
        <f>SUM(D35:D36)</f>
        <v>137.11410828016</v>
      </c>
      <c r="E37" s="25"/>
      <c r="F37" s="25"/>
      <c r="G37" s="25">
        <f>SUM(G35:G36)</f>
        <v>138.15545549520002</v>
      </c>
      <c r="H37" s="25">
        <f t="shared" si="3"/>
        <v>1.0413472150400196</v>
      </c>
      <c r="I37" s="27">
        <f t="shared" si="7"/>
        <v>7.5947488416893963E-3</v>
      </c>
      <c r="J37" s="47">
        <f t="shared" si="1"/>
        <v>1.0761904761904761</v>
      </c>
    </row>
    <row r="38" spans="1:10" x14ac:dyDescent="0.2">
      <c r="A38" s="46" t="s">
        <v>140</v>
      </c>
      <c r="B38" s="43"/>
      <c r="C38" s="26">
        <v>-0.08</v>
      </c>
      <c r="D38" s="26">
        <f>D35*C38</f>
        <v>-9.7071935065600012</v>
      </c>
      <c r="E38" s="26"/>
      <c r="F38" s="26">
        <f>C38</f>
        <v>-0.08</v>
      </c>
      <c r="G38" s="26">
        <f>G35*F38</f>
        <v>-9.7809172032000014</v>
      </c>
      <c r="H38" s="26">
        <f t="shared" si="3"/>
        <v>-7.3723696640000114E-2</v>
      </c>
      <c r="I38" s="44">
        <f t="shared" si="7"/>
        <v>-7.5947488416892635E-3</v>
      </c>
      <c r="J38" s="45">
        <f t="shared" si="1"/>
        <v>-7.6190476190476197E-2</v>
      </c>
    </row>
    <row r="39" spans="1:10" ht="13.5" thickBot="1" x14ac:dyDescent="0.25">
      <c r="A39" s="46" t="s">
        <v>141</v>
      </c>
      <c r="B39" s="49"/>
      <c r="C39" s="50"/>
      <c r="D39" s="50">
        <f>SUM(D37:D38)</f>
        <v>127.40691477359999</v>
      </c>
      <c r="E39" s="50"/>
      <c r="F39" s="50"/>
      <c r="G39" s="50">
        <f>SUM(G37:G38)</f>
        <v>128.37453829200001</v>
      </c>
      <c r="H39" s="50">
        <f t="shared" si="3"/>
        <v>0.9676235184000177</v>
      </c>
      <c r="I39" s="51">
        <f t="shared" si="7"/>
        <v>7.5947488416893928E-3</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1" tint="0.499984740745262"/>
    <pageSetUpPr fitToPage="1"/>
  </sheetPr>
  <dimension ref="A1:J50"/>
  <sheetViews>
    <sheetView tabSelected="1" view="pageBreakPreview" topLeftCell="A5"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30" si="1">G12/$G$39</f>
        <v>0.13491006811837652</v>
      </c>
    </row>
    <row r="13" spans="1:10" x14ac:dyDescent="0.2">
      <c r="A13" s="107" t="s">
        <v>32</v>
      </c>
      <c r="B13" s="73">
        <f>IF(B4&gt;B7,(B4)-B7,0)</f>
        <v>1250</v>
      </c>
      <c r="C13" s="21">
        <v>0.106</v>
      </c>
      <c r="D13" s="22">
        <f>B13*C13</f>
        <v>132.5</v>
      </c>
      <c r="E13" s="73">
        <f t="shared" ref="E13" si="2">B13</f>
        <v>1250</v>
      </c>
      <c r="F13" s="21">
        <f>C13</f>
        <v>0.106</v>
      </c>
      <c r="G13" s="22">
        <f>E13*F13</f>
        <v>132.5</v>
      </c>
      <c r="H13" s="22">
        <f t="shared" ref="H13:H39" si="3">G13-D13</f>
        <v>0</v>
      </c>
      <c r="I13" s="23">
        <f t="shared" si="0"/>
        <v>0</v>
      </c>
      <c r="J13" s="124">
        <f t="shared" si="1"/>
        <v>0.26191331905765403</v>
      </c>
    </row>
    <row r="14" spans="1:10" s="1" customFormat="1" x14ac:dyDescent="0.2">
      <c r="A14" s="46" t="s">
        <v>33</v>
      </c>
      <c r="B14" s="24"/>
      <c r="C14" s="25"/>
      <c r="D14" s="25">
        <f>SUM(D12:D13)</f>
        <v>200.75</v>
      </c>
      <c r="E14" s="76"/>
      <c r="F14" s="25"/>
      <c r="G14" s="25">
        <f>SUM(G12:G13)</f>
        <v>200.75</v>
      </c>
      <c r="H14" s="25">
        <f t="shared" si="3"/>
        <v>0</v>
      </c>
      <c r="I14" s="27">
        <f t="shared" si="0"/>
        <v>0</v>
      </c>
      <c r="J14" s="47">
        <f t="shared" si="1"/>
        <v>0.39682338717603055</v>
      </c>
    </row>
    <row r="15" spans="1:10" x14ac:dyDescent="0.2">
      <c r="A15" s="107" t="s">
        <v>38</v>
      </c>
      <c r="B15" s="73">
        <v>1</v>
      </c>
      <c r="C15" s="78">
        <f>VLOOKUP($B$3,'Data for Bill Impacts'!$A$3:$Y$15,7,0)</f>
        <v>4.33</v>
      </c>
      <c r="D15" s="22">
        <f>B15*C15</f>
        <v>4.33</v>
      </c>
      <c r="E15" s="73">
        <f t="shared" ref="E15:E34" si="4">B15</f>
        <v>1</v>
      </c>
      <c r="F15" s="78">
        <f>VLOOKUP($B$3,'Data for Bill Impacts'!$A$3:$Y$15,17,0)</f>
        <v>4.7699999999999996</v>
      </c>
      <c r="G15" s="22">
        <f>E15*F15</f>
        <v>4.7699999999999996</v>
      </c>
      <c r="H15" s="22">
        <f t="shared" si="3"/>
        <v>0.4399999999999995</v>
      </c>
      <c r="I15" s="23">
        <f t="shared" si="0"/>
        <v>0.10161662817551952</v>
      </c>
      <c r="J15" s="124">
        <f t="shared" si="1"/>
        <v>9.4288794860755455E-3</v>
      </c>
    </row>
    <row r="16" spans="1:10" hidden="1" x14ac:dyDescent="0.2">
      <c r="A16" s="107" t="s">
        <v>90</v>
      </c>
      <c r="B16" s="73">
        <v>1</v>
      </c>
      <c r="C16" s="78">
        <v>0</v>
      </c>
      <c r="D16" s="22">
        <f>B16*C16</f>
        <v>0</v>
      </c>
      <c r="E16" s="73">
        <f t="shared" si="4"/>
        <v>1</v>
      </c>
      <c r="F16" s="78">
        <v>0</v>
      </c>
      <c r="G16" s="22">
        <f t="shared" ref="G16:G18" si="5">E16*F16</f>
        <v>0</v>
      </c>
      <c r="H16" s="22">
        <f t="shared" si="3"/>
        <v>0</v>
      </c>
      <c r="I16" s="23" t="str">
        <f t="shared" si="0"/>
        <v>N/A</v>
      </c>
      <c r="J16" s="124">
        <f t="shared" si="1"/>
        <v>0</v>
      </c>
    </row>
    <row r="17" spans="1:10" hidden="1" x14ac:dyDescent="0.2">
      <c r="A17" s="107" t="s">
        <v>84</v>
      </c>
      <c r="B17" s="73">
        <v>1</v>
      </c>
      <c r="C17" s="78">
        <v>0</v>
      </c>
      <c r="D17" s="22">
        <f t="shared" ref="D17:D18" si="6">B17*C17</f>
        <v>0</v>
      </c>
      <c r="E17" s="73">
        <f t="shared" si="4"/>
        <v>1</v>
      </c>
      <c r="F17" s="78">
        <v>0</v>
      </c>
      <c r="G17" s="22">
        <f t="shared" si="5"/>
        <v>0</v>
      </c>
      <c r="H17" s="22">
        <f t="shared" si="3"/>
        <v>0</v>
      </c>
      <c r="I17" s="23" t="str">
        <f t="shared" si="0"/>
        <v>N/A</v>
      </c>
      <c r="J17" s="124">
        <f t="shared" si="1"/>
        <v>0</v>
      </c>
    </row>
    <row r="18" spans="1:10" x14ac:dyDescent="0.2">
      <c r="A18" s="107" t="s">
        <v>85</v>
      </c>
      <c r="B18" s="73">
        <v>1</v>
      </c>
      <c r="C18" s="121">
        <f>VLOOKUP($B$3,'Data for Bill Impacts'!$A$3:$Y$15,13,0)</f>
        <v>7.0000000000000001E-3</v>
      </c>
      <c r="D18" s="22">
        <f t="shared" si="6"/>
        <v>7.0000000000000001E-3</v>
      </c>
      <c r="E18" s="73">
        <f t="shared" si="4"/>
        <v>1</v>
      </c>
      <c r="F18" s="121">
        <f>VLOOKUP($B$3,'Data for Bill Impacts'!$A$3:$Y$15,22,0)</f>
        <v>7.0000000000000001E-3</v>
      </c>
      <c r="G18" s="22">
        <f t="shared" si="5"/>
        <v>7.0000000000000001E-3</v>
      </c>
      <c r="H18" s="22">
        <f t="shared" si="3"/>
        <v>0</v>
      </c>
      <c r="I18" s="23">
        <f t="shared" si="0"/>
        <v>0</v>
      </c>
      <c r="J18" s="124">
        <f t="shared" si="1"/>
        <v>1.3836930063423233E-5</v>
      </c>
    </row>
    <row r="19" spans="1:10" x14ac:dyDescent="0.2">
      <c r="A19" s="107" t="s">
        <v>39</v>
      </c>
      <c r="B19" s="73">
        <f>IF($B$9="kWh",$B$4,$B$5)</f>
        <v>2000</v>
      </c>
      <c r="C19" s="125">
        <f>VLOOKUP($B$3,'Data for Bill Impacts'!$A$3:$Y$15,10,0)</f>
        <v>0.1043</v>
      </c>
      <c r="D19" s="22">
        <f>B19*C19</f>
        <v>208.6</v>
      </c>
      <c r="E19" s="73">
        <f t="shared" si="4"/>
        <v>2000</v>
      </c>
      <c r="F19" s="78">
        <f>VLOOKUP($B$3,'Data for Bill Impacts'!$A$3:$Y$15,19,0)</f>
        <v>0.1069</v>
      </c>
      <c r="G19" s="22">
        <f>E19*F19</f>
        <v>213.79999999999998</v>
      </c>
      <c r="H19" s="22">
        <f t="shared" si="3"/>
        <v>5.1999999999999886</v>
      </c>
      <c r="I19" s="23">
        <f>IF(ISERROR(H19/ABS(D19)),"N/A",(H19/ABS(D19)))</f>
        <v>2.4928092042185948E-2</v>
      </c>
      <c r="J19" s="124">
        <f t="shared" si="1"/>
        <v>0.42261937822284096</v>
      </c>
    </row>
    <row r="20" spans="1:10" s="1" customFormat="1" x14ac:dyDescent="0.2">
      <c r="A20" s="107" t="s">
        <v>199</v>
      </c>
      <c r="B20" s="73">
        <f>IF($B$9="kWh",$B$4,$B$5)</f>
        <v>2000</v>
      </c>
      <c r="C20" s="125">
        <f>VLOOKUP($B$3,'Data for Bill Impacts'!$A$3:$Y$15,14,0)</f>
        <v>-9.9999999999999991E-6</v>
      </c>
      <c r="D20" s="22">
        <f>B20*C20</f>
        <v>-1.9999999999999997E-2</v>
      </c>
      <c r="E20" s="73">
        <f>B20</f>
        <v>2000</v>
      </c>
      <c r="F20" s="125">
        <f>VLOOKUP($B$3,'Data for Bill Impacts'!$A$3:$Y$15,23,0)</f>
        <v>-9.9999999999999991E-6</v>
      </c>
      <c r="G20" s="22">
        <f>E20*F20</f>
        <v>-1.9999999999999997E-2</v>
      </c>
      <c r="H20" s="22">
        <f>G20-D20</f>
        <v>0</v>
      </c>
      <c r="I20" s="23">
        <f>IF(ISERROR(H20/D20),0,(H20/D20))</f>
        <v>0</v>
      </c>
      <c r="J20" s="124">
        <f t="shared" si="1"/>
        <v>-3.9534085895494945E-5</v>
      </c>
    </row>
    <row r="21" spans="1:10" hidden="1" x14ac:dyDescent="0.2">
      <c r="A21" s="107" t="s">
        <v>86</v>
      </c>
      <c r="B21" s="73">
        <f>IF($B$9="kWh",$B$4,$B$5)</f>
        <v>2000</v>
      </c>
      <c r="C21" s="125">
        <v>0</v>
      </c>
      <c r="D21" s="22">
        <f>B21*C21</f>
        <v>0</v>
      </c>
      <c r="E21" s="73">
        <f t="shared" si="4"/>
        <v>2000</v>
      </c>
      <c r="F21" s="78">
        <v>0</v>
      </c>
      <c r="G21" s="22">
        <f>E21*F21</f>
        <v>0</v>
      </c>
      <c r="H21" s="22">
        <f t="shared" si="3"/>
        <v>0</v>
      </c>
      <c r="I21" s="23">
        <f>IF(ISERROR(H21/D21),0,(H21/D21))</f>
        <v>0</v>
      </c>
      <c r="J21" s="124">
        <f t="shared" si="1"/>
        <v>0</v>
      </c>
    </row>
    <row r="22" spans="1:10" x14ac:dyDescent="0.2">
      <c r="A22" s="110" t="s">
        <v>72</v>
      </c>
      <c r="B22" s="74"/>
      <c r="C22" s="35"/>
      <c r="D22" s="35">
        <f>SUM(D15:D21)</f>
        <v>212.91699999999997</v>
      </c>
      <c r="E22" s="73"/>
      <c r="F22" s="35"/>
      <c r="G22" s="35">
        <f>SUM(G15:G21)</f>
        <v>218.55699999999996</v>
      </c>
      <c r="H22" s="35">
        <f t="shared" si="3"/>
        <v>5.6399999999999864</v>
      </c>
      <c r="I22" s="36">
        <f t="shared" ref="I22:I39" si="7">IF(ISERROR(H22/ABS(D22)),"N/A",(H22/ABS(D22)))</f>
        <v>2.64891953202421E-2</v>
      </c>
      <c r="J22" s="111">
        <f t="shared" si="1"/>
        <v>0.43202256055308441</v>
      </c>
    </row>
    <row r="23" spans="1:10" s="1" customFormat="1" x14ac:dyDescent="0.2">
      <c r="A23" s="119" t="s">
        <v>81</v>
      </c>
      <c r="B23" s="120">
        <f>B8-B4</f>
        <v>184</v>
      </c>
      <c r="C23" s="257">
        <f>IF(B4&gt;B7,C13,C12)</f>
        <v>0.106</v>
      </c>
      <c r="D23" s="22">
        <f>B23*C23</f>
        <v>19.503999999999998</v>
      </c>
      <c r="E23" s="73">
        <f>B23</f>
        <v>184</v>
      </c>
      <c r="F23" s="257">
        <f>C23</f>
        <v>0.106</v>
      </c>
      <c r="G23" s="22">
        <f>E23*F23</f>
        <v>19.503999999999998</v>
      </c>
      <c r="H23" s="22">
        <f t="shared" si="3"/>
        <v>0</v>
      </c>
      <c r="I23" s="23">
        <f t="shared" si="7"/>
        <v>0</v>
      </c>
      <c r="J23" s="124">
        <f t="shared" si="1"/>
        <v>3.8553640565286672E-2</v>
      </c>
    </row>
    <row r="24" spans="1:10" x14ac:dyDescent="0.2">
      <c r="A24" s="110" t="s">
        <v>79</v>
      </c>
      <c r="B24" s="74"/>
      <c r="C24" s="35"/>
      <c r="D24" s="35">
        <f>SUM(D22,D23:D23)</f>
        <v>232.42099999999996</v>
      </c>
      <c r="E24" s="73"/>
      <c r="F24" s="35"/>
      <c r="G24" s="35">
        <f>SUM(G22,G23:G23)</f>
        <v>238.06099999999995</v>
      </c>
      <c r="H24" s="35">
        <f t="shared" si="3"/>
        <v>5.6399999999999864</v>
      </c>
      <c r="I24" s="36">
        <f t="shared" si="7"/>
        <v>2.4266309842914311E-2</v>
      </c>
      <c r="J24" s="111">
        <f t="shared" si="1"/>
        <v>0.47057620111837106</v>
      </c>
    </row>
    <row r="25" spans="1:10" x14ac:dyDescent="0.2">
      <c r="A25" s="107" t="s">
        <v>40</v>
      </c>
      <c r="B25" s="73">
        <f>B8</f>
        <v>2184</v>
      </c>
      <c r="C25" s="125">
        <f>VLOOKUP($B$3,'Data for Bill Impacts'!$A$3:$Y$15,15,0)</f>
        <v>4.6979999999999999E-3</v>
      </c>
      <c r="D25" s="22">
        <f>B25*C25</f>
        <v>10.260432</v>
      </c>
      <c r="E25" s="73">
        <f t="shared" si="4"/>
        <v>2184</v>
      </c>
      <c r="F25" s="125">
        <f>VLOOKUP($B$3,'Data for Bill Impacts'!$A$3:$Y$15,24,0)</f>
        <v>3.836E-3</v>
      </c>
      <c r="G25" s="22">
        <f>E25*F25</f>
        <v>8.3778240000000004</v>
      </c>
      <c r="H25" s="22">
        <f t="shared" si="3"/>
        <v>-1.8826079999999994</v>
      </c>
      <c r="I25" s="23">
        <f t="shared" si="7"/>
        <v>-0.1834823329076202</v>
      </c>
      <c r="J25" s="124">
        <f t="shared" si="1"/>
        <v>1.6560480681666954E-2</v>
      </c>
    </row>
    <row r="26" spans="1:10" s="1" customFormat="1" x14ac:dyDescent="0.2">
      <c r="A26" s="107" t="s">
        <v>41</v>
      </c>
      <c r="B26" s="73">
        <f>B8</f>
        <v>2184</v>
      </c>
      <c r="C26" s="125">
        <f>VLOOKUP($B$3,'Data for Bill Impacts'!$A$3:$Y$15,16,0)</f>
        <v>4.2899999999999995E-3</v>
      </c>
      <c r="D26" s="22">
        <f>B26*C26</f>
        <v>9.3693599999999986</v>
      </c>
      <c r="E26" s="73">
        <f t="shared" si="4"/>
        <v>2184</v>
      </c>
      <c r="F26" s="125">
        <f>VLOOKUP($B$3,'Data for Bill Impacts'!$A$3:$Y$15,25,0)</f>
        <v>3.6240000000000001E-3</v>
      </c>
      <c r="G26" s="22">
        <f>E26*F26</f>
        <v>7.9148160000000001</v>
      </c>
      <c r="H26" s="22">
        <f t="shared" si="3"/>
        <v>-1.4545439999999985</v>
      </c>
      <c r="I26" s="23">
        <f t="shared" si="7"/>
        <v>-0.15524475524475512</v>
      </c>
      <c r="J26" s="124">
        <f t="shared" si="1"/>
        <v>1.5645250779551888E-2</v>
      </c>
    </row>
    <row r="27" spans="1:10" s="1" customFormat="1" x14ac:dyDescent="0.2">
      <c r="A27" s="110" t="s">
        <v>76</v>
      </c>
      <c r="B27" s="74"/>
      <c r="C27" s="35"/>
      <c r="D27" s="35">
        <f>SUM(D25:D26)</f>
        <v>19.629791999999998</v>
      </c>
      <c r="E27" s="73"/>
      <c r="F27" s="35"/>
      <c r="G27" s="35">
        <f>SUM(G25:G26)</f>
        <v>16.292639999999999</v>
      </c>
      <c r="H27" s="35">
        <f t="shared" si="3"/>
        <v>-3.3371519999999997</v>
      </c>
      <c r="I27" s="36">
        <f t="shared" si="7"/>
        <v>-0.17000445037828216</v>
      </c>
      <c r="J27" s="111">
        <f t="shared" si="1"/>
        <v>3.2205731461218842E-2</v>
      </c>
    </row>
    <row r="28" spans="1:10" s="1" customFormat="1" x14ac:dyDescent="0.2">
      <c r="A28" s="110" t="s">
        <v>80</v>
      </c>
      <c r="B28" s="74"/>
      <c r="C28" s="35"/>
      <c r="D28" s="35">
        <f>D24+D27</f>
        <v>252.05079199999997</v>
      </c>
      <c r="E28" s="73"/>
      <c r="F28" s="35"/>
      <c r="G28" s="35">
        <f>G24+G27</f>
        <v>254.35363999999996</v>
      </c>
      <c r="H28" s="35">
        <f t="shared" si="3"/>
        <v>2.3028479999999831</v>
      </c>
      <c r="I28" s="36">
        <f t="shared" si="7"/>
        <v>9.1364442131964558E-3</v>
      </c>
      <c r="J28" s="111">
        <f t="shared" si="1"/>
        <v>0.50278193257958992</v>
      </c>
    </row>
    <row r="29" spans="1:10" x14ac:dyDescent="0.2">
      <c r="A29" s="107" t="s">
        <v>42</v>
      </c>
      <c r="B29" s="73">
        <f>B8</f>
        <v>2184</v>
      </c>
      <c r="C29" s="34">
        <v>3.5999999999999999E-3</v>
      </c>
      <c r="D29" s="22">
        <f>B29*C29</f>
        <v>7.8624000000000001</v>
      </c>
      <c r="E29" s="73">
        <f t="shared" si="4"/>
        <v>2184</v>
      </c>
      <c r="F29" s="34">
        <v>3.5999999999999999E-3</v>
      </c>
      <c r="G29" s="22">
        <f>E29*F29</f>
        <v>7.8624000000000001</v>
      </c>
      <c r="H29" s="22">
        <f t="shared" si="3"/>
        <v>0</v>
      </c>
      <c r="I29" s="23">
        <f t="shared" si="7"/>
        <v>0</v>
      </c>
      <c r="J29" s="124">
        <f t="shared" si="1"/>
        <v>1.5541639847236974E-2</v>
      </c>
    </row>
    <row r="30" spans="1:10" s="1" customFormat="1" x14ac:dyDescent="0.2">
      <c r="A30" s="107" t="s">
        <v>43</v>
      </c>
      <c r="B30" s="73">
        <f>B8</f>
        <v>2184</v>
      </c>
      <c r="C30" s="34">
        <v>2.0999999999999999E-3</v>
      </c>
      <c r="D30" s="22">
        <f>B30*C30</f>
        <v>4.5863999999999994</v>
      </c>
      <c r="E30" s="73">
        <f t="shared" si="4"/>
        <v>2184</v>
      </c>
      <c r="F30" s="34">
        <v>2.0999999999999999E-3</v>
      </c>
      <c r="G30" s="22">
        <f>E30*F30</f>
        <v>4.5863999999999994</v>
      </c>
      <c r="H30" s="22">
        <f>G30-D30</f>
        <v>0</v>
      </c>
      <c r="I30" s="23">
        <f t="shared" si="7"/>
        <v>0</v>
      </c>
      <c r="J30" s="124">
        <f t="shared" si="1"/>
        <v>9.0659565775549015E-3</v>
      </c>
    </row>
    <row r="31" spans="1:10" s="1" customFormat="1" x14ac:dyDescent="0.2">
      <c r="A31" s="107" t="s">
        <v>100</v>
      </c>
      <c r="B31" s="73">
        <f>B8</f>
        <v>2184</v>
      </c>
      <c r="C31" s="34">
        <v>0</v>
      </c>
      <c r="D31" s="22">
        <f>B31*C31</f>
        <v>0</v>
      </c>
      <c r="E31" s="73">
        <f t="shared" si="4"/>
        <v>2184</v>
      </c>
      <c r="F31" s="34">
        <v>0</v>
      </c>
      <c r="G31" s="22">
        <f>E31*F31</f>
        <v>0</v>
      </c>
      <c r="H31" s="22">
        <f>G31-D31</f>
        <v>0</v>
      </c>
      <c r="I31" s="23" t="str">
        <f t="shared" si="7"/>
        <v>N/A</v>
      </c>
      <c r="J31" s="124">
        <f t="shared" ref="J31" si="8">G31/$G$39</f>
        <v>0</v>
      </c>
    </row>
    <row r="32" spans="1:10" x14ac:dyDescent="0.2">
      <c r="A32" s="107" t="s">
        <v>44</v>
      </c>
      <c r="B32" s="73">
        <v>1</v>
      </c>
      <c r="C32" s="22">
        <v>0.25</v>
      </c>
      <c r="D32" s="22">
        <f>B32*C32</f>
        <v>0.25</v>
      </c>
      <c r="E32" s="73">
        <f t="shared" si="4"/>
        <v>1</v>
      </c>
      <c r="F32" s="22">
        <f>C32</f>
        <v>0.25</v>
      </c>
      <c r="G32" s="22">
        <f>E32*F32</f>
        <v>0.25</v>
      </c>
      <c r="H32" s="22">
        <f t="shared" si="3"/>
        <v>0</v>
      </c>
      <c r="I32" s="23">
        <f t="shared" si="7"/>
        <v>0</v>
      </c>
      <c r="J32" s="124">
        <f t="shared" ref="J32:J39" si="9">G32/$G$39</f>
        <v>4.9417607369368693E-4</v>
      </c>
    </row>
    <row r="33" spans="1:10" s="1" customFormat="1" x14ac:dyDescent="0.2">
      <c r="A33" s="110" t="s">
        <v>45</v>
      </c>
      <c r="B33" s="74"/>
      <c r="C33" s="35"/>
      <c r="D33" s="35">
        <f>SUM(D29:D32)</f>
        <v>12.698799999999999</v>
      </c>
      <c r="E33" s="73"/>
      <c r="F33" s="35"/>
      <c r="G33" s="35">
        <f>SUM(G29:G32)</f>
        <v>12.698799999999999</v>
      </c>
      <c r="H33" s="35">
        <f t="shared" si="3"/>
        <v>0</v>
      </c>
      <c r="I33" s="36">
        <f t="shared" si="7"/>
        <v>0</v>
      </c>
      <c r="J33" s="111">
        <f t="shared" si="9"/>
        <v>2.510177249848556E-2</v>
      </c>
    </row>
    <row r="34" spans="1:10" ht="13.5" thickBot="1" x14ac:dyDescent="0.25">
      <c r="A34" s="112" t="s">
        <v>46</v>
      </c>
      <c r="B34" s="113">
        <f>B4</f>
        <v>2000</v>
      </c>
      <c r="C34" s="114">
        <v>7.0000000000000001E-3</v>
      </c>
      <c r="D34" s="115">
        <f>B34*C34</f>
        <v>14</v>
      </c>
      <c r="E34" s="116">
        <f t="shared" si="4"/>
        <v>2000</v>
      </c>
      <c r="F34" s="114">
        <f>C34</f>
        <v>7.0000000000000001E-3</v>
      </c>
      <c r="G34" s="115">
        <f>E34*F34</f>
        <v>14</v>
      </c>
      <c r="H34" s="115">
        <f t="shared" si="3"/>
        <v>0</v>
      </c>
      <c r="I34" s="117">
        <f t="shared" si="7"/>
        <v>0</v>
      </c>
      <c r="J34" s="118">
        <f t="shared" si="9"/>
        <v>2.7673860126846465E-2</v>
      </c>
    </row>
    <row r="35" spans="1:10" x14ac:dyDescent="0.2">
      <c r="A35" s="37" t="s">
        <v>146</v>
      </c>
      <c r="B35" s="38"/>
      <c r="C35" s="39"/>
      <c r="D35" s="39">
        <f>SUM(D14,D24,D27,D33,D34)</f>
        <v>479.49959199999995</v>
      </c>
      <c r="E35" s="38"/>
      <c r="F35" s="39"/>
      <c r="G35" s="39">
        <f>SUM(G14,G24,G27,G33,G34)</f>
        <v>481.80243999999993</v>
      </c>
      <c r="H35" s="39">
        <f t="shared" si="3"/>
        <v>2.3028479999999831</v>
      </c>
      <c r="I35" s="40">
        <f t="shared" si="7"/>
        <v>4.8026067976299413E-3</v>
      </c>
      <c r="J35" s="41">
        <f t="shared" si="9"/>
        <v>0.95238095238095244</v>
      </c>
    </row>
    <row r="36" spans="1:10" x14ac:dyDescent="0.2">
      <c r="A36" s="46" t="s">
        <v>138</v>
      </c>
      <c r="B36" s="43"/>
      <c r="C36" s="26">
        <v>0.13</v>
      </c>
      <c r="D36" s="26">
        <f>D35*C36</f>
        <v>62.334946959999996</v>
      </c>
      <c r="E36" s="26"/>
      <c r="F36" s="26">
        <f>C36</f>
        <v>0.13</v>
      </c>
      <c r="G36" s="26">
        <f>G35*F36</f>
        <v>62.634317199999991</v>
      </c>
      <c r="H36" s="26">
        <f t="shared" si="3"/>
        <v>0.29937023999999468</v>
      </c>
      <c r="I36" s="44">
        <f t="shared" si="7"/>
        <v>4.802606797629891E-3</v>
      </c>
      <c r="J36" s="45">
        <f t="shared" si="9"/>
        <v>0.12380952380952381</v>
      </c>
    </row>
    <row r="37" spans="1:10" x14ac:dyDescent="0.2">
      <c r="A37" s="46" t="s">
        <v>139</v>
      </c>
      <c r="B37" s="24"/>
      <c r="C37" s="25"/>
      <c r="D37" s="25">
        <f>SUM(D35:D36)</f>
        <v>541.83453895999992</v>
      </c>
      <c r="E37" s="25"/>
      <c r="F37" s="25"/>
      <c r="G37" s="25">
        <f>SUM(G35:G36)</f>
        <v>544.43675719999987</v>
      </c>
      <c r="H37" s="25">
        <f t="shared" si="3"/>
        <v>2.6022182399999565</v>
      </c>
      <c r="I37" s="27">
        <f t="shared" si="7"/>
        <v>4.8026067976298962E-3</v>
      </c>
      <c r="J37" s="47">
        <f t="shared" si="9"/>
        <v>1.0761904761904761</v>
      </c>
    </row>
    <row r="38" spans="1:10" x14ac:dyDescent="0.2">
      <c r="A38" s="46" t="s">
        <v>140</v>
      </c>
      <c r="B38" s="43"/>
      <c r="C38" s="26">
        <v>-0.08</v>
      </c>
      <c r="D38" s="26">
        <f>D35*C38</f>
        <v>-38.359967359999999</v>
      </c>
      <c r="E38" s="26"/>
      <c r="F38" s="26">
        <f>C38</f>
        <v>-0.08</v>
      </c>
      <c r="G38" s="26">
        <f>G35*F38</f>
        <v>-38.544195199999997</v>
      </c>
      <c r="H38" s="26">
        <f t="shared" si="3"/>
        <v>-0.18422783999999837</v>
      </c>
      <c r="I38" s="44">
        <f t="shared" si="7"/>
        <v>-4.8026067976299335E-3</v>
      </c>
      <c r="J38" s="45">
        <f t="shared" si="9"/>
        <v>-7.6190476190476197E-2</v>
      </c>
    </row>
    <row r="39" spans="1:10" ht="13.5" thickBot="1" x14ac:dyDescent="0.25">
      <c r="A39" s="46" t="s">
        <v>141</v>
      </c>
      <c r="B39" s="49"/>
      <c r="C39" s="50"/>
      <c r="D39" s="50">
        <f>SUM(D37:D38)</f>
        <v>503.47457159999993</v>
      </c>
      <c r="E39" s="50"/>
      <c r="F39" s="50"/>
      <c r="G39" s="50">
        <f>SUM(G37:G38)</f>
        <v>505.89256199999988</v>
      </c>
      <c r="H39" s="50">
        <f t="shared" si="3"/>
        <v>2.417990399999951</v>
      </c>
      <c r="I39" s="51">
        <f t="shared" si="7"/>
        <v>4.8026067976298789E-3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K66"/>
  <sheetViews>
    <sheetView tabSelected="1" topLeftCell="A4"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200</v>
      </c>
      <c r="C3" s="13" t="s">
        <v>113</v>
      </c>
    </row>
    <row r="4" spans="1:11" x14ac:dyDescent="0.2">
      <c r="A4" s="15" t="s">
        <v>62</v>
      </c>
      <c r="B4" s="15">
        <v>350</v>
      </c>
      <c r="C4" s="15">
        <v>350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81">
        <f>B4*B6</f>
        <v>369.95</v>
      </c>
      <c r="C8" s="181">
        <f>C4*C6</f>
        <v>365.08499999999998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350</v>
      </c>
      <c r="C12" s="103">
        <v>9.0999999999999998E-2</v>
      </c>
      <c r="D12" s="104">
        <f>B12*C12</f>
        <v>31.849999999999998</v>
      </c>
      <c r="E12" s="102">
        <f>IF(B4&gt;B7,B7,B4)</f>
        <v>350</v>
      </c>
      <c r="F12" s="103">
        <f>C12</f>
        <v>9.0999999999999998E-2</v>
      </c>
      <c r="G12" s="104">
        <f>E12*F12</f>
        <v>31.849999999999998</v>
      </c>
      <c r="H12" s="104">
        <f>G12-D12</f>
        <v>0</v>
      </c>
      <c r="I12" s="105">
        <f t="shared" ref="I12:I18" si="0">IF(ISERROR(H12/ABS(D12)),"N/A",(H12/ABS(D12)))</f>
        <v>0</v>
      </c>
      <c r="J12" s="105">
        <f>G12/$G$44</f>
        <v>0.41788075951618953</v>
      </c>
      <c r="K12" s="106"/>
    </row>
    <row r="13" spans="1:11" x14ac:dyDescent="0.2">
      <c r="A13" s="107" t="s">
        <v>32</v>
      </c>
      <c r="B13" s="73">
        <f>IF(C4&gt;C7,(C4)-C7,0)</f>
        <v>0</v>
      </c>
      <c r="C13" s="21">
        <v>0.106</v>
      </c>
      <c r="D13" s="22">
        <f>IF(B4&gt;B7,(B4)-B7,0)</f>
        <v>0</v>
      </c>
      <c r="E13" s="73">
        <f>IF(B4&gt;B7,(B4)-B7,0)</f>
        <v>0</v>
      </c>
      <c r="F13" s="21">
        <f>C13</f>
        <v>0.106</v>
      </c>
      <c r="G13" s="22">
        <f>E13*F13</f>
        <v>0</v>
      </c>
      <c r="H13" s="22">
        <f t="shared" ref="H13:H44" si="1">G13-D13</f>
        <v>0</v>
      </c>
      <c r="I13" s="23" t="str">
        <f t="shared" si="0"/>
        <v>N/A</v>
      </c>
      <c r="J13" s="23">
        <f>G13/$G$44</f>
        <v>0</v>
      </c>
      <c r="K13" s="108"/>
    </row>
    <row r="14" spans="1:11" s="1" customFormat="1" x14ac:dyDescent="0.2">
      <c r="A14" s="46" t="s">
        <v>33</v>
      </c>
      <c r="B14" s="24"/>
      <c r="C14" s="25"/>
      <c r="D14" s="25">
        <f>SUM(D12:D13)</f>
        <v>31.849999999999998</v>
      </c>
      <c r="E14" s="76"/>
      <c r="F14" s="25"/>
      <c r="G14" s="25">
        <f>SUM(G12:G13)</f>
        <v>31.849999999999998</v>
      </c>
      <c r="H14" s="25">
        <f t="shared" si="1"/>
        <v>0</v>
      </c>
      <c r="I14" s="27">
        <f t="shared" si="0"/>
        <v>0</v>
      </c>
      <c r="J14" s="27">
        <f>G14/$G$44</f>
        <v>0.41788075951618953</v>
      </c>
      <c r="K14" s="108"/>
    </row>
    <row r="15" spans="1:11" s="1" customFormat="1" x14ac:dyDescent="0.2">
      <c r="A15" s="109" t="s">
        <v>34</v>
      </c>
      <c r="B15" s="75">
        <f>C4*0.65</f>
        <v>227.5</v>
      </c>
      <c r="C15" s="28">
        <v>7.6999999999999999E-2</v>
      </c>
      <c r="D15" s="256">
        <f>B15*C15</f>
        <v>17.517499999999998</v>
      </c>
      <c r="E15" s="75">
        <f>B4*0.65</f>
        <v>227.5</v>
      </c>
      <c r="F15" s="28">
        <f t="shared" ref="F15:F17" si="2">C15</f>
        <v>7.6999999999999999E-2</v>
      </c>
      <c r="G15" s="22">
        <f>E15*F15</f>
        <v>17.517499999999998</v>
      </c>
      <c r="H15" s="22">
        <f t="shared" si="1"/>
        <v>0</v>
      </c>
      <c r="I15" s="23">
        <f t="shared" si="0"/>
        <v>0</v>
      </c>
      <c r="J15" s="23"/>
      <c r="K15" s="108">
        <f t="shared" ref="K15:K39" si="3">G15/$G$49</f>
        <v>0.22244277167480139</v>
      </c>
    </row>
    <row r="16" spans="1:11" s="1" customFormat="1" x14ac:dyDescent="0.2">
      <c r="A16" s="109" t="s">
        <v>35</v>
      </c>
      <c r="B16" s="75">
        <f>C4*0.17</f>
        <v>59.500000000000007</v>
      </c>
      <c r="C16" s="28">
        <v>0.113</v>
      </c>
      <c r="D16" s="256">
        <f t="shared" ref="D16:D17" si="4">B16*C16</f>
        <v>6.7235000000000014</v>
      </c>
      <c r="E16" s="75">
        <f>B4*0.17</f>
        <v>59.500000000000007</v>
      </c>
      <c r="F16" s="28">
        <f t="shared" si="2"/>
        <v>0.113</v>
      </c>
      <c r="G16" s="22">
        <f>E16*F16</f>
        <v>6.7235000000000014</v>
      </c>
      <c r="H16" s="22">
        <f t="shared" si="1"/>
        <v>0</v>
      </c>
      <c r="I16" s="23">
        <f t="shared" si="0"/>
        <v>0</v>
      </c>
      <c r="J16" s="23"/>
      <c r="K16" s="108">
        <f t="shared" si="3"/>
        <v>8.5377135741717E-2</v>
      </c>
    </row>
    <row r="17" spans="1:11" s="1" customFormat="1" x14ac:dyDescent="0.2">
      <c r="A17" s="109" t="s">
        <v>36</v>
      </c>
      <c r="B17" s="75">
        <f>C4*0.18</f>
        <v>63</v>
      </c>
      <c r="C17" s="28">
        <v>0.157</v>
      </c>
      <c r="D17" s="256">
        <f t="shared" si="4"/>
        <v>9.891</v>
      </c>
      <c r="E17" s="75">
        <f>B4*0.18</f>
        <v>63</v>
      </c>
      <c r="F17" s="28">
        <f t="shared" si="2"/>
        <v>0.157</v>
      </c>
      <c r="G17" s="22">
        <f>E17*F17</f>
        <v>9.891</v>
      </c>
      <c r="H17" s="22">
        <f t="shared" si="1"/>
        <v>0</v>
      </c>
      <c r="I17" s="23">
        <f t="shared" si="0"/>
        <v>0</v>
      </c>
      <c r="J17" s="23"/>
      <c r="K17" s="108">
        <f t="shared" si="3"/>
        <v>0.12559905549510267</v>
      </c>
    </row>
    <row r="18" spans="1:11" s="1" customFormat="1" x14ac:dyDescent="0.2">
      <c r="A18" s="61" t="s">
        <v>37</v>
      </c>
      <c r="B18" s="29"/>
      <c r="C18" s="30"/>
      <c r="D18" s="30">
        <f>SUM(D15:D17)</f>
        <v>34.131999999999998</v>
      </c>
      <c r="E18" s="77"/>
      <c r="F18" s="30"/>
      <c r="G18" s="30">
        <f>SUM(G15:G17)</f>
        <v>34.131999999999998</v>
      </c>
      <c r="H18" s="31">
        <f t="shared" si="1"/>
        <v>0</v>
      </c>
      <c r="I18" s="32">
        <f t="shared" si="0"/>
        <v>0</v>
      </c>
      <c r="J18" s="33">
        <f t="shared" ref="J18:J42" si="5">G18/$G$44</f>
        <v>0.44782122712108574</v>
      </c>
      <c r="K18" s="62">
        <f t="shared" si="3"/>
        <v>0.43341896291162102</v>
      </c>
    </row>
    <row r="19" spans="1:11" x14ac:dyDescent="0.2">
      <c r="A19" s="107" t="s">
        <v>38</v>
      </c>
      <c r="B19" s="73">
        <v>1</v>
      </c>
      <c r="C19" s="121">
        <f>'Data for Bill Impacts'!G22</f>
        <v>29.98</v>
      </c>
      <c r="D19" s="22">
        <f>B19*C19</f>
        <v>29.98</v>
      </c>
      <c r="E19" s="73">
        <v>1</v>
      </c>
      <c r="F19" s="121">
        <f>VLOOKUP($B$3,'Data for Bill Impacts'!$A$3:$Y$21,17,0)</f>
        <v>30.78</v>
      </c>
      <c r="G19" s="22">
        <f>E19*F19</f>
        <v>30.78</v>
      </c>
      <c r="H19" s="22">
        <f t="shared" si="1"/>
        <v>0.80000000000000071</v>
      </c>
      <c r="I19" s="23">
        <f>IF(ISERROR(H19/ABS(D19)),"N/A",(H19/ABS(D19)))</f>
        <v>2.6684456304202825E-2</v>
      </c>
      <c r="J19" s="23">
        <f t="shared" si="5"/>
        <v>0.40384206524044947</v>
      </c>
      <c r="K19" s="108">
        <f t="shared" si="3"/>
        <v>0.39085420363353146</v>
      </c>
    </row>
    <row r="20" spans="1:11" x14ac:dyDescent="0.2">
      <c r="A20" s="107" t="s">
        <v>193</v>
      </c>
      <c r="B20" s="73">
        <v>1</v>
      </c>
      <c r="C20" s="121">
        <f>'Data for Bill Impacts'!K22</f>
        <v>-0.3</v>
      </c>
      <c r="D20" s="22">
        <f t="shared" ref="D20" si="6">B20*C20</f>
        <v>-0.3</v>
      </c>
      <c r="E20" s="73">
        <v>1</v>
      </c>
      <c r="F20" s="121">
        <v>0</v>
      </c>
      <c r="G20" s="22">
        <f t="shared" ref="G20" si="7">E20*F20</f>
        <v>0</v>
      </c>
      <c r="H20" s="22">
        <f t="shared" si="1"/>
        <v>0.3</v>
      </c>
      <c r="I20" s="23">
        <f t="shared" ref="I20:I21" si="8">IF(ISERROR(H20/D20),0,(H20/D20))</f>
        <v>-1</v>
      </c>
      <c r="J20" s="23">
        <f t="shared" si="5"/>
        <v>0</v>
      </c>
      <c r="K20" s="108">
        <f t="shared" si="3"/>
        <v>0</v>
      </c>
    </row>
    <row r="21" spans="1:11" x14ac:dyDescent="0.2">
      <c r="A21" s="107" t="s">
        <v>39</v>
      </c>
      <c r="B21" s="73">
        <f>IF($C$9="kWh",$C$4,$C$5)</f>
        <v>350</v>
      </c>
      <c r="C21" s="125">
        <f>'Data for Bill Impacts'!J22</f>
        <v>0</v>
      </c>
      <c r="D21" s="22">
        <f>B21*C21</f>
        <v>0</v>
      </c>
      <c r="E21" s="73">
        <f>IF($B$9="kWh",$B$4,$B$5)</f>
        <v>350</v>
      </c>
      <c r="F21" s="125">
        <f>VLOOKUP($B$3,'Data for Bill Impacts'!$A$3:$Y$21,19,0)</f>
        <v>0</v>
      </c>
      <c r="G21" s="22">
        <f>E21*F21</f>
        <v>0</v>
      </c>
      <c r="H21" s="22">
        <f t="shared" si="1"/>
        <v>0</v>
      </c>
      <c r="I21" s="23">
        <f t="shared" si="8"/>
        <v>0</v>
      </c>
      <c r="J21" s="23">
        <f t="shared" si="5"/>
        <v>0</v>
      </c>
      <c r="K21" s="108">
        <f t="shared" si="3"/>
        <v>0</v>
      </c>
    </row>
    <row r="22" spans="1:11" x14ac:dyDescent="0.2">
      <c r="A22" s="107" t="s">
        <v>195</v>
      </c>
      <c r="B22" s="73">
        <f>IF($C$9="kWh",$C$4,$C$5)</f>
        <v>350</v>
      </c>
      <c r="C22" s="125">
        <v>0</v>
      </c>
      <c r="D22" s="22">
        <f>B22*C22</f>
        <v>0</v>
      </c>
      <c r="E22" s="73">
        <f>IF($B$9="kWh",$B$4,$B$5)</f>
        <v>350</v>
      </c>
      <c r="F22" s="125">
        <v>0</v>
      </c>
      <c r="G22" s="22">
        <f>E22*F22</f>
        <v>0</v>
      </c>
      <c r="H22" s="22">
        <f>G22-D22</f>
        <v>0</v>
      </c>
      <c r="I22" s="23" t="str">
        <f t="shared" ref="I22:I49" si="9">IF(ISERROR(H22/ABS(D22)),"N/A",(H22/ABS(D22)))</f>
        <v>N/A</v>
      </c>
      <c r="J22" s="23">
        <f t="shared" si="5"/>
        <v>0</v>
      </c>
      <c r="K22" s="108">
        <f t="shared" si="3"/>
        <v>0</v>
      </c>
    </row>
    <row r="23" spans="1:11" s="1" customFormat="1" x14ac:dyDescent="0.2">
      <c r="A23" s="110" t="s">
        <v>72</v>
      </c>
      <c r="B23" s="74"/>
      <c r="C23" s="35"/>
      <c r="D23" s="35">
        <f>SUM(D19:D22)</f>
        <v>29.68</v>
      </c>
      <c r="E23" s="73"/>
      <c r="F23" s="35"/>
      <c r="G23" s="35">
        <f>SUM(G19:G22)</f>
        <v>30.78</v>
      </c>
      <c r="H23" s="35">
        <f t="shared" si="1"/>
        <v>1.1000000000000014</v>
      </c>
      <c r="I23" s="36">
        <f t="shared" si="9"/>
        <v>3.706199460916447E-2</v>
      </c>
      <c r="J23" s="36">
        <f t="shared" si="5"/>
        <v>0.40384206524044947</v>
      </c>
      <c r="K23" s="111">
        <f t="shared" si="3"/>
        <v>0.39085420363353146</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1"/>
        <v>0</v>
      </c>
      <c r="I24" s="23">
        <f t="shared" si="9"/>
        <v>0</v>
      </c>
      <c r="J24" s="23">
        <f t="shared" si="5"/>
        <v>1.0365017269004389E-2</v>
      </c>
      <c r="K24" s="108">
        <f t="shared" si="3"/>
        <v>1.0031670593583166E-2</v>
      </c>
    </row>
    <row r="25" spans="1:11" s="1" customFormat="1" x14ac:dyDescent="0.2">
      <c r="A25" s="119" t="s">
        <v>75</v>
      </c>
      <c r="B25" s="120">
        <f>C8-C4</f>
        <v>15.08499999999998</v>
      </c>
      <c r="C25" s="257">
        <f>IF(B4&gt;B7,C13,C12)</f>
        <v>9.0999999999999998E-2</v>
      </c>
      <c r="D25" s="22">
        <f>B25*C25</f>
        <v>1.372734999999998</v>
      </c>
      <c r="E25" s="120">
        <f>B8-B4</f>
        <v>19.949999999999989</v>
      </c>
      <c r="F25" s="257">
        <f>C25</f>
        <v>9.0999999999999998E-2</v>
      </c>
      <c r="G25" s="22">
        <f>E25*F25</f>
        <v>1.8154499999999989</v>
      </c>
      <c r="H25" s="22">
        <f t="shared" si="1"/>
        <v>0.44271500000000086</v>
      </c>
      <c r="I25" s="23">
        <f t="shared" si="9"/>
        <v>0.32250580046403821</v>
      </c>
      <c r="J25" s="23">
        <f t="shared" si="5"/>
        <v>2.3819203292422791E-2</v>
      </c>
      <c r="K25" s="108">
        <f t="shared" si="3"/>
        <v>2.3053159973570315E-2</v>
      </c>
    </row>
    <row r="26" spans="1:11" s="1" customFormat="1" x14ac:dyDescent="0.2">
      <c r="A26" s="119" t="s">
        <v>74</v>
      </c>
      <c r="B26" s="120">
        <f>C8-C4</f>
        <v>15.08499999999998</v>
      </c>
      <c r="C26" s="257">
        <f>0.65*C15+0.17*C16+0.18*C17</f>
        <v>9.7519999999999996E-2</v>
      </c>
      <c r="D26" s="22">
        <f>B26*C26</f>
        <v>1.471089199999998</v>
      </c>
      <c r="E26" s="120">
        <f>B8-B4</f>
        <v>19.949999999999989</v>
      </c>
      <c r="F26" s="257">
        <f>C26</f>
        <v>9.7519999999999996E-2</v>
      </c>
      <c r="G26" s="22">
        <f>E26*F26</f>
        <v>1.9455239999999987</v>
      </c>
      <c r="H26" s="22">
        <f t="shared" si="1"/>
        <v>0.47443480000000071</v>
      </c>
      <c r="I26" s="23">
        <f t="shared" si="9"/>
        <v>0.32250580046403804</v>
      </c>
      <c r="J26" s="23">
        <f t="shared" si="5"/>
        <v>2.5525809945901871E-2</v>
      </c>
      <c r="K26" s="108">
        <f t="shared" si="3"/>
        <v>2.4704880885962382E-2</v>
      </c>
    </row>
    <row r="27" spans="1:11" s="1" customFormat="1" x14ac:dyDescent="0.2">
      <c r="A27" s="110" t="s">
        <v>78</v>
      </c>
      <c r="B27" s="74"/>
      <c r="C27" s="35"/>
      <c r="D27" s="35">
        <f>SUM(D23,D24:D25)</f>
        <v>31.842734999999998</v>
      </c>
      <c r="E27" s="73"/>
      <c r="F27" s="35"/>
      <c r="G27" s="35">
        <f>SUM(G23,G24:G25)</f>
        <v>33.385449999999999</v>
      </c>
      <c r="H27" s="35">
        <f t="shared" si="1"/>
        <v>1.5427150000000012</v>
      </c>
      <c r="I27" s="36">
        <f t="shared" si="9"/>
        <v>4.8447942678290709E-2</v>
      </c>
      <c r="J27" s="36">
        <f t="shared" si="5"/>
        <v>0.43802628580187664</v>
      </c>
      <c r="K27" s="111">
        <f t="shared" si="3"/>
        <v>0.42393903420068496</v>
      </c>
    </row>
    <row r="28" spans="1:11" s="1" customFormat="1" x14ac:dyDescent="0.2">
      <c r="A28" s="110" t="s">
        <v>77</v>
      </c>
      <c r="B28" s="74"/>
      <c r="C28" s="35"/>
      <c r="D28" s="35">
        <f>SUM(D23,D24,D26)</f>
        <v>31.941089199999997</v>
      </c>
      <c r="E28" s="73"/>
      <c r="F28" s="35"/>
      <c r="G28" s="35">
        <f>SUM(G23,G24,G26)</f>
        <v>33.515523999999999</v>
      </c>
      <c r="H28" s="35">
        <f t="shared" si="1"/>
        <v>1.5744348000000024</v>
      </c>
      <c r="I28" s="36">
        <f t="shared" si="9"/>
        <v>4.9291831914110261E-2</v>
      </c>
      <c r="J28" s="36">
        <f t="shared" si="5"/>
        <v>0.43973289245535568</v>
      </c>
      <c r="K28" s="111">
        <f t="shared" si="3"/>
        <v>0.42559075511307703</v>
      </c>
    </row>
    <row r="29" spans="1:11" x14ac:dyDescent="0.2">
      <c r="A29" s="107" t="s">
        <v>40</v>
      </c>
      <c r="B29" s="73">
        <f>C8</f>
        <v>365.08499999999998</v>
      </c>
      <c r="C29" s="78">
        <f>VLOOKUP($B$3,'Data for Bill Impacts'!$A$3:$Y$21,15,0)</f>
        <v>7.1999999999999998E-3</v>
      </c>
      <c r="D29" s="22">
        <f>B29*C29</f>
        <v>2.6286119999999999</v>
      </c>
      <c r="E29" s="73">
        <f>B8</f>
        <v>369.95</v>
      </c>
      <c r="F29" s="78">
        <f>VLOOKUP($B$3,'Data for Bill Impacts'!$A$3:$Y$21,24,0)</f>
        <v>7.3000000000000001E-3</v>
      </c>
      <c r="G29" s="22">
        <f>E29*F29</f>
        <v>2.7006350000000001</v>
      </c>
      <c r="H29" s="22">
        <f t="shared" si="1"/>
        <v>7.202300000000017E-2</v>
      </c>
      <c r="I29" s="23">
        <f t="shared" si="9"/>
        <v>2.7399631440471309E-2</v>
      </c>
      <c r="J29" s="23">
        <f t="shared" si="5"/>
        <v>3.5433073939591983E-2</v>
      </c>
      <c r="K29" s="108">
        <f t="shared" si="3"/>
        <v>3.4293519890508196E-2</v>
      </c>
    </row>
    <row r="30" spans="1:11" x14ac:dyDescent="0.2">
      <c r="A30" s="107" t="s">
        <v>41</v>
      </c>
      <c r="B30" s="73">
        <f>C8</f>
        <v>365.08499999999998</v>
      </c>
      <c r="C30" s="125">
        <f>VLOOKUP($B$3,'Data for Bill Impacts'!$A$3:$Y$21,16,0)</f>
        <v>5.5688910375990336E-3</v>
      </c>
      <c r="D30" s="22">
        <f>B30*C30</f>
        <v>2.0331185844618429</v>
      </c>
      <c r="E30" s="73">
        <f>B8</f>
        <v>369.95</v>
      </c>
      <c r="F30" s="78">
        <f>VLOOKUP($B$3,'Data for Bill Impacts'!$A$3:$Y$21,25,0)</f>
        <v>6.1999999999999998E-3</v>
      </c>
      <c r="G30" s="22">
        <f>E30*F30</f>
        <v>2.2936899999999998</v>
      </c>
      <c r="H30" s="22">
        <f t="shared" si="1"/>
        <v>0.26057141553815688</v>
      </c>
      <c r="I30" s="23">
        <f t="shared" si="9"/>
        <v>0.12816341237032611</v>
      </c>
      <c r="J30" s="23">
        <f t="shared" si="5"/>
        <v>3.0093843619927434E-2</v>
      </c>
      <c r="K30" s="108">
        <f t="shared" si="3"/>
        <v>2.9126003194678191E-2</v>
      </c>
    </row>
    <row r="31" spans="1:11" s="1" customFormat="1" x14ac:dyDescent="0.2">
      <c r="A31" s="110" t="s">
        <v>76</v>
      </c>
      <c r="B31" s="74"/>
      <c r="C31" s="35"/>
      <c r="D31" s="35">
        <f>SUM(D29:D30)</f>
        <v>4.6617305844618429</v>
      </c>
      <c r="E31" s="73"/>
      <c r="F31" s="35"/>
      <c r="G31" s="35">
        <f>SUM(G29:G30)</f>
        <v>4.9943249999999999</v>
      </c>
      <c r="H31" s="35">
        <f t="shared" si="1"/>
        <v>0.33259441553815705</v>
      </c>
      <c r="I31" s="36">
        <f t="shared" si="9"/>
        <v>7.1345696520244584E-2</v>
      </c>
      <c r="J31" s="36">
        <f t="shared" si="5"/>
        <v>6.5526917559519421E-2</v>
      </c>
      <c r="K31" s="111">
        <f t="shared" si="3"/>
        <v>6.3419523085186391E-2</v>
      </c>
    </row>
    <row r="32" spans="1:11" s="1" customFormat="1" x14ac:dyDescent="0.2">
      <c r="A32" s="110" t="s">
        <v>95</v>
      </c>
      <c r="B32" s="74"/>
      <c r="C32" s="35"/>
      <c r="D32" s="35">
        <f>D27+D31</f>
        <v>36.50446558446184</v>
      </c>
      <c r="E32" s="73"/>
      <c r="F32" s="35"/>
      <c r="G32" s="35">
        <f>G27+G31</f>
        <v>38.379774999999995</v>
      </c>
      <c r="H32" s="35">
        <f t="shared" si="1"/>
        <v>1.8753094155381547</v>
      </c>
      <c r="I32" s="36">
        <f t="shared" si="9"/>
        <v>5.1372055048968635E-2</v>
      </c>
      <c r="J32" s="36">
        <f t="shared" si="5"/>
        <v>0.50355320336139597</v>
      </c>
      <c r="K32" s="111">
        <f t="shared" si="3"/>
        <v>0.4873585572858713</v>
      </c>
    </row>
    <row r="33" spans="1:11" s="1" customFormat="1" x14ac:dyDescent="0.2">
      <c r="A33" s="110" t="s">
        <v>96</v>
      </c>
      <c r="B33" s="74"/>
      <c r="C33" s="35"/>
      <c r="D33" s="35">
        <f>D28+D31</f>
        <v>36.602819784461843</v>
      </c>
      <c r="E33" s="73"/>
      <c r="F33" s="35"/>
      <c r="G33" s="35">
        <f>G28+G31</f>
        <v>38.509849000000003</v>
      </c>
      <c r="H33" s="35">
        <f t="shared" si="1"/>
        <v>1.9070292155381594</v>
      </c>
      <c r="I33" s="36">
        <f t="shared" si="9"/>
        <v>5.2100609372934342E-2</v>
      </c>
      <c r="J33" s="36">
        <f t="shared" si="5"/>
        <v>0.50525981001487519</v>
      </c>
      <c r="K33" s="111">
        <f t="shared" si="3"/>
        <v>0.48901027819826343</v>
      </c>
    </row>
    <row r="34" spans="1:11" x14ac:dyDescent="0.2">
      <c r="A34" s="107" t="s">
        <v>42</v>
      </c>
      <c r="B34" s="73">
        <f>C8</f>
        <v>365.08499999999998</v>
      </c>
      <c r="C34" s="34">
        <v>3.5999999999999999E-3</v>
      </c>
      <c r="D34" s="22">
        <f>B34*C34</f>
        <v>1.314306</v>
      </c>
      <c r="E34" s="73">
        <f>B8</f>
        <v>369.95</v>
      </c>
      <c r="F34" s="34">
        <v>3.5999999999999999E-3</v>
      </c>
      <c r="G34" s="22">
        <f>E34*F34</f>
        <v>1.33182</v>
      </c>
      <c r="H34" s="22">
        <f t="shared" si="1"/>
        <v>1.751400000000003E-2</v>
      </c>
      <c r="I34" s="23">
        <f t="shared" si="9"/>
        <v>1.3325663886492209E-2</v>
      </c>
      <c r="J34" s="23">
        <f t="shared" si="5"/>
        <v>1.7473844682538511E-2</v>
      </c>
      <c r="K34" s="108">
        <f t="shared" si="3"/>
        <v>1.6911872822716369E-2</v>
      </c>
    </row>
    <row r="35" spans="1:11" x14ac:dyDescent="0.2">
      <c r="A35" s="107" t="s">
        <v>43</v>
      </c>
      <c r="B35" s="73">
        <f>C8</f>
        <v>365.08499999999998</v>
      </c>
      <c r="C35" s="34">
        <v>2.0999999999999999E-3</v>
      </c>
      <c r="D35" s="22">
        <f>B35*C35</f>
        <v>0.76667849999999993</v>
      </c>
      <c r="E35" s="73">
        <f>B8</f>
        <v>369.95</v>
      </c>
      <c r="F35" s="34">
        <v>2.0999999999999999E-3</v>
      </c>
      <c r="G35" s="22">
        <f>E35*F35</f>
        <v>0.77689499999999989</v>
      </c>
      <c r="H35" s="22">
        <f>G35-D35</f>
        <v>1.0216499999999962E-2</v>
      </c>
      <c r="I35" s="23">
        <f t="shared" si="9"/>
        <v>1.3325663886492138E-2</v>
      </c>
      <c r="J35" s="23">
        <f t="shared" si="5"/>
        <v>1.019307606481413E-2</v>
      </c>
      <c r="K35" s="108">
        <f t="shared" si="3"/>
        <v>9.8652591465845478E-3</v>
      </c>
    </row>
    <row r="36" spans="1:11" x14ac:dyDescent="0.2">
      <c r="A36" s="107" t="s">
        <v>100</v>
      </c>
      <c r="B36" s="73">
        <f>C8</f>
        <v>365.08499999999998</v>
      </c>
      <c r="C36" s="34">
        <v>0</v>
      </c>
      <c r="D36" s="22">
        <f>B36*C36</f>
        <v>0</v>
      </c>
      <c r="E36" s="73">
        <f>B8</f>
        <v>369.95</v>
      </c>
      <c r="F36" s="34">
        <v>0</v>
      </c>
      <c r="G36" s="22">
        <f>E36*F36</f>
        <v>0</v>
      </c>
      <c r="H36" s="22">
        <f>G36-D36</f>
        <v>0</v>
      </c>
      <c r="I36" s="23" t="str">
        <f t="shared" si="9"/>
        <v>N/A</v>
      </c>
      <c r="J36" s="23">
        <f t="shared" si="5"/>
        <v>0</v>
      </c>
      <c r="K36" s="108">
        <f t="shared" si="3"/>
        <v>0</v>
      </c>
    </row>
    <row r="37" spans="1:11" x14ac:dyDescent="0.2">
      <c r="A37" s="107" t="s">
        <v>44</v>
      </c>
      <c r="B37" s="73">
        <v>1</v>
      </c>
      <c r="C37" s="22">
        <v>0.25</v>
      </c>
      <c r="D37" s="22">
        <f>B37*C37</f>
        <v>0.25</v>
      </c>
      <c r="E37" s="73">
        <v>1</v>
      </c>
      <c r="F37" s="22">
        <f>C37</f>
        <v>0.25</v>
      </c>
      <c r="G37" s="22">
        <f>E37*F37</f>
        <v>0.25</v>
      </c>
      <c r="H37" s="22">
        <f t="shared" si="1"/>
        <v>0</v>
      </c>
      <c r="I37" s="23">
        <f t="shared" si="9"/>
        <v>0</v>
      </c>
      <c r="J37" s="23">
        <f t="shared" si="5"/>
        <v>3.2800687560140466E-3</v>
      </c>
      <c r="K37" s="108">
        <f t="shared" si="3"/>
        <v>3.1745793017668249E-3</v>
      </c>
    </row>
    <row r="38" spans="1:11" s="1" customFormat="1" x14ac:dyDescent="0.2">
      <c r="A38" s="110" t="s">
        <v>45</v>
      </c>
      <c r="B38" s="74"/>
      <c r="C38" s="35"/>
      <c r="D38" s="35">
        <f>SUM(D34:D37)</f>
        <v>2.3309845</v>
      </c>
      <c r="E38" s="73"/>
      <c r="F38" s="35"/>
      <c r="G38" s="35">
        <f>SUM(G34:G37)</f>
        <v>2.3587150000000001</v>
      </c>
      <c r="H38" s="35">
        <f t="shared" si="1"/>
        <v>2.7730500000000102E-2</v>
      </c>
      <c r="I38" s="36">
        <f t="shared" si="9"/>
        <v>1.1896475502089396E-2</v>
      </c>
      <c r="J38" s="36">
        <f t="shared" si="5"/>
        <v>3.094698950336669E-2</v>
      </c>
      <c r="K38" s="111">
        <f t="shared" si="3"/>
        <v>2.9951711271067747E-2</v>
      </c>
    </row>
    <row r="39" spans="1:11" s="1" customFormat="1" ht="13.5" thickBot="1" x14ac:dyDescent="0.25">
      <c r="A39" s="112" t="s">
        <v>46</v>
      </c>
      <c r="B39" s="113">
        <f>C4</f>
        <v>350</v>
      </c>
      <c r="C39" s="114">
        <v>0</v>
      </c>
      <c r="D39" s="115">
        <f>B39*C39</f>
        <v>0</v>
      </c>
      <c r="E39" s="116">
        <f>B4</f>
        <v>350</v>
      </c>
      <c r="F39" s="114">
        <f>C39</f>
        <v>0</v>
      </c>
      <c r="G39" s="115">
        <f>E39*F39</f>
        <v>0</v>
      </c>
      <c r="H39" s="115">
        <f t="shared" si="1"/>
        <v>0</v>
      </c>
      <c r="I39" s="117" t="str">
        <f t="shared" si="9"/>
        <v>N/A</v>
      </c>
      <c r="J39" s="117">
        <f t="shared" si="5"/>
        <v>0</v>
      </c>
      <c r="K39" s="118">
        <f t="shared" si="3"/>
        <v>0</v>
      </c>
    </row>
    <row r="40" spans="1:11" s="1" customFormat="1" x14ac:dyDescent="0.2">
      <c r="A40" s="37" t="s">
        <v>137</v>
      </c>
      <c r="B40" s="38"/>
      <c r="C40" s="39"/>
      <c r="D40" s="39">
        <f>SUM(D14,D23,D24,D25,D31,D38,D39)</f>
        <v>70.685450084461849</v>
      </c>
      <c r="E40" s="38"/>
      <c r="F40" s="39"/>
      <c r="G40" s="39">
        <f>SUM(G14,G23,G24,G25,G31,G38,G39)</f>
        <v>72.588490000000007</v>
      </c>
      <c r="H40" s="39">
        <f t="shared" si="1"/>
        <v>1.9030399155381588</v>
      </c>
      <c r="I40" s="40">
        <f t="shared" si="9"/>
        <v>2.6922654001130666E-2</v>
      </c>
      <c r="J40" s="40">
        <f t="shared" si="5"/>
        <v>0.95238095238095244</v>
      </c>
      <c r="K40" s="41"/>
    </row>
    <row r="41" spans="1:11" x14ac:dyDescent="0.2">
      <c r="A41" s="149" t="s">
        <v>138</v>
      </c>
      <c r="B41" s="43"/>
      <c r="C41" s="26">
        <v>0.13</v>
      </c>
      <c r="D41" s="26">
        <f>D40*C41</f>
        <v>9.1891085109800414</v>
      </c>
      <c r="E41" s="26"/>
      <c r="F41" s="26">
        <f>C41</f>
        <v>0.13</v>
      </c>
      <c r="G41" s="26">
        <f>G40*F41</f>
        <v>9.4365037000000012</v>
      </c>
      <c r="H41" s="26">
        <f t="shared" si="1"/>
        <v>0.24739518901995972</v>
      </c>
      <c r="I41" s="44">
        <f t="shared" si="9"/>
        <v>2.6922654001130562E-2</v>
      </c>
      <c r="J41" s="44">
        <f t="shared" si="5"/>
        <v>0.12380952380952381</v>
      </c>
      <c r="K41" s="45"/>
    </row>
    <row r="42" spans="1:11" s="1" customFormat="1" x14ac:dyDescent="0.2">
      <c r="A42" s="46" t="s">
        <v>139</v>
      </c>
      <c r="B42" s="24"/>
      <c r="C42" s="25"/>
      <c r="D42" s="25">
        <f>SUM(D40:D41)</f>
        <v>79.874558595441897</v>
      </c>
      <c r="E42" s="25"/>
      <c r="F42" s="25"/>
      <c r="G42" s="25">
        <f>SUM(G40:G41)</f>
        <v>82.02499370000001</v>
      </c>
      <c r="H42" s="25">
        <f t="shared" si="1"/>
        <v>2.1504351045581132</v>
      </c>
      <c r="I42" s="27">
        <f t="shared" si="9"/>
        <v>2.6922654001130586E-2</v>
      </c>
      <c r="J42" s="27">
        <f t="shared" si="5"/>
        <v>1.0761904761904761</v>
      </c>
      <c r="K42" s="47"/>
    </row>
    <row r="43" spans="1:11" x14ac:dyDescent="0.2">
      <c r="A43" s="42" t="s">
        <v>140</v>
      </c>
      <c r="B43" s="43"/>
      <c r="C43" s="26">
        <v>-0.08</v>
      </c>
      <c r="D43" s="26">
        <f>D40*C43</f>
        <v>-5.6548360067569483</v>
      </c>
      <c r="E43" s="26"/>
      <c r="F43" s="26">
        <f>C43</f>
        <v>-0.08</v>
      </c>
      <c r="G43" s="26">
        <f>G40*F43</f>
        <v>-5.8070792000000004</v>
      </c>
      <c r="H43" s="26">
        <f t="shared" si="1"/>
        <v>-0.15224319324305213</v>
      </c>
      <c r="I43" s="44">
        <f t="shared" si="9"/>
        <v>-2.6922654001130565E-2</v>
      </c>
      <c r="J43" s="44">
        <f t="shared" ref="J43:J44" si="10">G43/$G$44</f>
        <v>-7.6190476190476183E-2</v>
      </c>
      <c r="K43" s="45"/>
    </row>
    <row r="44" spans="1:11" s="1" customFormat="1" ht="13.5" thickBot="1" x14ac:dyDescent="0.25">
      <c r="A44" s="48" t="s">
        <v>141</v>
      </c>
      <c r="B44" s="49"/>
      <c r="C44" s="50"/>
      <c r="D44" s="50">
        <f>SUM(D42:D43)</f>
        <v>74.219722588684945</v>
      </c>
      <c r="E44" s="50"/>
      <c r="F44" s="50"/>
      <c r="G44" s="50">
        <f>SUM(G42:G43)</f>
        <v>76.217914500000006</v>
      </c>
      <c r="H44" s="50">
        <f t="shared" si="1"/>
        <v>1.998191911315061</v>
      </c>
      <c r="I44" s="51">
        <f t="shared" si="9"/>
        <v>2.6922654001130589E-2</v>
      </c>
      <c r="J44" s="51">
        <f t="shared" si="10"/>
        <v>1</v>
      </c>
      <c r="K44" s="52"/>
    </row>
    <row r="45" spans="1:11" x14ac:dyDescent="0.2">
      <c r="A45" s="53" t="s">
        <v>142</v>
      </c>
      <c r="B45" s="54"/>
      <c r="C45" s="55"/>
      <c r="D45" s="55">
        <f>SUM(D18,D23,D24,D26,D31,D38,D39)</f>
        <v>73.065804284461848</v>
      </c>
      <c r="E45" s="55"/>
      <c r="F45" s="55"/>
      <c r="G45" s="55">
        <f>SUM(G18,G23,G24,G26,G31,G38,G39)</f>
        <v>75.000564000000011</v>
      </c>
      <c r="H45" s="55">
        <f>G45-D45</f>
        <v>1.9347597155381635</v>
      </c>
      <c r="I45" s="56">
        <f t="shared" si="9"/>
        <v>2.647968820004639E-2</v>
      </c>
      <c r="J45" s="56"/>
      <c r="K45" s="57">
        <f>G45/$G$49</f>
        <v>0.95238095238095233</v>
      </c>
    </row>
    <row r="46" spans="1:11" x14ac:dyDescent="0.2">
      <c r="A46" s="150" t="s">
        <v>138</v>
      </c>
      <c r="B46" s="59"/>
      <c r="C46" s="31">
        <v>0.13</v>
      </c>
      <c r="D46" s="31">
        <f>D45*C46</f>
        <v>9.4985545569800411</v>
      </c>
      <c r="E46" s="31"/>
      <c r="F46" s="31">
        <f>C46</f>
        <v>0.13</v>
      </c>
      <c r="G46" s="31">
        <f>G45*F46</f>
        <v>9.750073320000002</v>
      </c>
      <c r="H46" s="31">
        <f>G46-D46</f>
        <v>0.2515187630199609</v>
      </c>
      <c r="I46" s="32">
        <f t="shared" si="9"/>
        <v>2.6479688200046352E-2</v>
      </c>
      <c r="J46" s="32"/>
      <c r="K46" s="60">
        <f>G46/$G$49</f>
        <v>0.12380952380952381</v>
      </c>
    </row>
    <row r="47" spans="1:11" x14ac:dyDescent="0.2">
      <c r="A47" s="61" t="s">
        <v>143</v>
      </c>
      <c r="B47" s="29"/>
      <c r="C47" s="30"/>
      <c r="D47" s="30">
        <f>SUM(D45:D46)</f>
        <v>82.564358841441887</v>
      </c>
      <c r="E47" s="30"/>
      <c r="F47" s="30"/>
      <c r="G47" s="30">
        <f>SUM(G45:G46)</f>
        <v>84.75063732000001</v>
      </c>
      <c r="H47" s="30">
        <f>G47-D47</f>
        <v>2.1862784785581226</v>
      </c>
      <c r="I47" s="33">
        <f t="shared" si="9"/>
        <v>2.6479688200046366E-2</v>
      </c>
      <c r="J47" s="33"/>
      <c r="K47" s="62">
        <f>G47/$G$49</f>
        <v>1.0761904761904761</v>
      </c>
    </row>
    <row r="48" spans="1:11" x14ac:dyDescent="0.2">
      <c r="A48" s="58" t="s">
        <v>140</v>
      </c>
      <c r="B48" s="59"/>
      <c r="C48" s="31">
        <v>-0.08</v>
      </c>
      <c r="D48" s="31">
        <f>D45*C48</f>
        <v>-5.8452643427569475</v>
      </c>
      <c r="E48" s="31"/>
      <c r="F48" s="31">
        <f>C48</f>
        <v>-0.08</v>
      </c>
      <c r="G48" s="31">
        <f>G45*F48</f>
        <v>-6.0000451200000011</v>
      </c>
      <c r="H48" s="31">
        <f>G48-D48</f>
        <v>-0.15478077724305361</v>
      </c>
      <c r="I48" s="32">
        <f t="shared" si="9"/>
        <v>-2.6479688200046484E-2</v>
      </c>
      <c r="J48" s="32"/>
      <c r="K48" s="60">
        <f>G48/$G$49</f>
        <v>-7.6190476190476197E-2</v>
      </c>
    </row>
    <row r="49" spans="1:11" ht="13.5" thickBot="1" x14ac:dyDescent="0.25">
      <c r="A49" s="63" t="s">
        <v>144</v>
      </c>
      <c r="B49" s="64"/>
      <c r="C49" s="65"/>
      <c r="D49" s="65">
        <f>SUM(D47:D48)</f>
        <v>76.719094498684939</v>
      </c>
      <c r="E49" s="65"/>
      <c r="F49" s="65"/>
      <c r="G49" s="65">
        <f>SUM(G47:G48)</f>
        <v>78.750592200000014</v>
      </c>
      <c r="H49" s="65">
        <f>G49-D49</f>
        <v>2.0314977013150752</v>
      </c>
      <c r="I49" s="66">
        <f t="shared" si="9"/>
        <v>2.6479688200046439E-2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topLeftCell="A7"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81">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9.0999999999999998E-2</v>
      </c>
      <c r="D12" s="104">
        <f>B12*C12</f>
        <v>31.849999999999998</v>
      </c>
      <c r="E12" s="102">
        <f>B12</f>
        <v>350</v>
      </c>
      <c r="F12" s="103">
        <f>C12</f>
        <v>9.0999999999999998E-2</v>
      </c>
      <c r="G12" s="104">
        <f>E12*F12</f>
        <v>31.849999999999998</v>
      </c>
      <c r="H12" s="104">
        <f>G12-D12</f>
        <v>0</v>
      </c>
      <c r="I12" s="105">
        <f t="shared" ref="I12:I18" si="0">IF(ISERROR(H12/ABS(D12)),"N/A",(H12/ABS(D12)))</f>
        <v>0</v>
      </c>
      <c r="J12" s="105">
        <f>G12/$G$46</f>
        <v>0.38552314823964512</v>
      </c>
      <c r="K12" s="106"/>
    </row>
    <row r="13" spans="1:11" x14ac:dyDescent="0.2">
      <c r="A13" s="107" t="s">
        <v>32</v>
      </c>
      <c r="B13" s="73">
        <f>IF(B4&gt;B7,(B4)-B7,0)</f>
        <v>0</v>
      </c>
      <c r="C13" s="21">
        <v>0.106</v>
      </c>
      <c r="D13" s="22">
        <f>B13*C13</f>
        <v>0</v>
      </c>
      <c r="E13" s="73">
        <f t="shared" ref="E13:E41"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31.849999999999998</v>
      </c>
      <c r="E14" s="76"/>
      <c r="F14" s="25"/>
      <c r="G14" s="25">
        <f>SUM(G12:G13)</f>
        <v>31.849999999999998</v>
      </c>
      <c r="H14" s="25">
        <f t="shared" si="2"/>
        <v>0</v>
      </c>
      <c r="I14" s="27">
        <f t="shared" si="0"/>
        <v>0</v>
      </c>
      <c r="J14" s="27">
        <f>G14/$G$46</f>
        <v>0.38552314823964512</v>
      </c>
      <c r="K14" s="108"/>
    </row>
    <row r="15" spans="1:11" s="1" customFormat="1" x14ac:dyDescent="0.2">
      <c r="A15" s="109" t="s">
        <v>34</v>
      </c>
      <c r="B15" s="75">
        <f>B4*0.65</f>
        <v>227.5</v>
      </c>
      <c r="C15" s="28">
        <v>7.6999999999999999E-2</v>
      </c>
      <c r="D15" s="22">
        <f>B15*C15</f>
        <v>17.517499999999998</v>
      </c>
      <c r="E15" s="73">
        <f t="shared" ref="E15:F17" si="3">B15</f>
        <v>227.5</v>
      </c>
      <c r="F15" s="28">
        <f t="shared" si="3"/>
        <v>7.6999999999999999E-2</v>
      </c>
      <c r="G15" s="22">
        <f>E15*F15</f>
        <v>17.517499999999998</v>
      </c>
      <c r="H15" s="22">
        <f t="shared" si="2"/>
        <v>0</v>
      </c>
      <c r="I15" s="23">
        <f t="shared" si="0"/>
        <v>0</v>
      </c>
      <c r="J15" s="23"/>
      <c r="K15" s="108">
        <f t="shared" ref="K15:K23" si="4">G15/$G$51</f>
        <v>0.20573076973146029</v>
      </c>
    </row>
    <row r="16" spans="1:11" s="1" customFormat="1" x14ac:dyDescent="0.2">
      <c r="A16" s="109" t="s">
        <v>35</v>
      </c>
      <c r="B16" s="75">
        <f>B4*0.17</f>
        <v>59.500000000000007</v>
      </c>
      <c r="C16" s="28">
        <v>0.113</v>
      </c>
      <c r="D16" s="22">
        <f>B16*C16</f>
        <v>6.7235000000000014</v>
      </c>
      <c r="E16" s="73">
        <f t="shared" si="3"/>
        <v>59.500000000000007</v>
      </c>
      <c r="F16" s="28">
        <f t="shared" si="3"/>
        <v>0.113</v>
      </c>
      <c r="G16" s="22">
        <f>E16*F16</f>
        <v>6.7235000000000014</v>
      </c>
      <c r="H16" s="22">
        <f t="shared" si="2"/>
        <v>0</v>
      </c>
      <c r="I16" s="23">
        <f t="shared" si="0"/>
        <v>0</v>
      </c>
      <c r="J16" s="23"/>
      <c r="K16" s="108">
        <f t="shared" si="4"/>
        <v>7.8962798931895173E-2</v>
      </c>
    </row>
    <row r="17" spans="1:11" s="1" customFormat="1" x14ac:dyDescent="0.2">
      <c r="A17" s="109" t="s">
        <v>36</v>
      </c>
      <c r="B17" s="75">
        <f>B4*0.18</f>
        <v>63</v>
      </c>
      <c r="C17" s="28">
        <v>0.157</v>
      </c>
      <c r="D17" s="22">
        <f>B17*C17</f>
        <v>9.891</v>
      </c>
      <c r="E17" s="73">
        <f t="shared" si="3"/>
        <v>63</v>
      </c>
      <c r="F17" s="28">
        <f t="shared" si="3"/>
        <v>0.157</v>
      </c>
      <c r="G17" s="22">
        <f>E17*F17</f>
        <v>9.891</v>
      </c>
      <c r="H17" s="22">
        <f t="shared" si="2"/>
        <v>0</v>
      </c>
      <c r="I17" s="23">
        <f t="shared" si="0"/>
        <v>0</v>
      </c>
      <c r="J17" s="23"/>
      <c r="K17" s="108">
        <f t="shared" si="4"/>
        <v>0.11616286818403733</v>
      </c>
    </row>
    <row r="18" spans="1:11" s="1" customFormat="1" x14ac:dyDescent="0.2">
      <c r="A18" s="61" t="s">
        <v>37</v>
      </c>
      <c r="B18" s="29"/>
      <c r="C18" s="30"/>
      <c r="D18" s="30">
        <f>SUM(D15:D17)</f>
        <v>34.131999999999998</v>
      </c>
      <c r="E18" s="77"/>
      <c r="F18" s="30"/>
      <c r="G18" s="30">
        <f>SUM(G15:G17)</f>
        <v>34.131999999999998</v>
      </c>
      <c r="H18" s="31">
        <f t="shared" si="2"/>
        <v>0</v>
      </c>
      <c r="I18" s="32">
        <f t="shared" si="0"/>
        <v>0</v>
      </c>
      <c r="J18" s="33">
        <f t="shared" ref="J18:J23" si="5">G18/$G$46</f>
        <v>0.4131452463332988</v>
      </c>
      <c r="K18" s="62">
        <f t="shared" si="4"/>
        <v>0.40085643684739281</v>
      </c>
    </row>
    <row r="19" spans="1:11" x14ac:dyDescent="0.2">
      <c r="A19" s="107" t="s">
        <v>38</v>
      </c>
      <c r="B19" s="73">
        <v>1</v>
      </c>
      <c r="C19" s="121">
        <f>VLOOKUP($B$3,'Data for Bill Impacts'!$A$3:$Y$15,7,0)</f>
        <v>35.85</v>
      </c>
      <c r="D19" s="22">
        <f>B19*C19</f>
        <v>35.85</v>
      </c>
      <c r="E19" s="73">
        <f t="shared" si="1"/>
        <v>1</v>
      </c>
      <c r="F19" s="121">
        <f>VLOOKUP($B$3,'Data for Bill Impacts'!$A$3:$Y$15,17,0)</f>
        <v>36.67</v>
      </c>
      <c r="G19" s="22">
        <f>E19*F19</f>
        <v>36.67</v>
      </c>
      <c r="H19" s="22">
        <f t="shared" si="2"/>
        <v>0.82000000000000028</v>
      </c>
      <c r="I19" s="23">
        <f>IF(ISERROR(H19/ABS(D19)),"N/A",(H19/ABS(D19)))</f>
        <v>2.2873082287308236E-2</v>
      </c>
      <c r="J19" s="23">
        <f t="shared" si="5"/>
        <v>0.44386605481782693</v>
      </c>
      <c r="K19" s="108">
        <f t="shared" si="4"/>
        <v>0.43066346944784645</v>
      </c>
    </row>
    <row r="20" spans="1:11" hidden="1" x14ac:dyDescent="0.2">
      <c r="A20" s="107" t="s">
        <v>83</v>
      </c>
      <c r="B20" s="73">
        <v>1</v>
      </c>
      <c r="C20" s="78">
        <v>0</v>
      </c>
      <c r="D20" s="22">
        <f>B20*C20</f>
        <v>0</v>
      </c>
      <c r="E20" s="73">
        <f t="shared" si="1"/>
        <v>1</v>
      </c>
      <c r="F20" s="78">
        <v>0</v>
      </c>
      <c r="G20" s="22">
        <f t="shared" ref="G20:G22" si="6">E20*F20</f>
        <v>0</v>
      </c>
      <c r="H20" s="22">
        <f t="shared" si="2"/>
        <v>0</v>
      </c>
      <c r="I20" s="23">
        <f t="shared" ref="I20" si="7">IF(ISERROR(H20/D20),0,(H20/D20))</f>
        <v>0</v>
      </c>
      <c r="J20" s="23">
        <f t="shared" si="5"/>
        <v>0</v>
      </c>
      <c r="K20" s="108">
        <f t="shared" si="4"/>
        <v>0</v>
      </c>
    </row>
    <row r="21" spans="1:11" hidden="1" x14ac:dyDescent="0.2">
      <c r="A21" s="107" t="s">
        <v>145</v>
      </c>
      <c r="B21" s="73">
        <v>1</v>
      </c>
      <c r="C21" s="78">
        <v>0</v>
      </c>
      <c r="D21" s="22">
        <f t="shared" ref="D21:D22" si="8">B21*C21</f>
        <v>0</v>
      </c>
      <c r="E21" s="73">
        <f t="shared" si="1"/>
        <v>1</v>
      </c>
      <c r="F21" s="121">
        <v>0</v>
      </c>
      <c r="G21" s="22">
        <f t="shared" si="6"/>
        <v>0</v>
      </c>
      <c r="H21" s="22">
        <f t="shared" ref="H21:H22" si="9">G21-D21</f>
        <v>0</v>
      </c>
      <c r="I21" s="23">
        <f t="shared" ref="I21" si="10">IF(ISERROR(H21/D21),0,(H21/D21))</f>
        <v>0</v>
      </c>
      <c r="J21" s="23">
        <f t="shared" si="5"/>
        <v>0</v>
      </c>
      <c r="K21" s="108">
        <f t="shared" si="4"/>
        <v>0</v>
      </c>
    </row>
    <row r="22" spans="1:11" x14ac:dyDescent="0.2">
      <c r="A22" s="107" t="s">
        <v>85</v>
      </c>
      <c r="B22" s="73">
        <v>1</v>
      </c>
      <c r="C22" s="121">
        <f>VLOOKUP($B$3,'Data for Bill Impacts'!$A$3:$Y$15,13,0)</f>
        <v>7.0000000000000001E-3</v>
      </c>
      <c r="D22" s="22">
        <f t="shared" si="8"/>
        <v>7.0000000000000001E-3</v>
      </c>
      <c r="E22" s="73">
        <f t="shared" si="1"/>
        <v>1</v>
      </c>
      <c r="F22" s="121">
        <f>VLOOKUP($B$3,'Data for Bill Impacts'!$A$3:$Y$15,22,0)</f>
        <v>7.0000000000000001E-3</v>
      </c>
      <c r="G22" s="22">
        <f t="shared" si="6"/>
        <v>7.0000000000000001E-3</v>
      </c>
      <c r="H22" s="22">
        <f t="shared" si="9"/>
        <v>0</v>
      </c>
      <c r="I22" s="23">
        <f t="shared" ref="I22:I51" si="11">IF(ISERROR(H22/ABS(D22)),"N/A",(H22/ABS(D22)))</f>
        <v>0</v>
      </c>
      <c r="J22" s="23">
        <f t="shared" si="5"/>
        <v>8.4730362250471465E-5</v>
      </c>
      <c r="K22" s="108">
        <f t="shared" si="4"/>
        <v>8.2210097794789343E-5</v>
      </c>
    </row>
    <row r="23" spans="1:11" x14ac:dyDescent="0.2">
      <c r="A23" s="107" t="s">
        <v>39</v>
      </c>
      <c r="B23" s="73">
        <f>IF($B$9="kWh",$B$4,$B$5)</f>
        <v>350</v>
      </c>
      <c r="C23" s="125">
        <f>VLOOKUP($B$3,'Data for Bill Impacts'!$A$3:$Y$15,10,0)</f>
        <v>0</v>
      </c>
      <c r="D23" s="22">
        <f>B23*C23</f>
        <v>0</v>
      </c>
      <c r="E23" s="73">
        <f t="shared" si="1"/>
        <v>350</v>
      </c>
      <c r="F23" s="125">
        <f>VLOOKUP($B$3,'Data for Bill Impacts'!$A$3:$Y$15,19,0)</f>
        <v>0</v>
      </c>
      <c r="G23" s="22">
        <f>E23*F23</f>
        <v>0</v>
      </c>
      <c r="H23" s="22">
        <f t="shared" si="2"/>
        <v>0</v>
      </c>
      <c r="I23" s="23" t="str">
        <f t="shared" si="11"/>
        <v>N/A</v>
      </c>
      <c r="J23" s="23">
        <f t="shared" si="5"/>
        <v>0</v>
      </c>
      <c r="K23" s="108">
        <f t="shared" si="4"/>
        <v>0</v>
      </c>
    </row>
    <row r="24" spans="1:11" x14ac:dyDescent="0.2">
      <c r="A24" s="107" t="s">
        <v>199</v>
      </c>
      <c r="B24" s="73">
        <f>IF($B$9="kWh",$B$4,$B$5)</f>
        <v>350</v>
      </c>
      <c r="C24" s="125">
        <f>VLOOKUP($B$3,'Data for Bill Impacts'!$A$3:$Y$15,14,0)</f>
        <v>3.0000000000000004E-5</v>
      </c>
      <c r="D24" s="22">
        <f>B24*C24</f>
        <v>1.0500000000000001E-2</v>
      </c>
      <c r="E24" s="73">
        <f t="shared" si="1"/>
        <v>350</v>
      </c>
      <c r="F24" s="125">
        <f>VLOOKUP($B$3,'Data for Bill Impacts'!$A$3:$Y$15,23,0)</f>
        <v>3.0000000000000004E-5</v>
      </c>
      <c r="G24" s="22">
        <f>E24*F24</f>
        <v>1.0500000000000001E-2</v>
      </c>
      <c r="H24" s="22">
        <f t="shared" ref="H24" si="12">G24-D24</f>
        <v>0</v>
      </c>
      <c r="I24" s="23">
        <f t="shared" si="11"/>
        <v>0</v>
      </c>
      <c r="J24" s="23">
        <f t="shared" ref="J24" si="13">G24/$G$46</f>
        <v>1.270955433757072E-4</v>
      </c>
      <c r="K24" s="108">
        <f t="shared" ref="K24" si="14">G24/$G$51</f>
        <v>1.2331514669218402E-4</v>
      </c>
    </row>
    <row r="25" spans="1:11" s="1" customFormat="1" x14ac:dyDescent="0.2">
      <c r="A25" s="110" t="s">
        <v>72</v>
      </c>
      <c r="B25" s="74"/>
      <c r="C25" s="35"/>
      <c r="D25" s="35">
        <f>SUM(D19:D24)</f>
        <v>35.8675</v>
      </c>
      <c r="E25" s="73"/>
      <c r="F25" s="35"/>
      <c r="G25" s="35">
        <f>SUM(G19:G24)</f>
        <v>36.6875</v>
      </c>
      <c r="H25" s="35">
        <f t="shared" si="2"/>
        <v>0.82000000000000028</v>
      </c>
      <c r="I25" s="36">
        <f t="shared" si="11"/>
        <v>2.2861922353105187E-2</v>
      </c>
      <c r="J25" s="36">
        <f>G25/$G$46</f>
        <v>0.44407788072345311</v>
      </c>
      <c r="K25" s="111">
        <f>G25/$G$51</f>
        <v>0.43086899469233342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1"/>
        <v>0</v>
      </c>
      <c r="J26" s="23">
        <f>G26/$G$46</f>
        <v>9.5624265968389226E-3</v>
      </c>
      <c r="K26" s="108">
        <f>G26/$G$51</f>
        <v>9.2779967511262256E-3</v>
      </c>
    </row>
    <row r="27" spans="1:11" s="1" customFormat="1" x14ac:dyDescent="0.2">
      <c r="A27" s="119" t="s">
        <v>75</v>
      </c>
      <c r="B27" s="120">
        <f>B8-B4</f>
        <v>19.949999999999989</v>
      </c>
      <c r="C27" s="257">
        <f>IF(B4&gt;B7,C13,C12)</f>
        <v>9.0999999999999998E-2</v>
      </c>
      <c r="D27" s="22">
        <f>B27*C27</f>
        <v>1.8154499999999989</v>
      </c>
      <c r="E27" s="73">
        <f>B27</f>
        <v>19.949999999999989</v>
      </c>
      <c r="F27" s="257">
        <f>C27</f>
        <v>9.0999999999999998E-2</v>
      </c>
      <c r="G27" s="22">
        <f>E27*F27</f>
        <v>1.8154499999999989</v>
      </c>
      <c r="H27" s="22">
        <f t="shared" ref="H27:H29" si="15">G27-D27</f>
        <v>0</v>
      </c>
      <c r="I27" s="23">
        <f t="shared" si="11"/>
        <v>0</v>
      </c>
      <c r="J27" s="23">
        <f t="shared" ref="J27:J29" si="16">G27/$G$46</f>
        <v>2.197481944965976E-2</v>
      </c>
      <c r="K27" s="108">
        <f t="shared" ref="K27:K29" si="17">G27/$G$51</f>
        <v>2.1321188863078603E-2</v>
      </c>
    </row>
    <row r="28" spans="1:11" s="1" customFormat="1" x14ac:dyDescent="0.2">
      <c r="A28" s="119" t="s">
        <v>74</v>
      </c>
      <c r="B28" s="120">
        <f>B8-B4</f>
        <v>19.949999999999989</v>
      </c>
      <c r="C28" s="257">
        <f>0.65*C15+0.17*C16+0.18*C17</f>
        <v>9.7519999999999996E-2</v>
      </c>
      <c r="D28" s="22">
        <f>B28*C28</f>
        <v>1.9455239999999987</v>
      </c>
      <c r="E28" s="73">
        <f>B28</f>
        <v>19.949999999999989</v>
      </c>
      <c r="F28" s="257">
        <f>C28</f>
        <v>9.7519999999999996E-2</v>
      </c>
      <c r="G28" s="22">
        <f>E28*F28</f>
        <v>1.9455239999999987</v>
      </c>
      <c r="H28" s="22">
        <f t="shared" ref="H28" si="18">G28-D28</f>
        <v>0</v>
      </c>
      <c r="I28" s="23">
        <f t="shared" si="11"/>
        <v>0</v>
      </c>
      <c r="J28" s="23">
        <f t="shared" ref="J28" si="19">G28/$G$46</f>
        <v>2.354927904099802E-2</v>
      </c>
      <c r="K28" s="108">
        <f t="shared" ref="K28" si="20">G28/$G$51</f>
        <v>2.2848816900301376E-2</v>
      </c>
    </row>
    <row r="29" spans="1:11" s="1" customFormat="1" x14ac:dyDescent="0.2">
      <c r="A29" s="110" t="s">
        <v>78</v>
      </c>
      <c r="B29" s="74"/>
      <c r="C29" s="35"/>
      <c r="D29" s="35">
        <f>SUM(D25,D26:D27)</f>
        <v>38.472949999999997</v>
      </c>
      <c r="E29" s="73"/>
      <c r="F29" s="35"/>
      <c r="G29" s="35">
        <f>SUM(G25,G26:G27)</f>
        <v>39.292949999999998</v>
      </c>
      <c r="H29" s="35">
        <f t="shared" si="15"/>
        <v>0.82000000000000028</v>
      </c>
      <c r="I29" s="36">
        <f t="shared" si="11"/>
        <v>2.1313676232261897E-2</v>
      </c>
      <c r="J29" s="36">
        <f t="shared" si="16"/>
        <v>0.47561512676995177</v>
      </c>
      <c r="K29" s="111">
        <f t="shared" si="17"/>
        <v>0.46146818030653819</v>
      </c>
    </row>
    <row r="30" spans="1:11" s="1" customFormat="1" x14ac:dyDescent="0.2">
      <c r="A30" s="110" t="s">
        <v>77</v>
      </c>
      <c r="B30" s="74"/>
      <c r="C30" s="35"/>
      <c r="D30" s="35">
        <f>SUM(D25,D26,D28)</f>
        <v>38.603023999999998</v>
      </c>
      <c r="E30" s="73"/>
      <c r="F30" s="35"/>
      <c r="G30" s="35">
        <f>SUM(G25,G26,G28)</f>
        <v>39.423023999999998</v>
      </c>
      <c r="H30" s="35">
        <f t="shared" ref="H30" si="21">G30-D30</f>
        <v>0.82000000000000028</v>
      </c>
      <c r="I30" s="36">
        <f t="shared" si="11"/>
        <v>2.1241859186990127E-2</v>
      </c>
      <c r="J30" s="36">
        <f t="shared" ref="J30" si="22">G30/$G$46</f>
        <v>0.47718958636129005</v>
      </c>
      <c r="K30" s="111">
        <f t="shared" ref="K30" si="23">G30/$G$51</f>
        <v>0.46299580834376097</v>
      </c>
    </row>
    <row r="31" spans="1:11" x14ac:dyDescent="0.2">
      <c r="A31" s="107" t="s">
        <v>40</v>
      </c>
      <c r="B31" s="73">
        <f>B8</f>
        <v>369.95</v>
      </c>
      <c r="C31" s="125">
        <f>VLOOKUP($B$3,'Data for Bill Impacts'!$A$3:$Y$15,15,0)</f>
        <v>7.8279999999999999E-3</v>
      </c>
      <c r="D31" s="22">
        <f>B31*C31</f>
        <v>2.8959685999999998</v>
      </c>
      <c r="E31" s="73">
        <f t="shared" si="1"/>
        <v>369.95</v>
      </c>
      <c r="F31" s="78">
        <f>VLOOKUP($B$3,'Data for Bill Impacts'!$A$3:$Y$15,24,0)</f>
        <v>7.7000000000000002E-3</v>
      </c>
      <c r="G31" s="22">
        <f>E31*F31</f>
        <v>2.8486150000000001</v>
      </c>
      <c r="H31" s="22">
        <f t="shared" si="2"/>
        <v>-4.7353599999999663E-2</v>
      </c>
      <c r="I31" s="23">
        <f t="shared" si="11"/>
        <v>-1.635155850792017E-2</v>
      </c>
      <c r="J31" s="23">
        <f t="shared" ref="J31:J46" si="24">G31/$G$46</f>
        <v>3.4480597266018112E-2</v>
      </c>
      <c r="K31" s="108">
        <f t="shared" ref="K31:K41" si="25">G31/$G$51</f>
        <v>3.3454988247100546E-2</v>
      </c>
    </row>
    <row r="32" spans="1:11" x14ac:dyDescent="0.2">
      <c r="A32" s="107" t="s">
        <v>41</v>
      </c>
      <c r="B32" s="73">
        <f>B8</f>
        <v>369.95</v>
      </c>
      <c r="C32" s="125">
        <f>VLOOKUP($B$3,'Data for Bill Impacts'!$A$3:$Y$15,16,0)</f>
        <v>6.4380000000000001E-3</v>
      </c>
      <c r="D32" s="22">
        <f>B32*C32</f>
        <v>2.3817381000000002</v>
      </c>
      <c r="E32" s="73">
        <f t="shared" si="1"/>
        <v>369.95</v>
      </c>
      <c r="F32" s="78">
        <f>VLOOKUP($B$3,'Data for Bill Impacts'!$A$3:$Y$15,25,0)</f>
        <v>6.3E-3</v>
      </c>
      <c r="G32" s="22">
        <f>E32*F32</f>
        <v>2.3306849999999999</v>
      </c>
      <c r="H32" s="22">
        <f t="shared" si="2"/>
        <v>-5.1053100000000295E-2</v>
      </c>
      <c r="I32" s="23">
        <f t="shared" si="11"/>
        <v>-2.1435228331780177E-2</v>
      </c>
      <c r="J32" s="23">
        <f t="shared" si="24"/>
        <v>2.8211397763105724E-2</v>
      </c>
      <c r="K32" s="108">
        <f t="shared" si="25"/>
        <v>2.7372263111264082E-2</v>
      </c>
    </row>
    <row r="33" spans="1:11" s="1" customFormat="1" x14ac:dyDescent="0.2">
      <c r="A33" s="110" t="s">
        <v>76</v>
      </c>
      <c r="B33" s="74"/>
      <c r="C33" s="35"/>
      <c r="D33" s="35">
        <f>SUM(D31:D32)</f>
        <v>5.2777066999999995</v>
      </c>
      <c r="E33" s="73"/>
      <c r="F33" s="35"/>
      <c r="G33" s="35">
        <f>SUM(G31:G32)</f>
        <v>5.1792999999999996</v>
      </c>
      <c r="H33" s="35">
        <f t="shared" si="2"/>
        <v>-9.8406699999999958E-2</v>
      </c>
      <c r="I33" s="36">
        <f t="shared" si="11"/>
        <v>-1.8645731108930318E-2</v>
      </c>
      <c r="J33" s="36">
        <f t="shared" si="24"/>
        <v>6.2691995029123829E-2</v>
      </c>
      <c r="K33" s="111">
        <f t="shared" si="25"/>
        <v>6.0827251358364628E-2</v>
      </c>
    </row>
    <row r="34" spans="1:11" s="1" customFormat="1" x14ac:dyDescent="0.2">
      <c r="A34" s="110" t="s">
        <v>95</v>
      </c>
      <c r="B34" s="74"/>
      <c r="C34" s="35"/>
      <c r="D34" s="35">
        <f>D29+D33</f>
        <v>43.750656699999993</v>
      </c>
      <c r="E34" s="73"/>
      <c r="F34" s="35"/>
      <c r="G34" s="35">
        <f>G29+G33</f>
        <v>44.472249999999995</v>
      </c>
      <c r="H34" s="35">
        <f t="shared" si="2"/>
        <v>0.7215933000000021</v>
      </c>
      <c r="I34" s="36">
        <f t="shared" si="11"/>
        <v>1.649331357350808E-2</v>
      </c>
      <c r="J34" s="36">
        <f t="shared" si="24"/>
        <v>0.53830712179907558</v>
      </c>
      <c r="K34" s="111">
        <f t="shared" si="25"/>
        <v>0.52229543166490278</v>
      </c>
    </row>
    <row r="35" spans="1:11" s="1" customFormat="1" x14ac:dyDescent="0.2">
      <c r="A35" s="110" t="s">
        <v>96</v>
      </c>
      <c r="B35" s="74"/>
      <c r="C35" s="35"/>
      <c r="D35" s="35">
        <f>D30+D33</f>
        <v>43.880730700000001</v>
      </c>
      <c r="E35" s="73"/>
      <c r="F35" s="35"/>
      <c r="G35" s="35">
        <f>G30+G33</f>
        <v>44.602323999999996</v>
      </c>
      <c r="H35" s="35">
        <f t="shared" ref="H35" si="26">G35-D35</f>
        <v>0.721593299999995</v>
      </c>
      <c r="I35" s="36">
        <f t="shared" si="11"/>
        <v>1.6444423064267591E-2</v>
      </c>
      <c r="J35" s="36">
        <f t="shared" ref="J35" si="27">G35/$G$46</f>
        <v>0.53988158139041387</v>
      </c>
      <c r="K35" s="111">
        <f t="shared" ref="K35" si="28">G35/$G$51</f>
        <v>0.52382305970212562</v>
      </c>
    </row>
    <row r="36" spans="1:11" x14ac:dyDescent="0.2">
      <c r="A36" s="107" t="s">
        <v>42</v>
      </c>
      <c r="B36" s="73">
        <f>B8</f>
        <v>369.95</v>
      </c>
      <c r="C36" s="34">
        <v>3.5999999999999999E-3</v>
      </c>
      <c r="D36" s="22">
        <f>B36*C36</f>
        <v>1.33182</v>
      </c>
      <c r="E36" s="73">
        <f t="shared" si="1"/>
        <v>369.95</v>
      </c>
      <c r="F36" s="34">
        <v>3.5999999999999999E-3</v>
      </c>
      <c r="G36" s="22">
        <f>E36*F36</f>
        <v>1.33182</v>
      </c>
      <c r="H36" s="22">
        <f t="shared" si="2"/>
        <v>0</v>
      </c>
      <c r="I36" s="23">
        <f t="shared" si="11"/>
        <v>0</v>
      </c>
      <c r="J36" s="23">
        <f t="shared" si="24"/>
        <v>1.6120798721774701E-2</v>
      </c>
      <c r="K36" s="108">
        <f t="shared" si="25"/>
        <v>1.5641293206436618E-2</v>
      </c>
    </row>
    <row r="37" spans="1:11" x14ac:dyDescent="0.2">
      <c r="A37" s="107" t="s">
        <v>43</v>
      </c>
      <c r="B37" s="73">
        <f>B8</f>
        <v>369.95</v>
      </c>
      <c r="C37" s="34">
        <v>2.0999999999999999E-3</v>
      </c>
      <c r="D37" s="22">
        <f>B37*C37</f>
        <v>0.77689499999999989</v>
      </c>
      <c r="E37" s="73">
        <f t="shared" si="1"/>
        <v>369.95</v>
      </c>
      <c r="F37" s="34">
        <v>2.0999999999999999E-3</v>
      </c>
      <c r="G37" s="22">
        <f>E37*F37</f>
        <v>0.77689499999999989</v>
      </c>
      <c r="H37" s="22">
        <f>G37-D37</f>
        <v>0</v>
      </c>
      <c r="I37" s="23">
        <f t="shared" si="11"/>
        <v>0</v>
      </c>
      <c r="J37" s="23">
        <f t="shared" si="24"/>
        <v>9.403799254368574E-3</v>
      </c>
      <c r="K37" s="108">
        <f t="shared" si="25"/>
        <v>9.1240877037546929E-3</v>
      </c>
    </row>
    <row r="38" spans="1:11" x14ac:dyDescent="0.2">
      <c r="A38" s="107" t="s">
        <v>100</v>
      </c>
      <c r="B38" s="73">
        <f>B8</f>
        <v>369.95</v>
      </c>
      <c r="C38" s="34">
        <v>0</v>
      </c>
      <c r="D38" s="22">
        <f>B38*C38</f>
        <v>0</v>
      </c>
      <c r="E38" s="73">
        <f t="shared" si="1"/>
        <v>369.95</v>
      </c>
      <c r="F38" s="34">
        <v>0</v>
      </c>
      <c r="G38" s="22">
        <f>E38*F38</f>
        <v>0</v>
      </c>
      <c r="H38" s="22">
        <f>G38-D38</f>
        <v>0</v>
      </c>
      <c r="I38" s="23" t="str">
        <f t="shared" si="11"/>
        <v>N/A</v>
      </c>
      <c r="J38" s="23">
        <f t="shared" ref="J38" si="29">G38/$G$46</f>
        <v>0</v>
      </c>
      <c r="K38" s="108">
        <f t="shared" ref="K38" si="30">G38/$G$51</f>
        <v>0</v>
      </c>
    </row>
    <row r="39" spans="1:11" x14ac:dyDescent="0.2">
      <c r="A39" s="107" t="s">
        <v>44</v>
      </c>
      <c r="B39" s="73">
        <v>1</v>
      </c>
      <c r="C39" s="22">
        <v>0.25</v>
      </c>
      <c r="D39" s="22">
        <f>B39*C39</f>
        <v>0.25</v>
      </c>
      <c r="E39" s="73">
        <f t="shared" si="1"/>
        <v>1</v>
      </c>
      <c r="F39" s="22">
        <f>C39</f>
        <v>0.25</v>
      </c>
      <c r="G39" s="22">
        <f>E39*F39</f>
        <v>0.25</v>
      </c>
      <c r="H39" s="22">
        <f t="shared" si="2"/>
        <v>0</v>
      </c>
      <c r="I39" s="23">
        <f t="shared" si="11"/>
        <v>0</v>
      </c>
      <c r="J39" s="23">
        <f t="shared" si="24"/>
        <v>3.0260843660882665E-3</v>
      </c>
      <c r="K39" s="108">
        <f t="shared" si="25"/>
        <v>2.9360749212424763E-3</v>
      </c>
    </row>
    <row r="40" spans="1:11" s="1" customFormat="1" x14ac:dyDescent="0.2">
      <c r="A40" s="110" t="s">
        <v>45</v>
      </c>
      <c r="B40" s="74"/>
      <c r="C40" s="35"/>
      <c r="D40" s="35">
        <f>SUM(D36:D39)</f>
        <v>2.3587150000000001</v>
      </c>
      <c r="E40" s="73"/>
      <c r="F40" s="35"/>
      <c r="G40" s="35">
        <f>SUM(G36:G39)</f>
        <v>2.3587150000000001</v>
      </c>
      <c r="H40" s="35">
        <f t="shared" si="2"/>
        <v>0</v>
      </c>
      <c r="I40" s="36">
        <f t="shared" si="11"/>
        <v>0</v>
      </c>
      <c r="J40" s="36">
        <f t="shared" si="24"/>
        <v>2.8550682342231543E-2</v>
      </c>
      <c r="K40" s="111">
        <f t="shared" si="25"/>
        <v>2.7701455831433793E-2</v>
      </c>
    </row>
    <row r="41" spans="1:11" s="1" customFormat="1" ht="13.5" thickBot="1" x14ac:dyDescent="0.25">
      <c r="A41" s="112" t="s">
        <v>46</v>
      </c>
      <c r="B41" s="113">
        <f>B4</f>
        <v>350</v>
      </c>
      <c r="C41" s="114">
        <v>0</v>
      </c>
      <c r="D41" s="115">
        <f>B41*C41</f>
        <v>0</v>
      </c>
      <c r="E41" s="116">
        <f t="shared" si="1"/>
        <v>350</v>
      </c>
      <c r="F41" s="114">
        <f>C41</f>
        <v>0</v>
      </c>
      <c r="G41" s="115">
        <f>E41*F41</f>
        <v>0</v>
      </c>
      <c r="H41" s="115">
        <f t="shared" si="2"/>
        <v>0</v>
      </c>
      <c r="I41" s="117" t="str">
        <f t="shared" si="11"/>
        <v>N/A</v>
      </c>
      <c r="J41" s="117">
        <f t="shared" si="24"/>
        <v>0</v>
      </c>
      <c r="K41" s="118">
        <f t="shared" si="25"/>
        <v>0</v>
      </c>
    </row>
    <row r="42" spans="1:11" s="1" customFormat="1" x14ac:dyDescent="0.2">
      <c r="A42" s="37" t="s">
        <v>137</v>
      </c>
      <c r="B42" s="38"/>
      <c r="C42" s="39"/>
      <c r="D42" s="39">
        <f>SUM(D14,D25,D26,D27,D33,D40,D41)</f>
        <v>77.959371700000005</v>
      </c>
      <c r="E42" s="38"/>
      <c r="F42" s="39"/>
      <c r="G42" s="39">
        <f>SUM(G14,G25,G26,G27,G33,G40,G41)</f>
        <v>78.680965</v>
      </c>
      <c r="H42" s="39">
        <f t="shared" si="2"/>
        <v>0.721593299999995</v>
      </c>
      <c r="I42" s="40">
        <f t="shared" si="11"/>
        <v>9.2560173878363221E-3</v>
      </c>
      <c r="J42" s="40">
        <f t="shared" si="24"/>
        <v>0.95238095238095233</v>
      </c>
      <c r="K42" s="41"/>
    </row>
    <row r="43" spans="1:11" x14ac:dyDescent="0.2">
      <c r="A43" s="149" t="s">
        <v>138</v>
      </c>
      <c r="B43" s="43"/>
      <c r="C43" s="26">
        <v>0.13</v>
      </c>
      <c r="D43" s="26">
        <f>D42*C43</f>
        <v>10.134718321000001</v>
      </c>
      <c r="E43" s="26"/>
      <c r="F43" s="26">
        <f>C43</f>
        <v>0.13</v>
      </c>
      <c r="G43" s="26">
        <f>G42*F43</f>
        <v>10.228525450000001</v>
      </c>
      <c r="H43" s="26">
        <f t="shared" si="2"/>
        <v>9.3807128999999989E-2</v>
      </c>
      <c r="I43" s="44">
        <f t="shared" si="11"/>
        <v>9.2560173878363863E-3</v>
      </c>
      <c r="J43" s="44">
        <f t="shared" si="24"/>
        <v>0.12380952380952381</v>
      </c>
      <c r="K43" s="45"/>
    </row>
    <row r="44" spans="1:11" s="1" customFormat="1" x14ac:dyDescent="0.2">
      <c r="A44" s="46" t="s">
        <v>139</v>
      </c>
      <c r="B44" s="24"/>
      <c r="C44" s="25"/>
      <c r="D44" s="25">
        <f>SUM(D42:D43)</f>
        <v>88.094090021</v>
      </c>
      <c r="E44" s="25"/>
      <c r="F44" s="25"/>
      <c r="G44" s="25">
        <f>SUM(G42:G43)</f>
        <v>88.909490450000007</v>
      </c>
      <c r="H44" s="25">
        <f t="shared" si="2"/>
        <v>0.81540042900000742</v>
      </c>
      <c r="I44" s="27">
        <f t="shared" si="11"/>
        <v>9.2560173878364713E-3</v>
      </c>
      <c r="J44" s="27">
        <f t="shared" si="24"/>
        <v>1.0761904761904761</v>
      </c>
      <c r="K44" s="47"/>
    </row>
    <row r="45" spans="1:11" x14ac:dyDescent="0.2">
      <c r="A45" s="42" t="s">
        <v>140</v>
      </c>
      <c r="B45" s="43"/>
      <c r="C45" s="26">
        <v>-0.08</v>
      </c>
      <c r="D45" s="26">
        <f>D42*C45</f>
        <v>-6.2367497360000002</v>
      </c>
      <c r="E45" s="26"/>
      <c r="F45" s="26">
        <f>C45</f>
        <v>-0.08</v>
      </c>
      <c r="G45" s="26">
        <f>G42*F45</f>
        <v>-6.2944772000000002</v>
      </c>
      <c r="H45" s="26">
        <f t="shared" si="2"/>
        <v>-5.7727464000000062E-2</v>
      </c>
      <c r="I45" s="44">
        <f t="shared" si="11"/>
        <v>-9.2560173878363967E-3</v>
      </c>
      <c r="J45" s="44">
        <f t="shared" si="24"/>
        <v>-7.6190476190476183E-2</v>
      </c>
      <c r="K45" s="45"/>
    </row>
    <row r="46" spans="1:11" s="1" customFormat="1" ht="13.5" thickBot="1" x14ac:dyDescent="0.25">
      <c r="A46" s="48" t="s">
        <v>141</v>
      </c>
      <c r="B46" s="49"/>
      <c r="C46" s="50"/>
      <c r="D46" s="50">
        <f>SUM(D44:D45)</f>
        <v>81.857340284999992</v>
      </c>
      <c r="E46" s="50"/>
      <c r="F46" s="50"/>
      <c r="G46" s="50">
        <f>SUM(G44:G45)</f>
        <v>82.615013250000004</v>
      </c>
      <c r="H46" s="50">
        <f t="shared" si="2"/>
        <v>0.7576729650000118</v>
      </c>
      <c r="I46" s="51">
        <f t="shared" si="11"/>
        <v>9.2560173878365321E-3</v>
      </c>
      <c r="J46" s="51">
        <f t="shared" si="24"/>
        <v>1</v>
      </c>
      <c r="K46" s="52"/>
    </row>
    <row r="47" spans="1:11" x14ac:dyDescent="0.2">
      <c r="A47" s="53" t="s">
        <v>142</v>
      </c>
      <c r="B47" s="54"/>
      <c r="C47" s="55"/>
      <c r="D47" s="55">
        <f>SUM(D18,D25,D26,D28,D33,D40,D41)</f>
        <v>80.371445699999995</v>
      </c>
      <c r="E47" s="55"/>
      <c r="F47" s="55"/>
      <c r="G47" s="55">
        <f>SUM(G18,G25,G26,G28,G33,G40,G41)</f>
        <v>81.093039000000005</v>
      </c>
      <c r="H47" s="55">
        <f>G47-D47</f>
        <v>0.72159330000000921</v>
      </c>
      <c r="I47" s="56">
        <f t="shared" si="11"/>
        <v>8.9782296898512706E-3</v>
      </c>
      <c r="J47" s="56"/>
      <c r="K47" s="57">
        <f>G47/$G$51</f>
        <v>0.95238095238095233</v>
      </c>
    </row>
    <row r="48" spans="1:11" x14ac:dyDescent="0.2">
      <c r="A48" s="150" t="s">
        <v>138</v>
      </c>
      <c r="B48" s="59"/>
      <c r="C48" s="31">
        <v>0.13</v>
      </c>
      <c r="D48" s="31">
        <f>D47*C48</f>
        <v>10.448287941</v>
      </c>
      <c r="E48" s="31"/>
      <c r="F48" s="31">
        <f>C48</f>
        <v>0.13</v>
      </c>
      <c r="G48" s="31">
        <f>G47*F48</f>
        <v>10.54209507</v>
      </c>
      <c r="H48" s="31">
        <f>G48-D48</f>
        <v>9.3807128999999989E-2</v>
      </c>
      <c r="I48" s="32">
        <f t="shared" si="11"/>
        <v>8.9782296898511544E-3</v>
      </c>
      <c r="J48" s="32"/>
      <c r="K48" s="60">
        <f>G48/$G$51</f>
        <v>0.1238095238095238</v>
      </c>
    </row>
    <row r="49" spans="1:11" x14ac:dyDescent="0.2">
      <c r="A49" s="61" t="s">
        <v>143</v>
      </c>
      <c r="B49" s="29"/>
      <c r="C49" s="30"/>
      <c r="D49" s="30">
        <f>SUM(D47:D48)</f>
        <v>90.819733640999999</v>
      </c>
      <c r="E49" s="30"/>
      <c r="F49" s="30"/>
      <c r="G49" s="30">
        <f>SUM(G47:G48)</f>
        <v>91.635134070000007</v>
      </c>
      <c r="H49" s="30">
        <f>G49-D49</f>
        <v>0.81540042900000742</v>
      </c>
      <c r="I49" s="33">
        <f t="shared" si="11"/>
        <v>8.9782296898512377E-3</v>
      </c>
      <c r="J49" s="33"/>
      <c r="K49" s="62">
        <f>G49/$G$51</f>
        <v>1.0761904761904761</v>
      </c>
    </row>
    <row r="50" spans="1:11" x14ac:dyDescent="0.2">
      <c r="A50" s="58" t="s">
        <v>140</v>
      </c>
      <c r="B50" s="59"/>
      <c r="C50" s="31">
        <v>-0.08</v>
      </c>
      <c r="D50" s="31">
        <f>D47*C50</f>
        <v>-6.4297156559999999</v>
      </c>
      <c r="E50" s="31"/>
      <c r="F50" s="31">
        <f>C50</f>
        <v>-0.08</v>
      </c>
      <c r="G50" s="31">
        <f>G47*F50</f>
        <v>-6.4874431200000009</v>
      </c>
      <c r="H50" s="31">
        <f>G50-D50</f>
        <v>-5.772746400000095E-2</v>
      </c>
      <c r="I50" s="32">
        <f t="shared" si="11"/>
        <v>-8.9782296898513036E-3</v>
      </c>
      <c r="J50" s="32"/>
      <c r="K50" s="60">
        <f>G50/$G$51</f>
        <v>-7.6190476190476183E-2</v>
      </c>
    </row>
    <row r="51" spans="1:11" ht="13.5" thickBot="1" x14ac:dyDescent="0.25">
      <c r="A51" s="63" t="s">
        <v>144</v>
      </c>
      <c r="B51" s="64"/>
      <c r="C51" s="65"/>
      <c r="D51" s="65">
        <f>SUM(D49:D50)</f>
        <v>84.390017985</v>
      </c>
      <c r="E51" s="65"/>
      <c r="F51" s="65"/>
      <c r="G51" s="65">
        <f>SUM(G49:G50)</f>
        <v>85.147690950000012</v>
      </c>
      <c r="H51" s="65">
        <f>G51-D51</f>
        <v>0.7576729650000118</v>
      </c>
      <c r="I51" s="66">
        <f t="shared" si="11"/>
        <v>8.9782296898512949E-3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K66"/>
  <sheetViews>
    <sheetView tabSelected="1" topLeftCell="A13"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200</v>
      </c>
      <c r="C3" s="13" t="s">
        <v>113</v>
      </c>
    </row>
    <row r="4" spans="1:11" x14ac:dyDescent="0.2">
      <c r="A4" s="15" t="s">
        <v>62</v>
      </c>
      <c r="B4" s="79">
        <f>C4</f>
        <v>600</v>
      </c>
      <c r="C4" s="79">
        <f>'Data for Bill Impacts_HONI Avg '!D16</f>
        <v>600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81">
        <f>B4*B6</f>
        <v>634.19999999999993</v>
      </c>
      <c r="C8" s="181">
        <f>C4*C6</f>
        <v>625.8599999999999</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600</v>
      </c>
      <c r="C12" s="103">
        <v>9.0999999999999998E-2</v>
      </c>
      <c r="D12" s="104">
        <f>B12*C12</f>
        <v>54.6</v>
      </c>
      <c r="E12" s="102">
        <f>IF(B4&gt;B7,B7,B4)</f>
        <v>600</v>
      </c>
      <c r="F12" s="103">
        <f>C12</f>
        <v>9.0999999999999998E-2</v>
      </c>
      <c r="G12" s="104">
        <f>E12*F12</f>
        <v>54.6</v>
      </c>
      <c r="H12" s="104">
        <f>G12-D12</f>
        <v>0</v>
      </c>
      <c r="I12" s="105">
        <f t="shared" ref="I12:I18" si="0">IF(ISERROR(H12/ABS(D12)),"N/A",(H12/ABS(D12)))</f>
        <v>0</v>
      </c>
      <c r="J12" s="105">
        <f>G12/$G$44</f>
        <v>0.51126332775007566</v>
      </c>
      <c r="K12" s="106"/>
    </row>
    <row r="13" spans="1:11" x14ac:dyDescent="0.2">
      <c r="A13" s="107" t="s">
        <v>32</v>
      </c>
      <c r="B13" s="73">
        <f>IF(C4&gt;C7,(C4)-C7,0)</f>
        <v>0</v>
      </c>
      <c r="C13" s="21">
        <v>0.106</v>
      </c>
      <c r="D13" s="22">
        <f>IF(B4&gt;B7,(B4)-B7,0)</f>
        <v>0</v>
      </c>
      <c r="E13" s="73">
        <f>IF(B4&gt;B7,(B4)-B7,0)</f>
        <v>0</v>
      </c>
      <c r="F13" s="21">
        <f>C13</f>
        <v>0.106</v>
      </c>
      <c r="G13" s="22">
        <f>E13*F13</f>
        <v>0</v>
      </c>
      <c r="H13" s="22">
        <f t="shared" ref="H13:H44" si="1">G13-D13</f>
        <v>0</v>
      </c>
      <c r="I13" s="23" t="str">
        <f t="shared" si="0"/>
        <v>N/A</v>
      </c>
      <c r="J13" s="23">
        <f>G13/$G$44</f>
        <v>0</v>
      </c>
      <c r="K13" s="108"/>
    </row>
    <row r="14" spans="1:11" s="1" customFormat="1" x14ac:dyDescent="0.2">
      <c r="A14" s="46" t="s">
        <v>33</v>
      </c>
      <c r="B14" s="24"/>
      <c r="C14" s="25"/>
      <c r="D14" s="25">
        <f>SUM(D12:D13)</f>
        <v>54.6</v>
      </c>
      <c r="E14" s="76"/>
      <c r="F14" s="25"/>
      <c r="G14" s="25">
        <f>SUM(G12:G13)</f>
        <v>54.6</v>
      </c>
      <c r="H14" s="25">
        <f t="shared" si="1"/>
        <v>0</v>
      </c>
      <c r="I14" s="27">
        <f t="shared" si="0"/>
        <v>0</v>
      </c>
      <c r="J14" s="27">
        <f>G14/$G$44</f>
        <v>0.51126332775007566</v>
      </c>
      <c r="K14" s="108"/>
    </row>
    <row r="15" spans="1:11" s="1" customFormat="1" x14ac:dyDescent="0.2">
      <c r="A15" s="109" t="s">
        <v>34</v>
      </c>
      <c r="B15" s="75">
        <f>C4*0.65</f>
        <v>390</v>
      </c>
      <c r="C15" s="28">
        <v>7.6999999999999999E-2</v>
      </c>
      <c r="D15" s="256">
        <f>B15*C15</f>
        <v>30.03</v>
      </c>
      <c r="E15" s="75">
        <f>B4*0.65</f>
        <v>390</v>
      </c>
      <c r="F15" s="28">
        <f t="shared" ref="F15:F17" si="2">C15</f>
        <v>7.6999999999999999E-2</v>
      </c>
      <c r="G15" s="22">
        <f>E15*F15</f>
        <v>30.03</v>
      </c>
      <c r="H15" s="22">
        <f t="shared" si="1"/>
        <v>0</v>
      </c>
      <c r="I15" s="23">
        <f t="shared" si="0"/>
        <v>0</v>
      </c>
      <c r="J15" s="23"/>
      <c r="K15" s="108">
        <f t="shared" ref="K15:K39" si="3">G15/$G$49</f>
        <v>0.27020943612165788</v>
      </c>
    </row>
    <row r="16" spans="1:11" s="1" customFormat="1" x14ac:dyDescent="0.2">
      <c r="A16" s="109" t="s">
        <v>35</v>
      </c>
      <c r="B16" s="75">
        <f>C4*0.17</f>
        <v>102.00000000000001</v>
      </c>
      <c r="C16" s="28">
        <v>0.113</v>
      </c>
      <c r="D16" s="256">
        <f t="shared" ref="D16:D17" si="4">B16*C16</f>
        <v>11.526000000000002</v>
      </c>
      <c r="E16" s="75">
        <f>B4*0.17</f>
        <v>102.00000000000001</v>
      </c>
      <c r="F16" s="28">
        <f t="shared" si="2"/>
        <v>0.113</v>
      </c>
      <c r="G16" s="22">
        <f>E16*F16</f>
        <v>11.526000000000002</v>
      </c>
      <c r="H16" s="22">
        <f t="shared" si="1"/>
        <v>0</v>
      </c>
      <c r="I16" s="23">
        <f t="shared" si="0"/>
        <v>0</v>
      </c>
      <c r="J16" s="23"/>
      <c r="K16" s="108">
        <f t="shared" si="3"/>
        <v>0.10371075460333763</v>
      </c>
    </row>
    <row r="17" spans="1:11" s="1" customFormat="1" x14ac:dyDescent="0.2">
      <c r="A17" s="109" t="s">
        <v>36</v>
      </c>
      <c r="B17" s="75">
        <f>C4*0.18</f>
        <v>108</v>
      </c>
      <c r="C17" s="28">
        <v>0.157</v>
      </c>
      <c r="D17" s="256">
        <f t="shared" si="4"/>
        <v>16.956</v>
      </c>
      <c r="E17" s="75">
        <f>B4*0.18</f>
        <v>108</v>
      </c>
      <c r="F17" s="28">
        <f t="shared" si="2"/>
        <v>0.157</v>
      </c>
      <c r="G17" s="22">
        <f>E17*F17</f>
        <v>16.956</v>
      </c>
      <c r="H17" s="22">
        <f t="shared" si="1"/>
        <v>0</v>
      </c>
      <c r="I17" s="23">
        <f t="shared" si="0"/>
        <v>0</v>
      </c>
      <c r="J17" s="23"/>
      <c r="K17" s="108">
        <f t="shared" si="3"/>
        <v>0.15256980349246857</v>
      </c>
    </row>
    <row r="18" spans="1:11" s="1" customFormat="1" x14ac:dyDescent="0.2">
      <c r="A18" s="61" t="s">
        <v>37</v>
      </c>
      <c r="B18" s="29"/>
      <c r="C18" s="30"/>
      <c r="D18" s="30">
        <f>SUM(D15:D17)</f>
        <v>58.512</v>
      </c>
      <c r="E18" s="77"/>
      <c r="F18" s="30"/>
      <c r="G18" s="30">
        <f>SUM(G15:G17)</f>
        <v>58.512</v>
      </c>
      <c r="H18" s="31">
        <f t="shared" si="1"/>
        <v>0</v>
      </c>
      <c r="I18" s="32">
        <f t="shared" si="0"/>
        <v>0</v>
      </c>
      <c r="J18" s="33">
        <f t="shared" ref="J18:J42" si="5">G18/$G$44</f>
        <v>0.54789450244161952</v>
      </c>
      <c r="K18" s="62">
        <f t="shared" si="3"/>
        <v>0.52648999421746412</v>
      </c>
    </row>
    <row r="19" spans="1:11" x14ac:dyDescent="0.2">
      <c r="A19" s="107" t="s">
        <v>38</v>
      </c>
      <c r="B19" s="73">
        <v>1</v>
      </c>
      <c r="C19" s="121">
        <f>'Data for Bill Impacts'!G22</f>
        <v>29.98</v>
      </c>
      <c r="D19" s="22">
        <f>B19*C19</f>
        <v>29.98</v>
      </c>
      <c r="E19" s="73">
        <v>1</v>
      </c>
      <c r="F19" s="121">
        <f>VLOOKUP($B$3,'Data for Bill Impacts'!$A$3:$Y$21,17,0)</f>
        <v>30.78</v>
      </c>
      <c r="G19" s="22">
        <f>E19*F19</f>
        <v>30.78</v>
      </c>
      <c r="H19" s="22">
        <f t="shared" si="1"/>
        <v>0.80000000000000071</v>
      </c>
      <c r="I19" s="23">
        <f>IF(ISERROR(H19/ABS(D19)),"N/A",(H19/ABS(D19)))</f>
        <v>2.6684456304202825E-2</v>
      </c>
      <c r="J19" s="23">
        <f t="shared" si="5"/>
        <v>0.28821767817119648</v>
      </c>
      <c r="K19" s="108">
        <f t="shared" si="3"/>
        <v>0.27695792353728371</v>
      </c>
    </row>
    <row r="20" spans="1:11" x14ac:dyDescent="0.2">
      <c r="A20" s="107" t="s">
        <v>193</v>
      </c>
      <c r="B20" s="73">
        <v>1</v>
      </c>
      <c r="C20" s="121">
        <f>'Data for Bill Impacts'!K22</f>
        <v>-0.3</v>
      </c>
      <c r="D20" s="22">
        <f t="shared" ref="D20" si="6">B20*C20</f>
        <v>-0.3</v>
      </c>
      <c r="E20" s="73">
        <v>1</v>
      </c>
      <c r="F20" s="121">
        <v>0</v>
      </c>
      <c r="G20" s="22">
        <f t="shared" ref="G20" si="7">E20*F20</f>
        <v>0</v>
      </c>
      <c r="H20" s="22">
        <f t="shared" si="1"/>
        <v>0.3</v>
      </c>
      <c r="I20" s="23">
        <f t="shared" ref="I20:I21" si="8">IF(ISERROR(H20/D20),0,(H20/D20))</f>
        <v>-1</v>
      </c>
      <c r="J20" s="23">
        <f t="shared" si="5"/>
        <v>0</v>
      </c>
      <c r="K20" s="108">
        <f t="shared" si="3"/>
        <v>0</v>
      </c>
    </row>
    <row r="21" spans="1:11" x14ac:dyDescent="0.2">
      <c r="A21" s="107" t="s">
        <v>39</v>
      </c>
      <c r="B21" s="73">
        <f>IF($C$9="kWh",$C$4,$C$5)</f>
        <v>600</v>
      </c>
      <c r="C21" s="125">
        <f>'Data for Bill Impacts'!J22</f>
        <v>0</v>
      </c>
      <c r="D21" s="22">
        <f>B21*C21</f>
        <v>0</v>
      </c>
      <c r="E21" s="73">
        <f>IF($B$9="kWh",$B$4,$B$5)</f>
        <v>600</v>
      </c>
      <c r="F21" s="125">
        <f>VLOOKUP($B$3,'Data for Bill Impacts'!$A$3:$Y$21,19,0)</f>
        <v>0</v>
      </c>
      <c r="G21" s="22">
        <f>E21*F21</f>
        <v>0</v>
      </c>
      <c r="H21" s="22">
        <f t="shared" si="1"/>
        <v>0</v>
      </c>
      <c r="I21" s="23">
        <f t="shared" si="8"/>
        <v>0</v>
      </c>
      <c r="J21" s="23">
        <f t="shared" si="5"/>
        <v>0</v>
      </c>
      <c r="K21" s="108">
        <f t="shared" si="3"/>
        <v>0</v>
      </c>
    </row>
    <row r="22" spans="1:11" x14ac:dyDescent="0.2">
      <c r="A22" s="107" t="s">
        <v>195</v>
      </c>
      <c r="B22" s="73">
        <f>IF($C$9="kWh",$C$4,$C$5)</f>
        <v>600</v>
      </c>
      <c r="C22" s="125">
        <v>0</v>
      </c>
      <c r="D22" s="22">
        <f>B22*C22</f>
        <v>0</v>
      </c>
      <c r="E22" s="73">
        <f>IF($B$9="kWh",$B$4,$B$5)</f>
        <v>600</v>
      </c>
      <c r="F22" s="125">
        <v>0</v>
      </c>
      <c r="G22" s="22">
        <f>E22*F22</f>
        <v>0</v>
      </c>
      <c r="H22" s="22">
        <f>G22-D22</f>
        <v>0</v>
      </c>
      <c r="I22" s="23" t="str">
        <f t="shared" ref="I22:I49" si="9">IF(ISERROR(H22/ABS(D22)),"N/A",(H22/ABS(D22)))</f>
        <v>N/A</v>
      </c>
      <c r="J22" s="23">
        <f t="shared" si="5"/>
        <v>0</v>
      </c>
      <c r="K22" s="108">
        <f t="shared" si="3"/>
        <v>0</v>
      </c>
    </row>
    <row r="23" spans="1:11" s="1" customFormat="1" x14ac:dyDescent="0.2">
      <c r="A23" s="110" t="s">
        <v>72</v>
      </c>
      <c r="B23" s="74"/>
      <c r="C23" s="35"/>
      <c r="D23" s="35">
        <f>SUM(D19:D22)</f>
        <v>29.68</v>
      </c>
      <c r="E23" s="73"/>
      <c r="F23" s="35"/>
      <c r="G23" s="35">
        <f>SUM(G19:G22)</f>
        <v>30.78</v>
      </c>
      <c r="H23" s="35">
        <f t="shared" si="1"/>
        <v>1.1000000000000014</v>
      </c>
      <c r="I23" s="36">
        <f t="shared" si="9"/>
        <v>3.706199460916447E-2</v>
      </c>
      <c r="J23" s="36">
        <f t="shared" si="5"/>
        <v>0.28821767817119648</v>
      </c>
      <c r="K23" s="111">
        <f t="shared" si="3"/>
        <v>0.27695792353728371</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1"/>
        <v>0</v>
      </c>
      <c r="I24" s="23">
        <f t="shared" si="9"/>
        <v>0</v>
      </c>
      <c r="J24" s="23">
        <f t="shared" si="5"/>
        <v>7.3973997971164794E-3</v>
      </c>
      <c r="K24" s="108">
        <f t="shared" si="3"/>
        <v>7.1084067444591986E-3</v>
      </c>
    </row>
    <row r="25" spans="1:11" s="1" customFormat="1" x14ac:dyDescent="0.2">
      <c r="A25" s="119" t="s">
        <v>75</v>
      </c>
      <c r="B25" s="120">
        <f>C8-C4</f>
        <v>25.8599999999999</v>
      </c>
      <c r="C25" s="257">
        <f>IF(B4&gt;B7,C13,C12)</f>
        <v>9.0999999999999998E-2</v>
      </c>
      <c r="D25" s="22">
        <f>B25*C25</f>
        <v>2.3532599999999908</v>
      </c>
      <c r="E25" s="120">
        <f>B8-B4</f>
        <v>34.199999999999932</v>
      </c>
      <c r="F25" s="257">
        <f>C25</f>
        <v>9.0999999999999998E-2</v>
      </c>
      <c r="G25" s="22">
        <f>E25*F25</f>
        <v>3.1121999999999939</v>
      </c>
      <c r="H25" s="22">
        <f t="shared" si="1"/>
        <v>0.75894000000000306</v>
      </c>
      <c r="I25" s="23">
        <f t="shared" si="9"/>
        <v>0.3225058004640397</v>
      </c>
      <c r="J25" s="23">
        <f t="shared" si="5"/>
        <v>2.9142009681754254E-2</v>
      </c>
      <c r="K25" s="108">
        <f t="shared" si="3"/>
        <v>2.8003523379880851E-2</v>
      </c>
    </row>
    <row r="26" spans="1:11" s="1" customFormat="1" x14ac:dyDescent="0.2">
      <c r="A26" s="119" t="s">
        <v>74</v>
      </c>
      <c r="B26" s="120">
        <f>C8-C4</f>
        <v>25.8599999999999</v>
      </c>
      <c r="C26" s="257">
        <f>0.65*C15+0.17*C16+0.18*C17</f>
        <v>9.7519999999999996E-2</v>
      </c>
      <c r="D26" s="22">
        <f>B26*C26</f>
        <v>2.5218671999999902</v>
      </c>
      <c r="E26" s="120">
        <f>B8-B4</f>
        <v>34.199999999999932</v>
      </c>
      <c r="F26" s="257">
        <f>C26</f>
        <v>9.7519999999999996E-2</v>
      </c>
      <c r="G26" s="22">
        <f>E26*F26</f>
        <v>3.3351839999999933</v>
      </c>
      <c r="H26" s="22">
        <f t="shared" si="1"/>
        <v>0.81331680000000306</v>
      </c>
      <c r="I26" s="23">
        <f t="shared" si="9"/>
        <v>0.32250580046403959</v>
      </c>
      <c r="J26" s="23">
        <f t="shared" si="5"/>
        <v>3.1229986639172248E-2</v>
      </c>
      <c r="K26" s="108">
        <f t="shared" si="3"/>
        <v>3.000992967039539E-2</v>
      </c>
    </row>
    <row r="27" spans="1:11" s="1" customFormat="1" x14ac:dyDescent="0.2">
      <c r="A27" s="110" t="s">
        <v>78</v>
      </c>
      <c r="B27" s="74"/>
      <c r="C27" s="35"/>
      <c r="D27" s="35">
        <f>SUM(D23,D24:D25)</f>
        <v>32.823259999999991</v>
      </c>
      <c r="E27" s="73"/>
      <c r="F27" s="35"/>
      <c r="G27" s="35">
        <f>SUM(G23,G24:G25)</f>
        <v>34.682199999999995</v>
      </c>
      <c r="H27" s="35">
        <f t="shared" si="1"/>
        <v>1.858940000000004</v>
      </c>
      <c r="I27" s="36">
        <f t="shared" si="9"/>
        <v>5.6634837612108135E-2</v>
      </c>
      <c r="J27" s="36">
        <f t="shared" si="5"/>
        <v>0.32475708765006722</v>
      </c>
      <c r="K27" s="111">
        <f t="shared" si="3"/>
        <v>0.31206985366162376</v>
      </c>
    </row>
    <row r="28" spans="1:11" s="1" customFormat="1" x14ac:dyDescent="0.2">
      <c r="A28" s="110" t="s">
        <v>77</v>
      </c>
      <c r="B28" s="74"/>
      <c r="C28" s="35"/>
      <c r="D28" s="35">
        <f>SUM(D23,D24,D26)</f>
        <v>32.991867199999987</v>
      </c>
      <c r="E28" s="73"/>
      <c r="F28" s="35"/>
      <c r="G28" s="35">
        <f>SUM(G23,G24,G26)</f>
        <v>34.905183999999991</v>
      </c>
      <c r="H28" s="35">
        <f t="shared" si="1"/>
        <v>1.913316800000004</v>
      </c>
      <c r="I28" s="36">
        <f t="shared" si="9"/>
        <v>5.7993589401936149E-2</v>
      </c>
      <c r="J28" s="36">
        <f t="shared" si="5"/>
        <v>0.32684506460748519</v>
      </c>
      <c r="K28" s="111">
        <f t="shared" si="3"/>
        <v>0.31407625995213828</v>
      </c>
    </row>
    <row r="29" spans="1:11" x14ac:dyDescent="0.2">
      <c r="A29" s="107" t="s">
        <v>40</v>
      </c>
      <c r="B29" s="73">
        <f>C8</f>
        <v>625.8599999999999</v>
      </c>
      <c r="C29" s="78">
        <f>VLOOKUP($B$3,'Data for Bill Impacts'!$A$3:$Y$21,15,0)</f>
        <v>7.1999999999999998E-3</v>
      </c>
      <c r="D29" s="22">
        <f>B29*C29</f>
        <v>4.5061919999999995</v>
      </c>
      <c r="E29" s="73">
        <f>B8</f>
        <v>634.19999999999993</v>
      </c>
      <c r="F29" s="78">
        <f>VLOOKUP($B$3,'Data for Bill Impacts'!$A$3:$Y$21,24,0)</f>
        <v>7.3000000000000001E-3</v>
      </c>
      <c r="G29" s="22">
        <f>E29*F29</f>
        <v>4.6296599999999994</v>
      </c>
      <c r="H29" s="22">
        <f t="shared" si="1"/>
        <v>0.12346799999999991</v>
      </c>
      <c r="I29" s="23">
        <f t="shared" si="9"/>
        <v>2.739963144047123E-2</v>
      </c>
      <c r="J29" s="23">
        <f t="shared" si="5"/>
        <v>4.3351197398377561E-2</v>
      </c>
      <c r="K29" s="108">
        <f t="shared" si="3"/>
        <v>4.1657602998168314E-2</v>
      </c>
    </row>
    <row r="30" spans="1:11" x14ac:dyDescent="0.2">
      <c r="A30" s="107" t="s">
        <v>41</v>
      </c>
      <c r="B30" s="73">
        <f>C8</f>
        <v>625.8599999999999</v>
      </c>
      <c r="C30" s="125">
        <f>VLOOKUP($B$3,'Data for Bill Impacts'!$A$3:$Y$21,16,0)</f>
        <v>5.5688910375990336E-3</v>
      </c>
      <c r="D30" s="22">
        <f>B30*C30</f>
        <v>3.4853461447917304</v>
      </c>
      <c r="E30" s="73">
        <f>B8</f>
        <v>634.19999999999993</v>
      </c>
      <c r="F30" s="78">
        <f>VLOOKUP($B$3,'Data for Bill Impacts'!$A$3:$Y$21,25,0)</f>
        <v>6.1999999999999998E-3</v>
      </c>
      <c r="G30" s="22">
        <f>E30*F30</f>
        <v>3.9320399999999993</v>
      </c>
      <c r="H30" s="22">
        <f t="shared" si="1"/>
        <v>0.44669385520826888</v>
      </c>
      <c r="I30" s="23">
        <f t="shared" si="9"/>
        <v>0.12816341237032611</v>
      </c>
      <c r="J30" s="23">
        <f t="shared" si="5"/>
        <v>3.6818825187663135E-2</v>
      </c>
      <c r="K30" s="108">
        <f t="shared" si="3"/>
        <v>3.5380429943649802E-2</v>
      </c>
    </row>
    <row r="31" spans="1:11" s="1" customFormat="1" x14ac:dyDescent="0.2">
      <c r="A31" s="110" t="s">
        <v>76</v>
      </c>
      <c r="B31" s="74"/>
      <c r="C31" s="35"/>
      <c r="D31" s="35">
        <f>SUM(D29:D30)</f>
        <v>7.99153814479173</v>
      </c>
      <c r="E31" s="73"/>
      <c r="F31" s="35"/>
      <c r="G31" s="35">
        <f>SUM(G29:G30)</f>
        <v>8.5616999999999983</v>
      </c>
      <c r="H31" s="35">
        <f t="shared" si="1"/>
        <v>0.57016185520826834</v>
      </c>
      <c r="I31" s="36">
        <f t="shared" si="9"/>
        <v>7.1345696520244473E-2</v>
      </c>
      <c r="J31" s="36">
        <f t="shared" si="5"/>
        <v>8.0170022586040696E-2</v>
      </c>
      <c r="K31" s="111">
        <f t="shared" si="3"/>
        <v>7.7038032941818116E-2</v>
      </c>
    </row>
    <row r="32" spans="1:11" s="1" customFormat="1" x14ac:dyDescent="0.2">
      <c r="A32" s="110" t="s">
        <v>95</v>
      </c>
      <c r="B32" s="74"/>
      <c r="C32" s="35"/>
      <c r="D32" s="35">
        <f>D27+D31</f>
        <v>40.814798144791723</v>
      </c>
      <c r="E32" s="73"/>
      <c r="F32" s="35"/>
      <c r="G32" s="35">
        <f>G27+G31</f>
        <v>43.243899999999996</v>
      </c>
      <c r="H32" s="35">
        <f t="shared" si="1"/>
        <v>2.4291018552082733</v>
      </c>
      <c r="I32" s="36">
        <f t="shared" si="9"/>
        <v>5.9515224027103145E-2</v>
      </c>
      <c r="J32" s="36">
        <f t="shared" si="5"/>
        <v>0.40492711023610795</v>
      </c>
      <c r="K32" s="111">
        <f t="shared" si="3"/>
        <v>0.38910788660344192</v>
      </c>
    </row>
    <row r="33" spans="1:11" s="1" customFormat="1" x14ac:dyDescent="0.2">
      <c r="A33" s="110" t="s">
        <v>96</v>
      </c>
      <c r="B33" s="74"/>
      <c r="C33" s="35"/>
      <c r="D33" s="35">
        <f>D28+D31</f>
        <v>40.98340534479172</v>
      </c>
      <c r="E33" s="73"/>
      <c r="F33" s="35"/>
      <c r="G33" s="35">
        <f>G28+G31</f>
        <v>43.466883999999993</v>
      </c>
      <c r="H33" s="35">
        <f t="shared" si="1"/>
        <v>2.4834786552082733</v>
      </c>
      <c r="I33" s="36">
        <f t="shared" si="9"/>
        <v>6.0597176694197771E-2</v>
      </c>
      <c r="J33" s="36">
        <f t="shared" si="5"/>
        <v>0.40701508719352592</v>
      </c>
      <c r="K33" s="111">
        <f t="shared" si="3"/>
        <v>0.39111429289395644</v>
      </c>
    </row>
    <row r="34" spans="1:11" x14ac:dyDescent="0.2">
      <c r="A34" s="107" t="s">
        <v>42</v>
      </c>
      <c r="B34" s="73">
        <f>C8</f>
        <v>625.8599999999999</v>
      </c>
      <c r="C34" s="34">
        <v>3.5999999999999999E-3</v>
      </c>
      <c r="D34" s="22">
        <f>B34*C34</f>
        <v>2.2530959999999998</v>
      </c>
      <c r="E34" s="73">
        <f>B8</f>
        <v>634.19999999999993</v>
      </c>
      <c r="F34" s="34">
        <v>3.5999999999999999E-3</v>
      </c>
      <c r="G34" s="22">
        <f>E34*F34</f>
        <v>2.2831199999999998</v>
      </c>
      <c r="H34" s="22">
        <f t="shared" si="1"/>
        <v>3.0024000000000051E-2</v>
      </c>
      <c r="I34" s="23">
        <f t="shared" si="9"/>
        <v>1.3325663886492211E-2</v>
      </c>
      <c r="J34" s="23">
        <f t="shared" si="5"/>
        <v>2.1378672689610852E-2</v>
      </c>
      <c r="K34" s="108">
        <f t="shared" si="3"/>
        <v>2.0543475451151497E-2</v>
      </c>
    </row>
    <row r="35" spans="1:11" x14ac:dyDescent="0.2">
      <c r="A35" s="107" t="s">
        <v>43</v>
      </c>
      <c r="B35" s="73">
        <f>C8</f>
        <v>625.8599999999999</v>
      </c>
      <c r="C35" s="34">
        <v>2.0999999999999999E-3</v>
      </c>
      <c r="D35" s="22">
        <f>B35*C35</f>
        <v>1.3143059999999998</v>
      </c>
      <c r="E35" s="73">
        <f>B8</f>
        <v>634.19999999999993</v>
      </c>
      <c r="F35" s="34">
        <v>2.0999999999999999E-3</v>
      </c>
      <c r="G35" s="22">
        <f>E35*F35</f>
        <v>1.3318199999999998</v>
      </c>
      <c r="H35" s="22">
        <f>G35-D35</f>
        <v>1.751400000000003E-2</v>
      </c>
      <c r="I35" s="23">
        <f t="shared" si="9"/>
        <v>1.3325663886492211E-2</v>
      </c>
      <c r="J35" s="23">
        <f t="shared" si="5"/>
        <v>1.2470892402272997E-2</v>
      </c>
      <c r="K35" s="108">
        <f t="shared" si="3"/>
        <v>1.1983694013171706E-2</v>
      </c>
    </row>
    <row r="36" spans="1:11" x14ac:dyDescent="0.2">
      <c r="A36" s="107" t="s">
        <v>100</v>
      </c>
      <c r="B36" s="73">
        <f>C8</f>
        <v>625.8599999999999</v>
      </c>
      <c r="C36" s="34">
        <v>0</v>
      </c>
      <c r="D36" s="22">
        <f>B36*C36</f>
        <v>0</v>
      </c>
      <c r="E36" s="73">
        <f>B8</f>
        <v>634.19999999999993</v>
      </c>
      <c r="F36" s="34">
        <v>0</v>
      </c>
      <c r="G36" s="22">
        <f>E36*F36</f>
        <v>0</v>
      </c>
      <c r="H36" s="22">
        <f>G36-D36</f>
        <v>0</v>
      </c>
      <c r="I36" s="23" t="str">
        <f t="shared" si="9"/>
        <v>N/A</v>
      </c>
      <c r="J36" s="23">
        <f t="shared" si="5"/>
        <v>0</v>
      </c>
      <c r="K36" s="108">
        <f t="shared" si="3"/>
        <v>0</v>
      </c>
    </row>
    <row r="37" spans="1:11" x14ac:dyDescent="0.2">
      <c r="A37" s="107" t="s">
        <v>44</v>
      </c>
      <c r="B37" s="73">
        <v>1</v>
      </c>
      <c r="C37" s="22">
        <v>0.25</v>
      </c>
      <c r="D37" s="22">
        <f>B37*C37</f>
        <v>0.25</v>
      </c>
      <c r="E37" s="73">
        <v>1</v>
      </c>
      <c r="F37" s="22">
        <f>C37</f>
        <v>0.25</v>
      </c>
      <c r="G37" s="22">
        <f>E37*F37</f>
        <v>0.25</v>
      </c>
      <c r="H37" s="22">
        <f t="shared" si="1"/>
        <v>0</v>
      </c>
      <c r="I37" s="23">
        <f t="shared" si="9"/>
        <v>0</v>
      </c>
      <c r="J37" s="23">
        <f t="shared" si="5"/>
        <v>2.3409493028849616E-3</v>
      </c>
      <c r="K37" s="108">
        <f t="shared" si="3"/>
        <v>2.249495805208607E-3</v>
      </c>
    </row>
    <row r="38" spans="1:11" s="1" customFormat="1" x14ac:dyDescent="0.2">
      <c r="A38" s="110" t="s">
        <v>45</v>
      </c>
      <c r="B38" s="74"/>
      <c r="C38" s="35"/>
      <c r="D38" s="35">
        <f>SUM(D34:D37)</f>
        <v>3.8174019999999995</v>
      </c>
      <c r="E38" s="73"/>
      <c r="F38" s="35"/>
      <c r="G38" s="35">
        <f>SUM(G34:G37)</f>
        <v>3.8649399999999998</v>
      </c>
      <c r="H38" s="35">
        <f t="shared" si="1"/>
        <v>4.7538000000000302E-2</v>
      </c>
      <c r="I38" s="36">
        <f t="shared" si="9"/>
        <v>1.2452971942698282E-2</v>
      </c>
      <c r="J38" s="36">
        <f t="shared" si="5"/>
        <v>3.6190514394768815E-2</v>
      </c>
      <c r="K38" s="111">
        <f t="shared" si="3"/>
        <v>3.4776665269531812E-2</v>
      </c>
    </row>
    <row r="39" spans="1:11" s="1" customFormat="1" ht="13.5" thickBot="1" x14ac:dyDescent="0.25">
      <c r="A39" s="112" t="s">
        <v>46</v>
      </c>
      <c r="B39" s="113">
        <f>C4</f>
        <v>600</v>
      </c>
      <c r="C39" s="114">
        <v>0</v>
      </c>
      <c r="D39" s="115">
        <f>B39*C39</f>
        <v>0</v>
      </c>
      <c r="E39" s="116">
        <f>B4</f>
        <v>600</v>
      </c>
      <c r="F39" s="114">
        <f>C39</f>
        <v>0</v>
      </c>
      <c r="G39" s="115">
        <f>E39*F39</f>
        <v>0</v>
      </c>
      <c r="H39" s="115">
        <f t="shared" si="1"/>
        <v>0</v>
      </c>
      <c r="I39" s="117" t="str">
        <f t="shared" si="9"/>
        <v>N/A</v>
      </c>
      <c r="J39" s="117">
        <f t="shared" si="5"/>
        <v>0</v>
      </c>
      <c r="K39" s="118">
        <f t="shared" si="3"/>
        <v>0</v>
      </c>
    </row>
    <row r="40" spans="1:11" s="1" customFormat="1" x14ac:dyDescent="0.2">
      <c r="A40" s="37" t="s">
        <v>137</v>
      </c>
      <c r="B40" s="38"/>
      <c r="C40" s="39"/>
      <c r="D40" s="39">
        <f>SUM(D14,D23,D24,D25,D31,D38,D39)</f>
        <v>99.232200144791733</v>
      </c>
      <c r="E40" s="38"/>
      <c r="F40" s="39"/>
      <c r="G40" s="39">
        <f>SUM(G14,G23,G24,G25,G31,G38,G39)</f>
        <v>101.70884</v>
      </c>
      <c r="H40" s="39">
        <f t="shared" si="1"/>
        <v>2.476639855208262</v>
      </c>
      <c r="I40" s="40">
        <f t="shared" si="9"/>
        <v>2.495802624142714E-2</v>
      </c>
      <c r="J40" s="40">
        <f t="shared" si="5"/>
        <v>0.95238095238095233</v>
      </c>
      <c r="K40" s="41"/>
    </row>
    <row r="41" spans="1:11" x14ac:dyDescent="0.2">
      <c r="A41" s="149" t="s">
        <v>138</v>
      </c>
      <c r="B41" s="43"/>
      <c r="C41" s="26">
        <v>0.13</v>
      </c>
      <c r="D41" s="26">
        <f>D40*C41</f>
        <v>12.900186018822925</v>
      </c>
      <c r="E41" s="26"/>
      <c r="F41" s="26">
        <f>C41</f>
        <v>0.13</v>
      </c>
      <c r="G41" s="26">
        <f>G40*F41</f>
        <v>13.2221492</v>
      </c>
      <c r="H41" s="26">
        <f t="shared" si="1"/>
        <v>0.32196318117707534</v>
      </c>
      <c r="I41" s="44">
        <f t="shared" si="9"/>
        <v>2.4958026241427237E-2</v>
      </c>
      <c r="J41" s="44">
        <f t="shared" si="5"/>
        <v>0.12380952380952381</v>
      </c>
      <c r="K41" s="45"/>
    </row>
    <row r="42" spans="1:11" s="1" customFormat="1" x14ac:dyDescent="0.2">
      <c r="A42" s="46" t="s">
        <v>139</v>
      </c>
      <c r="B42" s="24"/>
      <c r="C42" s="25"/>
      <c r="D42" s="25">
        <f>SUM(D40:D41)</f>
        <v>112.13238616361465</v>
      </c>
      <c r="E42" s="25"/>
      <c r="F42" s="25"/>
      <c r="G42" s="25">
        <f>SUM(G40:G41)</f>
        <v>114.9309892</v>
      </c>
      <c r="H42" s="25">
        <f t="shared" si="1"/>
        <v>2.7986030363853445</v>
      </c>
      <c r="I42" s="27">
        <f t="shared" si="9"/>
        <v>2.4958026241427216E-2</v>
      </c>
      <c r="J42" s="27">
        <f t="shared" si="5"/>
        <v>1.0761904761904761</v>
      </c>
      <c r="K42" s="47"/>
    </row>
    <row r="43" spans="1:11" x14ac:dyDescent="0.2">
      <c r="A43" s="42" t="s">
        <v>140</v>
      </c>
      <c r="B43" s="43"/>
      <c r="C43" s="26">
        <v>-0.08</v>
      </c>
      <c r="D43" s="26">
        <f>D40*C43</f>
        <v>-7.938576011583339</v>
      </c>
      <c r="E43" s="26"/>
      <c r="F43" s="26">
        <f>C43</f>
        <v>-0.08</v>
      </c>
      <c r="G43" s="26">
        <f>G40*F43</f>
        <v>-8.1367072</v>
      </c>
      <c r="H43" s="26">
        <f t="shared" si="1"/>
        <v>-0.198131188416661</v>
      </c>
      <c r="I43" s="44">
        <f t="shared" si="9"/>
        <v>-2.4958026241427143E-2</v>
      </c>
      <c r="J43" s="44">
        <f t="shared" ref="J43:J44" si="10">G43/$G$44</f>
        <v>-7.6190476190476197E-2</v>
      </c>
      <c r="K43" s="45"/>
    </row>
    <row r="44" spans="1:11" s="1" customFormat="1" ht="13.5" thickBot="1" x14ac:dyDescent="0.25">
      <c r="A44" s="48" t="s">
        <v>141</v>
      </c>
      <c r="B44" s="49"/>
      <c r="C44" s="50"/>
      <c r="D44" s="50">
        <f>SUM(D42:D43)</f>
        <v>104.19381015203132</v>
      </c>
      <c r="E44" s="50"/>
      <c r="F44" s="50"/>
      <c r="G44" s="50">
        <f>SUM(G42:G43)</f>
        <v>106.794282</v>
      </c>
      <c r="H44" s="50">
        <f t="shared" si="1"/>
        <v>2.6004718479686773</v>
      </c>
      <c r="I44" s="51">
        <f t="shared" si="9"/>
        <v>2.4958026241427161E-2</v>
      </c>
      <c r="J44" s="51">
        <f t="shared" si="10"/>
        <v>1</v>
      </c>
      <c r="K44" s="52"/>
    </row>
    <row r="45" spans="1:11" x14ac:dyDescent="0.2">
      <c r="A45" s="53" t="s">
        <v>142</v>
      </c>
      <c r="B45" s="54"/>
      <c r="C45" s="55"/>
      <c r="D45" s="55">
        <f>SUM(D18,D23,D24,D26,D31,D38,D39)</f>
        <v>103.31280734479174</v>
      </c>
      <c r="E45" s="55"/>
      <c r="F45" s="55"/>
      <c r="G45" s="55">
        <f>SUM(G18,G23,G24,G26,G31,G38,G39)</f>
        <v>105.84382400000001</v>
      </c>
      <c r="H45" s="55">
        <f>G45-D45</f>
        <v>2.5310166552082762</v>
      </c>
      <c r="I45" s="56">
        <f t="shared" si="9"/>
        <v>2.4498575929326648E-2</v>
      </c>
      <c r="J45" s="56"/>
      <c r="K45" s="57">
        <f>G45/$G$49</f>
        <v>0.95238095238095244</v>
      </c>
    </row>
    <row r="46" spans="1:11" x14ac:dyDescent="0.2">
      <c r="A46" s="150" t="s">
        <v>138</v>
      </c>
      <c r="B46" s="59"/>
      <c r="C46" s="31">
        <v>0.13</v>
      </c>
      <c r="D46" s="31">
        <f>D45*C46</f>
        <v>13.430664954822927</v>
      </c>
      <c r="E46" s="31"/>
      <c r="F46" s="31">
        <f>C46</f>
        <v>0.13</v>
      </c>
      <c r="G46" s="31">
        <f>G45*F46</f>
        <v>13.759697120000002</v>
      </c>
      <c r="H46" s="31">
        <f>G46-D46</f>
        <v>0.32903216517707534</v>
      </c>
      <c r="I46" s="32">
        <f t="shared" si="9"/>
        <v>2.4498575929326603E-2</v>
      </c>
      <c r="J46" s="32"/>
      <c r="K46" s="60">
        <f>G46/$G$49</f>
        <v>0.12380952380952383</v>
      </c>
    </row>
    <row r="47" spans="1:11" x14ac:dyDescent="0.2">
      <c r="A47" s="61" t="s">
        <v>143</v>
      </c>
      <c r="B47" s="29"/>
      <c r="C47" s="30"/>
      <c r="D47" s="30">
        <f>SUM(D45:D46)</f>
        <v>116.74347229961467</v>
      </c>
      <c r="E47" s="30"/>
      <c r="F47" s="30"/>
      <c r="G47" s="30">
        <f>SUM(G45:G46)</f>
        <v>119.60352112000001</v>
      </c>
      <c r="H47" s="30">
        <f>G47-D47</f>
        <v>2.8600488203853445</v>
      </c>
      <c r="I47" s="33">
        <f t="shared" si="9"/>
        <v>2.4498575929326583E-2</v>
      </c>
      <c r="J47" s="33"/>
      <c r="K47" s="62">
        <f>G47/$G$49</f>
        <v>1.0761904761904764</v>
      </c>
    </row>
    <row r="48" spans="1:11" x14ac:dyDescent="0.2">
      <c r="A48" s="58" t="s">
        <v>140</v>
      </c>
      <c r="B48" s="59"/>
      <c r="C48" s="31">
        <v>-0.08</v>
      </c>
      <c r="D48" s="31">
        <f>D45*C48</f>
        <v>-8.2650245875833388</v>
      </c>
      <c r="E48" s="31"/>
      <c r="F48" s="31">
        <f>C48</f>
        <v>-0.08</v>
      </c>
      <c r="G48" s="31">
        <f>G45*F48</f>
        <v>-8.4675059200000007</v>
      </c>
      <c r="H48" s="31">
        <f>G48-D48</f>
        <v>-0.20248133241666189</v>
      </c>
      <c r="I48" s="32">
        <f t="shared" si="9"/>
        <v>-2.4498575929326624E-2</v>
      </c>
      <c r="J48" s="32"/>
      <c r="K48" s="60">
        <f>G48/$G$49</f>
        <v>-7.6190476190476197E-2</v>
      </c>
    </row>
    <row r="49" spans="1:11" ht="13.5" thickBot="1" x14ac:dyDescent="0.25">
      <c r="A49" s="63" t="s">
        <v>144</v>
      </c>
      <c r="B49" s="64"/>
      <c r="C49" s="65"/>
      <c r="D49" s="65">
        <f>SUM(D47:D48)</f>
        <v>108.47844771203133</v>
      </c>
      <c r="E49" s="65"/>
      <c r="F49" s="65"/>
      <c r="G49" s="65">
        <f>SUM(G47:G48)</f>
        <v>111.1360152</v>
      </c>
      <c r="H49" s="65">
        <f>G49-D49</f>
        <v>2.6575674879686773</v>
      </c>
      <c r="I49" s="66">
        <f t="shared" si="9"/>
        <v>2.4498575929326531E-2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pageSetUpPr fitToPage="1"/>
  </sheetPr>
  <dimension ref="A1:K66"/>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200</v>
      </c>
      <c r="C3" s="13" t="s">
        <v>113</v>
      </c>
    </row>
    <row r="4" spans="1:11" x14ac:dyDescent="0.2">
      <c r="A4" s="15" t="s">
        <v>62</v>
      </c>
      <c r="B4" s="79">
        <v>750</v>
      </c>
      <c r="C4" s="79">
        <v>750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81">
        <f>B4*B6</f>
        <v>792.75</v>
      </c>
      <c r="C8" s="181">
        <f>C4*C6</f>
        <v>782.32499999999993</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600</v>
      </c>
      <c r="C12" s="103">
        <v>9.0999999999999998E-2</v>
      </c>
      <c r="D12" s="104">
        <f>B12*C12</f>
        <v>54.6</v>
      </c>
      <c r="E12" s="102">
        <f>IF(B4&gt;B7,B7,B4)</f>
        <v>600</v>
      </c>
      <c r="F12" s="103">
        <f>C12</f>
        <v>9.0999999999999998E-2</v>
      </c>
      <c r="G12" s="104">
        <f>E12*F12</f>
        <v>54.6</v>
      </c>
      <c r="H12" s="104">
        <f>G12-D12</f>
        <v>0</v>
      </c>
      <c r="I12" s="105">
        <f t="shared" ref="I12:I18" si="0">IF(ISERROR(H12/ABS(D12)),"N/A",(H12/ABS(D12)))</f>
        <v>0</v>
      </c>
      <c r="J12" s="105">
        <f>G12/$G$44</f>
        <v>0.42597706441182809</v>
      </c>
      <c r="K12" s="106"/>
    </row>
    <row r="13" spans="1:11" x14ac:dyDescent="0.2">
      <c r="A13" s="107" t="s">
        <v>32</v>
      </c>
      <c r="B13" s="73">
        <f>IF(C4&gt;C7,(C4)-C7,0)</f>
        <v>150</v>
      </c>
      <c r="C13" s="21">
        <v>0.106</v>
      </c>
      <c r="D13" s="104">
        <f>B13*C13</f>
        <v>15.9</v>
      </c>
      <c r="E13" s="73">
        <f>IF(B4&gt;B7,(B4)-B7,0)</f>
        <v>150</v>
      </c>
      <c r="F13" s="21">
        <f>C13</f>
        <v>0.106</v>
      </c>
      <c r="G13" s="22">
        <f>E13*F13</f>
        <v>15.9</v>
      </c>
      <c r="H13" s="22">
        <f t="shared" ref="H13:H44" si="1">G13-D13</f>
        <v>0</v>
      </c>
      <c r="I13" s="23">
        <f t="shared" si="0"/>
        <v>0</v>
      </c>
      <c r="J13" s="23">
        <f>G13/$G$44</f>
        <v>0.12404826601003785</v>
      </c>
      <c r="K13" s="108"/>
    </row>
    <row r="14" spans="1:11" s="1" customFormat="1" x14ac:dyDescent="0.2">
      <c r="A14" s="46" t="s">
        <v>33</v>
      </c>
      <c r="B14" s="24"/>
      <c r="C14" s="25"/>
      <c r="D14" s="25">
        <f>SUM(D12:D13)</f>
        <v>70.5</v>
      </c>
      <c r="E14" s="76"/>
      <c r="F14" s="25"/>
      <c r="G14" s="25">
        <f>SUM(G12:G13)</f>
        <v>70.5</v>
      </c>
      <c r="H14" s="25">
        <f t="shared" si="1"/>
        <v>0</v>
      </c>
      <c r="I14" s="27">
        <f t="shared" si="0"/>
        <v>0</v>
      </c>
      <c r="J14" s="27">
        <f>G14/$G$44</f>
        <v>0.55002533042186585</v>
      </c>
      <c r="K14" s="108"/>
    </row>
    <row r="15" spans="1:11" s="1" customFormat="1" x14ac:dyDescent="0.2">
      <c r="A15" s="109" t="s">
        <v>34</v>
      </c>
      <c r="B15" s="75">
        <f>C4*0.65</f>
        <v>487.5</v>
      </c>
      <c r="C15" s="28">
        <v>7.6999999999999999E-2</v>
      </c>
      <c r="D15" s="256">
        <f>B15*C15</f>
        <v>37.537500000000001</v>
      </c>
      <c r="E15" s="75">
        <f>B4*0.65</f>
        <v>487.5</v>
      </c>
      <c r="F15" s="28">
        <f t="shared" ref="F15:F17" si="2">C15</f>
        <v>7.6999999999999999E-2</v>
      </c>
      <c r="G15" s="22">
        <f>E15*F15</f>
        <v>37.537500000000001</v>
      </c>
      <c r="H15" s="22">
        <f t="shared" si="1"/>
        <v>0</v>
      </c>
      <c r="I15" s="23">
        <f t="shared" si="0"/>
        <v>0</v>
      </c>
      <c r="J15" s="23"/>
      <c r="K15" s="108">
        <f t="shared" ref="K15:K39" si="3">G15/$G$49</f>
        <v>0.28749548250105461</v>
      </c>
    </row>
    <row r="16" spans="1:11" s="1" customFormat="1" x14ac:dyDescent="0.2">
      <c r="A16" s="109" t="s">
        <v>35</v>
      </c>
      <c r="B16" s="75">
        <f>C4*0.17</f>
        <v>127.50000000000001</v>
      </c>
      <c r="C16" s="28">
        <v>0.113</v>
      </c>
      <c r="D16" s="256">
        <f t="shared" ref="D16:D17" si="4">B16*C16</f>
        <v>14.407500000000002</v>
      </c>
      <c r="E16" s="75">
        <f>B4*0.17</f>
        <v>127.50000000000001</v>
      </c>
      <c r="F16" s="28">
        <f t="shared" si="2"/>
        <v>0.113</v>
      </c>
      <c r="G16" s="22">
        <f>E16*F16</f>
        <v>14.407500000000002</v>
      </c>
      <c r="H16" s="22">
        <f t="shared" si="1"/>
        <v>0</v>
      </c>
      <c r="I16" s="23">
        <f t="shared" si="0"/>
        <v>0</v>
      </c>
      <c r="J16" s="23"/>
      <c r="K16" s="108">
        <f t="shared" si="3"/>
        <v>0.11034541895794725</v>
      </c>
    </row>
    <row r="17" spans="1:11" s="1" customFormat="1" x14ac:dyDescent="0.2">
      <c r="A17" s="109" t="s">
        <v>36</v>
      </c>
      <c r="B17" s="75">
        <f>C4*0.18</f>
        <v>135</v>
      </c>
      <c r="C17" s="28">
        <v>0.157</v>
      </c>
      <c r="D17" s="256">
        <f t="shared" si="4"/>
        <v>21.195</v>
      </c>
      <c r="E17" s="75">
        <f>B4*0.18</f>
        <v>135</v>
      </c>
      <c r="F17" s="28">
        <f t="shared" si="2"/>
        <v>0.157</v>
      </c>
      <c r="G17" s="22">
        <f>E17*F17</f>
        <v>21.195</v>
      </c>
      <c r="H17" s="22">
        <f t="shared" si="1"/>
        <v>0</v>
      </c>
      <c r="I17" s="23">
        <f t="shared" si="0"/>
        <v>0</v>
      </c>
      <c r="J17" s="23"/>
      <c r="K17" s="108">
        <f t="shared" si="3"/>
        <v>0.16233011659300306</v>
      </c>
    </row>
    <row r="18" spans="1:11" s="1" customFormat="1" x14ac:dyDescent="0.2">
      <c r="A18" s="61" t="s">
        <v>37</v>
      </c>
      <c r="B18" s="29"/>
      <c r="C18" s="30"/>
      <c r="D18" s="30">
        <f>SUM(D15:D17)</f>
        <v>73.140000000000015</v>
      </c>
      <c r="E18" s="77"/>
      <c r="F18" s="30"/>
      <c r="G18" s="30">
        <f>SUM(G15:G17)</f>
        <v>73.140000000000015</v>
      </c>
      <c r="H18" s="31">
        <f t="shared" si="1"/>
        <v>0</v>
      </c>
      <c r="I18" s="32">
        <f t="shared" si="0"/>
        <v>0</v>
      </c>
      <c r="J18" s="33">
        <f t="shared" ref="J18:J44" si="5">G18/$G$44</f>
        <v>0.5706220236461742</v>
      </c>
      <c r="K18" s="62">
        <f t="shared" si="3"/>
        <v>0.56017101805200498</v>
      </c>
    </row>
    <row r="19" spans="1:11" x14ac:dyDescent="0.2">
      <c r="A19" s="107" t="s">
        <v>38</v>
      </c>
      <c r="B19" s="73">
        <v>1</v>
      </c>
      <c r="C19" s="121">
        <f>'Data for Bill Impacts'!G22</f>
        <v>29.98</v>
      </c>
      <c r="D19" s="22">
        <f>B19*C19</f>
        <v>29.98</v>
      </c>
      <c r="E19" s="73">
        <v>1</v>
      </c>
      <c r="F19" s="121">
        <f>VLOOKUP($B$3,'Data for Bill Impacts'!$A$3:$Y$21,17,0)</f>
        <v>30.78</v>
      </c>
      <c r="G19" s="22">
        <f>E19*F19</f>
        <v>30.78</v>
      </c>
      <c r="H19" s="22">
        <f t="shared" si="1"/>
        <v>0.80000000000000071</v>
      </c>
      <c r="I19" s="23">
        <f>IF(ISERROR(H19/ABS(D19)),"N/A",(H19/ABS(D19)))</f>
        <v>2.6684456304202825E-2</v>
      </c>
      <c r="J19" s="23">
        <f t="shared" si="5"/>
        <v>0.24013871872886572</v>
      </c>
      <c r="K19" s="108">
        <f t="shared" si="3"/>
        <v>0.23574055148538026</v>
      </c>
    </row>
    <row r="20" spans="1:11" x14ac:dyDescent="0.2">
      <c r="A20" s="107" t="s">
        <v>193</v>
      </c>
      <c r="B20" s="73">
        <v>1</v>
      </c>
      <c r="C20" s="121">
        <f>'Data for Bill Impacts'!K22</f>
        <v>-0.3</v>
      </c>
      <c r="D20" s="22">
        <f t="shared" ref="D20" si="6">B20*C20</f>
        <v>-0.3</v>
      </c>
      <c r="E20" s="73">
        <v>1</v>
      </c>
      <c r="F20" s="121">
        <v>0</v>
      </c>
      <c r="G20" s="22">
        <f t="shared" ref="G20" si="7">E20*F20</f>
        <v>0</v>
      </c>
      <c r="H20" s="22">
        <f t="shared" si="1"/>
        <v>0.3</v>
      </c>
      <c r="I20" s="23">
        <f t="shared" ref="I20:I21" si="8">IF(ISERROR(H20/D20),0,(H20/D20))</f>
        <v>-1</v>
      </c>
      <c r="J20" s="23">
        <f t="shared" si="5"/>
        <v>0</v>
      </c>
      <c r="K20" s="108">
        <f t="shared" si="3"/>
        <v>0</v>
      </c>
    </row>
    <row r="21" spans="1:11" x14ac:dyDescent="0.2">
      <c r="A21" s="107" t="s">
        <v>39</v>
      </c>
      <c r="B21" s="73">
        <f>IF($C$9="kWh",$C$4,$C$5)</f>
        <v>750</v>
      </c>
      <c r="C21" s="125">
        <f>'Data for Bill Impacts'!J22</f>
        <v>0</v>
      </c>
      <c r="D21" s="22">
        <f>B21*C21</f>
        <v>0</v>
      </c>
      <c r="E21" s="73">
        <f>IF($B$9="kWh",$B$4,$B$5)</f>
        <v>750</v>
      </c>
      <c r="F21" s="125">
        <f>VLOOKUP($B$3,'Data for Bill Impacts'!$A$3:$Y$21,19,0)</f>
        <v>0</v>
      </c>
      <c r="G21" s="22">
        <f>E21*F21</f>
        <v>0</v>
      </c>
      <c r="H21" s="22">
        <f t="shared" si="1"/>
        <v>0</v>
      </c>
      <c r="I21" s="23">
        <f t="shared" si="8"/>
        <v>0</v>
      </c>
      <c r="J21" s="23">
        <f t="shared" si="5"/>
        <v>0</v>
      </c>
      <c r="K21" s="108">
        <f t="shared" si="3"/>
        <v>0</v>
      </c>
    </row>
    <row r="22" spans="1:11" x14ac:dyDescent="0.2">
      <c r="A22" s="107" t="s">
        <v>195</v>
      </c>
      <c r="B22" s="73">
        <f>IF($C$9="kWh",$C$4,$C$5)</f>
        <v>750</v>
      </c>
      <c r="C22" s="125">
        <v>0</v>
      </c>
      <c r="D22" s="22">
        <f>B22*C22</f>
        <v>0</v>
      </c>
      <c r="E22" s="73">
        <f>IF($B$9="kWh",$B$4,$B$5)</f>
        <v>750</v>
      </c>
      <c r="F22" s="125">
        <v>0</v>
      </c>
      <c r="G22" s="22">
        <f>E22*F22</f>
        <v>0</v>
      </c>
      <c r="H22" s="22">
        <f>G22-D22</f>
        <v>0</v>
      </c>
      <c r="I22" s="23" t="str">
        <f t="shared" ref="I22:I49" si="9">IF(ISERROR(H22/ABS(D22)),"N/A",(H22/ABS(D22)))</f>
        <v>N/A</v>
      </c>
      <c r="J22" s="23">
        <f t="shared" si="5"/>
        <v>0</v>
      </c>
      <c r="K22" s="108">
        <f t="shared" si="3"/>
        <v>0</v>
      </c>
    </row>
    <row r="23" spans="1:11" s="1" customFormat="1" x14ac:dyDescent="0.2">
      <c r="A23" s="110" t="s">
        <v>72</v>
      </c>
      <c r="B23" s="74"/>
      <c r="C23" s="35"/>
      <c r="D23" s="35">
        <f>SUM(D19:D22)</f>
        <v>29.68</v>
      </c>
      <c r="E23" s="73"/>
      <c r="F23" s="35"/>
      <c r="G23" s="35">
        <f>SUM(G19:G22)</f>
        <v>30.78</v>
      </c>
      <c r="H23" s="35">
        <f t="shared" si="1"/>
        <v>1.1000000000000014</v>
      </c>
      <c r="I23" s="36">
        <f t="shared" si="9"/>
        <v>3.706199460916447E-2</v>
      </c>
      <c r="J23" s="36">
        <f t="shared" si="5"/>
        <v>0.24013871872886572</v>
      </c>
      <c r="K23" s="111">
        <f t="shared" si="3"/>
        <v>0.23574055148538026</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1"/>
        <v>0</v>
      </c>
      <c r="I24" s="23">
        <f t="shared" si="9"/>
        <v>0</v>
      </c>
      <c r="J24" s="23">
        <f t="shared" si="5"/>
        <v>6.1634044118194908E-3</v>
      </c>
      <c r="K24" s="108">
        <f t="shared" si="3"/>
        <v>6.0505209770451724E-3</v>
      </c>
    </row>
    <row r="25" spans="1:11" s="1" customFormat="1" x14ac:dyDescent="0.2">
      <c r="A25" s="119" t="s">
        <v>75</v>
      </c>
      <c r="B25" s="120">
        <f>C8-C4</f>
        <v>32.324999999999932</v>
      </c>
      <c r="C25" s="257">
        <f>IF(B4&gt;B7,C13,C12)</f>
        <v>0.106</v>
      </c>
      <c r="D25" s="22">
        <f>B25*C25</f>
        <v>3.4264499999999929</v>
      </c>
      <c r="E25" s="120">
        <f>B8-B4</f>
        <v>42.75</v>
      </c>
      <c r="F25" s="257">
        <f>C25</f>
        <v>0.106</v>
      </c>
      <c r="G25" s="22">
        <f>E25*F25</f>
        <v>4.5315000000000003</v>
      </c>
      <c r="H25" s="22">
        <f t="shared" si="1"/>
        <v>1.1050500000000074</v>
      </c>
      <c r="I25" s="23">
        <f t="shared" si="9"/>
        <v>0.32250580046403998</v>
      </c>
      <c r="J25" s="23">
        <f t="shared" si="5"/>
        <v>3.5353755812860786E-2</v>
      </c>
      <c r="K25" s="108">
        <f t="shared" si="3"/>
        <v>3.4706247857569872E-2</v>
      </c>
    </row>
    <row r="26" spans="1:11" s="1" customFormat="1" x14ac:dyDescent="0.2">
      <c r="A26" s="119" t="s">
        <v>74</v>
      </c>
      <c r="B26" s="120">
        <f>C8-C4</f>
        <v>32.324999999999932</v>
      </c>
      <c r="C26" s="257">
        <f>0.65*C15+0.17*C16+0.18*C17</f>
        <v>9.7519999999999996E-2</v>
      </c>
      <c r="D26" s="22">
        <f>B26*C26</f>
        <v>3.1523339999999931</v>
      </c>
      <c r="E26" s="120">
        <f>B8-B4</f>
        <v>42.75</v>
      </c>
      <c r="F26" s="257">
        <f>C26</f>
        <v>9.7519999999999996E-2</v>
      </c>
      <c r="G26" s="22">
        <f>E26*F26</f>
        <v>4.1689799999999995</v>
      </c>
      <c r="H26" s="22">
        <f t="shared" si="1"/>
        <v>1.0166460000000064</v>
      </c>
      <c r="I26" s="23">
        <f t="shared" si="9"/>
        <v>0.32250580046403987</v>
      </c>
      <c r="J26" s="23">
        <f t="shared" si="5"/>
        <v>3.2525455347831918E-2</v>
      </c>
      <c r="K26" s="108">
        <f t="shared" si="3"/>
        <v>3.1929748028964276E-2</v>
      </c>
    </row>
    <row r="27" spans="1:11" s="1" customFormat="1" x14ac:dyDescent="0.2">
      <c r="A27" s="110" t="s">
        <v>78</v>
      </c>
      <c r="B27" s="74"/>
      <c r="C27" s="35"/>
      <c r="D27" s="35">
        <f>SUM(D23,D24:D25)</f>
        <v>33.896449999999994</v>
      </c>
      <c r="E27" s="73"/>
      <c r="F27" s="35"/>
      <c r="G27" s="35">
        <f>SUM(G23,G24:G25)</f>
        <v>36.101500000000001</v>
      </c>
      <c r="H27" s="35">
        <f t="shared" si="1"/>
        <v>2.2050500000000071</v>
      </c>
      <c r="I27" s="36">
        <f t="shared" si="9"/>
        <v>6.5052534999978096E-2</v>
      </c>
      <c r="J27" s="36">
        <f t="shared" si="5"/>
        <v>0.28165587895354599</v>
      </c>
      <c r="K27" s="111">
        <f t="shared" si="3"/>
        <v>0.2764973203199953</v>
      </c>
    </row>
    <row r="28" spans="1:11" s="1" customFormat="1" x14ac:dyDescent="0.2">
      <c r="A28" s="110" t="s">
        <v>77</v>
      </c>
      <c r="B28" s="74"/>
      <c r="C28" s="35"/>
      <c r="D28" s="35">
        <f>SUM(D23,D24,D26)</f>
        <v>33.622333999999995</v>
      </c>
      <c r="E28" s="73"/>
      <c r="F28" s="35"/>
      <c r="G28" s="35">
        <f>SUM(G23,G24,G26)</f>
        <v>35.738979999999998</v>
      </c>
      <c r="H28" s="35">
        <f t="shared" si="1"/>
        <v>2.1166460000000029</v>
      </c>
      <c r="I28" s="36">
        <f t="shared" si="9"/>
        <v>6.2953571277948858E-2</v>
      </c>
      <c r="J28" s="36">
        <f t="shared" si="5"/>
        <v>0.27882757848851708</v>
      </c>
      <c r="K28" s="111">
        <f t="shared" si="3"/>
        <v>0.27372082049138968</v>
      </c>
    </row>
    <row r="29" spans="1:11" x14ac:dyDescent="0.2">
      <c r="A29" s="107" t="s">
        <v>40</v>
      </c>
      <c r="B29" s="73">
        <f>C8</f>
        <v>782.32499999999993</v>
      </c>
      <c r="C29" s="78">
        <f>VLOOKUP($B$3,'Data for Bill Impacts'!$A$3:$Y$21,15,0)</f>
        <v>7.1999999999999998E-3</v>
      </c>
      <c r="D29" s="22">
        <f>B29*C29</f>
        <v>5.6327399999999992</v>
      </c>
      <c r="E29" s="73">
        <f>B8</f>
        <v>792.75</v>
      </c>
      <c r="F29" s="78">
        <f>VLOOKUP($B$3,'Data for Bill Impacts'!$A$3:$Y$21,24,0)</f>
        <v>7.3000000000000001E-3</v>
      </c>
      <c r="G29" s="22">
        <f>E29*F29</f>
        <v>5.7870749999999997</v>
      </c>
      <c r="H29" s="22">
        <f t="shared" si="1"/>
        <v>0.15433500000000056</v>
      </c>
      <c r="I29" s="23">
        <f t="shared" si="9"/>
        <v>2.7399631440471348E-2</v>
      </c>
      <c r="J29" s="23">
        <f t="shared" si="5"/>
        <v>4.5149472894342117E-2</v>
      </c>
      <c r="K29" s="108">
        <f t="shared" si="3"/>
        <v>4.4322555295232512E-2</v>
      </c>
    </row>
    <row r="30" spans="1:11" x14ac:dyDescent="0.2">
      <c r="A30" s="107" t="s">
        <v>41</v>
      </c>
      <c r="B30" s="73">
        <f>C8</f>
        <v>782.32499999999993</v>
      </c>
      <c r="C30" s="125">
        <f>VLOOKUP($B$3,'Data for Bill Impacts'!$A$3:$Y$21,16,0)</f>
        <v>5.5688910375990336E-3</v>
      </c>
      <c r="D30" s="22">
        <f>B30*C30</f>
        <v>4.3566826809896639</v>
      </c>
      <c r="E30" s="73">
        <f>B8</f>
        <v>792.75</v>
      </c>
      <c r="F30" s="78">
        <f>VLOOKUP($B$3,'Data for Bill Impacts'!$A$3:$Y$21,25,0)</f>
        <v>6.1999999999999998E-3</v>
      </c>
      <c r="G30" s="22">
        <f>E30*F30</f>
        <v>4.9150499999999999</v>
      </c>
      <c r="H30" s="22">
        <f t="shared" si="1"/>
        <v>0.55836731901033598</v>
      </c>
      <c r="I30" s="23">
        <f t="shared" si="9"/>
        <v>0.12816341237032605</v>
      </c>
      <c r="J30" s="23">
        <f t="shared" si="5"/>
        <v>3.8346127663687828E-2</v>
      </c>
      <c r="K30" s="108">
        <f t="shared" si="3"/>
        <v>3.764381408636186E-2</v>
      </c>
    </row>
    <row r="31" spans="1:11" s="1" customFormat="1" x14ac:dyDescent="0.2">
      <c r="A31" s="110" t="s">
        <v>76</v>
      </c>
      <c r="B31" s="74"/>
      <c r="C31" s="35"/>
      <c r="D31" s="35">
        <f>SUM(D29:D30)</f>
        <v>9.9894226809896622</v>
      </c>
      <c r="E31" s="73"/>
      <c r="F31" s="35"/>
      <c r="G31" s="35">
        <f>SUM(G29:G30)</f>
        <v>10.702124999999999</v>
      </c>
      <c r="H31" s="35">
        <f t="shared" si="1"/>
        <v>0.71270231901033654</v>
      </c>
      <c r="I31" s="36">
        <f t="shared" si="9"/>
        <v>7.1345696520244598E-2</v>
      </c>
      <c r="J31" s="36">
        <f t="shared" si="5"/>
        <v>8.3495600558029945E-2</v>
      </c>
      <c r="K31" s="111">
        <f t="shared" si="3"/>
        <v>8.1966369381594364E-2</v>
      </c>
    </row>
    <row r="32" spans="1:11" s="1" customFormat="1" x14ac:dyDescent="0.2">
      <c r="A32" s="110" t="s">
        <v>95</v>
      </c>
      <c r="B32" s="74"/>
      <c r="C32" s="35"/>
      <c r="D32" s="35">
        <f>D27+D31</f>
        <v>43.885872680989657</v>
      </c>
      <c r="E32" s="73"/>
      <c r="F32" s="35"/>
      <c r="G32" s="35">
        <f>G27+G31</f>
        <v>46.803624999999997</v>
      </c>
      <c r="H32" s="35">
        <f t="shared" si="1"/>
        <v>2.91775231901034</v>
      </c>
      <c r="I32" s="36">
        <f t="shared" si="9"/>
        <v>6.6485001681970482E-2</v>
      </c>
      <c r="J32" s="36">
        <f t="shared" si="5"/>
        <v>0.36515147951157589</v>
      </c>
      <c r="K32" s="111">
        <f t="shared" si="3"/>
        <v>0.35846368970158965</v>
      </c>
    </row>
    <row r="33" spans="1:11" s="1" customFormat="1" x14ac:dyDescent="0.2">
      <c r="A33" s="110" t="s">
        <v>96</v>
      </c>
      <c r="B33" s="74"/>
      <c r="C33" s="35"/>
      <c r="D33" s="35">
        <f>D28+D31</f>
        <v>43.611756680989657</v>
      </c>
      <c r="E33" s="73"/>
      <c r="F33" s="35"/>
      <c r="G33" s="35">
        <f>G28+G31</f>
        <v>46.441104999999993</v>
      </c>
      <c r="H33" s="35">
        <f t="shared" si="1"/>
        <v>2.8293483190103359</v>
      </c>
      <c r="I33" s="36">
        <f t="shared" si="9"/>
        <v>6.4875816392960098E-2</v>
      </c>
      <c r="J33" s="36">
        <f t="shared" si="5"/>
        <v>0.36232317904654704</v>
      </c>
      <c r="K33" s="111">
        <f t="shared" si="3"/>
        <v>0.35568718987298403</v>
      </c>
    </row>
    <row r="34" spans="1:11" x14ac:dyDescent="0.2">
      <c r="A34" s="107" t="s">
        <v>42</v>
      </c>
      <c r="B34" s="73">
        <f>C8</f>
        <v>782.32499999999993</v>
      </c>
      <c r="C34" s="34">
        <v>3.5999999999999999E-3</v>
      </c>
      <c r="D34" s="22">
        <f>B34*C34</f>
        <v>2.8163699999999996</v>
      </c>
      <c r="E34" s="73">
        <f>B8</f>
        <v>792.75</v>
      </c>
      <c r="F34" s="34">
        <v>3.5999999999999999E-3</v>
      </c>
      <c r="G34" s="22">
        <f>E34*F34</f>
        <v>2.8538999999999999</v>
      </c>
      <c r="H34" s="22">
        <f t="shared" si="1"/>
        <v>3.7530000000000285E-2</v>
      </c>
      <c r="I34" s="23">
        <f t="shared" si="9"/>
        <v>1.3325663886492291E-2</v>
      </c>
      <c r="J34" s="23">
        <f t="shared" si="5"/>
        <v>2.2265493482141321E-2</v>
      </c>
      <c r="K34" s="108">
        <f t="shared" si="3"/>
        <v>2.1857698501758501E-2</v>
      </c>
    </row>
    <row r="35" spans="1:11" x14ac:dyDescent="0.2">
      <c r="A35" s="107" t="s">
        <v>43</v>
      </c>
      <c r="B35" s="73">
        <f>C8</f>
        <v>782.32499999999993</v>
      </c>
      <c r="C35" s="34">
        <v>2.0999999999999999E-3</v>
      </c>
      <c r="D35" s="22">
        <f>B35*C35</f>
        <v>1.6428824999999998</v>
      </c>
      <c r="E35" s="73">
        <f>B8</f>
        <v>792.75</v>
      </c>
      <c r="F35" s="34">
        <v>2.0999999999999999E-3</v>
      </c>
      <c r="G35" s="22">
        <f>E35*F35</f>
        <v>1.6647749999999999</v>
      </c>
      <c r="H35" s="22">
        <f>G35-D35</f>
        <v>2.1892500000000092E-2</v>
      </c>
      <c r="I35" s="23">
        <f t="shared" si="9"/>
        <v>1.3325663886492244E-2</v>
      </c>
      <c r="J35" s="23">
        <f t="shared" si="5"/>
        <v>1.2988204531249103E-2</v>
      </c>
      <c r="K35" s="108">
        <f t="shared" si="3"/>
        <v>1.2750324126025791E-2</v>
      </c>
    </row>
    <row r="36" spans="1:11" x14ac:dyDescent="0.2">
      <c r="A36" s="107" t="s">
        <v>100</v>
      </c>
      <c r="B36" s="73">
        <f>C8</f>
        <v>782.32499999999993</v>
      </c>
      <c r="C36" s="34">
        <v>0</v>
      </c>
      <c r="D36" s="22">
        <f>B36*C36</f>
        <v>0</v>
      </c>
      <c r="E36" s="73">
        <f>B8</f>
        <v>792.75</v>
      </c>
      <c r="F36" s="34">
        <v>0</v>
      </c>
      <c r="G36" s="22">
        <f>E36*F36</f>
        <v>0</v>
      </c>
      <c r="H36" s="22">
        <f>G36-D36</f>
        <v>0</v>
      </c>
      <c r="I36" s="23" t="str">
        <f t="shared" si="9"/>
        <v>N/A</v>
      </c>
      <c r="J36" s="23">
        <f t="shared" si="5"/>
        <v>0</v>
      </c>
      <c r="K36" s="108">
        <f t="shared" si="3"/>
        <v>0</v>
      </c>
    </row>
    <row r="37" spans="1:11" x14ac:dyDescent="0.2">
      <c r="A37" s="107" t="s">
        <v>44</v>
      </c>
      <c r="B37" s="73">
        <v>1</v>
      </c>
      <c r="C37" s="22">
        <v>0.25</v>
      </c>
      <c r="D37" s="22">
        <f>B37*C37</f>
        <v>0.25</v>
      </c>
      <c r="E37" s="73">
        <v>1</v>
      </c>
      <c r="F37" s="22">
        <f>C37</f>
        <v>0.25</v>
      </c>
      <c r="G37" s="22">
        <f>E37*F37</f>
        <v>0.25</v>
      </c>
      <c r="H37" s="22">
        <f t="shared" si="1"/>
        <v>0</v>
      </c>
      <c r="I37" s="23">
        <f t="shared" si="9"/>
        <v>0</v>
      </c>
      <c r="J37" s="23">
        <f t="shared" si="5"/>
        <v>1.9504444341200918E-3</v>
      </c>
      <c r="K37" s="108">
        <f t="shared" si="3"/>
        <v>1.9147218281788518E-3</v>
      </c>
    </row>
    <row r="38" spans="1:11" s="1" customFormat="1" x14ac:dyDescent="0.2">
      <c r="A38" s="110" t="s">
        <v>45</v>
      </c>
      <c r="B38" s="74"/>
      <c r="C38" s="35"/>
      <c r="D38" s="35">
        <f>SUM(D34:D37)</f>
        <v>4.7092524999999998</v>
      </c>
      <c r="E38" s="73"/>
      <c r="F38" s="35"/>
      <c r="G38" s="35">
        <f>SUM(G34:G37)</f>
        <v>4.768675</v>
      </c>
      <c r="H38" s="35">
        <f t="shared" si="1"/>
        <v>5.9422500000000156E-2</v>
      </c>
      <c r="I38" s="36">
        <f t="shared" si="9"/>
        <v>1.2618244615254791E-2</v>
      </c>
      <c r="J38" s="36">
        <f t="shared" si="5"/>
        <v>3.7204142447510517E-2</v>
      </c>
      <c r="K38" s="111">
        <f t="shared" si="3"/>
        <v>3.6522744455963145E-2</v>
      </c>
    </row>
    <row r="39" spans="1:11" s="1" customFormat="1" ht="13.5" thickBot="1" x14ac:dyDescent="0.25">
      <c r="A39" s="112" t="s">
        <v>46</v>
      </c>
      <c r="B39" s="113">
        <f>C4</f>
        <v>750</v>
      </c>
      <c r="C39" s="114">
        <v>0</v>
      </c>
      <c r="D39" s="115">
        <f>B39*C39</f>
        <v>0</v>
      </c>
      <c r="E39" s="116">
        <f>B4</f>
        <v>750</v>
      </c>
      <c r="F39" s="114">
        <f>C39</f>
        <v>0</v>
      </c>
      <c r="G39" s="115">
        <f>E39*F39</f>
        <v>0</v>
      </c>
      <c r="H39" s="115">
        <f t="shared" si="1"/>
        <v>0</v>
      </c>
      <c r="I39" s="117" t="str">
        <f t="shared" si="9"/>
        <v>N/A</v>
      </c>
      <c r="J39" s="117">
        <f t="shared" si="5"/>
        <v>0</v>
      </c>
      <c r="K39" s="118">
        <f t="shared" si="3"/>
        <v>0</v>
      </c>
    </row>
    <row r="40" spans="1:11" s="1" customFormat="1" x14ac:dyDescent="0.2">
      <c r="A40" s="37" t="s">
        <v>104</v>
      </c>
      <c r="B40" s="38"/>
      <c r="C40" s="39"/>
      <c r="D40" s="39">
        <f>SUM(D14,D23,D24,D25,D31,D38,D39)</f>
        <v>119.09512518098967</v>
      </c>
      <c r="E40" s="38"/>
      <c r="F40" s="39"/>
      <c r="G40" s="39">
        <f>SUM(G14,G23,G24,G25,G31,G38,G39)</f>
        <v>122.0723</v>
      </c>
      <c r="H40" s="39">
        <f t="shared" si="1"/>
        <v>2.9771748190103295</v>
      </c>
      <c r="I40" s="40">
        <f t="shared" si="9"/>
        <v>2.49982928729106E-2</v>
      </c>
      <c r="J40" s="40">
        <f t="shared" si="5"/>
        <v>0.95238095238095233</v>
      </c>
      <c r="K40" s="41"/>
    </row>
    <row r="41" spans="1:11" x14ac:dyDescent="0.2">
      <c r="A41" s="149" t="s">
        <v>47</v>
      </c>
      <c r="B41" s="43"/>
      <c r="C41" s="26">
        <v>0.13</v>
      </c>
      <c r="D41" s="26">
        <f>D40*C41</f>
        <v>15.482366273528658</v>
      </c>
      <c r="E41" s="26"/>
      <c r="F41" s="26">
        <f>C41</f>
        <v>0.13</v>
      </c>
      <c r="G41" s="26">
        <f>G40*F41</f>
        <v>15.869399</v>
      </c>
      <c r="H41" s="26">
        <f t="shared" si="1"/>
        <v>0.38703272647134135</v>
      </c>
      <c r="I41" s="44">
        <f t="shared" si="9"/>
        <v>2.4998292872910499E-2</v>
      </c>
      <c r="J41" s="44">
        <f t="shared" si="5"/>
        <v>0.1238095238095238</v>
      </c>
      <c r="K41" s="45"/>
    </row>
    <row r="42" spans="1:11" s="1" customFormat="1" x14ac:dyDescent="0.2">
      <c r="A42" s="46" t="s">
        <v>102</v>
      </c>
      <c r="B42" s="24"/>
      <c r="C42" s="25"/>
      <c r="D42" s="25">
        <f>SUM(D40:D41)</f>
        <v>134.57749145451834</v>
      </c>
      <c r="E42" s="25"/>
      <c r="F42" s="25"/>
      <c r="G42" s="25">
        <f>SUM(G40:G41)</f>
        <v>137.941699</v>
      </c>
      <c r="H42" s="25">
        <f t="shared" si="1"/>
        <v>3.364207545481662</v>
      </c>
      <c r="I42" s="27">
        <f t="shared" si="9"/>
        <v>2.499829287291052E-2</v>
      </c>
      <c r="J42" s="27">
        <f t="shared" si="5"/>
        <v>1.0761904761904761</v>
      </c>
      <c r="K42" s="47"/>
    </row>
    <row r="43" spans="1:11" x14ac:dyDescent="0.2">
      <c r="A43" s="42" t="s">
        <v>140</v>
      </c>
      <c r="B43" s="43"/>
      <c r="C43" s="26">
        <v>-0.08</v>
      </c>
      <c r="D43" s="26">
        <f>D40*C43</f>
        <v>-9.5276100144791744</v>
      </c>
      <c r="E43" s="26"/>
      <c r="F43" s="26">
        <f>C43</f>
        <v>-0.08</v>
      </c>
      <c r="G43" s="26">
        <f>G40*F43</f>
        <v>-9.765784</v>
      </c>
      <c r="H43" s="26">
        <f t="shared" si="1"/>
        <v>-0.23817398552082558</v>
      </c>
      <c r="I43" s="44">
        <f t="shared" si="9"/>
        <v>-2.4998292872910513E-2</v>
      </c>
      <c r="J43" s="44">
        <f t="shared" si="5"/>
        <v>-7.6190476190476183E-2</v>
      </c>
      <c r="K43" s="45"/>
    </row>
    <row r="44" spans="1:11" s="1" customFormat="1" ht="13.5" thickBot="1" x14ac:dyDescent="0.25">
      <c r="A44" s="48" t="s">
        <v>188</v>
      </c>
      <c r="B44" s="49"/>
      <c r="C44" s="50"/>
      <c r="D44" s="50">
        <f>SUM(D42:D43)</f>
        <v>125.04988144003916</v>
      </c>
      <c r="E44" s="50"/>
      <c r="F44" s="50"/>
      <c r="G44" s="50">
        <f>SUM(G42:G43)</f>
        <v>128.175915</v>
      </c>
      <c r="H44" s="50">
        <f t="shared" si="1"/>
        <v>3.1260335599608453</v>
      </c>
      <c r="I44" s="51">
        <f t="shared" si="9"/>
        <v>2.4998292872910593E-2</v>
      </c>
      <c r="J44" s="51">
        <f t="shared" si="5"/>
        <v>1</v>
      </c>
      <c r="K44" s="52"/>
    </row>
    <row r="45" spans="1:11" x14ac:dyDescent="0.2">
      <c r="A45" s="53" t="s">
        <v>105</v>
      </c>
      <c r="B45" s="54"/>
      <c r="C45" s="55"/>
      <c r="D45" s="55">
        <f>SUM(D18,D23,D24,D26,D31,D38,D39)</f>
        <v>121.46100918098969</v>
      </c>
      <c r="E45" s="55"/>
      <c r="F45" s="55"/>
      <c r="G45" s="55">
        <f>SUM(G18,G23,G24,G26,G31,G38,G39)</f>
        <v>124.34978000000002</v>
      </c>
      <c r="H45" s="55">
        <f>G45-D45</f>
        <v>2.8887708190103325</v>
      </c>
      <c r="I45" s="56">
        <f t="shared" si="9"/>
        <v>2.378352393487658E-2</v>
      </c>
      <c r="J45" s="56"/>
      <c r="K45" s="57">
        <f>G45/$G$49</f>
        <v>0.95238095238095233</v>
      </c>
    </row>
    <row r="46" spans="1:11" x14ac:dyDescent="0.2">
      <c r="A46" s="150" t="s">
        <v>138</v>
      </c>
      <c r="B46" s="59"/>
      <c r="C46" s="31">
        <v>0.13</v>
      </c>
      <c r="D46" s="31">
        <f>D45*C46</f>
        <v>15.789931193528661</v>
      </c>
      <c r="E46" s="31"/>
      <c r="F46" s="31">
        <f>C46</f>
        <v>0.13</v>
      </c>
      <c r="G46" s="31">
        <f>G45*F46</f>
        <v>16.165471400000005</v>
      </c>
      <c r="H46" s="31">
        <f>G46-D46</f>
        <v>0.37554020647134401</v>
      </c>
      <c r="I46" s="32">
        <f t="shared" si="9"/>
        <v>2.3783523934876628E-2</v>
      </c>
      <c r="J46" s="32"/>
      <c r="K46" s="60">
        <f>G46/$G$49</f>
        <v>0.12380952380952381</v>
      </c>
    </row>
    <row r="47" spans="1:11" x14ac:dyDescent="0.2">
      <c r="A47" s="61" t="s">
        <v>103</v>
      </c>
      <c r="B47" s="29"/>
      <c r="C47" s="30"/>
      <c r="D47" s="30">
        <f>SUM(D45:D46)</f>
        <v>137.25094037451836</v>
      </c>
      <c r="E47" s="30"/>
      <c r="F47" s="30"/>
      <c r="G47" s="30">
        <f>SUM(G45:G46)</f>
        <v>140.51525140000004</v>
      </c>
      <c r="H47" s="30">
        <f>G47-D47</f>
        <v>3.2643110254816747</v>
      </c>
      <c r="I47" s="33">
        <f t="shared" si="9"/>
        <v>2.3783523934876573E-2</v>
      </c>
      <c r="J47" s="33"/>
      <c r="K47" s="62">
        <f>G47/$G$49</f>
        <v>1.0761904761904761</v>
      </c>
    </row>
    <row r="48" spans="1:11" x14ac:dyDescent="0.2">
      <c r="A48" s="150" t="s">
        <v>140</v>
      </c>
      <c r="B48" s="59"/>
      <c r="C48" s="31">
        <v>-0.08</v>
      </c>
      <c r="D48" s="31">
        <f>D45*C48</f>
        <v>-9.7168807344791759</v>
      </c>
      <c r="E48" s="31"/>
      <c r="F48" s="31">
        <f>C48</f>
        <v>-0.08</v>
      </c>
      <c r="G48" s="31">
        <f>G45*F48</f>
        <v>-9.9479824000000026</v>
      </c>
      <c r="H48" s="31">
        <f>G48-D48</f>
        <v>-0.23110166552082667</v>
      </c>
      <c r="I48" s="32">
        <f t="shared" si="9"/>
        <v>-2.3783523934876587E-2</v>
      </c>
      <c r="J48" s="32"/>
      <c r="K48" s="60">
        <f>G48/$G$49</f>
        <v>-7.6190476190476183E-2</v>
      </c>
    </row>
    <row r="49" spans="1:11" ht="13.5" thickBot="1" x14ac:dyDescent="0.25">
      <c r="A49" s="63" t="s">
        <v>189</v>
      </c>
      <c r="B49" s="64"/>
      <c r="C49" s="65"/>
      <c r="D49" s="65">
        <f>SUM(D47:D48)</f>
        <v>127.53405964003919</v>
      </c>
      <c r="E49" s="65"/>
      <c r="F49" s="65"/>
      <c r="G49" s="65">
        <f>SUM(G47:G48)</f>
        <v>130.56726900000004</v>
      </c>
      <c r="H49" s="65">
        <f>G49-D49</f>
        <v>3.0332093599608498</v>
      </c>
      <c r="I49" s="66">
        <f t="shared" si="9"/>
        <v>2.3783523934876583E-2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K66"/>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200</v>
      </c>
      <c r="C3" s="13" t="s">
        <v>113</v>
      </c>
    </row>
    <row r="4" spans="1:11" x14ac:dyDescent="0.2">
      <c r="A4" s="15" t="s">
        <v>62</v>
      </c>
      <c r="B4" s="15">
        <v>1400</v>
      </c>
      <c r="C4" s="15">
        <v>1400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81">
        <f>B4*B6</f>
        <v>1479.8</v>
      </c>
      <c r="C8" s="181">
        <f>C4*C6</f>
        <v>1460.34</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600</v>
      </c>
      <c r="C12" s="103">
        <v>9.0999999999999998E-2</v>
      </c>
      <c r="D12" s="104">
        <f>B12*C12</f>
        <v>54.6</v>
      </c>
      <c r="E12" s="102">
        <f>IF(B4&gt;B7,B7,B4)</f>
        <v>600</v>
      </c>
      <c r="F12" s="103">
        <f>C12</f>
        <v>9.0999999999999998E-2</v>
      </c>
      <c r="G12" s="104">
        <f>E12*F12</f>
        <v>54.6</v>
      </c>
      <c r="H12" s="104">
        <f>G12-D12</f>
        <v>0</v>
      </c>
      <c r="I12" s="105">
        <f t="shared" ref="I12:I18" si="0">IF(ISERROR(H12/ABS(D12)),"N/A",(H12/ABS(D12)))</f>
        <v>0</v>
      </c>
      <c r="J12" s="105">
        <f>G12/$G$44</f>
        <v>0.24989072086552921</v>
      </c>
      <c r="K12" s="106"/>
    </row>
    <row r="13" spans="1:11" x14ac:dyDescent="0.2">
      <c r="A13" s="107" t="s">
        <v>32</v>
      </c>
      <c r="B13" s="73">
        <f>IF(C4&gt;C7,(C4)-C7,0)</f>
        <v>800</v>
      </c>
      <c r="C13" s="21">
        <v>0.106</v>
      </c>
      <c r="D13" s="104">
        <f>B13*C13</f>
        <v>84.8</v>
      </c>
      <c r="E13" s="73">
        <f>IF(B4&gt;B7,(B4)-B7,0)</f>
        <v>800</v>
      </c>
      <c r="F13" s="21">
        <f>C13</f>
        <v>0.106</v>
      </c>
      <c r="G13" s="22">
        <f>E13*F13</f>
        <v>84.8</v>
      </c>
      <c r="H13" s="22">
        <f t="shared" ref="H13:H44" si="1">G13-D13</f>
        <v>0</v>
      </c>
      <c r="I13" s="23">
        <f t="shared" si="0"/>
        <v>0</v>
      </c>
      <c r="J13" s="23">
        <f>G13/$G$44</f>
        <v>0.38810866537356919</v>
      </c>
      <c r="K13" s="108"/>
    </row>
    <row r="14" spans="1:11" s="1" customFormat="1" x14ac:dyDescent="0.2">
      <c r="A14" s="46" t="s">
        <v>33</v>
      </c>
      <c r="B14" s="24"/>
      <c r="C14" s="25"/>
      <c r="D14" s="25">
        <f>SUM(D12:D13)</f>
        <v>139.4</v>
      </c>
      <c r="E14" s="76"/>
      <c r="F14" s="25"/>
      <c r="G14" s="25">
        <f>SUM(G12:G13)</f>
        <v>139.4</v>
      </c>
      <c r="H14" s="25">
        <f t="shared" si="1"/>
        <v>0</v>
      </c>
      <c r="I14" s="27">
        <f t="shared" si="0"/>
        <v>0</v>
      </c>
      <c r="J14" s="27">
        <f>G14/$G$44</f>
        <v>0.63799938623909846</v>
      </c>
      <c r="K14" s="108"/>
    </row>
    <row r="15" spans="1:11" s="1" customFormat="1" x14ac:dyDescent="0.2">
      <c r="A15" s="109" t="s">
        <v>34</v>
      </c>
      <c r="B15" s="75">
        <f>C4*0.65</f>
        <v>910</v>
      </c>
      <c r="C15" s="28">
        <v>7.6999999999999999E-2</v>
      </c>
      <c r="D15" s="256">
        <f>B15*C15</f>
        <v>70.069999999999993</v>
      </c>
      <c r="E15" s="75">
        <f>B4*0.65</f>
        <v>910</v>
      </c>
      <c r="F15" s="28">
        <f t="shared" ref="F15:F17" si="2">C15</f>
        <v>7.6999999999999999E-2</v>
      </c>
      <c r="G15" s="22">
        <f>E15*F15</f>
        <v>70.069999999999993</v>
      </c>
      <c r="H15" s="22">
        <f t="shared" si="1"/>
        <v>0</v>
      </c>
      <c r="I15" s="23">
        <f t="shared" si="0"/>
        <v>0</v>
      </c>
      <c r="J15" s="23"/>
      <c r="K15" s="108">
        <f t="shared" ref="K15:K39" si="3">G15/$G$49</f>
        <v>0.32625695364058815</v>
      </c>
    </row>
    <row r="16" spans="1:11" s="1" customFormat="1" x14ac:dyDescent="0.2">
      <c r="A16" s="109" t="s">
        <v>35</v>
      </c>
      <c r="B16" s="75">
        <f>C4*0.17</f>
        <v>238.00000000000003</v>
      </c>
      <c r="C16" s="28">
        <v>0.113</v>
      </c>
      <c r="D16" s="256">
        <f t="shared" ref="D16:D17" si="4">B16*C16</f>
        <v>26.894000000000005</v>
      </c>
      <c r="E16" s="75">
        <f>B4*0.17</f>
        <v>238.00000000000003</v>
      </c>
      <c r="F16" s="28">
        <f t="shared" si="2"/>
        <v>0.113</v>
      </c>
      <c r="G16" s="22">
        <f>E16*F16</f>
        <v>26.894000000000005</v>
      </c>
      <c r="H16" s="22">
        <f t="shared" si="1"/>
        <v>0</v>
      </c>
      <c r="I16" s="23">
        <f t="shared" si="0"/>
        <v>0</v>
      </c>
      <c r="J16" s="23"/>
      <c r="K16" s="108">
        <f t="shared" si="3"/>
        <v>0.12522269888982418</v>
      </c>
    </row>
    <row r="17" spans="1:11" s="1" customFormat="1" x14ac:dyDescent="0.2">
      <c r="A17" s="109" t="s">
        <v>36</v>
      </c>
      <c r="B17" s="75">
        <f>C4*0.18</f>
        <v>252</v>
      </c>
      <c r="C17" s="28">
        <v>0.157</v>
      </c>
      <c r="D17" s="256">
        <f t="shared" si="4"/>
        <v>39.564</v>
      </c>
      <c r="E17" s="75">
        <f>B4*0.18</f>
        <v>252</v>
      </c>
      <c r="F17" s="28">
        <f t="shared" si="2"/>
        <v>0.157</v>
      </c>
      <c r="G17" s="22">
        <f>E17*F17</f>
        <v>39.564</v>
      </c>
      <c r="H17" s="22">
        <f t="shared" si="1"/>
        <v>0</v>
      </c>
      <c r="I17" s="23">
        <f t="shared" si="0"/>
        <v>0</v>
      </c>
      <c r="J17" s="23"/>
      <c r="K17" s="108">
        <f t="shared" si="3"/>
        <v>0.18421621398367677</v>
      </c>
    </row>
    <row r="18" spans="1:11" s="1" customFormat="1" x14ac:dyDescent="0.2">
      <c r="A18" s="61" t="s">
        <v>37</v>
      </c>
      <c r="B18" s="29"/>
      <c r="C18" s="30"/>
      <c r="D18" s="30">
        <f>SUM(D15:D17)</f>
        <v>136.52799999999999</v>
      </c>
      <c r="E18" s="77"/>
      <c r="F18" s="30"/>
      <c r="G18" s="30">
        <f>SUM(G15:G17)</f>
        <v>136.52799999999999</v>
      </c>
      <c r="H18" s="31">
        <f t="shared" si="1"/>
        <v>0</v>
      </c>
      <c r="I18" s="32">
        <f t="shared" si="0"/>
        <v>0</v>
      </c>
      <c r="J18" s="33">
        <f t="shared" ref="J18:J42" si="5">G18/$G$44</f>
        <v>0.62485495125144641</v>
      </c>
      <c r="K18" s="62">
        <f t="shared" si="3"/>
        <v>0.63569586651408916</v>
      </c>
    </row>
    <row r="19" spans="1:11" x14ac:dyDescent="0.2">
      <c r="A19" s="107" t="s">
        <v>38</v>
      </c>
      <c r="B19" s="73">
        <v>1</v>
      </c>
      <c r="C19" s="121">
        <f>'Data for Bill Impacts'!G22</f>
        <v>29.98</v>
      </c>
      <c r="D19" s="22">
        <f>B19*C19</f>
        <v>29.98</v>
      </c>
      <c r="E19" s="73">
        <v>1</v>
      </c>
      <c r="F19" s="121">
        <f>VLOOKUP($B$3,'Data for Bill Impacts'!$A$3:$Y$21,17,0)</f>
        <v>30.78</v>
      </c>
      <c r="G19" s="22">
        <f>E19*F19</f>
        <v>30.78</v>
      </c>
      <c r="H19" s="22">
        <f t="shared" si="1"/>
        <v>0.80000000000000071</v>
      </c>
      <c r="I19" s="23">
        <f>IF(ISERROR(H19/ABS(D19)),"N/A",(H19/ABS(D19)))</f>
        <v>2.6684456304202825E-2</v>
      </c>
      <c r="J19" s="23">
        <f t="shared" si="5"/>
        <v>0.14087246132309506</v>
      </c>
      <c r="K19" s="108">
        <f t="shared" si="3"/>
        <v>0.1433165268025875</v>
      </c>
    </row>
    <row r="20" spans="1:11" x14ac:dyDescent="0.2">
      <c r="A20" s="107" t="s">
        <v>193</v>
      </c>
      <c r="B20" s="73">
        <v>1</v>
      </c>
      <c r="C20" s="121">
        <f>'Data for Bill Impacts'!K22</f>
        <v>-0.3</v>
      </c>
      <c r="D20" s="22">
        <f t="shared" ref="D20" si="6">B20*C20</f>
        <v>-0.3</v>
      </c>
      <c r="E20" s="73">
        <v>1</v>
      </c>
      <c r="F20" s="121">
        <v>0</v>
      </c>
      <c r="G20" s="22">
        <f t="shared" ref="G20" si="7">E20*F20</f>
        <v>0</v>
      </c>
      <c r="H20" s="22">
        <f t="shared" si="1"/>
        <v>0.3</v>
      </c>
      <c r="I20" s="23">
        <f t="shared" ref="I20:I21" si="8">IF(ISERROR(H20/D20),0,(H20/D20))</f>
        <v>-1</v>
      </c>
      <c r="J20" s="23">
        <f t="shared" si="5"/>
        <v>0</v>
      </c>
      <c r="K20" s="108">
        <f t="shared" si="3"/>
        <v>0</v>
      </c>
    </row>
    <row r="21" spans="1:11" x14ac:dyDescent="0.2">
      <c r="A21" s="107" t="s">
        <v>39</v>
      </c>
      <c r="B21" s="73">
        <f>IF($C$9="kWh",$C$4,$C$5)</f>
        <v>1400</v>
      </c>
      <c r="C21" s="125">
        <f>'Data for Bill Impacts'!J22</f>
        <v>0</v>
      </c>
      <c r="D21" s="22">
        <f>B21*C21</f>
        <v>0</v>
      </c>
      <c r="E21" s="73">
        <f>IF($B$9="kWh",$B$4,$B$5)</f>
        <v>1400</v>
      </c>
      <c r="F21" s="125">
        <f>VLOOKUP($B$3,'Data for Bill Impacts'!$A$3:$Y$21,19,0)</f>
        <v>0</v>
      </c>
      <c r="G21" s="22">
        <f>E21*F21</f>
        <v>0</v>
      </c>
      <c r="H21" s="22">
        <f t="shared" si="1"/>
        <v>0</v>
      </c>
      <c r="I21" s="23">
        <f t="shared" si="8"/>
        <v>0</v>
      </c>
      <c r="J21" s="23">
        <f t="shared" si="5"/>
        <v>0</v>
      </c>
      <c r="K21" s="108">
        <f t="shared" si="3"/>
        <v>0</v>
      </c>
    </row>
    <row r="22" spans="1:11" x14ac:dyDescent="0.2">
      <c r="A22" s="107" t="s">
        <v>195</v>
      </c>
      <c r="B22" s="73">
        <f>IF($C$9="kWh",$C$4,$C$5)</f>
        <v>1400</v>
      </c>
      <c r="C22" s="125">
        <v>0</v>
      </c>
      <c r="D22" s="22">
        <f>B22*C22</f>
        <v>0</v>
      </c>
      <c r="E22" s="73">
        <f>IF($B$9="kWh",$B$4,$B$5)</f>
        <v>1400</v>
      </c>
      <c r="F22" s="125">
        <v>0</v>
      </c>
      <c r="G22" s="22">
        <f>E22*F22</f>
        <v>0</v>
      </c>
      <c r="H22" s="22">
        <f>G22-D22</f>
        <v>0</v>
      </c>
      <c r="I22" s="23" t="str">
        <f t="shared" ref="I22:I49" si="9">IF(ISERROR(H22/ABS(D22)),"N/A",(H22/ABS(D22)))</f>
        <v>N/A</v>
      </c>
      <c r="J22" s="23">
        <f t="shared" si="5"/>
        <v>0</v>
      </c>
      <c r="K22" s="108">
        <f t="shared" si="3"/>
        <v>0</v>
      </c>
    </row>
    <row r="23" spans="1:11" s="1" customFormat="1" x14ac:dyDescent="0.2">
      <c r="A23" s="110" t="s">
        <v>72</v>
      </c>
      <c r="B23" s="74"/>
      <c r="C23" s="35"/>
      <c r="D23" s="35">
        <f>SUM(D19:D22)</f>
        <v>29.68</v>
      </c>
      <c r="E23" s="73"/>
      <c r="F23" s="35"/>
      <c r="G23" s="35">
        <f>SUM(G19:G22)</f>
        <v>30.78</v>
      </c>
      <c r="H23" s="35">
        <f t="shared" si="1"/>
        <v>1.1000000000000014</v>
      </c>
      <c r="I23" s="36">
        <f t="shared" si="9"/>
        <v>3.706199460916447E-2</v>
      </c>
      <c r="J23" s="36">
        <f t="shared" si="5"/>
        <v>0.14087246132309506</v>
      </c>
      <c r="K23" s="111">
        <f t="shared" si="3"/>
        <v>0.1433165268025875</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1"/>
        <v>0</v>
      </c>
      <c r="I24" s="23">
        <f t="shared" si="9"/>
        <v>0</v>
      </c>
      <c r="J24" s="23">
        <f t="shared" si="5"/>
        <v>3.6156349722301848E-3</v>
      </c>
      <c r="K24" s="108">
        <f t="shared" si="3"/>
        <v>3.6783643981170931E-3</v>
      </c>
    </row>
    <row r="25" spans="1:11" s="1" customFormat="1" x14ac:dyDescent="0.2">
      <c r="A25" s="119" t="s">
        <v>75</v>
      </c>
      <c r="B25" s="120">
        <f>C8-C4</f>
        <v>60.339999999999918</v>
      </c>
      <c r="C25" s="257">
        <f>IF(B4&gt;B7,C13,C12)</f>
        <v>0.106</v>
      </c>
      <c r="D25" s="22">
        <f>B25*C25</f>
        <v>6.3960399999999913</v>
      </c>
      <c r="E25" s="120">
        <f>B8-B4</f>
        <v>79.799999999999955</v>
      </c>
      <c r="F25" s="257">
        <f>C25</f>
        <v>0.106</v>
      </c>
      <c r="G25" s="22">
        <f>E25*F25</f>
        <v>8.4587999999999948</v>
      </c>
      <c r="H25" s="22">
        <f t="shared" si="1"/>
        <v>2.0627600000000035</v>
      </c>
      <c r="I25" s="23">
        <f t="shared" si="9"/>
        <v>0.32250580046403809</v>
      </c>
      <c r="J25" s="23">
        <f t="shared" si="5"/>
        <v>3.8713839371013505E-2</v>
      </c>
      <c r="K25" s="108">
        <f t="shared" si="3"/>
        <v>3.93855047731555E-2</v>
      </c>
    </row>
    <row r="26" spans="1:11" s="1" customFormat="1" x14ac:dyDescent="0.2">
      <c r="A26" s="119" t="s">
        <v>74</v>
      </c>
      <c r="B26" s="120">
        <f>C8-C4</f>
        <v>60.339999999999918</v>
      </c>
      <c r="C26" s="257">
        <f>0.65*C15+0.17*C16+0.18*C17</f>
        <v>9.7519999999999996E-2</v>
      </c>
      <c r="D26" s="22">
        <f>B26*C26</f>
        <v>5.8843567999999919</v>
      </c>
      <c r="E26" s="120">
        <f>B8-B4</f>
        <v>79.799999999999955</v>
      </c>
      <c r="F26" s="257">
        <f>C26</f>
        <v>9.7519999999999996E-2</v>
      </c>
      <c r="G26" s="22">
        <f>E26*F26</f>
        <v>7.7820959999999948</v>
      </c>
      <c r="H26" s="22">
        <f t="shared" si="1"/>
        <v>1.8977392000000028</v>
      </c>
      <c r="I26" s="23">
        <f t="shared" si="9"/>
        <v>0.32250580046403804</v>
      </c>
      <c r="J26" s="23">
        <f t="shared" si="5"/>
        <v>3.5616732221332423E-2</v>
      </c>
      <c r="K26" s="108">
        <f t="shared" si="3"/>
        <v>3.6234664391303059E-2</v>
      </c>
    </row>
    <row r="27" spans="1:11" s="1" customFormat="1" x14ac:dyDescent="0.2">
      <c r="A27" s="110" t="s">
        <v>78</v>
      </c>
      <c r="B27" s="74"/>
      <c r="C27" s="35"/>
      <c r="D27" s="35">
        <f>SUM(D23,D24:D25)</f>
        <v>36.866039999999991</v>
      </c>
      <c r="E27" s="73"/>
      <c r="F27" s="35"/>
      <c r="G27" s="35">
        <f>SUM(G23,G24:G25)</f>
        <v>40.028799999999997</v>
      </c>
      <c r="H27" s="35">
        <f t="shared" si="1"/>
        <v>3.1627600000000058</v>
      </c>
      <c r="I27" s="36">
        <f t="shared" si="9"/>
        <v>8.5790608375621746E-2</v>
      </c>
      <c r="J27" s="36">
        <f t="shared" si="5"/>
        <v>0.18320193566633874</v>
      </c>
      <c r="K27" s="111">
        <f t="shared" si="3"/>
        <v>0.18638039597386008</v>
      </c>
    </row>
    <row r="28" spans="1:11" s="1" customFormat="1" x14ac:dyDescent="0.2">
      <c r="A28" s="110" t="s">
        <v>77</v>
      </c>
      <c r="B28" s="74"/>
      <c r="C28" s="35"/>
      <c r="D28" s="35">
        <f>SUM(D23,D24,D26)</f>
        <v>36.354356799999991</v>
      </c>
      <c r="E28" s="73"/>
      <c r="F28" s="35"/>
      <c r="G28" s="35">
        <f>SUM(G23,G24,G26)</f>
        <v>39.352095999999996</v>
      </c>
      <c r="H28" s="35">
        <f t="shared" si="1"/>
        <v>2.9977392000000052</v>
      </c>
      <c r="I28" s="36">
        <f t="shared" si="9"/>
        <v>8.2458870514248953E-2</v>
      </c>
      <c r="J28" s="36">
        <f t="shared" si="5"/>
        <v>0.18010482851665766</v>
      </c>
      <c r="K28" s="111">
        <f t="shared" si="3"/>
        <v>0.18322955559200765</v>
      </c>
    </row>
    <row r="29" spans="1:11" x14ac:dyDescent="0.2">
      <c r="A29" s="107" t="s">
        <v>40</v>
      </c>
      <c r="B29" s="73">
        <f>C8</f>
        <v>1460.34</v>
      </c>
      <c r="C29" s="78">
        <f>VLOOKUP($B$3,'Data for Bill Impacts'!$A$3:$Y$21,15,0)</f>
        <v>7.1999999999999998E-3</v>
      </c>
      <c r="D29" s="22">
        <f>B29*C29</f>
        <v>10.514448</v>
      </c>
      <c r="E29" s="73">
        <f>B8</f>
        <v>1479.8</v>
      </c>
      <c r="F29" s="78">
        <f>VLOOKUP($B$3,'Data for Bill Impacts'!$A$3:$Y$21,24,0)</f>
        <v>7.3000000000000001E-3</v>
      </c>
      <c r="G29" s="22">
        <f>E29*F29</f>
        <v>10.80254</v>
      </c>
      <c r="H29" s="22">
        <f t="shared" si="1"/>
        <v>0.28809200000000068</v>
      </c>
      <c r="I29" s="23">
        <f t="shared" si="9"/>
        <v>2.7399631440471309E-2</v>
      </c>
      <c r="J29" s="23">
        <f t="shared" si="5"/>
        <v>4.9440558750525901E-2</v>
      </c>
      <c r="K29" s="108">
        <f t="shared" si="3"/>
        <v>5.0298327272450406E-2</v>
      </c>
    </row>
    <row r="30" spans="1:11" x14ac:dyDescent="0.2">
      <c r="A30" s="107" t="s">
        <v>41</v>
      </c>
      <c r="B30" s="73">
        <f>C8</f>
        <v>1460.34</v>
      </c>
      <c r="C30" s="125">
        <f>VLOOKUP($B$3,'Data for Bill Impacts'!$A$3:$Y$21,16,0)</f>
        <v>5.5688910375990336E-3</v>
      </c>
      <c r="D30" s="22">
        <f>B30*C30</f>
        <v>8.1324743378473716</v>
      </c>
      <c r="E30" s="73">
        <f>B8</f>
        <v>1479.8</v>
      </c>
      <c r="F30" s="78">
        <f>VLOOKUP($B$3,'Data for Bill Impacts'!$A$3:$Y$21,25,0)</f>
        <v>6.1999999999999998E-3</v>
      </c>
      <c r="G30" s="22">
        <f>E30*F30</f>
        <v>9.1747599999999991</v>
      </c>
      <c r="H30" s="22">
        <f t="shared" si="1"/>
        <v>1.0422856621526275</v>
      </c>
      <c r="I30" s="23">
        <f t="shared" si="9"/>
        <v>0.12816341237032611</v>
      </c>
      <c r="J30" s="23">
        <f t="shared" si="5"/>
        <v>4.1990611541542537E-2</v>
      </c>
      <c r="K30" s="108">
        <f t="shared" si="3"/>
        <v>4.2719127272492122E-2</v>
      </c>
    </row>
    <row r="31" spans="1:11" s="1" customFormat="1" x14ac:dyDescent="0.2">
      <c r="A31" s="110" t="s">
        <v>76</v>
      </c>
      <c r="B31" s="74"/>
      <c r="C31" s="35"/>
      <c r="D31" s="35">
        <f>SUM(D29:D30)</f>
        <v>18.646922337847371</v>
      </c>
      <c r="E31" s="73"/>
      <c r="F31" s="35"/>
      <c r="G31" s="35">
        <f>SUM(G29:G30)</f>
        <v>19.9773</v>
      </c>
      <c r="H31" s="35">
        <f t="shared" si="1"/>
        <v>1.3303776621526282</v>
      </c>
      <c r="I31" s="36">
        <f t="shared" si="9"/>
        <v>7.1345696520244584E-2</v>
      </c>
      <c r="J31" s="36">
        <f t="shared" si="5"/>
        <v>9.1431170292068445E-2</v>
      </c>
      <c r="K31" s="111">
        <f t="shared" si="3"/>
        <v>9.3017454544942521E-2</v>
      </c>
    </row>
    <row r="32" spans="1:11" s="1" customFormat="1" x14ac:dyDescent="0.2">
      <c r="A32" s="110" t="s">
        <v>95</v>
      </c>
      <c r="B32" s="74"/>
      <c r="C32" s="35"/>
      <c r="D32" s="35">
        <f>D27+D31</f>
        <v>55.512962337847362</v>
      </c>
      <c r="E32" s="73"/>
      <c r="F32" s="35"/>
      <c r="G32" s="35">
        <f>G27+G31</f>
        <v>60.006099999999996</v>
      </c>
      <c r="H32" s="35">
        <f t="shared" si="1"/>
        <v>4.493137662152634</v>
      </c>
      <c r="I32" s="36">
        <f t="shared" si="9"/>
        <v>8.0938531703780542E-2</v>
      </c>
      <c r="J32" s="36">
        <f t="shared" si="5"/>
        <v>0.27463310595840718</v>
      </c>
      <c r="K32" s="111">
        <f t="shared" si="3"/>
        <v>0.27939785051880262</v>
      </c>
    </row>
    <row r="33" spans="1:11" s="1" customFormat="1" x14ac:dyDescent="0.2">
      <c r="A33" s="110" t="s">
        <v>96</v>
      </c>
      <c r="B33" s="74"/>
      <c r="C33" s="35"/>
      <c r="D33" s="35">
        <f>D28+D31</f>
        <v>55.001279137847362</v>
      </c>
      <c r="E33" s="73"/>
      <c r="F33" s="35"/>
      <c r="G33" s="35">
        <f>G28+G31</f>
        <v>59.329395999999996</v>
      </c>
      <c r="H33" s="35">
        <f t="shared" si="1"/>
        <v>4.3281168621526334</v>
      </c>
      <c r="I33" s="36">
        <f t="shared" si="9"/>
        <v>7.8691203731921552E-2</v>
      </c>
      <c r="J33" s="36">
        <f t="shared" si="5"/>
        <v>0.27153599880872609</v>
      </c>
      <c r="K33" s="111">
        <f t="shared" si="3"/>
        <v>0.27624701013695019</v>
      </c>
    </row>
    <row r="34" spans="1:11" x14ac:dyDescent="0.2">
      <c r="A34" s="107" t="s">
        <v>42</v>
      </c>
      <c r="B34" s="73">
        <f>C8</f>
        <v>1460.34</v>
      </c>
      <c r="C34" s="34">
        <v>3.5999999999999999E-3</v>
      </c>
      <c r="D34" s="22">
        <f>B34*C34</f>
        <v>5.2572239999999999</v>
      </c>
      <c r="E34" s="73">
        <f>B8</f>
        <v>1479.8</v>
      </c>
      <c r="F34" s="34">
        <v>3.5999999999999999E-3</v>
      </c>
      <c r="G34" s="22">
        <f>E34*F34</f>
        <v>5.32728</v>
      </c>
      <c r="H34" s="22">
        <f t="shared" si="1"/>
        <v>7.0056000000000118E-2</v>
      </c>
      <c r="I34" s="23">
        <f t="shared" si="9"/>
        <v>1.3325663886492209E-2</v>
      </c>
      <c r="J34" s="23">
        <f t="shared" si="5"/>
        <v>2.4381645411218251E-2</v>
      </c>
      <c r="K34" s="108">
        <f t="shared" si="3"/>
        <v>2.4804654545318008E-2</v>
      </c>
    </row>
    <row r="35" spans="1:11" x14ac:dyDescent="0.2">
      <c r="A35" s="107" t="s">
        <v>43</v>
      </c>
      <c r="B35" s="73">
        <f>C8</f>
        <v>1460.34</v>
      </c>
      <c r="C35" s="34">
        <v>2.0999999999999999E-3</v>
      </c>
      <c r="D35" s="22">
        <f>B35*C35</f>
        <v>3.0667139999999997</v>
      </c>
      <c r="E35" s="73">
        <f>B8</f>
        <v>1479.8</v>
      </c>
      <c r="F35" s="34">
        <v>2.0999999999999999E-3</v>
      </c>
      <c r="G35" s="22">
        <f>E35*F35</f>
        <v>3.1075799999999996</v>
      </c>
      <c r="H35" s="22">
        <f>G35-D35</f>
        <v>4.0865999999999847E-2</v>
      </c>
      <c r="I35" s="23">
        <f t="shared" si="9"/>
        <v>1.3325663886492138E-2</v>
      </c>
      <c r="J35" s="23">
        <f t="shared" si="5"/>
        <v>1.4222626489877311E-2</v>
      </c>
      <c r="K35" s="108">
        <f t="shared" si="3"/>
        <v>1.4469381818102169E-2</v>
      </c>
    </row>
    <row r="36" spans="1:11" x14ac:dyDescent="0.2">
      <c r="A36" s="107" t="s">
        <v>100</v>
      </c>
      <c r="B36" s="73">
        <f>C8</f>
        <v>1460.34</v>
      </c>
      <c r="C36" s="34">
        <v>0</v>
      </c>
      <c r="D36" s="22">
        <f>B36*C36</f>
        <v>0</v>
      </c>
      <c r="E36" s="73">
        <f>B8</f>
        <v>1479.8</v>
      </c>
      <c r="F36" s="34">
        <v>0</v>
      </c>
      <c r="G36" s="22">
        <f>E36*F36</f>
        <v>0</v>
      </c>
      <c r="H36" s="22">
        <f>G36-D36</f>
        <v>0</v>
      </c>
      <c r="I36" s="23" t="str">
        <f t="shared" si="9"/>
        <v>N/A</v>
      </c>
      <c r="J36" s="23">
        <f t="shared" si="5"/>
        <v>0</v>
      </c>
      <c r="K36" s="108">
        <f t="shared" si="3"/>
        <v>0</v>
      </c>
    </row>
    <row r="37" spans="1:11" x14ac:dyDescent="0.2">
      <c r="A37" s="107" t="s">
        <v>44</v>
      </c>
      <c r="B37" s="73">
        <v>1</v>
      </c>
      <c r="C37" s="22">
        <v>0.25</v>
      </c>
      <c r="D37" s="22">
        <f>B37*C37</f>
        <v>0.25</v>
      </c>
      <c r="E37" s="73">
        <v>1</v>
      </c>
      <c r="F37" s="22">
        <f>C37</f>
        <v>0.25</v>
      </c>
      <c r="G37" s="22">
        <f>E37*F37</f>
        <v>0.25</v>
      </c>
      <c r="H37" s="22">
        <f t="shared" si="1"/>
        <v>0</v>
      </c>
      <c r="I37" s="23">
        <f t="shared" si="9"/>
        <v>0</v>
      </c>
      <c r="J37" s="23">
        <f t="shared" si="5"/>
        <v>1.1441882823513244E-3</v>
      </c>
      <c r="K37" s="108">
        <f t="shared" si="3"/>
        <v>1.1640393664927508E-3</v>
      </c>
    </row>
    <row r="38" spans="1:11" s="1" customFormat="1" x14ac:dyDescent="0.2">
      <c r="A38" s="110" t="s">
        <v>45</v>
      </c>
      <c r="B38" s="74"/>
      <c r="C38" s="35"/>
      <c r="D38" s="35">
        <f>SUM(D34:D37)</f>
        <v>8.5739380000000001</v>
      </c>
      <c r="E38" s="73"/>
      <c r="F38" s="35"/>
      <c r="G38" s="35">
        <f>SUM(G34:G37)</f>
        <v>8.6848600000000005</v>
      </c>
      <c r="H38" s="35">
        <f t="shared" si="1"/>
        <v>0.11092200000000041</v>
      </c>
      <c r="I38" s="36">
        <f t="shared" si="9"/>
        <v>1.2937112444713317E-2</v>
      </c>
      <c r="J38" s="36">
        <f t="shared" si="5"/>
        <v>3.9748460183446889E-2</v>
      </c>
      <c r="K38" s="111">
        <f t="shared" si="3"/>
        <v>4.0438075729912933E-2</v>
      </c>
    </row>
    <row r="39" spans="1:11" s="1" customFormat="1" ht="13.5" thickBot="1" x14ac:dyDescent="0.25">
      <c r="A39" s="112" t="s">
        <v>46</v>
      </c>
      <c r="B39" s="113">
        <f>C4</f>
        <v>1400</v>
      </c>
      <c r="C39" s="193">
        <v>0</v>
      </c>
      <c r="D39" s="115">
        <f>B39*C39</f>
        <v>0</v>
      </c>
      <c r="E39" s="116">
        <f>B4</f>
        <v>1400</v>
      </c>
      <c r="F39" s="193">
        <f>C39</f>
        <v>0</v>
      </c>
      <c r="G39" s="115">
        <f>E39*F39</f>
        <v>0</v>
      </c>
      <c r="H39" s="115">
        <f t="shared" si="1"/>
        <v>0</v>
      </c>
      <c r="I39" s="117" t="str">
        <f t="shared" si="9"/>
        <v>N/A</v>
      </c>
      <c r="J39" s="117">
        <f t="shared" si="5"/>
        <v>0</v>
      </c>
      <c r="K39" s="118">
        <f t="shared" si="3"/>
        <v>0</v>
      </c>
    </row>
    <row r="40" spans="1:11" s="1" customFormat="1" x14ac:dyDescent="0.2">
      <c r="A40" s="37" t="s">
        <v>137</v>
      </c>
      <c r="B40" s="38"/>
      <c r="C40" s="39"/>
      <c r="D40" s="39">
        <f>SUM(D14,D23,D24,D25,D31,D38,D39)</f>
        <v>203.48690033784737</v>
      </c>
      <c r="E40" s="38"/>
      <c r="F40" s="39"/>
      <c r="G40" s="39">
        <f>SUM(G14,G23,G24,G25,G31,G38,G39)</f>
        <v>208.09096</v>
      </c>
      <c r="H40" s="39">
        <f t="shared" si="1"/>
        <v>4.604059662152622</v>
      </c>
      <c r="I40" s="40">
        <f t="shared" si="9"/>
        <v>2.2625828269576789E-2</v>
      </c>
      <c r="J40" s="40">
        <f t="shared" si="5"/>
        <v>0.95238095238095244</v>
      </c>
      <c r="K40" s="41"/>
    </row>
    <row r="41" spans="1:11" x14ac:dyDescent="0.2">
      <c r="A41" s="149" t="s">
        <v>138</v>
      </c>
      <c r="B41" s="43"/>
      <c r="C41" s="26">
        <v>0.13</v>
      </c>
      <c r="D41" s="26">
        <f>D40*C41</f>
        <v>26.453297043920159</v>
      </c>
      <c r="E41" s="26"/>
      <c r="F41" s="26">
        <f>C41</f>
        <v>0.13</v>
      </c>
      <c r="G41" s="26">
        <f>G40*F41</f>
        <v>27.051824799999999</v>
      </c>
      <c r="H41" s="26">
        <f t="shared" si="1"/>
        <v>0.59852775607983943</v>
      </c>
      <c r="I41" s="44">
        <f t="shared" si="9"/>
        <v>2.2625828269576737E-2</v>
      </c>
      <c r="J41" s="44">
        <f t="shared" si="5"/>
        <v>0.12380952380952381</v>
      </c>
      <c r="K41" s="45"/>
    </row>
    <row r="42" spans="1:11" s="1" customFormat="1" x14ac:dyDescent="0.2">
      <c r="A42" s="46" t="s">
        <v>139</v>
      </c>
      <c r="B42" s="24"/>
      <c r="C42" s="25"/>
      <c r="D42" s="25">
        <f>SUM(D40:D41)</f>
        <v>229.94019738176752</v>
      </c>
      <c r="E42" s="25"/>
      <c r="F42" s="25"/>
      <c r="G42" s="25">
        <f>SUM(G40:G41)</f>
        <v>235.14278479999999</v>
      </c>
      <c r="H42" s="25">
        <f t="shared" si="1"/>
        <v>5.2025874182324685</v>
      </c>
      <c r="I42" s="27">
        <f t="shared" si="9"/>
        <v>2.2625828269576816E-2</v>
      </c>
      <c r="J42" s="27">
        <f t="shared" si="5"/>
        <v>1.0761904761904764</v>
      </c>
      <c r="K42" s="47"/>
    </row>
    <row r="43" spans="1:11" x14ac:dyDescent="0.2">
      <c r="A43" s="42" t="s">
        <v>140</v>
      </c>
      <c r="B43" s="43"/>
      <c r="C43" s="26">
        <v>-0.08</v>
      </c>
      <c r="D43" s="26">
        <f>D40*C43</f>
        <v>-16.278952027027792</v>
      </c>
      <c r="E43" s="26"/>
      <c r="F43" s="26">
        <f>C43</f>
        <v>-0.08</v>
      </c>
      <c r="G43" s="26">
        <f>G40*F43</f>
        <v>-16.6472768</v>
      </c>
      <c r="H43" s="26">
        <f t="shared" si="1"/>
        <v>-0.36832477297220834</v>
      </c>
      <c r="I43" s="44">
        <f t="shared" si="9"/>
        <v>-2.2625828269576698E-2</v>
      </c>
      <c r="J43" s="44">
        <f t="shared" ref="J43:J44" si="10">G43/$G$44</f>
        <v>-7.6190476190476197E-2</v>
      </c>
      <c r="K43" s="45"/>
    </row>
    <row r="44" spans="1:11" s="1" customFormat="1" ht="13.5" thickBot="1" x14ac:dyDescent="0.25">
      <c r="A44" s="48" t="s">
        <v>141</v>
      </c>
      <c r="B44" s="49"/>
      <c r="C44" s="50"/>
      <c r="D44" s="50">
        <f>SUM(D42:D43)</f>
        <v>213.66124535473972</v>
      </c>
      <c r="E44" s="50"/>
      <c r="F44" s="50"/>
      <c r="G44" s="50">
        <f>SUM(G42:G43)</f>
        <v>218.49550799999997</v>
      </c>
      <c r="H44" s="50">
        <f t="shared" si="1"/>
        <v>4.8342626452602531</v>
      </c>
      <c r="I44" s="51">
        <f t="shared" si="9"/>
        <v>2.2625828269576792E-2</v>
      </c>
      <c r="J44" s="51">
        <f t="shared" si="10"/>
        <v>1</v>
      </c>
      <c r="K44" s="52"/>
    </row>
    <row r="45" spans="1:11" x14ac:dyDescent="0.2">
      <c r="A45" s="53" t="s">
        <v>142</v>
      </c>
      <c r="B45" s="54"/>
      <c r="C45" s="55"/>
      <c r="D45" s="55">
        <f>SUM(D18,D23,D24,D26,D31,D38,D39)</f>
        <v>200.10321713784734</v>
      </c>
      <c r="E45" s="55"/>
      <c r="F45" s="55"/>
      <c r="G45" s="55">
        <f>SUM(G18,G23,G24,G26,G31,G38,G39)</f>
        <v>204.54225600000001</v>
      </c>
      <c r="H45" s="55">
        <f>G45-D45</f>
        <v>4.4390388621526711</v>
      </c>
      <c r="I45" s="56">
        <f t="shared" si="9"/>
        <v>2.2183745597127012E-2</v>
      </c>
      <c r="J45" s="56"/>
      <c r="K45" s="57">
        <f>G45/$G$49</f>
        <v>0.95238095238095233</v>
      </c>
    </row>
    <row r="46" spans="1:11" x14ac:dyDescent="0.2">
      <c r="A46" s="150" t="s">
        <v>138</v>
      </c>
      <c r="B46" s="59"/>
      <c r="C46" s="31">
        <v>0.13</v>
      </c>
      <c r="D46" s="31">
        <f>D45*C46</f>
        <v>26.013418227920155</v>
      </c>
      <c r="E46" s="31"/>
      <c r="F46" s="31">
        <f>C46</f>
        <v>0.13</v>
      </c>
      <c r="G46" s="31">
        <f>G45*F46</f>
        <v>26.59049328</v>
      </c>
      <c r="H46" s="31">
        <f>G46-D46</f>
        <v>0.57707505207984511</v>
      </c>
      <c r="I46" s="32">
        <f t="shared" si="9"/>
        <v>2.2183745597126929E-2</v>
      </c>
      <c r="J46" s="32"/>
      <c r="K46" s="60">
        <f>G46/$G$49</f>
        <v>0.1238095238095238</v>
      </c>
    </row>
    <row r="47" spans="1:11" x14ac:dyDescent="0.2">
      <c r="A47" s="61" t="s">
        <v>143</v>
      </c>
      <c r="B47" s="29"/>
      <c r="C47" s="30"/>
      <c r="D47" s="30">
        <f>SUM(D45:D46)</f>
        <v>226.11663536576748</v>
      </c>
      <c r="E47" s="30"/>
      <c r="F47" s="30"/>
      <c r="G47" s="30">
        <f>SUM(G45:G46)</f>
        <v>231.13274928000001</v>
      </c>
      <c r="H47" s="30">
        <f>G47-D47</f>
        <v>5.0161139142325339</v>
      </c>
      <c r="I47" s="33">
        <f t="shared" si="9"/>
        <v>2.2183745597127082E-2</v>
      </c>
      <c r="J47" s="33"/>
      <c r="K47" s="62">
        <f>G47/$G$49</f>
        <v>1.0761904761904761</v>
      </c>
    </row>
    <row r="48" spans="1:11" x14ac:dyDescent="0.2">
      <c r="A48" s="58" t="s">
        <v>140</v>
      </c>
      <c r="B48" s="59"/>
      <c r="C48" s="31">
        <v>-0.08</v>
      </c>
      <c r="D48" s="31">
        <f>D45*C48</f>
        <v>-16.008257371027788</v>
      </c>
      <c r="E48" s="31"/>
      <c r="F48" s="31">
        <f>C48</f>
        <v>-0.08</v>
      </c>
      <c r="G48" s="31">
        <f>G45*F48</f>
        <v>-16.36338048</v>
      </c>
      <c r="H48" s="31">
        <f>G48-D48</f>
        <v>-0.35512310897221155</v>
      </c>
      <c r="I48" s="32">
        <f t="shared" si="9"/>
        <v>-2.2183745597126877E-2</v>
      </c>
      <c r="J48" s="32"/>
      <c r="K48" s="60">
        <f>G48/$G$49</f>
        <v>-7.6190476190476183E-2</v>
      </c>
    </row>
    <row r="49" spans="1:11" ht="13.5" thickBot="1" x14ac:dyDescent="0.25">
      <c r="A49" s="63" t="s">
        <v>144</v>
      </c>
      <c r="B49" s="64"/>
      <c r="C49" s="65"/>
      <c r="D49" s="65">
        <f>SUM(D47:D48)</f>
        <v>210.1083779947397</v>
      </c>
      <c r="E49" s="65"/>
      <c r="F49" s="65"/>
      <c r="G49" s="65">
        <f>SUM(G47:G48)</f>
        <v>214.76936880000002</v>
      </c>
      <c r="H49" s="65">
        <f>G49-D49</f>
        <v>4.6609908052603259</v>
      </c>
      <c r="I49" s="66">
        <f t="shared" si="9"/>
        <v>2.2183745597127113E-2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K67"/>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201</v>
      </c>
      <c r="C3" s="13" t="s">
        <v>114</v>
      </c>
    </row>
    <row r="4" spans="1:11" x14ac:dyDescent="0.2">
      <c r="A4" s="15" t="s">
        <v>62</v>
      </c>
      <c r="B4" s="15">
        <v>1000</v>
      </c>
      <c r="C4" s="15">
        <v>1000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1057</v>
      </c>
      <c r="C8" s="15">
        <f>C4*C6</f>
        <v>1043.0999999999999</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0.37507580859131345</v>
      </c>
      <c r="K12" s="106"/>
    </row>
    <row r="13" spans="1:11" x14ac:dyDescent="0.2">
      <c r="A13" s="107" t="s">
        <v>32</v>
      </c>
      <c r="B13" s="73">
        <f>IF(C4&gt;C7,(C4)-C7,0)</f>
        <v>250</v>
      </c>
      <c r="C13" s="21">
        <v>0.106</v>
      </c>
      <c r="D13" s="104">
        <f>B13*C13</f>
        <v>26.5</v>
      </c>
      <c r="E13" s="73">
        <f t="shared" ref="E13" si="1">B13</f>
        <v>250</v>
      </c>
      <c r="F13" s="21">
        <f>C13</f>
        <v>0.106</v>
      </c>
      <c r="G13" s="22">
        <f>E13*F13</f>
        <v>26.5</v>
      </c>
      <c r="H13" s="22">
        <f t="shared" ref="H13:H45" si="2">G13-D13</f>
        <v>0</v>
      </c>
      <c r="I13" s="23">
        <f t="shared" si="0"/>
        <v>0</v>
      </c>
      <c r="J13" s="23">
        <f>G13/$G$45</f>
        <v>0.14563383044204845</v>
      </c>
      <c r="K13" s="108"/>
    </row>
    <row r="14" spans="1:11" s="1" customFormat="1" x14ac:dyDescent="0.2">
      <c r="A14" s="46" t="s">
        <v>33</v>
      </c>
      <c r="B14" s="24"/>
      <c r="C14" s="25"/>
      <c r="D14" s="25">
        <f>SUM(D12:D13)</f>
        <v>94.75</v>
      </c>
      <c r="E14" s="76"/>
      <c r="F14" s="25"/>
      <c r="G14" s="25">
        <f>SUM(G12:G13)</f>
        <v>94.75</v>
      </c>
      <c r="H14" s="25">
        <f t="shared" si="2"/>
        <v>0</v>
      </c>
      <c r="I14" s="27">
        <f t="shared" si="0"/>
        <v>0</v>
      </c>
      <c r="J14" s="27">
        <f>G14/$G$45</f>
        <v>0.52070963903336187</v>
      </c>
      <c r="K14" s="108"/>
    </row>
    <row r="15" spans="1:11" s="1" customFormat="1" x14ac:dyDescent="0.2">
      <c r="A15" s="109" t="s">
        <v>34</v>
      </c>
      <c r="B15" s="75">
        <f>C4*0.65</f>
        <v>650</v>
      </c>
      <c r="C15" s="28">
        <v>7.6999999999999999E-2</v>
      </c>
      <c r="D15" s="256">
        <f>B15*C15</f>
        <v>50.05</v>
      </c>
      <c r="E15" s="75">
        <f>B4*0.65</f>
        <v>650</v>
      </c>
      <c r="F15" s="28">
        <f t="shared" ref="F15:F17" si="3">C15</f>
        <v>7.6999999999999999E-2</v>
      </c>
      <c r="G15" s="22">
        <f>E15*F15</f>
        <v>50.05</v>
      </c>
      <c r="H15" s="22">
        <f t="shared" si="2"/>
        <v>0</v>
      </c>
      <c r="I15" s="23">
        <f t="shared" si="0"/>
        <v>0</v>
      </c>
      <c r="J15" s="23"/>
      <c r="K15" s="108">
        <f t="shared" ref="K15:K25" si="4">G15/$G$50</f>
        <v>0.27147354816800728</v>
      </c>
    </row>
    <row r="16" spans="1:11" s="1" customFormat="1" x14ac:dyDescent="0.2">
      <c r="A16" s="109" t="s">
        <v>35</v>
      </c>
      <c r="B16" s="75">
        <f>C4*0.17</f>
        <v>170</v>
      </c>
      <c r="C16" s="28">
        <v>0.113</v>
      </c>
      <c r="D16" s="256">
        <f t="shared" ref="D16:D17" si="5">B16*C16</f>
        <v>19.21</v>
      </c>
      <c r="E16" s="75">
        <f>B4*0.17</f>
        <v>170</v>
      </c>
      <c r="F16" s="28">
        <f t="shared" si="3"/>
        <v>0.113</v>
      </c>
      <c r="G16" s="22">
        <f>E16*F16</f>
        <v>19.21</v>
      </c>
      <c r="H16" s="22">
        <f t="shared" si="2"/>
        <v>0</v>
      </c>
      <c r="I16" s="23">
        <f t="shared" si="0"/>
        <v>0</v>
      </c>
      <c r="J16" s="23"/>
      <c r="K16" s="108">
        <f t="shared" si="4"/>
        <v>0.10419594126488352</v>
      </c>
    </row>
    <row r="17" spans="1:11" s="1" customFormat="1" x14ac:dyDescent="0.2">
      <c r="A17" s="109" t="s">
        <v>36</v>
      </c>
      <c r="B17" s="75">
        <f>C4*0.18</f>
        <v>180</v>
      </c>
      <c r="C17" s="28">
        <v>0.157</v>
      </c>
      <c r="D17" s="256">
        <f t="shared" si="5"/>
        <v>28.26</v>
      </c>
      <c r="E17" s="75">
        <f>B4*0.18</f>
        <v>180</v>
      </c>
      <c r="F17" s="28">
        <f t="shared" si="3"/>
        <v>0.157</v>
      </c>
      <c r="G17" s="22">
        <f>E17*F17</f>
        <v>28.26</v>
      </c>
      <c r="H17" s="22">
        <f t="shared" si="2"/>
        <v>0</v>
      </c>
      <c r="I17" s="23">
        <f t="shared" si="0"/>
        <v>0</v>
      </c>
      <c r="J17" s="23"/>
      <c r="K17" s="108">
        <f t="shared" si="4"/>
        <v>0.15328356585869904</v>
      </c>
    </row>
    <row r="18" spans="1:11" s="1" customFormat="1" x14ac:dyDescent="0.2">
      <c r="A18" s="61" t="s">
        <v>37</v>
      </c>
      <c r="B18" s="29"/>
      <c r="C18" s="30"/>
      <c r="D18" s="30">
        <f>SUM(D15:D17)</f>
        <v>97.52</v>
      </c>
      <c r="E18" s="77"/>
      <c r="F18" s="30"/>
      <c r="G18" s="30">
        <f>SUM(G15:G17)</f>
        <v>97.52</v>
      </c>
      <c r="H18" s="31">
        <f t="shared" si="2"/>
        <v>0</v>
      </c>
      <c r="I18" s="32">
        <f t="shared" si="0"/>
        <v>0</v>
      </c>
      <c r="J18" s="33">
        <f>G18/$G$45</f>
        <v>0.5359324960267382</v>
      </c>
      <c r="K18" s="62">
        <f t="shared" si="4"/>
        <v>0.52895305529158976</v>
      </c>
    </row>
    <row r="19" spans="1:11" x14ac:dyDescent="0.2">
      <c r="A19" s="107" t="s">
        <v>38</v>
      </c>
      <c r="B19" s="73">
        <v>1</v>
      </c>
      <c r="C19" s="121">
        <f>'Data for Bill Impacts'!G23</f>
        <v>25.19</v>
      </c>
      <c r="D19" s="22">
        <f>B19*C19</f>
        <v>25.19</v>
      </c>
      <c r="E19" s="73">
        <v>1</v>
      </c>
      <c r="F19" s="78">
        <f>VLOOKUP($B$3,'Data for Bill Impacts'!$A$3:$Y$21,17,0)</f>
        <v>30.26</v>
      </c>
      <c r="G19" s="22">
        <f>E19*F19</f>
        <v>30.26</v>
      </c>
      <c r="H19" s="22">
        <f t="shared" si="2"/>
        <v>5.07</v>
      </c>
      <c r="I19" s="23">
        <f>IF(ISERROR(H19/ABS(D19)),"N/A",(H19/ABS(D19)))</f>
        <v>0.20127034537514887</v>
      </c>
      <c r="J19" s="23">
        <f>G19/$G$45</f>
        <v>0.16629734751609004</v>
      </c>
      <c r="K19" s="108">
        <f t="shared" si="4"/>
        <v>0.16413165969158644</v>
      </c>
    </row>
    <row r="20" spans="1:11" x14ac:dyDescent="0.2">
      <c r="A20" s="107" t="s">
        <v>193</v>
      </c>
      <c r="B20" s="73">
        <v>1</v>
      </c>
      <c r="C20" s="121">
        <f>'Data for Bill Impacts'!K23</f>
        <v>-0.25</v>
      </c>
      <c r="D20" s="22">
        <f t="shared" ref="D20" si="6">B20*C20</f>
        <v>-0.25</v>
      </c>
      <c r="E20" s="73">
        <v>1</v>
      </c>
      <c r="F20" s="121">
        <f>VLOOKUP($B$3,'Data for Bill Impacts'!$A$3:$Y$21,12,0)</f>
        <v>0</v>
      </c>
      <c r="G20" s="22">
        <f t="shared" ref="G20" si="7">E20*F20</f>
        <v>0</v>
      </c>
      <c r="H20" s="22">
        <f t="shared" si="2"/>
        <v>0.25</v>
      </c>
      <c r="I20" s="23">
        <f t="shared" ref="I20:I21" si="8">IF(ISERROR(H20/D20),0,(H20/D20))</f>
        <v>-1</v>
      </c>
      <c r="J20" s="23">
        <f>G20/$G$45</f>
        <v>0</v>
      </c>
      <c r="K20" s="108">
        <f t="shared" si="4"/>
        <v>0</v>
      </c>
    </row>
    <row r="21" spans="1:11" x14ac:dyDescent="0.2">
      <c r="A21" s="107" t="s">
        <v>39</v>
      </c>
      <c r="B21" s="73">
        <f>IF($C$9="kWh",$C$4,$C$5)</f>
        <v>1000</v>
      </c>
      <c r="C21" s="78">
        <f>VLOOKUP($B$3,'Data for Bill Impacts'!$A$3:$Y$21,10,0)</f>
        <v>1.4500000000000001E-2</v>
      </c>
      <c r="D21" s="22">
        <f>B21*C21</f>
        <v>14.5</v>
      </c>
      <c r="E21" s="73">
        <f>IF($B$9="kWh",$B$4,$B$5)</f>
        <v>1000</v>
      </c>
      <c r="F21" s="78">
        <f>VLOOKUP($B$3,'Data for Bill Impacts'!$A$3:$Y$21,19,0)</f>
        <v>1.7399999999999999E-2</v>
      </c>
      <c r="G21" s="22">
        <f>E21*F21</f>
        <v>17.399999999999999</v>
      </c>
      <c r="H21" s="22">
        <f t="shared" si="2"/>
        <v>2.8999999999999986</v>
      </c>
      <c r="I21" s="23">
        <f t="shared" si="8"/>
        <v>0.1999999999999999</v>
      </c>
      <c r="J21" s="23">
        <f>G21/$G$45</f>
        <v>9.5623722629873315E-2</v>
      </c>
      <c r="K21" s="108">
        <f t="shared" si="4"/>
        <v>9.4378416346120403E-2</v>
      </c>
    </row>
    <row r="22" spans="1:11" x14ac:dyDescent="0.2">
      <c r="A22" s="107" t="s">
        <v>195</v>
      </c>
      <c r="B22" s="73">
        <f>IF($C$9="kWh",$C$4,$C$5)</f>
        <v>1000</v>
      </c>
      <c r="C22" s="125">
        <f>'Data for Bill Impacts'!L23</f>
        <v>-2.0000000000000001E-4</v>
      </c>
      <c r="D22" s="22">
        <f>B22*C22</f>
        <v>-0.2</v>
      </c>
      <c r="E22" s="73">
        <f>IF($B$9="kWh",$B$4,$B$5)</f>
        <v>1000</v>
      </c>
      <c r="F22" s="125">
        <f>VLOOKUP($B$3,'Data for Bill Impacts'!$A$3:$Y$21,20,0)</f>
        <v>0</v>
      </c>
      <c r="G22" s="22">
        <f>E22*F22</f>
        <v>0</v>
      </c>
      <c r="H22" s="22">
        <f>G22-D22</f>
        <v>0.2</v>
      </c>
      <c r="I22" s="23">
        <f t="shared" ref="I22:I50" si="9">IF(ISERROR(H22/ABS(D22)),"N/A",(H22/ABS(D22)))</f>
        <v>1</v>
      </c>
      <c r="J22" s="23">
        <f>G22/$G$45</f>
        <v>0</v>
      </c>
      <c r="K22" s="108">
        <f t="shared" si="4"/>
        <v>0</v>
      </c>
    </row>
    <row r="23" spans="1:11" hidden="1" x14ac:dyDescent="0.2">
      <c r="A23" s="107" t="s">
        <v>199</v>
      </c>
      <c r="B23" s="73">
        <f>IF($B$9="kWh",$B$4,$B$5)</f>
        <v>1000</v>
      </c>
      <c r="C23" s="125">
        <f>VLOOKUP($B$3,'Data for Bill Impacts'!$A$3:$Y$21,14,0)</f>
        <v>0</v>
      </c>
      <c r="D23" s="22">
        <f>B23*C23</f>
        <v>0</v>
      </c>
      <c r="E23" s="73">
        <f t="shared" ref="E23" si="10">B23</f>
        <v>1000</v>
      </c>
      <c r="F23" s="125">
        <f>VLOOKUP($B$3,'Data for Bill Impacts'!$A$3:$Y$21,23,0)</f>
        <v>0</v>
      </c>
      <c r="G23" s="22">
        <f>E23*F23</f>
        <v>0</v>
      </c>
      <c r="H23" s="22">
        <f t="shared" si="2"/>
        <v>0</v>
      </c>
      <c r="I23" s="23" t="str">
        <f t="shared" si="9"/>
        <v>N/A</v>
      </c>
      <c r="J23" s="23">
        <f t="shared" ref="J23" si="11">G23/$G$45</f>
        <v>0</v>
      </c>
      <c r="K23" s="108">
        <f t="shared" si="4"/>
        <v>0</v>
      </c>
    </row>
    <row r="24" spans="1:11" s="1" customFormat="1" x14ac:dyDescent="0.2">
      <c r="A24" s="110" t="s">
        <v>72</v>
      </c>
      <c r="B24" s="74"/>
      <c r="C24" s="35"/>
      <c r="D24" s="35">
        <f>SUM(D19:D23)</f>
        <v>39.239999999999995</v>
      </c>
      <c r="E24" s="73"/>
      <c r="F24" s="35"/>
      <c r="G24" s="35">
        <f>SUM(G19:G23)</f>
        <v>47.66</v>
      </c>
      <c r="H24" s="35">
        <f t="shared" si="2"/>
        <v>8.4200000000000017</v>
      </c>
      <c r="I24" s="36">
        <f t="shared" si="9"/>
        <v>0.21457696228338438</v>
      </c>
      <c r="J24" s="36">
        <f>G24/$G$45</f>
        <v>0.26192107014596333</v>
      </c>
      <c r="K24" s="111">
        <f t="shared" si="4"/>
        <v>0.25851007603770682</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2"/>
        <v>0</v>
      </c>
      <c r="I25" s="23">
        <f t="shared" si="9"/>
        <v>0</v>
      </c>
      <c r="J25" s="23">
        <f>G25/$G$45</f>
        <v>4.3415368320459729E-3</v>
      </c>
      <c r="K25" s="108">
        <f t="shared" si="4"/>
        <v>4.2849970639905251E-3</v>
      </c>
    </row>
    <row r="26" spans="1:11" s="1" customFormat="1" x14ac:dyDescent="0.2">
      <c r="A26" s="119" t="s">
        <v>75</v>
      </c>
      <c r="B26" s="120">
        <f>C8-C4</f>
        <v>43.099999999999909</v>
      </c>
      <c r="C26" s="257">
        <f>IF(B4&gt;B7,C13,C12)</f>
        <v>0.106</v>
      </c>
      <c r="D26" s="22">
        <f>B26*C26</f>
        <v>4.5685999999999902</v>
      </c>
      <c r="E26" s="120">
        <f>B8-B4</f>
        <v>57</v>
      </c>
      <c r="F26" s="257">
        <f>C26</f>
        <v>0.106</v>
      </c>
      <c r="G26" s="22">
        <f>E26*F26</f>
        <v>6.0419999999999998</v>
      </c>
      <c r="H26" s="22">
        <f t="shared" si="2"/>
        <v>1.4734000000000096</v>
      </c>
      <c r="I26" s="23">
        <f t="shared" si="9"/>
        <v>0.32250580046403993</v>
      </c>
      <c r="J26" s="23">
        <f t="shared" ref="J26:J45" si="12">G26/$G$45</f>
        <v>3.3204513340787042E-2</v>
      </c>
      <c r="K26" s="108">
        <f t="shared" ref="K26:K40" si="13">G26/$G$50</f>
        <v>3.2772091469152845E-2</v>
      </c>
    </row>
    <row r="27" spans="1:11" s="1" customFormat="1" x14ac:dyDescent="0.2">
      <c r="A27" s="119" t="s">
        <v>74</v>
      </c>
      <c r="B27" s="120">
        <f>C8-C4</f>
        <v>43.099999999999909</v>
      </c>
      <c r="C27" s="257">
        <f>0.65*C15+0.17*C16+0.18*C17</f>
        <v>9.7519999999999996E-2</v>
      </c>
      <c r="D27" s="22">
        <f>B27*C27</f>
        <v>4.2031119999999911</v>
      </c>
      <c r="E27" s="120">
        <f>B8-B4</f>
        <v>57</v>
      </c>
      <c r="F27" s="257">
        <f>C27</f>
        <v>9.7519999999999996E-2</v>
      </c>
      <c r="G27" s="22">
        <f>E27*F27</f>
        <v>5.5586399999999996</v>
      </c>
      <c r="H27" s="22">
        <f t="shared" si="2"/>
        <v>1.3555280000000085</v>
      </c>
      <c r="I27" s="23">
        <f t="shared" si="9"/>
        <v>0.32250580046403982</v>
      </c>
      <c r="J27" s="23">
        <f t="shared" si="12"/>
        <v>3.0548152273524077E-2</v>
      </c>
      <c r="K27" s="108">
        <f t="shared" si="13"/>
        <v>3.0150324151620618E-2</v>
      </c>
    </row>
    <row r="28" spans="1:11" s="1" customFormat="1" x14ac:dyDescent="0.2">
      <c r="A28" s="110" t="s">
        <v>78</v>
      </c>
      <c r="B28" s="74"/>
      <c r="C28" s="35"/>
      <c r="D28" s="35">
        <f>SUM(D24,D25:D26)</f>
        <v>44.598599999999983</v>
      </c>
      <c r="E28" s="73"/>
      <c r="F28" s="35"/>
      <c r="G28" s="35">
        <f>SUM(G24,G25:G26)</f>
        <v>54.491999999999997</v>
      </c>
      <c r="H28" s="35">
        <f t="shared" si="2"/>
        <v>9.893400000000014</v>
      </c>
      <c r="I28" s="36">
        <f t="shared" si="9"/>
        <v>0.22183207544631486</v>
      </c>
      <c r="J28" s="36">
        <f t="shared" si="12"/>
        <v>0.29946712031879635</v>
      </c>
      <c r="K28" s="111">
        <f t="shared" si="13"/>
        <v>0.29556716457085019</v>
      </c>
    </row>
    <row r="29" spans="1:11" s="1" customFormat="1" x14ac:dyDescent="0.2">
      <c r="A29" s="110" t="s">
        <v>77</v>
      </c>
      <c r="B29" s="74"/>
      <c r="C29" s="35"/>
      <c r="D29" s="35">
        <f>SUM(D24,D25,D27)</f>
        <v>44.233111999999984</v>
      </c>
      <c r="E29" s="73"/>
      <c r="F29" s="35"/>
      <c r="G29" s="35">
        <f>SUM(G24,G25,G27)</f>
        <v>54.008639999999993</v>
      </c>
      <c r="H29" s="35">
        <f t="shared" si="2"/>
        <v>9.7755280000000084</v>
      </c>
      <c r="I29" s="36">
        <f t="shared" si="9"/>
        <v>0.22100023168164185</v>
      </c>
      <c r="J29" s="36">
        <f t="shared" si="12"/>
        <v>0.29681075925153338</v>
      </c>
      <c r="K29" s="111">
        <f t="shared" si="13"/>
        <v>0.29294539725331797</v>
      </c>
    </row>
    <row r="30" spans="1:11" x14ac:dyDescent="0.2">
      <c r="A30" s="107" t="s">
        <v>40</v>
      </c>
      <c r="B30" s="73">
        <f>C8</f>
        <v>1043.0999999999999</v>
      </c>
      <c r="C30" s="78">
        <f>VLOOKUP($B$3,'Data for Bill Impacts'!$A$3:$Y$21,15,0)</f>
        <v>6.4999999999999997E-3</v>
      </c>
      <c r="D30" s="22">
        <f>B30*C30</f>
        <v>6.780149999999999</v>
      </c>
      <c r="E30" s="73">
        <f>B8</f>
        <v>1057</v>
      </c>
      <c r="F30" s="78">
        <f>VLOOKUP($B$3,'Data for Bill Impacts'!$A$3:$Y$21,24,0)</f>
        <v>5.5999999999999999E-3</v>
      </c>
      <c r="G30" s="22">
        <f>E30*F30</f>
        <v>5.9192</v>
      </c>
      <c r="H30" s="22">
        <f t="shared" si="2"/>
        <v>-0.86094999999999899</v>
      </c>
      <c r="I30" s="23">
        <f t="shared" si="9"/>
        <v>-0.12698096649779123</v>
      </c>
      <c r="J30" s="23">
        <f t="shared" si="12"/>
        <v>3.2529651666134834E-2</v>
      </c>
      <c r="K30" s="108">
        <f t="shared" si="13"/>
        <v>3.2106018507813562E-2</v>
      </c>
    </row>
    <row r="31" spans="1:11" x14ac:dyDescent="0.2">
      <c r="A31" s="107" t="s">
        <v>41</v>
      </c>
      <c r="B31" s="73">
        <f>C8</f>
        <v>1043.0999999999999</v>
      </c>
      <c r="C31" s="125">
        <f>VLOOKUP($B$3,'Data for Bill Impacts'!$A$3:$Y$21,16,0)</f>
        <v>5.2595081845627977E-3</v>
      </c>
      <c r="D31" s="22">
        <f>B31*C31</f>
        <v>5.4861929873174535</v>
      </c>
      <c r="E31" s="73">
        <f>B8</f>
        <v>1057</v>
      </c>
      <c r="F31" s="78">
        <f>VLOOKUP($B$3,'Data for Bill Impacts'!$A$3:$Y$21,25,0)</f>
        <v>4.5999999999999999E-3</v>
      </c>
      <c r="G31" s="22">
        <f>E31*F31</f>
        <v>4.8621999999999996</v>
      </c>
      <c r="H31" s="22">
        <f t="shared" si="2"/>
        <v>-0.6239929873174539</v>
      </c>
      <c r="I31" s="23">
        <f t="shared" si="9"/>
        <v>-0.11373879642220962</v>
      </c>
      <c r="J31" s="23">
        <f t="shared" si="12"/>
        <v>2.6720785297182185E-2</v>
      </c>
      <c r="K31" s="108">
        <f t="shared" si="13"/>
        <v>2.6372800917132566E-2</v>
      </c>
    </row>
    <row r="32" spans="1:11" s="1" customFormat="1" x14ac:dyDescent="0.2">
      <c r="A32" s="110" t="s">
        <v>76</v>
      </c>
      <c r="B32" s="74"/>
      <c r="C32" s="35"/>
      <c r="D32" s="35">
        <f>SUM(D30:D31)</f>
        <v>12.266342987317453</v>
      </c>
      <c r="E32" s="73"/>
      <c r="F32" s="35"/>
      <c r="G32" s="35">
        <f>SUM(G30:G31)</f>
        <v>10.7814</v>
      </c>
      <c r="H32" s="35">
        <f t="shared" si="2"/>
        <v>-1.4849429873174529</v>
      </c>
      <c r="I32" s="36">
        <f t="shared" si="9"/>
        <v>-0.12105832919010832</v>
      </c>
      <c r="J32" s="36">
        <f t="shared" si="12"/>
        <v>5.925043696331702E-2</v>
      </c>
      <c r="K32" s="111">
        <f t="shared" si="13"/>
        <v>5.8478819424946128E-2</v>
      </c>
    </row>
    <row r="33" spans="1:11" s="1" customFormat="1" x14ac:dyDescent="0.2">
      <c r="A33" s="110" t="s">
        <v>95</v>
      </c>
      <c r="B33" s="74"/>
      <c r="C33" s="35"/>
      <c r="D33" s="35">
        <f>D28+D32</f>
        <v>56.864942987317434</v>
      </c>
      <c r="E33" s="73"/>
      <c r="F33" s="35"/>
      <c r="G33" s="35">
        <f>G28+G32</f>
        <v>65.273399999999995</v>
      </c>
      <c r="H33" s="35">
        <f t="shared" si="2"/>
        <v>8.4084570126825611</v>
      </c>
      <c r="I33" s="36">
        <f t="shared" si="9"/>
        <v>0.14786714926554831</v>
      </c>
      <c r="J33" s="36">
        <f t="shared" si="12"/>
        <v>0.35871755728211335</v>
      </c>
      <c r="K33" s="111">
        <f t="shared" si="13"/>
        <v>0.35404598399579634</v>
      </c>
    </row>
    <row r="34" spans="1:11" s="1" customFormat="1" x14ac:dyDescent="0.2">
      <c r="A34" s="110" t="s">
        <v>96</v>
      </c>
      <c r="B34" s="74"/>
      <c r="C34" s="35"/>
      <c r="D34" s="35">
        <f>D29+D32</f>
        <v>56.499454987317435</v>
      </c>
      <c r="E34" s="73"/>
      <c r="F34" s="35"/>
      <c r="G34" s="35">
        <f>G29+G32</f>
        <v>64.790039999999991</v>
      </c>
      <c r="H34" s="35">
        <f t="shared" si="2"/>
        <v>8.2905850126825555</v>
      </c>
      <c r="I34" s="36">
        <f t="shared" si="9"/>
        <v>0.14673743338840281</v>
      </c>
      <c r="J34" s="36">
        <f t="shared" si="12"/>
        <v>0.35606119621485038</v>
      </c>
      <c r="K34" s="111">
        <f t="shared" si="13"/>
        <v>0.35142421667826407</v>
      </c>
    </row>
    <row r="35" spans="1:11" x14ac:dyDescent="0.2">
      <c r="A35" s="107" t="s">
        <v>42</v>
      </c>
      <c r="B35" s="73">
        <f>C8</f>
        <v>1043.0999999999999</v>
      </c>
      <c r="C35" s="34">
        <v>3.5999999999999999E-3</v>
      </c>
      <c r="D35" s="22">
        <f>B35*C35</f>
        <v>3.7551599999999996</v>
      </c>
      <c r="E35" s="73">
        <f>B8</f>
        <v>1057</v>
      </c>
      <c r="F35" s="34">
        <v>3.5999999999999999E-3</v>
      </c>
      <c r="G35" s="22">
        <f>E35*F35</f>
        <v>3.8051999999999997</v>
      </c>
      <c r="H35" s="22">
        <f t="shared" si="2"/>
        <v>5.0040000000000084E-2</v>
      </c>
      <c r="I35" s="23">
        <f t="shared" si="9"/>
        <v>1.3325663886492211E-2</v>
      </c>
      <c r="J35" s="23">
        <f t="shared" si="12"/>
        <v>2.0911918928229536E-2</v>
      </c>
      <c r="K35" s="108">
        <f t="shared" si="13"/>
        <v>2.0639583326451574E-2</v>
      </c>
    </row>
    <row r="36" spans="1:11" x14ac:dyDescent="0.2">
      <c r="A36" s="107" t="s">
        <v>43</v>
      </c>
      <c r="B36" s="73">
        <f>C8</f>
        <v>1043.0999999999999</v>
      </c>
      <c r="C36" s="34">
        <v>2.0999999999999999E-3</v>
      </c>
      <c r="D36" s="22">
        <f>B36*C36</f>
        <v>2.1905099999999997</v>
      </c>
      <c r="E36" s="73">
        <f>B8</f>
        <v>1057</v>
      </c>
      <c r="F36" s="34">
        <v>2.0999999999999999E-3</v>
      </c>
      <c r="G36" s="22">
        <f>E36*F36</f>
        <v>2.2197</v>
      </c>
      <c r="H36" s="22">
        <f>G36-D36</f>
        <v>2.9190000000000271E-2</v>
      </c>
      <c r="I36" s="23">
        <f t="shared" si="9"/>
        <v>1.3325663886492312E-2</v>
      </c>
      <c r="J36" s="23">
        <f t="shared" si="12"/>
        <v>1.2198619374800563E-2</v>
      </c>
      <c r="K36" s="108">
        <f t="shared" si="13"/>
        <v>1.2039756940430085E-2</v>
      </c>
    </row>
    <row r="37" spans="1:11" x14ac:dyDescent="0.2">
      <c r="A37" s="107" t="s">
        <v>100</v>
      </c>
      <c r="B37" s="73">
        <f>C8</f>
        <v>1043.0999999999999</v>
      </c>
      <c r="C37" s="34">
        <v>0</v>
      </c>
      <c r="D37" s="22">
        <f>B37*C37</f>
        <v>0</v>
      </c>
      <c r="E37" s="73">
        <f>B8</f>
        <v>1057</v>
      </c>
      <c r="F37" s="34">
        <v>0</v>
      </c>
      <c r="G37" s="22">
        <f>E37*F37</f>
        <v>0</v>
      </c>
      <c r="H37" s="22">
        <f>G37-D37</f>
        <v>0</v>
      </c>
      <c r="I37" s="23" t="str">
        <f t="shared" si="9"/>
        <v>N/A</v>
      </c>
      <c r="J37" s="23">
        <f t="shared" si="12"/>
        <v>0</v>
      </c>
      <c r="K37" s="108">
        <f t="shared" si="13"/>
        <v>0</v>
      </c>
    </row>
    <row r="38" spans="1:11" x14ac:dyDescent="0.2">
      <c r="A38" s="107" t="s">
        <v>44</v>
      </c>
      <c r="B38" s="73">
        <v>1</v>
      </c>
      <c r="C38" s="22">
        <v>0.25</v>
      </c>
      <c r="D38" s="22">
        <f>B38*C38</f>
        <v>0.25</v>
      </c>
      <c r="E38" s="73">
        <v>1</v>
      </c>
      <c r="F38" s="22">
        <f>C38</f>
        <v>0.25</v>
      </c>
      <c r="G38" s="22">
        <f>E38*F38</f>
        <v>0.25</v>
      </c>
      <c r="H38" s="22">
        <f t="shared" si="2"/>
        <v>0</v>
      </c>
      <c r="I38" s="23">
        <f t="shared" si="9"/>
        <v>0</v>
      </c>
      <c r="J38" s="23">
        <f t="shared" si="12"/>
        <v>1.3739040607740418E-3</v>
      </c>
      <c r="K38" s="108">
        <f t="shared" si="13"/>
        <v>1.3560117291109256E-3</v>
      </c>
    </row>
    <row r="39" spans="1:11" s="1" customFormat="1" x14ac:dyDescent="0.2">
      <c r="A39" s="110" t="s">
        <v>45</v>
      </c>
      <c r="B39" s="74"/>
      <c r="C39" s="35"/>
      <c r="D39" s="35">
        <f>SUM(D35:D38)</f>
        <v>6.1956699999999998</v>
      </c>
      <c r="E39" s="73"/>
      <c r="F39" s="35"/>
      <c r="G39" s="35">
        <f>SUM(G35:G38)</f>
        <v>6.2748999999999997</v>
      </c>
      <c r="H39" s="35">
        <f t="shared" si="2"/>
        <v>7.9229999999999912E-2</v>
      </c>
      <c r="I39" s="36">
        <f t="shared" si="9"/>
        <v>1.2787963206561989E-2</v>
      </c>
      <c r="J39" s="36">
        <f t="shared" si="12"/>
        <v>3.4484442363804144E-2</v>
      </c>
      <c r="K39" s="111">
        <f t="shared" si="13"/>
        <v>3.4035351995992585E-2</v>
      </c>
    </row>
    <row r="40" spans="1:11" s="1" customFormat="1" ht="13.5" thickBot="1" x14ac:dyDescent="0.25">
      <c r="A40" s="112" t="s">
        <v>46</v>
      </c>
      <c r="B40" s="113">
        <f>C4</f>
        <v>1000</v>
      </c>
      <c r="C40" s="114">
        <v>7.0000000000000001E-3</v>
      </c>
      <c r="D40" s="115">
        <f>B40*C40</f>
        <v>7</v>
      </c>
      <c r="E40" s="116">
        <f>B4</f>
        <v>1000</v>
      </c>
      <c r="F40" s="114">
        <f>C40</f>
        <v>7.0000000000000001E-3</v>
      </c>
      <c r="G40" s="115">
        <f>E40*F40</f>
        <v>7</v>
      </c>
      <c r="H40" s="115">
        <f t="shared" si="2"/>
        <v>0</v>
      </c>
      <c r="I40" s="117">
        <f t="shared" si="9"/>
        <v>0</v>
      </c>
      <c r="J40" s="117">
        <f t="shared" si="12"/>
        <v>3.8469313701673176E-2</v>
      </c>
      <c r="K40" s="118">
        <f t="shared" si="13"/>
        <v>3.7968328415105917E-2</v>
      </c>
    </row>
    <row r="41" spans="1:11" s="1" customFormat="1" x14ac:dyDescent="0.2">
      <c r="A41" s="37" t="s">
        <v>137</v>
      </c>
      <c r="B41" s="38"/>
      <c r="C41" s="39"/>
      <c r="D41" s="39">
        <f>SUM(D14,D24,D25,D26,D32,D39,D40)</f>
        <v>164.81061298731746</v>
      </c>
      <c r="E41" s="38"/>
      <c r="F41" s="39"/>
      <c r="G41" s="39">
        <f>SUM(G14,G24,G25,G26,G32,G39,G40)</f>
        <v>173.29829999999998</v>
      </c>
      <c r="H41" s="39">
        <f t="shared" si="2"/>
        <v>8.4876870126825281</v>
      </c>
      <c r="I41" s="40">
        <f t="shared" si="9"/>
        <v>5.1499638638779134E-2</v>
      </c>
      <c r="J41" s="40">
        <f t="shared" si="12"/>
        <v>0.95238095238095244</v>
      </c>
      <c r="K41" s="41"/>
    </row>
    <row r="42" spans="1:11" x14ac:dyDescent="0.2">
      <c r="A42" s="149" t="s">
        <v>138</v>
      </c>
      <c r="B42" s="43"/>
      <c r="C42" s="26">
        <v>0.13</v>
      </c>
      <c r="D42" s="26">
        <f>D41*C42</f>
        <v>21.425379688351271</v>
      </c>
      <c r="E42" s="26"/>
      <c r="F42" s="26">
        <f>C42</f>
        <v>0.13</v>
      </c>
      <c r="G42" s="26">
        <f>G41*F42</f>
        <v>22.528779</v>
      </c>
      <c r="H42" s="26">
        <f t="shared" si="2"/>
        <v>1.1033993116487295</v>
      </c>
      <c r="I42" s="44">
        <f t="shared" si="9"/>
        <v>5.1499638638779169E-2</v>
      </c>
      <c r="J42" s="44">
        <f t="shared" si="12"/>
        <v>0.12380952380952384</v>
      </c>
      <c r="K42" s="45"/>
    </row>
    <row r="43" spans="1:11" s="1" customFormat="1" x14ac:dyDescent="0.2">
      <c r="A43" s="46" t="s">
        <v>139</v>
      </c>
      <c r="B43" s="24"/>
      <c r="C43" s="25"/>
      <c r="D43" s="25">
        <f>SUM(D41:D42)</f>
        <v>186.23599267566874</v>
      </c>
      <c r="E43" s="25"/>
      <c r="F43" s="25"/>
      <c r="G43" s="25">
        <f>SUM(G41:G42)</f>
        <v>195.82707899999997</v>
      </c>
      <c r="H43" s="25">
        <f t="shared" si="2"/>
        <v>9.5910863243312292</v>
      </c>
      <c r="I43" s="27">
        <f t="shared" si="9"/>
        <v>5.1499638638778981E-2</v>
      </c>
      <c r="J43" s="27">
        <f t="shared" si="12"/>
        <v>1.0761904761904761</v>
      </c>
      <c r="K43" s="47"/>
    </row>
    <row r="44" spans="1:11" x14ac:dyDescent="0.2">
      <c r="A44" s="42" t="s">
        <v>140</v>
      </c>
      <c r="B44" s="43"/>
      <c r="C44" s="26">
        <v>-0.08</v>
      </c>
      <c r="D44" s="26">
        <f>D41*C44</f>
        <v>-13.184849038985396</v>
      </c>
      <c r="E44" s="26"/>
      <c r="F44" s="26">
        <f>C44</f>
        <v>-0.08</v>
      </c>
      <c r="G44" s="26">
        <f>G41*F44</f>
        <v>-13.863864</v>
      </c>
      <c r="H44" s="26">
        <f t="shared" si="2"/>
        <v>-0.67901496101460346</v>
      </c>
      <c r="I44" s="44">
        <f t="shared" si="9"/>
        <v>-5.1499638638779224E-2</v>
      </c>
      <c r="J44" s="44">
        <f t="shared" si="12"/>
        <v>-7.6190476190476197E-2</v>
      </c>
      <c r="K44" s="45"/>
    </row>
    <row r="45" spans="1:11" s="1" customFormat="1" ht="13.5" thickBot="1" x14ac:dyDescent="0.25">
      <c r="A45" s="48" t="s">
        <v>141</v>
      </c>
      <c r="B45" s="49"/>
      <c r="C45" s="50"/>
      <c r="D45" s="50">
        <f>SUM(D43:D44)</f>
        <v>173.05114363668335</v>
      </c>
      <c r="E45" s="50"/>
      <c r="F45" s="50"/>
      <c r="G45" s="50">
        <f>SUM(G43:G44)</f>
        <v>181.96321499999996</v>
      </c>
      <c r="H45" s="50">
        <f t="shared" si="2"/>
        <v>8.9120713633166133</v>
      </c>
      <c r="I45" s="51">
        <f t="shared" si="9"/>
        <v>5.1499638638778891E-2</v>
      </c>
      <c r="J45" s="51">
        <f t="shared" si="12"/>
        <v>1</v>
      </c>
      <c r="K45" s="52"/>
    </row>
    <row r="46" spans="1:11" x14ac:dyDescent="0.2">
      <c r="A46" s="53" t="s">
        <v>142</v>
      </c>
      <c r="B46" s="54"/>
      <c r="C46" s="55"/>
      <c r="D46" s="55">
        <f>SUM(D18,D24,D25,D27,D32,D39,D40)</f>
        <v>167.21512498731744</v>
      </c>
      <c r="E46" s="55"/>
      <c r="F46" s="55"/>
      <c r="G46" s="55">
        <f>SUM(G18,G24,G25,G27,G32,G39,G40)</f>
        <v>175.58493999999999</v>
      </c>
      <c r="H46" s="55">
        <f>G46-D46</f>
        <v>8.369815012682551</v>
      </c>
      <c r="I46" s="56">
        <f t="shared" si="9"/>
        <v>5.0054174305807358E-2</v>
      </c>
      <c r="J46" s="56"/>
      <c r="K46" s="57">
        <f>G46/$G$50</f>
        <v>0.95238095238095244</v>
      </c>
    </row>
    <row r="47" spans="1:11" x14ac:dyDescent="0.2">
      <c r="A47" s="150" t="s">
        <v>138</v>
      </c>
      <c r="B47" s="59"/>
      <c r="C47" s="31">
        <v>0.13</v>
      </c>
      <c r="D47" s="31">
        <f>D46*C47</f>
        <v>21.737966248351267</v>
      </c>
      <c r="E47" s="31"/>
      <c r="F47" s="31">
        <f>C47</f>
        <v>0.13</v>
      </c>
      <c r="G47" s="31">
        <f>G46*F47</f>
        <v>22.8260422</v>
      </c>
      <c r="H47" s="31">
        <f>G47-D47</f>
        <v>1.0880759516487331</v>
      </c>
      <c r="I47" s="32">
        <f t="shared" si="9"/>
        <v>5.0054174305807428E-2</v>
      </c>
      <c r="J47" s="32"/>
      <c r="K47" s="60">
        <f>G47/$G$50</f>
        <v>0.12380952380952381</v>
      </c>
    </row>
    <row r="48" spans="1:11" x14ac:dyDescent="0.2">
      <c r="A48" s="140" t="s">
        <v>143</v>
      </c>
      <c r="B48" s="29"/>
      <c r="C48" s="30"/>
      <c r="D48" s="30">
        <f>SUM(D46:D47)</f>
        <v>188.95309123566869</v>
      </c>
      <c r="E48" s="30"/>
      <c r="F48" s="30"/>
      <c r="G48" s="30">
        <f>SUM(G46:G47)</f>
        <v>198.41098219999998</v>
      </c>
      <c r="H48" s="30">
        <f>G48-D48</f>
        <v>9.4578909643312841</v>
      </c>
      <c r="I48" s="33">
        <f t="shared" si="9"/>
        <v>5.0054174305807372E-2</v>
      </c>
      <c r="J48" s="33"/>
      <c r="K48" s="62">
        <f>G48/$G$50</f>
        <v>1.0761904761904761</v>
      </c>
    </row>
    <row r="49" spans="1:11" x14ac:dyDescent="0.2">
      <c r="A49" s="58" t="s">
        <v>140</v>
      </c>
      <c r="B49" s="59"/>
      <c r="C49" s="31">
        <v>-0.08</v>
      </c>
      <c r="D49" s="31">
        <f>D46*C49</f>
        <v>-13.377209998985395</v>
      </c>
      <c r="E49" s="31"/>
      <c r="F49" s="31">
        <f>C49</f>
        <v>-0.08</v>
      </c>
      <c r="G49" s="31">
        <f>G46*F49</f>
        <v>-14.0467952</v>
      </c>
      <c r="H49" s="31">
        <f>G49-D49</f>
        <v>-0.6695852010146055</v>
      </c>
      <c r="I49" s="32">
        <f t="shared" si="9"/>
        <v>-5.005417430580747E-2</v>
      </c>
      <c r="J49" s="32"/>
      <c r="K49" s="60">
        <f>G49/$G$50</f>
        <v>-7.6190476190476197E-2</v>
      </c>
    </row>
    <row r="50" spans="1:11" ht="13.5" thickBot="1" x14ac:dyDescent="0.25">
      <c r="A50" s="63" t="s">
        <v>144</v>
      </c>
      <c r="B50" s="64"/>
      <c r="C50" s="65"/>
      <c r="D50" s="65">
        <f>SUM(D48:D49)</f>
        <v>175.5758812366833</v>
      </c>
      <c r="E50" s="65"/>
      <c r="F50" s="65"/>
      <c r="G50" s="65">
        <f>SUM(G48:G49)</f>
        <v>184.36418699999999</v>
      </c>
      <c r="H50" s="65">
        <f>G50-D50</f>
        <v>8.7883057633166857</v>
      </c>
      <c r="I50" s="66">
        <f t="shared" si="9"/>
        <v>5.0054174305807407E-2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3.28515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201</v>
      </c>
      <c r="C3" s="13" t="s">
        <v>114</v>
      </c>
    </row>
    <row r="4" spans="1:11" x14ac:dyDescent="0.2">
      <c r="A4" s="15" t="s">
        <v>62</v>
      </c>
      <c r="B4" s="79">
        <f>C4</f>
        <v>2695</v>
      </c>
      <c r="C4" s="79">
        <f>'Data for Bill Impacts_HONI Avg '!C17</f>
        <v>2695</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81">
        <f>B4*B6</f>
        <v>2848.6149999999998</v>
      </c>
      <c r="C8" s="181">
        <f>C4*C6</f>
        <v>2811.1544999999996</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750</v>
      </c>
      <c r="C12" s="103">
        <v>9.0999999999999998E-2</v>
      </c>
      <c r="D12" s="104">
        <f>B12*C12</f>
        <v>68.25</v>
      </c>
      <c r="E12" s="102">
        <f>IF(B4&gt;B7,B7,B4)</f>
        <v>750</v>
      </c>
      <c r="F12" s="103">
        <f>C12</f>
        <v>9.0999999999999998E-2</v>
      </c>
      <c r="G12" s="104">
        <f>E12*F12</f>
        <v>68.25</v>
      </c>
      <c r="H12" s="104">
        <f>G12-D12</f>
        <v>0</v>
      </c>
      <c r="I12" s="105">
        <f t="shared" ref="I12:I18" si="0">IF(ISERROR(H12/ABS(D12)),"N/A",(H12/ABS(D12)))</f>
        <v>0</v>
      </c>
      <c r="J12" s="105">
        <f>G12/$G$45</f>
        <v>0.1500966962750758</v>
      </c>
      <c r="K12" s="106"/>
    </row>
    <row r="13" spans="1:11" x14ac:dyDescent="0.2">
      <c r="A13" s="107" t="s">
        <v>32</v>
      </c>
      <c r="B13" s="73">
        <f>IF(C4&gt;C7,(C4)-C7,0)</f>
        <v>1945</v>
      </c>
      <c r="C13" s="21">
        <v>0.106</v>
      </c>
      <c r="D13" s="22">
        <f>B13*C13</f>
        <v>206.17</v>
      </c>
      <c r="E13" s="73">
        <f>IF(B4&gt;B7,(B4)-B7,0)</f>
        <v>1945</v>
      </c>
      <c r="F13" s="21">
        <f>C13</f>
        <v>0.106</v>
      </c>
      <c r="G13" s="22">
        <f>E13*F13</f>
        <v>206.17</v>
      </c>
      <c r="H13" s="22">
        <f t="shared" ref="H13:H45" si="1">G13-D13</f>
        <v>0</v>
      </c>
      <c r="I13" s="23">
        <f t="shared" si="0"/>
        <v>0</v>
      </c>
      <c r="J13" s="23">
        <f>G13/$G$45</f>
        <v>0.45341297979534617</v>
      </c>
      <c r="K13" s="108"/>
    </row>
    <row r="14" spans="1:11" s="1" customFormat="1" x14ac:dyDescent="0.2">
      <c r="A14" s="46" t="s">
        <v>33</v>
      </c>
      <c r="B14" s="24"/>
      <c r="C14" s="25"/>
      <c r="D14" s="25">
        <f>SUM(D12:D13)</f>
        <v>274.41999999999996</v>
      </c>
      <c r="E14" s="76"/>
      <c r="F14" s="25"/>
      <c r="G14" s="25">
        <f>SUM(G12:G13)</f>
        <v>274.41999999999996</v>
      </c>
      <c r="H14" s="25">
        <f t="shared" si="1"/>
        <v>0</v>
      </c>
      <c r="I14" s="27">
        <f t="shared" si="0"/>
        <v>0</v>
      </c>
      <c r="J14" s="27">
        <f>G14/$G$45</f>
        <v>0.60350967607042194</v>
      </c>
      <c r="K14" s="108"/>
    </row>
    <row r="15" spans="1:11" s="1" customFormat="1" x14ac:dyDescent="0.2">
      <c r="A15" s="109" t="s">
        <v>34</v>
      </c>
      <c r="B15" s="75">
        <f>C4*0.65</f>
        <v>1751.75</v>
      </c>
      <c r="C15" s="28">
        <v>7.6999999999999999E-2</v>
      </c>
      <c r="D15" s="22">
        <f>B15*C15</f>
        <v>134.88475</v>
      </c>
      <c r="E15" s="75">
        <f>B4*0.65</f>
        <v>1751.75</v>
      </c>
      <c r="F15" s="28">
        <f t="shared" ref="F15:F17" si="2">C15</f>
        <v>7.6999999999999999E-2</v>
      </c>
      <c r="G15" s="22">
        <f>E15*F15</f>
        <v>134.88475</v>
      </c>
      <c r="H15" s="22">
        <f t="shared" si="1"/>
        <v>0</v>
      </c>
      <c r="I15" s="23">
        <f t="shared" si="0"/>
        <v>0</v>
      </c>
      <c r="J15" s="23"/>
      <c r="K15" s="108">
        <f t="shared" ref="K15:K25" si="3">G15/$G$50</f>
        <v>0.30575343254160264</v>
      </c>
    </row>
    <row r="16" spans="1:11" s="1" customFormat="1" x14ac:dyDescent="0.2">
      <c r="A16" s="109" t="s">
        <v>35</v>
      </c>
      <c r="B16" s="75">
        <f>C4*0.17</f>
        <v>458.15000000000003</v>
      </c>
      <c r="C16" s="28">
        <v>0.113</v>
      </c>
      <c r="D16" s="22">
        <f>B16*C16</f>
        <v>51.770950000000006</v>
      </c>
      <c r="E16" s="75">
        <f>B4*0.17</f>
        <v>458.15000000000003</v>
      </c>
      <c r="F16" s="28">
        <f t="shared" si="2"/>
        <v>0.113</v>
      </c>
      <c r="G16" s="22">
        <f>E16*F16</f>
        <v>51.770950000000006</v>
      </c>
      <c r="H16" s="22">
        <f t="shared" si="1"/>
        <v>0</v>
      </c>
      <c r="I16" s="23">
        <f t="shared" si="0"/>
        <v>0</v>
      </c>
      <c r="J16" s="23"/>
      <c r="K16" s="108">
        <f t="shared" si="3"/>
        <v>0.11735311566681694</v>
      </c>
    </row>
    <row r="17" spans="1:11" s="1" customFormat="1" x14ac:dyDescent="0.2">
      <c r="A17" s="109" t="s">
        <v>36</v>
      </c>
      <c r="B17" s="75">
        <f>C4*0.18</f>
        <v>485.09999999999997</v>
      </c>
      <c r="C17" s="28">
        <v>0.157</v>
      </c>
      <c r="D17" s="22">
        <f>B17*C17</f>
        <v>76.160699999999991</v>
      </c>
      <c r="E17" s="75">
        <f>B4*0.18</f>
        <v>485.09999999999997</v>
      </c>
      <c r="F17" s="28">
        <f t="shared" si="2"/>
        <v>0.157</v>
      </c>
      <c r="G17" s="22">
        <f>E17*F17</f>
        <v>76.160699999999991</v>
      </c>
      <c r="H17" s="22">
        <f t="shared" si="1"/>
        <v>0</v>
      </c>
      <c r="I17" s="23">
        <f t="shared" si="0"/>
        <v>0</v>
      </c>
      <c r="J17" s="23"/>
      <c r="K17" s="108">
        <f t="shared" si="3"/>
        <v>0.17263920087164217</v>
      </c>
    </row>
    <row r="18" spans="1:11" s="1" customFormat="1" x14ac:dyDescent="0.2">
      <c r="A18" s="61" t="s">
        <v>37</v>
      </c>
      <c r="B18" s="29"/>
      <c r="C18" s="30"/>
      <c r="D18" s="30">
        <f>SUM(D15:D17)</f>
        <v>262.81639999999999</v>
      </c>
      <c r="E18" s="77"/>
      <c r="F18" s="30"/>
      <c r="G18" s="30">
        <f>SUM(G15:G17)</f>
        <v>262.81639999999999</v>
      </c>
      <c r="H18" s="31">
        <f t="shared" si="1"/>
        <v>0</v>
      </c>
      <c r="I18" s="32">
        <f t="shared" si="0"/>
        <v>0</v>
      </c>
      <c r="J18" s="33">
        <f>G18/$G$45</f>
        <v>0.57799081856276668</v>
      </c>
      <c r="K18" s="62">
        <f t="shared" si="3"/>
        <v>0.59574574908006173</v>
      </c>
    </row>
    <row r="19" spans="1:11" x14ac:dyDescent="0.2">
      <c r="A19" s="107" t="s">
        <v>38</v>
      </c>
      <c r="B19" s="73">
        <v>1</v>
      </c>
      <c r="C19" s="121">
        <f>'Data for Bill Impacts'!G23</f>
        <v>25.19</v>
      </c>
      <c r="D19" s="22">
        <f>B19*C19</f>
        <v>25.19</v>
      </c>
      <c r="E19" s="73">
        <f t="shared" ref="E19:E23" si="4">B19</f>
        <v>1</v>
      </c>
      <c r="F19" s="78">
        <f>VLOOKUP($B$3,'Data for Bill Impacts'!$A$3:$Y$21,17,0)</f>
        <v>30.26</v>
      </c>
      <c r="G19" s="22">
        <f>E19*F19</f>
        <v>30.26</v>
      </c>
      <c r="H19" s="22">
        <f t="shared" si="1"/>
        <v>5.07</v>
      </c>
      <c r="I19" s="23">
        <f>IF(ISERROR(H19/ABS(D19)),"N/A",(H19/ABS(D19)))</f>
        <v>0.20127034537514887</v>
      </c>
      <c r="J19" s="23">
        <f>G19/$G$45</f>
        <v>6.6548366729432873E-2</v>
      </c>
      <c r="K19" s="108">
        <f t="shared" si="3"/>
        <v>6.85926234708438E-2</v>
      </c>
    </row>
    <row r="20" spans="1:11" x14ac:dyDescent="0.2">
      <c r="A20" s="107" t="s">
        <v>193</v>
      </c>
      <c r="B20" s="73">
        <v>1</v>
      </c>
      <c r="C20" s="121">
        <f>'Data for Bill Impacts'!K23</f>
        <v>-0.25</v>
      </c>
      <c r="D20" s="22">
        <f t="shared" ref="D20" si="5">B20*C20</f>
        <v>-0.25</v>
      </c>
      <c r="E20" s="73">
        <f t="shared" si="4"/>
        <v>1</v>
      </c>
      <c r="F20" s="121">
        <f>VLOOKUP($B$3,'Data for Bill Impacts'!$A$3:$Y$21,12,0)</f>
        <v>0</v>
      </c>
      <c r="G20" s="22">
        <f t="shared" ref="G20" si="6">E20*F20</f>
        <v>0</v>
      </c>
      <c r="H20" s="22">
        <f t="shared" si="1"/>
        <v>0.25</v>
      </c>
      <c r="I20" s="23">
        <f t="shared" ref="I20:I21" si="7">IF(ISERROR(H20/D20),0,(H20/D20))</f>
        <v>-1</v>
      </c>
      <c r="J20" s="23">
        <f>G20/$G$45</f>
        <v>0</v>
      </c>
      <c r="K20" s="108">
        <f t="shared" si="3"/>
        <v>0</v>
      </c>
    </row>
    <row r="21" spans="1:11" x14ac:dyDescent="0.2">
      <c r="A21" s="107" t="s">
        <v>39</v>
      </c>
      <c r="B21" s="73">
        <f>IF($C$9="kWh",$C$4,$C$5)</f>
        <v>2695</v>
      </c>
      <c r="C21" s="78">
        <f>VLOOKUP($B$3,'Data for Bill Impacts'!$A$3:$Y$21,10,0)</f>
        <v>1.4500000000000001E-2</v>
      </c>
      <c r="D21" s="22">
        <f>B21*C21</f>
        <v>39.077500000000001</v>
      </c>
      <c r="E21" s="73">
        <f>IF($B$9="kWh",$B$4,$B$5)</f>
        <v>2695</v>
      </c>
      <c r="F21" s="78">
        <f>VLOOKUP($B$3,'Data for Bill Impacts'!$A$3:$Y$21,19,0)</f>
        <v>1.7399999999999999E-2</v>
      </c>
      <c r="G21" s="22">
        <f>E21*F21</f>
        <v>46.892999999999994</v>
      </c>
      <c r="H21" s="22">
        <f t="shared" si="1"/>
        <v>7.815499999999993</v>
      </c>
      <c r="I21" s="23">
        <f t="shared" si="7"/>
        <v>0.19999999999999982</v>
      </c>
      <c r="J21" s="23">
        <f>G21/$G$45</f>
        <v>0.10312797624069053</v>
      </c>
      <c r="K21" s="108">
        <f t="shared" si="3"/>
        <v>0.10629589862585187</v>
      </c>
    </row>
    <row r="22" spans="1:11" x14ac:dyDescent="0.2">
      <c r="A22" s="107" t="s">
        <v>195</v>
      </c>
      <c r="B22" s="73">
        <f>IF($C$9="kWh",$C$4,$C$5)</f>
        <v>2695</v>
      </c>
      <c r="C22" s="125">
        <f>'Data for Bill Impacts'!L23</f>
        <v>-2.0000000000000001E-4</v>
      </c>
      <c r="D22" s="22">
        <f>B22*C22</f>
        <v>-0.53900000000000003</v>
      </c>
      <c r="E22" s="73">
        <f>IF($B$9="kWh",$B$4,$B$5)</f>
        <v>2695</v>
      </c>
      <c r="F22" s="125">
        <f>VLOOKUP($B$3,'Data for Bill Impacts'!$A$3:$Y$21,20,0)</f>
        <v>0</v>
      </c>
      <c r="G22" s="22">
        <f>E22*F22</f>
        <v>0</v>
      </c>
      <c r="H22" s="22">
        <f>G22-D22</f>
        <v>0.53900000000000003</v>
      </c>
      <c r="I22" s="23">
        <f t="shared" ref="I22:I50" si="8">IF(ISERROR(H22/ABS(D22)),"N/A",(H22/ABS(D22)))</f>
        <v>1</v>
      </c>
      <c r="J22" s="23">
        <f>G22/$G$45</f>
        <v>0</v>
      </c>
      <c r="K22" s="108">
        <f t="shared" si="3"/>
        <v>0</v>
      </c>
    </row>
    <row r="23" spans="1:11" hidden="1" x14ac:dyDescent="0.2">
      <c r="A23" s="107" t="s">
        <v>199</v>
      </c>
      <c r="B23" s="73">
        <f>IF($B$9="kWh",$B$4,$B$5)</f>
        <v>2695</v>
      </c>
      <c r="C23" s="125">
        <f>VLOOKUP($B$3,'Data for Bill Impacts'!$A$3:$Y$21,14,0)</f>
        <v>0</v>
      </c>
      <c r="D23" s="22">
        <f>B23*C23</f>
        <v>0</v>
      </c>
      <c r="E23" s="73">
        <f t="shared" si="4"/>
        <v>2695</v>
      </c>
      <c r="F23" s="125">
        <f>VLOOKUP($B$3,'Data for Bill Impacts'!$A$3:$Y$21,23,0)</f>
        <v>0</v>
      </c>
      <c r="G23" s="22">
        <f>E23*F23</f>
        <v>0</v>
      </c>
      <c r="H23" s="22">
        <f t="shared" si="1"/>
        <v>0</v>
      </c>
      <c r="I23" s="23" t="str">
        <f t="shared" si="8"/>
        <v>N/A</v>
      </c>
      <c r="J23" s="23">
        <f t="shared" ref="J23" si="9">G23/$G$45</f>
        <v>0</v>
      </c>
      <c r="K23" s="108">
        <f t="shared" si="3"/>
        <v>0</v>
      </c>
    </row>
    <row r="24" spans="1:11" s="1" customFormat="1" x14ac:dyDescent="0.2">
      <c r="A24" s="110" t="s">
        <v>72</v>
      </c>
      <c r="B24" s="74"/>
      <c r="C24" s="35"/>
      <c r="D24" s="35">
        <f>SUM(D19:D23)</f>
        <v>63.478499999999997</v>
      </c>
      <c r="E24" s="73"/>
      <c r="F24" s="35"/>
      <c r="G24" s="35">
        <f>SUM(G19:G23)</f>
        <v>77.152999999999992</v>
      </c>
      <c r="H24" s="35">
        <f t="shared" si="1"/>
        <v>13.674499999999995</v>
      </c>
      <c r="I24" s="36">
        <f t="shared" si="8"/>
        <v>0.21541939396803636</v>
      </c>
      <c r="J24" s="36">
        <f>G24/$G$45</f>
        <v>0.16967634297012341</v>
      </c>
      <c r="K24" s="111">
        <f t="shared" si="3"/>
        <v>0.17488852209669564</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1"/>
        <v>0</v>
      </c>
      <c r="I25" s="23">
        <f t="shared" si="8"/>
        <v>0</v>
      </c>
      <c r="J25" s="23">
        <f>G25/$G$45</f>
        <v>1.7373830045027089E-3</v>
      </c>
      <c r="K25" s="108">
        <f t="shared" si="3"/>
        <v>1.7907525625236813E-3</v>
      </c>
    </row>
    <row r="26" spans="1:11" s="1" customFormat="1" x14ac:dyDescent="0.2">
      <c r="A26" s="119" t="s">
        <v>75</v>
      </c>
      <c r="B26" s="120">
        <f>C8-C4</f>
        <v>116.15449999999964</v>
      </c>
      <c r="C26" s="257">
        <f>IF(B4&gt;B7,C13,C12)</f>
        <v>0.106</v>
      </c>
      <c r="D26" s="22">
        <f>B26*C26</f>
        <v>12.312376999999962</v>
      </c>
      <c r="E26" s="120">
        <f>B8-B4</f>
        <v>153.61499999999978</v>
      </c>
      <c r="F26" s="257">
        <f>C26</f>
        <v>0.106</v>
      </c>
      <c r="G26" s="22">
        <f>E26*F26</f>
        <v>16.283189999999976</v>
      </c>
      <c r="H26" s="22">
        <f t="shared" si="1"/>
        <v>3.9708130000000139</v>
      </c>
      <c r="I26" s="23">
        <f t="shared" si="8"/>
        <v>0.32250580046403926</v>
      </c>
      <c r="J26" s="23">
        <f t="shared" ref="J26:J45" si="10">G26/$G$45</f>
        <v>3.58103007153018E-2</v>
      </c>
      <c r="K26" s="108">
        <f t="shared" ref="K26:K40" si="11">G26/$G$50</f>
        <v>3.6910334453873338E-2</v>
      </c>
    </row>
    <row r="27" spans="1:11" s="1" customFormat="1" x14ac:dyDescent="0.2">
      <c r="A27" s="119" t="s">
        <v>74</v>
      </c>
      <c r="B27" s="120">
        <f>C8-C4</f>
        <v>116.15449999999964</v>
      </c>
      <c r="C27" s="257">
        <f>0.65*C15+0.17*C16+0.18*C17</f>
        <v>9.7519999999999996E-2</v>
      </c>
      <c r="D27" s="22">
        <f>B27*C27</f>
        <v>11.327386839999965</v>
      </c>
      <c r="E27" s="120">
        <f>B8-B4</f>
        <v>153.61499999999978</v>
      </c>
      <c r="F27" s="257">
        <f>C27</f>
        <v>9.7519999999999996E-2</v>
      </c>
      <c r="G27" s="22">
        <f>E27*F27</f>
        <v>14.980534799999978</v>
      </c>
      <c r="H27" s="22">
        <f t="shared" si="1"/>
        <v>3.6531479600000125</v>
      </c>
      <c r="I27" s="23">
        <f t="shared" si="8"/>
        <v>0.32250580046403921</v>
      </c>
      <c r="J27" s="23">
        <f t="shared" si="10"/>
        <v>3.2945476658077656E-2</v>
      </c>
      <c r="K27" s="108">
        <f t="shared" si="11"/>
        <v>3.395750769756347E-2</v>
      </c>
    </row>
    <row r="28" spans="1:11" s="1" customFormat="1" x14ac:dyDescent="0.2">
      <c r="A28" s="110" t="s">
        <v>78</v>
      </c>
      <c r="B28" s="74"/>
      <c r="C28" s="35"/>
      <c r="D28" s="35">
        <f>SUM(D24,D25:D26)</f>
        <v>76.580876999999958</v>
      </c>
      <c r="E28" s="73"/>
      <c r="F28" s="35"/>
      <c r="G28" s="35">
        <f>SUM(G24,G25:G26)</f>
        <v>94.226189999999974</v>
      </c>
      <c r="H28" s="35">
        <f t="shared" si="1"/>
        <v>17.645313000000016</v>
      </c>
      <c r="I28" s="36">
        <f t="shared" si="8"/>
        <v>0.23041408888540185</v>
      </c>
      <c r="J28" s="36">
        <f t="shared" si="10"/>
        <v>0.20722402668992793</v>
      </c>
      <c r="K28" s="111">
        <f t="shared" si="11"/>
        <v>0.21358960911309269</v>
      </c>
    </row>
    <row r="29" spans="1:11" s="1" customFormat="1" x14ac:dyDescent="0.2">
      <c r="A29" s="110" t="s">
        <v>77</v>
      </c>
      <c r="B29" s="74"/>
      <c r="C29" s="35"/>
      <c r="D29" s="35">
        <f>SUM(D24,D25,D27)</f>
        <v>75.595886839999963</v>
      </c>
      <c r="E29" s="73"/>
      <c r="F29" s="35"/>
      <c r="G29" s="35">
        <f>SUM(G24,G25,G27)</f>
        <v>92.92353479999997</v>
      </c>
      <c r="H29" s="35">
        <f t="shared" si="1"/>
        <v>17.327647960000007</v>
      </c>
      <c r="I29" s="36">
        <f t="shared" si="8"/>
        <v>0.2292141634196882</v>
      </c>
      <c r="J29" s="36">
        <f t="shared" si="10"/>
        <v>0.20435920263270377</v>
      </c>
      <c r="K29" s="111">
        <f t="shared" si="11"/>
        <v>0.21063678235678279</v>
      </c>
    </row>
    <row r="30" spans="1:11" x14ac:dyDescent="0.2">
      <c r="A30" s="107" t="s">
        <v>40</v>
      </c>
      <c r="B30" s="73">
        <f>C8</f>
        <v>2811.1544999999996</v>
      </c>
      <c r="C30" s="78">
        <f>VLOOKUP($B$3,'Data for Bill Impacts'!$A$3:$Y$21,15,0)</f>
        <v>6.4999999999999997E-3</v>
      </c>
      <c r="D30" s="22">
        <f>B30*C30</f>
        <v>18.272504249999997</v>
      </c>
      <c r="E30" s="73">
        <f>B8</f>
        <v>2848.6149999999998</v>
      </c>
      <c r="F30" s="78">
        <f>VLOOKUP($B$3,'Data for Bill Impacts'!$A$3:$Y$21,24,0)</f>
        <v>5.5999999999999999E-3</v>
      </c>
      <c r="G30" s="22">
        <f>E30*F30</f>
        <v>15.952243999999999</v>
      </c>
      <c r="H30" s="22">
        <f t="shared" si="1"/>
        <v>-2.3202602499999987</v>
      </c>
      <c r="I30" s="23">
        <f t="shared" si="8"/>
        <v>-0.12698096649779128</v>
      </c>
      <c r="J30" s="23">
        <f t="shared" si="10"/>
        <v>3.5082477986430771E-2</v>
      </c>
      <c r="K30" s="108">
        <f t="shared" si="11"/>
        <v>3.6160154203801288E-2</v>
      </c>
    </row>
    <row r="31" spans="1:11" x14ac:dyDescent="0.2">
      <c r="A31" s="107" t="s">
        <v>41</v>
      </c>
      <c r="B31" s="73">
        <f>C8</f>
        <v>2811.1544999999996</v>
      </c>
      <c r="C31" s="125">
        <f>VLOOKUP($B$3,'Data for Bill Impacts'!$A$3:$Y$21,16,0)</f>
        <v>5.2595081845627977E-3</v>
      </c>
      <c r="D31" s="22">
        <f>B31*C31</f>
        <v>14.785290100820538</v>
      </c>
      <c r="E31" s="73">
        <f>B8</f>
        <v>2848.6149999999998</v>
      </c>
      <c r="F31" s="78">
        <f>VLOOKUP($B$3,'Data for Bill Impacts'!$A$3:$Y$21,25,0)</f>
        <v>4.5999999999999999E-3</v>
      </c>
      <c r="G31" s="22">
        <f>E31*F31</f>
        <v>13.103628999999998</v>
      </c>
      <c r="H31" s="22">
        <f t="shared" si="1"/>
        <v>-1.6816611008205395</v>
      </c>
      <c r="I31" s="23">
        <f t="shared" si="8"/>
        <v>-0.1137387964222097</v>
      </c>
      <c r="J31" s="23">
        <f t="shared" si="10"/>
        <v>2.8817749774568132E-2</v>
      </c>
      <c r="K31" s="108">
        <f t="shared" si="11"/>
        <v>2.970298381026534E-2</v>
      </c>
    </row>
    <row r="32" spans="1:11" s="1" customFormat="1" x14ac:dyDescent="0.2">
      <c r="A32" s="110" t="s">
        <v>76</v>
      </c>
      <c r="B32" s="74"/>
      <c r="C32" s="35"/>
      <c r="D32" s="35">
        <f>SUM(D30:D31)</f>
        <v>33.057794350820537</v>
      </c>
      <c r="E32" s="73"/>
      <c r="F32" s="35"/>
      <c r="G32" s="35">
        <f>SUM(G30:G31)</f>
        <v>29.055872999999998</v>
      </c>
      <c r="H32" s="35">
        <f t="shared" si="1"/>
        <v>-4.0019213508205382</v>
      </c>
      <c r="I32" s="36">
        <f t="shared" si="8"/>
        <v>-0.12105832919010839</v>
      </c>
      <c r="J32" s="36">
        <f t="shared" si="10"/>
        <v>6.3900227760998907E-2</v>
      </c>
      <c r="K32" s="111">
        <f t="shared" si="11"/>
        <v>6.5863138014066624E-2</v>
      </c>
    </row>
    <row r="33" spans="1:11" s="1" customFormat="1" x14ac:dyDescent="0.2">
      <c r="A33" s="110" t="s">
        <v>95</v>
      </c>
      <c r="B33" s="74"/>
      <c r="C33" s="35"/>
      <c r="D33" s="35">
        <f>D28+D32</f>
        <v>109.63867135082049</v>
      </c>
      <c r="E33" s="73"/>
      <c r="F33" s="35"/>
      <c r="G33" s="35">
        <f>G28+G32</f>
        <v>123.28206299999997</v>
      </c>
      <c r="H33" s="35">
        <f t="shared" si="1"/>
        <v>13.643391649179478</v>
      </c>
      <c r="I33" s="36">
        <f t="shared" si="8"/>
        <v>0.12443959308411827</v>
      </c>
      <c r="J33" s="36">
        <f t="shared" si="10"/>
        <v>0.2711242544509268</v>
      </c>
      <c r="K33" s="111">
        <f t="shared" si="11"/>
        <v>0.27945274712715928</v>
      </c>
    </row>
    <row r="34" spans="1:11" s="1" customFormat="1" x14ac:dyDescent="0.2">
      <c r="A34" s="110" t="s">
        <v>96</v>
      </c>
      <c r="B34" s="74"/>
      <c r="C34" s="35"/>
      <c r="D34" s="35">
        <f>D29+D32</f>
        <v>108.65368119082049</v>
      </c>
      <c r="E34" s="73"/>
      <c r="F34" s="35"/>
      <c r="G34" s="35">
        <f>G29+G32</f>
        <v>121.97940779999996</v>
      </c>
      <c r="H34" s="35">
        <f t="shared" si="1"/>
        <v>13.325726609179469</v>
      </c>
      <c r="I34" s="36">
        <f t="shared" si="8"/>
        <v>0.12264404172166493</v>
      </c>
      <c r="J34" s="36">
        <f t="shared" si="10"/>
        <v>0.26825943039370265</v>
      </c>
      <c r="K34" s="111">
        <f t="shared" si="11"/>
        <v>0.27649992037084942</v>
      </c>
    </row>
    <row r="35" spans="1:11" x14ac:dyDescent="0.2">
      <c r="A35" s="107" t="s">
        <v>42</v>
      </c>
      <c r="B35" s="73">
        <f>C8</f>
        <v>2811.1544999999996</v>
      </c>
      <c r="C35" s="34">
        <v>3.5999999999999999E-3</v>
      </c>
      <c r="D35" s="22">
        <f>B35*C35</f>
        <v>10.120156199999998</v>
      </c>
      <c r="E35" s="73">
        <f>B8</f>
        <v>2848.6149999999998</v>
      </c>
      <c r="F35" s="34">
        <v>3.5999999999999999E-3</v>
      </c>
      <c r="G35" s="22">
        <f>E35*F35</f>
        <v>10.255013999999999</v>
      </c>
      <c r="H35" s="22">
        <f t="shared" si="1"/>
        <v>0.13485780000000069</v>
      </c>
      <c r="I35" s="23">
        <f t="shared" si="8"/>
        <v>1.3325663886492258E-2</v>
      </c>
      <c r="J35" s="23">
        <f t="shared" si="10"/>
        <v>2.2553021562705496E-2</v>
      </c>
      <c r="K35" s="108">
        <f t="shared" si="11"/>
        <v>2.3245813416729398E-2</v>
      </c>
    </row>
    <row r="36" spans="1:11" x14ac:dyDescent="0.2">
      <c r="A36" s="107" t="s">
        <v>43</v>
      </c>
      <c r="B36" s="73">
        <f>C8</f>
        <v>2811.1544999999996</v>
      </c>
      <c r="C36" s="34">
        <v>2.0999999999999999E-3</v>
      </c>
      <c r="D36" s="22">
        <f>B36*C36</f>
        <v>5.9034244499999993</v>
      </c>
      <c r="E36" s="73">
        <f>B8</f>
        <v>2848.6149999999998</v>
      </c>
      <c r="F36" s="34">
        <v>2.0999999999999999E-3</v>
      </c>
      <c r="G36" s="22">
        <f>E36*F36</f>
        <v>5.9820914999999992</v>
      </c>
      <c r="H36" s="22">
        <f>G36-D36</f>
        <v>7.8667049999999961E-2</v>
      </c>
      <c r="I36" s="23">
        <f t="shared" si="8"/>
        <v>1.3325663886492181E-2</v>
      </c>
      <c r="J36" s="23">
        <f t="shared" si="10"/>
        <v>1.3155929244911537E-2</v>
      </c>
      <c r="K36" s="108">
        <f t="shared" si="11"/>
        <v>1.3560057826425482E-2</v>
      </c>
    </row>
    <row r="37" spans="1:11" x14ac:dyDescent="0.2">
      <c r="A37" s="107" t="s">
        <v>100</v>
      </c>
      <c r="B37" s="73">
        <f>C8</f>
        <v>2811.1544999999996</v>
      </c>
      <c r="C37" s="34">
        <v>0</v>
      </c>
      <c r="D37" s="22">
        <f>B37*C37</f>
        <v>0</v>
      </c>
      <c r="E37" s="73">
        <f>B8</f>
        <v>2848.6149999999998</v>
      </c>
      <c r="F37" s="34">
        <v>0</v>
      </c>
      <c r="G37" s="22">
        <f>E37*F37</f>
        <v>0</v>
      </c>
      <c r="H37" s="22">
        <f>G37-D37</f>
        <v>0</v>
      </c>
      <c r="I37" s="23" t="str">
        <f t="shared" si="8"/>
        <v>N/A</v>
      </c>
      <c r="J37" s="23">
        <f t="shared" si="10"/>
        <v>0</v>
      </c>
      <c r="K37" s="108">
        <f t="shared" si="11"/>
        <v>0</v>
      </c>
    </row>
    <row r="38" spans="1:11" x14ac:dyDescent="0.2">
      <c r="A38" s="107" t="s">
        <v>44</v>
      </c>
      <c r="B38" s="73">
        <v>1</v>
      </c>
      <c r="C38" s="22">
        <v>0.25</v>
      </c>
      <c r="D38" s="22">
        <f>B38*C38</f>
        <v>0.25</v>
      </c>
      <c r="E38" s="73">
        <v>1</v>
      </c>
      <c r="F38" s="22">
        <f>C38</f>
        <v>0.25</v>
      </c>
      <c r="G38" s="22">
        <f>E38*F38</f>
        <v>0.25</v>
      </c>
      <c r="H38" s="22">
        <f t="shared" si="1"/>
        <v>0</v>
      </c>
      <c r="I38" s="23">
        <f t="shared" si="8"/>
        <v>0</v>
      </c>
      <c r="J38" s="23">
        <f t="shared" si="10"/>
        <v>5.4980474826035091E-4</v>
      </c>
      <c r="K38" s="108">
        <f t="shared" si="11"/>
        <v>5.6669384889989911E-4</v>
      </c>
    </row>
    <row r="39" spans="1:11" s="1" customFormat="1" x14ac:dyDescent="0.2">
      <c r="A39" s="110" t="s">
        <v>45</v>
      </c>
      <c r="B39" s="74"/>
      <c r="C39" s="35"/>
      <c r="D39" s="35">
        <f>SUM(D35:D38)</f>
        <v>16.27358065</v>
      </c>
      <c r="E39" s="73"/>
      <c r="F39" s="35"/>
      <c r="G39" s="35">
        <f>SUM(G35:G38)</f>
        <v>16.487105499999998</v>
      </c>
      <c r="H39" s="35">
        <f t="shared" si="1"/>
        <v>0.21352484999999888</v>
      </c>
      <c r="I39" s="36">
        <f t="shared" si="8"/>
        <v>1.3120950735571454E-2</v>
      </c>
      <c r="J39" s="36">
        <f t="shared" si="10"/>
        <v>3.6258755555877382E-2</v>
      </c>
      <c r="K39" s="111">
        <f t="shared" si="11"/>
        <v>3.7372565092054777E-2</v>
      </c>
    </row>
    <row r="40" spans="1:11" s="1" customFormat="1" ht="13.5" thickBot="1" x14ac:dyDescent="0.25">
      <c r="A40" s="112" t="s">
        <v>46</v>
      </c>
      <c r="B40" s="113">
        <f>C4</f>
        <v>2695</v>
      </c>
      <c r="C40" s="114">
        <v>7.0000000000000001E-3</v>
      </c>
      <c r="D40" s="115">
        <f>B40*C40</f>
        <v>18.865000000000002</v>
      </c>
      <c r="E40" s="116">
        <f>B4</f>
        <v>2695</v>
      </c>
      <c r="F40" s="114">
        <f>C40</f>
        <v>7.0000000000000001E-3</v>
      </c>
      <c r="G40" s="115">
        <f>E40*F40</f>
        <v>18.865000000000002</v>
      </c>
      <c r="H40" s="115">
        <f t="shared" si="1"/>
        <v>0</v>
      </c>
      <c r="I40" s="117">
        <f t="shared" si="8"/>
        <v>0</v>
      </c>
      <c r="J40" s="117">
        <f t="shared" si="10"/>
        <v>4.1488266303726082E-2</v>
      </c>
      <c r="K40" s="118">
        <f t="shared" si="11"/>
        <v>4.2762717837986394E-2</v>
      </c>
    </row>
    <row r="41" spans="1:11" s="1" customFormat="1" x14ac:dyDescent="0.2">
      <c r="A41" s="37" t="s">
        <v>137</v>
      </c>
      <c r="B41" s="38"/>
      <c r="C41" s="39"/>
      <c r="D41" s="39">
        <f>SUM(D14,D24,D25,D26,D32,D39,D40)</f>
        <v>419.19725200082047</v>
      </c>
      <c r="E41" s="38"/>
      <c r="F41" s="39"/>
      <c r="G41" s="39">
        <f>SUM(G14,G24,G25,G26,G32,G39,G40)</f>
        <v>433.0541685</v>
      </c>
      <c r="H41" s="39">
        <f t="shared" si="1"/>
        <v>13.856916499179533</v>
      </c>
      <c r="I41" s="40">
        <f t="shared" si="8"/>
        <v>3.3055838112107688E-2</v>
      </c>
      <c r="J41" s="40">
        <f t="shared" si="10"/>
        <v>0.95238095238095233</v>
      </c>
      <c r="K41" s="41"/>
    </row>
    <row r="42" spans="1:11" x14ac:dyDescent="0.2">
      <c r="A42" s="149" t="s">
        <v>138</v>
      </c>
      <c r="B42" s="43"/>
      <c r="C42" s="26">
        <v>0.13</v>
      </c>
      <c r="D42" s="26">
        <f>D41*C42</f>
        <v>54.495642760106662</v>
      </c>
      <c r="E42" s="26"/>
      <c r="F42" s="26">
        <f>C42</f>
        <v>0.13</v>
      </c>
      <c r="G42" s="26">
        <f>G41*F42</f>
        <v>56.297041905</v>
      </c>
      <c r="H42" s="26">
        <f t="shared" si="1"/>
        <v>1.8013991448933382</v>
      </c>
      <c r="I42" s="44">
        <f t="shared" si="8"/>
        <v>3.3055838112107667E-2</v>
      </c>
      <c r="J42" s="44">
        <f t="shared" si="10"/>
        <v>0.1238095238095238</v>
      </c>
      <c r="K42" s="45"/>
    </row>
    <row r="43" spans="1:11" s="1" customFormat="1" x14ac:dyDescent="0.2">
      <c r="A43" s="46" t="s">
        <v>139</v>
      </c>
      <c r="B43" s="24"/>
      <c r="C43" s="25"/>
      <c r="D43" s="25">
        <f>SUM(D41:D42)</f>
        <v>473.69289476092712</v>
      </c>
      <c r="E43" s="25"/>
      <c r="F43" s="25"/>
      <c r="G43" s="25">
        <f>SUM(G41:G42)</f>
        <v>489.35121040500002</v>
      </c>
      <c r="H43" s="25">
        <f t="shared" si="1"/>
        <v>15.6583156440729</v>
      </c>
      <c r="I43" s="27">
        <f t="shared" si="8"/>
        <v>3.3055838112107751E-2</v>
      </c>
      <c r="J43" s="27">
        <f t="shared" si="10"/>
        <v>1.0761904761904761</v>
      </c>
      <c r="K43" s="47"/>
    </row>
    <row r="44" spans="1:11" x14ac:dyDescent="0.2">
      <c r="A44" s="42" t="s">
        <v>140</v>
      </c>
      <c r="B44" s="43"/>
      <c r="C44" s="26">
        <v>-0.08</v>
      </c>
      <c r="D44" s="26">
        <f>D41*C44</f>
        <v>-33.535780160065642</v>
      </c>
      <c r="E44" s="26"/>
      <c r="F44" s="26">
        <f>C44</f>
        <v>-0.08</v>
      </c>
      <c r="G44" s="26">
        <f>G41*F44</f>
        <v>-34.64433348</v>
      </c>
      <c r="H44" s="26">
        <f t="shared" si="1"/>
        <v>-1.1085533199343587</v>
      </c>
      <c r="I44" s="44">
        <f t="shared" si="8"/>
        <v>-3.305583811210757E-2</v>
      </c>
      <c r="J44" s="44">
        <f t="shared" si="10"/>
        <v>-7.6190476190476183E-2</v>
      </c>
      <c r="K44" s="45"/>
    </row>
    <row r="45" spans="1:11" s="1" customFormat="1" ht="13.5" thickBot="1" x14ac:dyDescent="0.25">
      <c r="A45" s="48" t="s">
        <v>141</v>
      </c>
      <c r="B45" s="49"/>
      <c r="C45" s="50"/>
      <c r="D45" s="50">
        <f>SUM(D43:D44)</f>
        <v>440.15711460086146</v>
      </c>
      <c r="E45" s="50"/>
      <c r="F45" s="50"/>
      <c r="G45" s="50">
        <f>SUM(G43:G44)</f>
        <v>454.70687692500002</v>
      </c>
      <c r="H45" s="50">
        <f t="shared" si="1"/>
        <v>14.549762324138555</v>
      </c>
      <c r="I45" s="51">
        <f t="shared" si="8"/>
        <v>3.3055838112107799E-2</v>
      </c>
      <c r="J45" s="51">
        <f t="shared" si="10"/>
        <v>1</v>
      </c>
      <c r="K45" s="52"/>
    </row>
    <row r="46" spans="1:11" x14ac:dyDescent="0.2">
      <c r="A46" s="53" t="s">
        <v>142</v>
      </c>
      <c r="B46" s="54"/>
      <c r="C46" s="55"/>
      <c r="D46" s="55">
        <f>SUM(D18,D24,D25,D27,D32,D39,D40)</f>
        <v>406.6086618408205</v>
      </c>
      <c r="E46" s="55"/>
      <c r="F46" s="55"/>
      <c r="G46" s="55">
        <f>SUM(G18,G24,G25,G27,G32,G39,G40)</f>
        <v>420.14791329999997</v>
      </c>
      <c r="H46" s="55">
        <f>G46-D46</f>
        <v>13.539251459179468</v>
      </c>
      <c r="I46" s="56">
        <f t="shared" si="8"/>
        <v>3.3297990745902568E-2</v>
      </c>
      <c r="J46" s="56"/>
      <c r="K46" s="57">
        <f>G46/$G$50</f>
        <v>0.95238095238095244</v>
      </c>
    </row>
    <row r="47" spans="1:11" x14ac:dyDescent="0.2">
      <c r="A47" s="150" t="s">
        <v>138</v>
      </c>
      <c r="B47" s="59"/>
      <c r="C47" s="31">
        <v>0.13</v>
      </c>
      <c r="D47" s="31">
        <f>D46*C47</f>
        <v>52.859126039306666</v>
      </c>
      <c r="E47" s="31"/>
      <c r="F47" s="31">
        <f>C47</f>
        <v>0.13</v>
      </c>
      <c r="G47" s="31">
        <f>G46*F47</f>
        <v>54.619228729</v>
      </c>
      <c r="H47" s="31">
        <f>G47-D47</f>
        <v>1.7601026896933334</v>
      </c>
      <c r="I47" s="32">
        <f t="shared" si="8"/>
        <v>3.3297990745902617E-2</v>
      </c>
      <c r="J47" s="32"/>
      <c r="K47" s="60">
        <f>G47/$G$50</f>
        <v>0.12380952380952381</v>
      </c>
    </row>
    <row r="48" spans="1:11" x14ac:dyDescent="0.2">
      <c r="A48" s="140" t="s">
        <v>143</v>
      </c>
      <c r="B48" s="29"/>
      <c r="C48" s="30"/>
      <c r="D48" s="30">
        <f>SUM(D46:D47)</f>
        <v>459.46778788012716</v>
      </c>
      <c r="E48" s="30"/>
      <c r="F48" s="30"/>
      <c r="G48" s="30">
        <f>SUM(G46:G47)</f>
        <v>474.76714202899996</v>
      </c>
      <c r="H48" s="30">
        <f>G48-D48</f>
        <v>15.299354148872794</v>
      </c>
      <c r="I48" s="33">
        <f t="shared" si="8"/>
        <v>3.3297990745902561E-2</v>
      </c>
      <c r="J48" s="33"/>
      <c r="K48" s="62">
        <f>G48/$G$50</f>
        <v>1.0761904761904761</v>
      </c>
    </row>
    <row r="49" spans="1:11" x14ac:dyDescent="0.2">
      <c r="A49" s="58" t="s">
        <v>140</v>
      </c>
      <c r="B49" s="59"/>
      <c r="C49" s="31">
        <v>-0.08</v>
      </c>
      <c r="D49" s="31">
        <f>D46*C49</f>
        <v>-32.52869294726564</v>
      </c>
      <c r="E49" s="31"/>
      <c r="F49" s="31">
        <f>C49</f>
        <v>-0.08</v>
      </c>
      <c r="G49" s="31">
        <f>G46*F49</f>
        <v>-33.611833063999995</v>
      </c>
      <c r="H49" s="31">
        <f>G49-D49</f>
        <v>-1.0831401167343557</v>
      </c>
      <c r="I49" s="32">
        <f t="shared" si="8"/>
        <v>-3.329799074590252E-2</v>
      </c>
      <c r="J49" s="32"/>
      <c r="K49" s="60">
        <f>G49/$G$50</f>
        <v>-7.6190476190476183E-2</v>
      </c>
    </row>
    <row r="50" spans="1:11" ht="13.5" thickBot="1" x14ac:dyDescent="0.25">
      <c r="A50" s="63" t="s">
        <v>144</v>
      </c>
      <c r="B50" s="64"/>
      <c r="C50" s="65"/>
      <c r="D50" s="65">
        <f>SUM(D48:D49)</f>
        <v>426.93909493286151</v>
      </c>
      <c r="E50" s="65"/>
      <c r="F50" s="65"/>
      <c r="G50" s="65">
        <f>SUM(G48:G49)</f>
        <v>441.15530896499996</v>
      </c>
      <c r="H50" s="65">
        <f>G50-D50</f>
        <v>14.216214032138453</v>
      </c>
      <c r="I50" s="66">
        <f t="shared" si="8"/>
        <v>3.3297990745902596E-2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pageSetUpPr fitToPage="1"/>
  </sheetPr>
  <dimension ref="A1:K67"/>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3"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201</v>
      </c>
      <c r="C3" s="13" t="s">
        <v>114</v>
      </c>
    </row>
    <row r="4" spans="1:11" x14ac:dyDescent="0.2">
      <c r="A4" s="15" t="s">
        <v>62</v>
      </c>
      <c r="B4" s="79">
        <v>2000</v>
      </c>
      <c r="C4" s="79">
        <v>2000</v>
      </c>
    </row>
    <row r="5" spans="1:11" x14ac:dyDescent="0.2">
      <c r="A5" s="15" t="s">
        <v>16</v>
      </c>
      <c r="B5" s="15">
        <v>0</v>
      </c>
      <c r="C5" s="15">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2114</v>
      </c>
      <c r="C8" s="15">
        <f>C4*C6</f>
        <v>2086.1999999999998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0.19905275387953819</v>
      </c>
      <c r="K12" s="106"/>
    </row>
    <row r="13" spans="1:11" x14ac:dyDescent="0.2">
      <c r="A13" s="107" t="s">
        <v>32</v>
      </c>
      <c r="B13" s="73">
        <f>IF(C4&gt;C7,(C4)-C7,0)</f>
        <v>1250</v>
      </c>
      <c r="C13" s="21">
        <v>0.106</v>
      </c>
      <c r="D13" s="104">
        <f>B13*C13</f>
        <v>132.5</v>
      </c>
      <c r="E13" s="73">
        <f t="shared" ref="E13" si="1">B13</f>
        <v>1250</v>
      </c>
      <c r="F13" s="21">
        <f>C13</f>
        <v>0.106</v>
      </c>
      <c r="G13" s="22">
        <f>E13*F13</f>
        <v>132.5</v>
      </c>
      <c r="H13" s="22">
        <f t="shared" ref="H13:H45" si="2">G13-D13</f>
        <v>0</v>
      </c>
      <c r="I13" s="23">
        <f t="shared" si="0"/>
        <v>0</v>
      </c>
      <c r="J13" s="23">
        <f>G13/$G$45</f>
        <v>0.38643941229360895</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G14/$G$45</f>
        <v>0.58549216617314714</v>
      </c>
      <c r="K14" s="108"/>
    </row>
    <row r="15" spans="1:11" s="1" customFormat="1" x14ac:dyDescent="0.2">
      <c r="A15" s="109" t="s">
        <v>34</v>
      </c>
      <c r="B15" s="75">
        <f>C4*0.65</f>
        <v>1300</v>
      </c>
      <c r="C15" s="28">
        <v>7.6999999999999999E-2</v>
      </c>
      <c r="D15" s="256">
        <f>B15*C15</f>
        <v>100.1</v>
      </c>
      <c r="E15" s="75">
        <f>B4*0.65</f>
        <v>1300</v>
      </c>
      <c r="F15" s="28">
        <f t="shared" ref="F15:F17" si="3">C15</f>
        <v>7.6999999999999999E-2</v>
      </c>
      <c r="G15" s="22">
        <f>E15*F15</f>
        <v>100.1</v>
      </c>
      <c r="H15" s="22">
        <f t="shared" si="2"/>
        <v>0</v>
      </c>
      <c r="I15" s="23">
        <f t="shared" si="0"/>
        <v>0</v>
      </c>
      <c r="J15" s="23"/>
      <c r="K15" s="108">
        <f t="shared" ref="K15:K25" si="4">G15/$G$50</f>
        <v>0.29803785630998869</v>
      </c>
    </row>
    <row r="16" spans="1:11" s="1" customFormat="1" x14ac:dyDescent="0.2">
      <c r="A16" s="109" t="s">
        <v>35</v>
      </c>
      <c r="B16" s="75">
        <f>C4*0.17</f>
        <v>340</v>
      </c>
      <c r="C16" s="28">
        <v>0.113</v>
      </c>
      <c r="D16" s="256">
        <f t="shared" ref="D16:D17" si="5">B16*C16</f>
        <v>38.42</v>
      </c>
      <c r="E16" s="75">
        <f>B4*0.17</f>
        <v>340</v>
      </c>
      <c r="F16" s="28">
        <f t="shared" si="3"/>
        <v>0.113</v>
      </c>
      <c r="G16" s="22">
        <f>E16*F16</f>
        <v>38.42</v>
      </c>
      <c r="H16" s="22">
        <f t="shared" si="2"/>
        <v>0</v>
      </c>
      <c r="I16" s="23">
        <f t="shared" si="0"/>
        <v>0</v>
      </c>
      <c r="J16" s="23"/>
      <c r="K16" s="108">
        <f t="shared" si="4"/>
        <v>0.11439175264165601</v>
      </c>
    </row>
    <row r="17" spans="1:11" s="1" customFormat="1" x14ac:dyDescent="0.2">
      <c r="A17" s="109" t="s">
        <v>36</v>
      </c>
      <c r="B17" s="75">
        <f>C4*0.18</f>
        <v>360</v>
      </c>
      <c r="C17" s="28">
        <v>0.157</v>
      </c>
      <c r="D17" s="256">
        <f t="shared" si="5"/>
        <v>56.52</v>
      </c>
      <c r="E17" s="75">
        <f>B4*0.18</f>
        <v>360</v>
      </c>
      <c r="F17" s="28">
        <f t="shared" si="3"/>
        <v>0.157</v>
      </c>
      <c r="G17" s="22">
        <f>E17*F17</f>
        <v>56.52</v>
      </c>
      <c r="H17" s="22">
        <f t="shared" si="2"/>
        <v>0</v>
      </c>
      <c r="I17" s="23">
        <f t="shared" si="0"/>
        <v>0</v>
      </c>
      <c r="J17" s="23"/>
      <c r="K17" s="108">
        <f t="shared" si="4"/>
        <v>0.1682827136727329</v>
      </c>
    </row>
    <row r="18" spans="1:11" s="1" customFormat="1" x14ac:dyDescent="0.2">
      <c r="A18" s="61" t="s">
        <v>37</v>
      </c>
      <c r="B18" s="29"/>
      <c r="C18" s="30"/>
      <c r="D18" s="30">
        <f>SUM(D15:D17)</f>
        <v>195.04</v>
      </c>
      <c r="E18" s="77"/>
      <c r="F18" s="30"/>
      <c r="G18" s="30">
        <f>SUM(G15:G17)</f>
        <v>195.04</v>
      </c>
      <c r="H18" s="31">
        <f t="shared" si="2"/>
        <v>0</v>
      </c>
      <c r="I18" s="32">
        <f t="shared" si="0"/>
        <v>0</v>
      </c>
      <c r="J18" s="33">
        <f>G18/$G$45</f>
        <v>0.56883881489619237</v>
      </c>
      <c r="K18" s="62">
        <f t="shared" si="4"/>
        <v>0.58071232262437755</v>
      </c>
    </row>
    <row r="19" spans="1:11" x14ac:dyDescent="0.2">
      <c r="A19" s="107" t="s">
        <v>38</v>
      </c>
      <c r="B19" s="73">
        <v>1</v>
      </c>
      <c r="C19" s="121">
        <f>'Data for Bill Impacts'!G23</f>
        <v>25.19</v>
      </c>
      <c r="D19" s="22">
        <f>B19*C19</f>
        <v>25.19</v>
      </c>
      <c r="E19" s="73">
        <v>1</v>
      </c>
      <c r="F19" s="78">
        <f>VLOOKUP($B$3,'Data for Bill Impacts'!$A$3:$Y$21,17,0)</f>
        <v>30.26</v>
      </c>
      <c r="G19" s="22">
        <f>E19*F19</f>
        <v>30.26</v>
      </c>
      <c r="H19" s="22">
        <f t="shared" si="2"/>
        <v>5.07</v>
      </c>
      <c r="I19" s="23">
        <f>IF(ISERROR(H19/ABS(D19)),"N/A",(H19/ABS(D19)))</f>
        <v>0.20127034537514887</v>
      </c>
      <c r="J19" s="23">
        <f>G19/$G$45</f>
        <v>8.8254012196261181E-2</v>
      </c>
      <c r="K19" s="108">
        <f t="shared" si="4"/>
        <v>9.0096159160242342E-2</v>
      </c>
    </row>
    <row r="20" spans="1:11" x14ac:dyDescent="0.2">
      <c r="A20" s="107" t="s">
        <v>193</v>
      </c>
      <c r="B20" s="73">
        <v>1</v>
      </c>
      <c r="C20" s="121">
        <f>'Data for Bill Impacts'!K23</f>
        <v>-0.25</v>
      </c>
      <c r="D20" s="22">
        <f t="shared" ref="D20" si="6">B20*C20</f>
        <v>-0.25</v>
      </c>
      <c r="E20" s="73">
        <v>1</v>
      </c>
      <c r="F20" s="121">
        <f>VLOOKUP($B$3,'Data for Bill Impacts'!$A$3:$Y$21,12,0)</f>
        <v>0</v>
      </c>
      <c r="G20" s="22">
        <f t="shared" ref="G20" si="7">E20*F20</f>
        <v>0</v>
      </c>
      <c r="H20" s="22">
        <f t="shared" si="2"/>
        <v>0.25</v>
      </c>
      <c r="I20" s="23">
        <f t="shared" ref="I20:I21" si="8">IF(ISERROR(H20/D20),0,(H20/D20))</f>
        <v>-1</v>
      </c>
      <c r="J20" s="23">
        <f>G20/$G$45</f>
        <v>0</v>
      </c>
      <c r="K20" s="108">
        <f t="shared" si="4"/>
        <v>0</v>
      </c>
    </row>
    <row r="21" spans="1:11" x14ac:dyDescent="0.2">
      <c r="A21" s="107" t="s">
        <v>39</v>
      </c>
      <c r="B21" s="73">
        <f>IF($C$9="kWh",$C$4,$C$5)</f>
        <v>2000</v>
      </c>
      <c r="C21" s="78">
        <f>VLOOKUP($B$3,'Data for Bill Impacts'!$A$3:$Y$21,10,0)</f>
        <v>1.4500000000000001E-2</v>
      </c>
      <c r="D21" s="22">
        <f>B21*C21</f>
        <v>29</v>
      </c>
      <c r="E21" s="73">
        <f>IF($B$9="kWh",$B$4,$B$5)</f>
        <v>2000</v>
      </c>
      <c r="F21" s="78">
        <f>VLOOKUP($B$3,'Data for Bill Impacts'!$A$3:$Y$21,19,0)</f>
        <v>1.7399999999999999E-2</v>
      </c>
      <c r="G21" s="22">
        <f>E21*F21</f>
        <v>34.799999999999997</v>
      </c>
      <c r="H21" s="22">
        <f t="shared" si="2"/>
        <v>5.7999999999999972</v>
      </c>
      <c r="I21" s="23">
        <f t="shared" si="8"/>
        <v>0.1999999999999999</v>
      </c>
      <c r="J21" s="23">
        <f>G21/$G$45</f>
        <v>0.10149503054956671</v>
      </c>
      <c r="K21" s="108">
        <f t="shared" si="4"/>
        <v>0.10361356043544062</v>
      </c>
    </row>
    <row r="22" spans="1:11" x14ac:dyDescent="0.2">
      <c r="A22" s="107" t="s">
        <v>195</v>
      </c>
      <c r="B22" s="73">
        <f>IF($C$9="kWh",$C$4,$C$5)</f>
        <v>2000</v>
      </c>
      <c r="C22" s="125">
        <f>'Data for Bill Impacts'!L23</f>
        <v>-2.0000000000000001E-4</v>
      </c>
      <c r="D22" s="22">
        <f>B22*C22</f>
        <v>-0.4</v>
      </c>
      <c r="E22" s="73">
        <f>IF($B$9="kWh",$B$4,$B$5)</f>
        <v>2000</v>
      </c>
      <c r="F22" s="125">
        <f>VLOOKUP($B$3,'Data for Bill Impacts'!$A$3:$Y$21,20,0)</f>
        <v>0</v>
      </c>
      <c r="G22" s="22">
        <f>E22*F22</f>
        <v>0</v>
      </c>
      <c r="H22" s="22">
        <f>G22-D22</f>
        <v>0.4</v>
      </c>
      <c r="I22" s="23">
        <f t="shared" ref="I22:I50" si="9">IF(ISERROR(H22/ABS(D22)),"N/A",(H22/ABS(D22)))</f>
        <v>1</v>
      </c>
      <c r="J22" s="23">
        <f>G22/$G$45</f>
        <v>0</v>
      </c>
      <c r="K22" s="108">
        <f t="shared" si="4"/>
        <v>0</v>
      </c>
    </row>
    <row r="23" spans="1:11" hidden="1" x14ac:dyDescent="0.2">
      <c r="A23" s="107" t="s">
        <v>199</v>
      </c>
      <c r="B23" s="73">
        <f>IF($B$9="kWh",$B$4,$B$5)</f>
        <v>2000</v>
      </c>
      <c r="C23" s="125">
        <v>0</v>
      </c>
      <c r="D23" s="22">
        <f>B23*C23</f>
        <v>0</v>
      </c>
      <c r="E23" s="73">
        <f t="shared" ref="E23" si="10">B23</f>
        <v>2000</v>
      </c>
      <c r="F23" s="125">
        <v>0</v>
      </c>
      <c r="G23" s="22">
        <f>E23*F23</f>
        <v>0</v>
      </c>
      <c r="H23" s="22">
        <f t="shared" si="2"/>
        <v>0</v>
      </c>
      <c r="I23" s="23" t="str">
        <f t="shared" si="9"/>
        <v>N/A</v>
      </c>
      <c r="J23" s="23">
        <f t="shared" ref="J23" si="11">G23/$G$45</f>
        <v>0</v>
      </c>
      <c r="K23" s="108">
        <f t="shared" si="4"/>
        <v>0</v>
      </c>
    </row>
    <row r="24" spans="1:11" s="1" customFormat="1" x14ac:dyDescent="0.2">
      <c r="A24" s="110" t="s">
        <v>72</v>
      </c>
      <c r="B24" s="74"/>
      <c r="C24" s="35"/>
      <c r="D24" s="35">
        <f>SUM(D19:D23)</f>
        <v>53.54</v>
      </c>
      <c r="E24" s="73"/>
      <c r="F24" s="35"/>
      <c r="G24" s="35">
        <f>SUM(G19:G23)</f>
        <v>65.06</v>
      </c>
      <c r="H24" s="35">
        <f t="shared" si="2"/>
        <v>11.520000000000003</v>
      </c>
      <c r="I24" s="36">
        <f t="shared" si="9"/>
        <v>0.21516623085543526</v>
      </c>
      <c r="J24" s="36">
        <f>G24/$G$45</f>
        <v>0.18974904274582791</v>
      </c>
      <c r="K24" s="111">
        <f t="shared" si="4"/>
        <v>0.19370971959568298</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2"/>
        <v>0</v>
      </c>
      <c r="I25" s="23">
        <f t="shared" si="9"/>
        <v>0</v>
      </c>
      <c r="J25" s="23">
        <f>G25/$G$45</f>
        <v>2.3040538544298193E-3</v>
      </c>
      <c r="K25" s="108">
        <f t="shared" si="4"/>
        <v>2.3521469179309798E-3</v>
      </c>
    </row>
    <row r="26" spans="1:11" s="1" customFormat="1" x14ac:dyDescent="0.2">
      <c r="A26" s="119" t="s">
        <v>75</v>
      </c>
      <c r="B26" s="120">
        <f>C8-C4</f>
        <v>86.199999999999818</v>
      </c>
      <c r="C26" s="257">
        <f>IF(B4&gt;B7,C13,C12)</f>
        <v>0.106</v>
      </c>
      <c r="D26" s="22">
        <f>B26*C26</f>
        <v>9.1371999999999804</v>
      </c>
      <c r="E26" s="120">
        <f>B8-B4</f>
        <v>114</v>
      </c>
      <c r="F26" s="257">
        <f>C26</f>
        <v>0.106</v>
      </c>
      <c r="G26" s="22">
        <f>E26*F26</f>
        <v>12.084</v>
      </c>
      <c r="H26" s="22">
        <f t="shared" si="2"/>
        <v>2.9468000000000192</v>
      </c>
      <c r="I26" s="23">
        <f t="shared" si="9"/>
        <v>0.32250580046403993</v>
      </c>
      <c r="J26" s="23">
        <f t="shared" ref="J26:J45" si="12">G26/$G$45</f>
        <v>3.5243274401177131E-2</v>
      </c>
      <c r="K26" s="108">
        <f t="shared" ref="K26:K40" si="13">G26/$G$50</f>
        <v>3.5978915640858172E-2</v>
      </c>
    </row>
    <row r="27" spans="1:11" s="1" customFormat="1" x14ac:dyDescent="0.2">
      <c r="A27" s="119" t="s">
        <v>74</v>
      </c>
      <c r="B27" s="120">
        <f>C8-C4</f>
        <v>86.199999999999818</v>
      </c>
      <c r="C27" s="257">
        <f>0.65*C15+0.17*C16+0.18*C17</f>
        <v>9.7519999999999996E-2</v>
      </c>
      <c r="D27" s="22">
        <f>B27*C27</f>
        <v>8.4062239999999822</v>
      </c>
      <c r="E27" s="120">
        <f>B8-B4</f>
        <v>114</v>
      </c>
      <c r="F27" s="257">
        <f>C27</f>
        <v>9.7519999999999996E-2</v>
      </c>
      <c r="G27" s="22">
        <f>E27*F27</f>
        <v>11.117279999999999</v>
      </c>
      <c r="H27" s="22">
        <f t="shared" si="2"/>
        <v>2.711056000000017</v>
      </c>
      <c r="I27" s="23">
        <f t="shared" si="9"/>
        <v>0.32250580046403982</v>
      </c>
      <c r="J27" s="23">
        <f t="shared" si="12"/>
        <v>3.2423812449082962E-2</v>
      </c>
      <c r="K27" s="108">
        <f t="shared" si="13"/>
        <v>3.310060238958952E-2</v>
      </c>
    </row>
    <row r="28" spans="1:11" s="1" customFormat="1" x14ac:dyDescent="0.2">
      <c r="A28" s="110" t="s">
        <v>78</v>
      </c>
      <c r="B28" s="74"/>
      <c r="C28" s="35"/>
      <c r="D28" s="35">
        <f>SUM(D24,D25:D26)</f>
        <v>63.467199999999977</v>
      </c>
      <c r="E28" s="73"/>
      <c r="F28" s="35"/>
      <c r="G28" s="35">
        <f>SUM(G24,G25:G26)</f>
        <v>77.934000000000012</v>
      </c>
      <c r="H28" s="35">
        <f t="shared" si="2"/>
        <v>14.466800000000035</v>
      </c>
      <c r="I28" s="36">
        <f t="shared" si="9"/>
        <v>0.2279413618372961</v>
      </c>
      <c r="J28" s="36">
        <f t="shared" si="12"/>
        <v>0.2272963710014349</v>
      </c>
      <c r="K28" s="111">
        <f t="shared" si="13"/>
        <v>0.23204078215447216</v>
      </c>
    </row>
    <row r="29" spans="1:11" s="1" customFormat="1" x14ac:dyDescent="0.2">
      <c r="A29" s="110" t="s">
        <v>77</v>
      </c>
      <c r="B29" s="74"/>
      <c r="C29" s="35"/>
      <c r="D29" s="35">
        <f>SUM(D24,D25,D27)</f>
        <v>62.736223999999979</v>
      </c>
      <c r="E29" s="73"/>
      <c r="F29" s="35"/>
      <c r="G29" s="35">
        <f>SUM(G24,G25,G27)</f>
        <v>76.967280000000002</v>
      </c>
      <c r="H29" s="35">
        <f t="shared" si="2"/>
        <v>14.231056000000024</v>
      </c>
      <c r="I29" s="36">
        <f t="shared" si="9"/>
        <v>0.22683953691570644</v>
      </c>
      <c r="J29" s="36">
        <f t="shared" si="12"/>
        <v>0.2244769090493407</v>
      </c>
      <c r="K29" s="111">
        <f t="shared" si="13"/>
        <v>0.22916246890320346</v>
      </c>
    </row>
    <row r="30" spans="1:11" x14ac:dyDescent="0.2">
      <c r="A30" s="107" t="s">
        <v>40</v>
      </c>
      <c r="B30" s="73">
        <f>C8</f>
        <v>2086.1999999999998</v>
      </c>
      <c r="C30" s="78">
        <f>VLOOKUP($B$3,'Data for Bill Impacts'!$A$3:$Y$21,15,0)</f>
        <v>6.4999999999999997E-3</v>
      </c>
      <c r="D30" s="22">
        <f>B30*C30</f>
        <v>13.560299999999998</v>
      </c>
      <c r="E30" s="73">
        <f>B8</f>
        <v>2114</v>
      </c>
      <c r="F30" s="78">
        <f>VLOOKUP($B$3,'Data for Bill Impacts'!$A$3:$Y$21,24,0)</f>
        <v>5.5999999999999999E-3</v>
      </c>
      <c r="G30" s="22">
        <f>E30*F30</f>
        <v>11.8384</v>
      </c>
      <c r="H30" s="22">
        <f t="shared" si="2"/>
        <v>-1.721899999999998</v>
      </c>
      <c r="I30" s="23">
        <f t="shared" si="9"/>
        <v>-0.12698096649779123</v>
      </c>
      <c r="J30" s="23">
        <f t="shared" si="12"/>
        <v>3.4526976139597432E-2</v>
      </c>
      <c r="K30" s="108">
        <f t="shared" si="13"/>
        <v>3.5247665915486219E-2</v>
      </c>
    </row>
    <row r="31" spans="1:11" x14ac:dyDescent="0.2">
      <c r="A31" s="107" t="s">
        <v>41</v>
      </c>
      <c r="B31" s="73">
        <f>C8</f>
        <v>2086.1999999999998</v>
      </c>
      <c r="C31" s="125">
        <f>VLOOKUP($B$3,'Data for Bill Impacts'!$A$3:$Y$21,16,0)</f>
        <v>5.2595081845627977E-3</v>
      </c>
      <c r="D31" s="22">
        <f>B31*C31</f>
        <v>10.972385974634907</v>
      </c>
      <c r="E31" s="73">
        <f>B8</f>
        <v>2114</v>
      </c>
      <c r="F31" s="78">
        <f>VLOOKUP($B$3,'Data for Bill Impacts'!$A$3:$Y$21,25,0)</f>
        <v>4.5999999999999999E-3</v>
      </c>
      <c r="G31" s="22">
        <f>E31*F31</f>
        <v>9.7243999999999993</v>
      </c>
      <c r="H31" s="22">
        <f t="shared" si="2"/>
        <v>-1.2479859746349078</v>
      </c>
      <c r="I31" s="23">
        <f t="shared" si="9"/>
        <v>-0.11373879642220962</v>
      </c>
      <c r="J31" s="23">
        <f t="shared" si="12"/>
        <v>2.836144468609789E-2</v>
      </c>
      <c r="K31" s="108">
        <f t="shared" si="13"/>
        <v>2.8953439859149388E-2</v>
      </c>
    </row>
    <row r="32" spans="1:11" s="1" customFormat="1" x14ac:dyDescent="0.2">
      <c r="A32" s="110" t="s">
        <v>76</v>
      </c>
      <c r="B32" s="74"/>
      <c r="C32" s="35"/>
      <c r="D32" s="35">
        <f>SUM(D30:D31)</f>
        <v>24.532685974634905</v>
      </c>
      <c r="E32" s="73"/>
      <c r="F32" s="35"/>
      <c r="G32" s="35">
        <f>SUM(G30:G31)</f>
        <v>21.562799999999999</v>
      </c>
      <c r="H32" s="35">
        <f t="shared" si="2"/>
        <v>-2.9698859746349058</v>
      </c>
      <c r="I32" s="36">
        <f t="shared" si="9"/>
        <v>-0.12105832919010832</v>
      </c>
      <c r="J32" s="36">
        <f t="shared" si="12"/>
        <v>6.2888420825695318E-2</v>
      </c>
      <c r="K32" s="111">
        <f t="shared" si="13"/>
        <v>6.42011057746356E-2</v>
      </c>
    </row>
    <row r="33" spans="1:11" s="1" customFormat="1" x14ac:dyDescent="0.2">
      <c r="A33" s="110" t="s">
        <v>95</v>
      </c>
      <c r="B33" s="74"/>
      <c r="C33" s="35"/>
      <c r="D33" s="35">
        <f>D28+D32</f>
        <v>87.999885974634878</v>
      </c>
      <c r="E33" s="73"/>
      <c r="F33" s="35"/>
      <c r="G33" s="35">
        <f>G28+G32</f>
        <v>99.496800000000007</v>
      </c>
      <c r="H33" s="35">
        <f t="shared" si="2"/>
        <v>11.496914025365129</v>
      </c>
      <c r="I33" s="36">
        <f t="shared" si="9"/>
        <v>0.13064691957304359</v>
      </c>
      <c r="J33" s="36">
        <f t="shared" si="12"/>
        <v>0.2901847918271302</v>
      </c>
      <c r="K33" s="111">
        <f t="shared" si="13"/>
        <v>0.29624188792910777</v>
      </c>
    </row>
    <row r="34" spans="1:11" s="1" customFormat="1" x14ac:dyDescent="0.2">
      <c r="A34" s="110" t="s">
        <v>96</v>
      </c>
      <c r="B34" s="74"/>
      <c r="C34" s="35"/>
      <c r="D34" s="35">
        <f>D29+D32</f>
        <v>87.26890997463488</v>
      </c>
      <c r="E34" s="73"/>
      <c r="F34" s="35"/>
      <c r="G34" s="35">
        <f>G29+G32</f>
        <v>98.530079999999998</v>
      </c>
      <c r="H34" s="35">
        <f t="shared" si="2"/>
        <v>11.261170025365118</v>
      </c>
      <c r="I34" s="36">
        <f t="shared" si="9"/>
        <v>0.12903988406224198</v>
      </c>
      <c r="J34" s="36">
        <f t="shared" si="12"/>
        <v>0.28736532987503599</v>
      </c>
      <c r="K34" s="111">
        <f t="shared" si="13"/>
        <v>0.29336357467783908</v>
      </c>
    </row>
    <row r="35" spans="1:11" x14ac:dyDescent="0.2">
      <c r="A35" s="107" t="s">
        <v>42</v>
      </c>
      <c r="B35" s="73">
        <f>C8</f>
        <v>2086.1999999999998</v>
      </c>
      <c r="C35" s="34">
        <v>3.5999999999999999E-3</v>
      </c>
      <c r="D35" s="22">
        <f>B35*C35</f>
        <v>7.5103199999999992</v>
      </c>
      <c r="E35" s="73">
        <f>B8</f>
        <v>2114</v>
      </c>
      <c r="F35" s="34">
        <v>3.5999999999999999E-3</v>
      </c>
      <c r="G35" s="22">
        <f>E35*F35</f>
        <v>7.6103999999999994</v>
      </c>
      <c r="H35" s="22">
        <f t="shared" si="2"/>
        <v>0.10008000000000017</v>
      </c>
      <c r="I35" s="23">
        <f t="shared" si="9"/>
        <v>1.3325663886492211E-2</v>
      </c>
      <c r="J35" s="23">
        <f t="shared" si="12"/>
        <v>2.2195913232598348E-2</v>
      </c>
      <c r="K35" s="108">
        <f t="shared" si="13"/>
        <v>2.2659213802812564E-2</v>
      </c>
    </row>
    <row r="36" spans="1:11" x14ac:dyDescent="0.2">
      <c r="A36" s="107" t="s">
        <v>43</v>
      </c>
      <c r="B36" s="73">
        <f>C8</f>
        <v>2086.1999999999998</v>
      </c>
      <c r="C36" s="34">
        <v>2.0999999999999999E-3</v>
      </c>
      <c r="D36" s="22">
        <f>B36*C36</f>
        <v>4.3810199999999995</v>
      </c>
      <c r="E36" s="73">
        <f>B8</f>
        <v>2114</v>
      </c>
      <c r="F36" s="34">
        <v>2.0999999999999999E-3</v>
      </c>
      <c r="G36" s="22">
        <f>E36*F36</f>
        <v>4.4394</v>
      </c>
      <c r="H36" s="22">
        <f>G36-D36</f>
        <v>5.8380000000000543E-2</v>
      </c>
      <c r="I36" s="23">
        <f t="shared" si="9"/>
        <v>1.3325663886492312E-2</v>
      </c>
      <c r="J36" s="23">
        <f t="shared" si="12"/>
        <v>1.2947616052349039E-2</v>
      </c>
      <c r="K36" s="108">
        <f t="shared" si="13"/>
        <v>1.3217874718307331E-2</v>
      </c>
    </row>
    <row r="37" spans="1:11" x14ac:dyDescent="0.2">
      <c r="A37" s="107" t="s">
        <v>100</v>
      </c>
      <c r="B37" s="73">
        <f>C8</f>
        <v>2086.1999999999998</v>
      </c>
      <c r="C37" s="34">
        <v>0</v>
      </c>
      <c r="D37" s="22">
        <f>B37*C37</f>
        <v>0</v>
      </c>
      <c r="E37" s="73">
        <f>B8</f>
        <v>2114</v>
      </c>
      <c r="F37" s="34">
        <v>0</v>
      </c>
      <c r="G37" s="22">
        <f>E37*F37</f>
        <v>0</v>
      </c>
      <c r="H37" s="22">
        <f>G37-D37</f>
        <v>0</v>
      </c>
      <c r="I37" s="23" t="str">
        <f t="shared" si="9"/>
        <v>N/A</v>
      </c>
      <c r="J37" s="23">
        <f t="shared" si="12"/>
        <v>0</v>
      </c>
      <c r="K37" s="108">
        <f t="shared" si="13"/>
        <v>0</v>
      </c>
    </row>
    <row r="38" spans="1:11" x14ac:dyDescent="0.2">
      <c r="A38" s="107" t="s">
        <v>44</v>
      </c>
      <c r="B38" s="73">
        <v>1</v>
      </c>
      <c r="C38" s="22">
        <v>0.25</v>
      </c>
      <c r="D38" s="22">
        <f>B38*C38</f>
        <v>0.25</v>
      </c>
      <c r="E38" s="73">
        <v>1</v>
      </c>
      <c r="F38" s="22">
        <f>C38</f>
        <v>0.25</v>
      </c>
      <c r="G38" s="22">
        <f>E38*F38</f>
        <v>0.25</v>
      </c>
      <c r="H38" s="22">
        <f t="shared" si="2"/>
        <v>0</v>
      </c>
      <c r="I38" s="23">
        <f t="shared" si="9"/>
        <v>0</v>
      </c>
      <c r="J38" s="23">
        <f t="shared" si="12"/>
        <v>7.2913096659171501E-4</v>
      </c>
      <c r="K38" s="108">
        <f t="shared" si="13"/>
        <v>7.4435029048448723E-4</v>
      </c>
    </row>
    <row r="39" spans="1:11" s="1" customFormat="1" x14ac:dyDescent="0.2">
      <c r="A39" s="110" t="s">
        <v>45</v>
      </c>
      <c r="B39" s="74"/>
      <c r="C39" s="35"/>
      <c r="D39" s="35">
        <f>SUM(D35:D38)</f>
        <v>12.14134</v>
      </c>
      <c r="E39" s="73"/>
      <c r="F39" s="35"/>
      <c r="G39" s="35">
        <f>SUM(G35:G38)</f>
        <v>12.299799999999999</v>
      </c>
      <c r="H39" s="35">
        <f t="shared" si="2"/>
        <v>0.15845999999999982</v>
      </c>
      <c r="I39" s="36">
        <f t="shared" si="9"/>
        <v>1.30512777008139E-2</v>
      </c>
      <c r="J39" s="36">
        <f t="shared" si="12"/>
        <v>3.5872660251539103E-2</v>
      </c>
      <c r="K39" s="111">
        <f t="shared" si="13"/>
        <v>3.662143881160438E-2</v>
      </c>
    </row>
    <row r="40" spans="1:11" s="1" customFormat="1" ht="13.5" thickBot="1" x14ac:dyDescent="0.25">
      <c r="A40" s="112" t="s">
        <v>46</v>
      </c>
      <c r="B40" s="113">
        <f>C4</f>
        <v>2000</v>
      </c>
      <c r="C40" s="114">
        <v>7.0000000000000001E-3</v>
      </c>
      <c r="D40" s="115">
        <f>B40*C40</f>
        <v>14</v>
      </c>
      <c r="E40" s="116">
        <f>B4</f>
        <v>2000</v>
      </c>
      <c r="F40" s="114">
        <f>C40</f>
        <v>7.0000000000000001E-3</v>
      </c>
      <c r="G40" s="115">
        <f>E40*F40</f>
        <v>14</v>
      </c>
      <c r="H40" s="115">
        <f t="shared" si="2"/>
        <v>0</v>
      </c>
      <c r="I40" s="117">
        <f t="shared" si="9"/>
        <v>0</v>
      </c>
      <c r="J40" s="117">
        <f t="shared" si="12"/>
        <v>4.0831334129136039E-2</v>
      </c>
      <c r="K40" s="118">
        <f t="shared" si="13"/>
        <v>4.1683616267131289E-2</v>
      </c>
    </row>
    <row r="41" spans="1:11" s="1" customFormat="1" x14ac:dyDescent="0.2">
      <c r="A41" s="37" t="s">
        <v>137</v>
      </c>
      <c r="B41" s="38"/>
      <c r="C41" s="39"/>
      <c r="D41" s="39">
        <f>SUM(D14,D24,D25,D26,D32,D39,D40)</f>
        <v>314.89122597463489</v>
      </c>
      <c r="E41" s="38"/>
      <c r="F41" s="39"/>
      <c r="G41" s="39">
        <f>SUM(G14,G24,G25,G26,G32,G39,G40)</f>
        <v>326.54660000000001</v>
      </c>
      <c r="H41" s="39">
        <f t="shared" si="2"/>
        <v>11.65537402536512</v>
      </c>
      <c r="I41" s="40">
        <f t="shared" si="9"/>
        <v>3.7013968837302513E-2</v>
      </c>
      <c r="J41" s="40">
        <f t="shared" si="12"/>
        <v>0.95238095238095244</v>
      </c>
      <c r="K41" s="41"/>
    </row>
    <row r="42" spans="1:11" x14ac:dyDescent="0.2">
      <c r="A42" s="149" t="s">
        <v>138</v>
      </c>
      <c r="B42" s="43"/>
      <c r="C42" s="26">
        <v>0.13</v>
      </c>
      <c r="D42" s="26">
        <f>D41*C42</f>
        <v>40.935859376702538</v>
      </c>
      <c r="E42" s="26"/>
      <c r="F42" s="26">
        <f>C42</f>
        <v>0.13</v>
      </c>
      <c r="G42" s="26">
        <f>G41*F42</f>
        <v>42.451058000000003</v>
      </c>
      <c r="H42" s="26">
        <f t="shared" si="2"/>
        <v>1.515198623297465</v>
      </c>
      <c r="I42" s="44">
        <f t="shared" si="9"/>
        <v>3.7013968837302499E-2</v>
      </c>
      <c r="J42" s="44">
        <f t="shared" si="12"/>
        <v>0.12380952380952383</v>
      </c>
      <c r="K42" s="45"/>
    </row>
    <row r="43" spans="1:11" s="1" customFormat="1" x14ac:dyDescent="0.2">
      <c r="A43" s="46" t="s">
        <v>139</v>
      </c>
      <c r="B43" s="24"/>
      <c r="C43" s="25"/>
      <c r="D43" s="25">
        <f>SUM(D41:D42)</f>
        <v>355.82708535133742</v>
      </c>
      <c r="E43" s="25"/>
      <c r="F43" s="25"/>
      <c r="G43" s="25">
        <f>SUM(G41:G42)</f>
        <v>368.997658</v>
      </c>
      <c r="H43" s="25">
        <f t="shared" si="2"/>
        <v>13.170572648662585</v>
      </c>
      <c r="I43" s="27">
        <f t="shared" si="9"/>
        <v>3.7013968837302513E-2</v>
      </c>
      <c r="J43" s="27">
        <f t="shared" si="12"/>
        <v>1.0761904761904764</v>
      </c>
      <c r="K43" s="47"/>
    </row>
    <row r="44" spans="1:11" x14ac:dyDescent="0.2">
      <c r="A44" s="42" t="s">
        <v>140</v>
      </c>
      <c r="B44" s="43"/>
      <c r="C44" s="26">
        <v>-0.08</v>
      </c>
      <c r="D44" s="26">
        <f>D41*C44</f>
        <v>-25.191298077970792</v>
      </c>
      <c r="E44" s="26"/>
      <c r="F44" s="26">
        <f>C44</f>
        <v>-0.08</v>
      </c>
      <c r="G44" s="26">
        <f>G41*F44</f>
        <v>-26.123728</v>
      </c>
      <c r="H44" s="26">
        <f t="shared" si="2"/>
        <v>-0.9324299220292076</v>
      </c>
      <c r="I44" s="44">
        <f t="shared" si="9"/>
        <v>-3.7013968837302437E-2</v>
      </c>
      <c r="J44" s="44">
        <f t="shared" si="12"/>
        <v>-7.6190476190476197E-2</v>
      </c>
      <c r="K44" s="45"/>
    </row>
    <row r="45" spans="1:11" s="1" customFormat="1" ht="13.5" thickBot="1" x14ac:dyDescent="0.25">
      <c r="A45" s="48" t="s">
        <v>141</v>
      </c>
      <c r="B45" s="49"/>
      <c r="C45" s="50"/>
      <c r="D45" s="50">
        <f>SUM(D43:D44)</f>
        <v>330.63578727336665</v>
      </c>
      <c r="E45" s="50"/>
      <c r="F45" s="50"/>
      <c r="G45" s="50">
        <f>SUM(G43:G44)</f>
        <v>342.87392999999997</v>
      </c>
      <c r="H45" s="50">
        <f t="shared" si="2"/>
        <v>12.238142726633328</v>
      </c>
      <c r="I45" s="51">
        <f t="shared" si="9"/>
        <v>3.7013968837302368E-2</v>
      </c>
      <c r="J45" s="51">
        <f t="shared" si="12"/>
        <v>1</v>
      </c>
      <c r="K45" s="52"/>
    </row>
    <row r="46" spans="1:11" x14ac:dyDescent="0.2">
      <c r="A46" s="53" t="s">
        <v>142</v>
      </c>
      <c r="B46" s="54"/>
      <c r="C46" s="55"/>
      <c r="D46" s="55">
        <f>SUM(D18,D24,D25,D27,D32,D39,D40)</f>
        <v>308.45024997463486</v>
      </c>
      <c r="E46" s="55"/>
      <c r="F46" s="55"/>
      <c r="G46" s="55">
        <f>SUM(G18,G24,G25,G27,G32,G39,G40)</f>
        <v>319.86988000000002</v>
      </c>
      <c r="H46" s="55">
        <f>G46-D46</f>
        <v>11.419630025365166</v>
      </c>
      <c r="I46" s="56">
        <f t="shared" si="9"/>
        <v>3.7022599353718301E-2</v>
      </c>
      <c r="J46" s="56"/>
      <c r="K46" s="57">
        <f>G46/$G$50</f>
        <v>0.95238095238095244</v>
      </c>
    </row>
    <row r="47" spans="1:11" x14ac:dyDescent="0.2">
      <c r="A47" s="150" t="s">
        <v>138</v>
      </c>
      <c r="B47" s="59"/>
      <c r="C47" s="31">
        <v>0.13</v>
      </c>
      <c r="D47" s="31">
        <f>D46*C47</f>
        <v>40.098532496702532</v>
      </c>
      <c r="E47" s="31"/>
      <c r="F47" s="31">
        <f>C47</f>
        <v>0.13</v>
      </c>
      <c r="G47" s="31">
        <f>G46*F47</f>
        <v>41.583084400000004</v>
      </c>
      <c r="H47" s="31">
        <f>G47-D47</f>
        <v>1.4845519032974721</v>
      </c>
      <c r="I47" s="32">
        <f t="shared" si="9"/>
        <v>3.7022599353718315E-2</v>
      </c>
      <c r="J47" s="32"/>
      <c r="K47" s="60">
        <f>G47/$G$50</f>
        <v>0.12380952380952381</v>
      </c>
    </row>
    <row r="48" spans="1:11" x14ac:dyDescent="0.2">
      <c r="A48" s="140" t="s">
        <v>143</v>
      </c>
      <c r="B48" s="29"/>
      <c r="C48" s="30"/>
      <c r="D48" s="30">
        <f>SUM(D46:D47)</f>
        <v>348.5487824713374</v>
      </c>
      <c r="E48" s="30"/>
      <c r="F48" s="30"/>
      <c r="G48" s="30">
        <f>SUM(G46:G47)</f>
        <v>361.45296440000004</v>
      </c>
      <c r="H48" s="30">
        <f>G48-D48</f>
        <v>12.904181928662638</v>
      </c>
      <c r="I48" s="33">
        <f t="shared" si="9"/>
        <v>3.7022599353718301E-2</v>
      </c>
      <c r="J48" s="33"/>
      <c r="K48" s="62">
        <f>G48/$G$50</f>
        <v>1.0761904761904761</v>
      </c>
    </row>
    <row r="49" spans="1:11" x14ac:dyDescent="0.2">
      <c r="A49" s="58" t="s">
        <v>140</v>
      </c>
      <c r="B49" s="59"/>
      <c r="C49" s="31">
        <v>-0.08</v>
      </c>
      <c r="D49" s="31">
        <f>D46*C49</f>
        <v>-24.676019997970791</v>
      </c>
      <c r="E49" s="31"/>
      <c r="F49" s="31">
        <f>C49</f>
        <v>-0.08</v>
      </c>
      <c r="G49" s="31">
        <f>G46*F49</f>
        <v>-25.589590400000002</v>
      </c>
      <c r="H49" s="31">
        <f>G49-D49</f>
        <v>-0.91357040202921169</v>
      </c>
      <c r="I49" s="32">
        <f t="shared" si="9"/>
        <v>-3.7022599353718239E-2</v>
      </c>
      <c r="J49" s="32"/>
      <c r="K49" s="60">
        <f>G49/$G$50</f>
        <v>-7.6190476190476197E-2</v>
      </c>
    </row>
    <row r="50" spans="1:11" ht="13.5" thickBot="1" x14ac:dyDescent="0.25">
      <c r="A50" s="63" t="s">
        <v>144</v>
      </c>
      <c r="B50" s="64"/>
      <c r="C50" s="65"/>
      <c r="D50" s="65">
        <f>SUM(D48:D49)</f>
        <v>323.87276247336661</v>
      </c>
      <c r="E50" s="65"/>
      <c r="F50" s="65"/>
      <c r="G50" s="65">
        <f>SUM(G48:G49)</f>
        <v>335.86337400000002</v>
      </c>
      <c r="H50" s="65">
        <f>G50-D50</f>
        <v>11.990611526633415</v>
      </c>
      <c r="I50" s="66">
        <f t="shared" si="9"/>
        <v>3.702259935371828E-2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K67"/>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3.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201</v>
      </c>
      <c r="C3" s="13" t="s">
        <v>114</v>
      </c>
    </row>
    <row r="4" spans="1:11" x14ac:dyDescent="0.2">
      <c r="A4" s="15" t="s">
        <v>62</v>
      </c>
      <c r="B4" s="15">
        <v>15000</v>
      </c>
      <c r="C4" s="15">
        <v>15000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15855</v>
      </c>
      <c r="C8" s="181">
        <f>C4*C6</f>
        <v>15646.499999999998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9.0999999999999998E-2</v>
      </c>
      <c r="D12" s="104">
        <f>C12*B12</f>
        <v>68.25</v>
      </c>
      <c r="E12" s="102">
        <f>B12</f>
        <v>750</v>
      </c>
      <c r="F12" s="103">
        <f>C12</f>
        <v>9.0999999999999998E-2</v>
      </c>
      <c r="G12" s="104">
        <f>E12*F12</f>
        <v>68.25</v>
      </c>
      <c r="H12" s="104">
        <f>G12-D12</f>
        <v>0</v>
      </c>
      <c r="I12" s="105">
        <f t="shared" ref="I12:I18" si="0">IF(ISERROR(H12/ABS(D12)),"N/A",(H12/ABS(D12)))</f>
        <v>0</v>
      </c>
      <c r="J12" s="105">
        <f>G12/$G$45</f>
        <v>2.8032048825791384E-2</v>
      </c>
      <c r="K12" s="106"/>
    </row>
    <row r="13" spans="1:11" x14ac:dyDescent="0.2">
      <c r="A13" s="107" t="s">
        <v>32</v>
      </c>
      <c r="B13" s="73">
        <f>IF(C4&gt;C7,(C4)-C7,0)</f>
        <v>14250</v>
      </c>
      <c r="C13" s="21">
        <v>0.106</v>
      </c>
      <c r="D13" s="104">
        <f>C13*B13</f>
        <v>1510.5</v>
      </c>
      <c r="E13" s="73">
        <f t="shared" ref="E13" si="1">B13</f>
        <v>14250</v>
      </c>
      <c r="F13" s="21">
        <f>C13</f>
        <v>0.106</v>
      </c>
      <c r="G13" s="22">
        <f>E13*F13</f>
        <v>1510.5</v>
      </c>
      <c r="H13" s="22">
        <f t="shared" ref="H13:H45" si="2">G13-D13</f>
        <v>0</v>
      </c>
      <c r="I13" s="23">
        <f t="shared" si="0"/>
        <v>0</v>
      </c>
      <c r="J13" s="23">
        <f>G13/$G$45</f>
        <v>0.62040160807850375</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G14/$G$45</f>
        <v>0.64843365690429522</v>
      </c>
      <c r="K14" s="108"/>
    </row>
    <row r="15" spans="1:11" s="1" customFormat="1" x14ac:dyDescent="0.2">
      <c r="A15" s="109" t="s">
        <v>34</v>
      </c>
      <c r="B15" s="75">
        <f>C4*0.65</f>
        <v>9750</v>
      </c>
      <c r="C15" s="28">
        <v>7.6999999999999999E-2</v>
      </c>
      <c r="D15" s="256">
        <f>B15*C15</f>
        <v>750.75</v>
      </c>
      <c r="E15" s="75">
        <f>B4*0.65</f>
        <v>9750</v>
      </c>
      <c r="F15" s="28">
        <f t="shared" ref="F15:F17" si="3">C15</f>
        <v>7.6999999999999999E-2</v>
      </c>
      <c r="G15" s="22">
        <f>E15*F15</f>
        <v>750.75</v>
      </c>
      <c r="H15" s="22">
        <f t="shared" si="2"/>
        <v>0</v>
      </c>
      <c r="I15" s="23">
        <f t="shared" si="0"/>
        <v>0</v>
      </c>
      <c r="J15" s="23"/>
      <c r="K15" s="108">
        <f t="shared" ref="K15:K25" si="4">G15/$G$50</f>
        <v>0.32565514413747176</v>
      </c>
    </row>
    <row r="16" spans="1:11" s="1" customFormat="1" x14ac:dyDescent="0.2">
      <c r="A16" s="109" t="s">
        <v>35</v>
      </c>
      <c r="B16" s="75">
        <f>C4*0.17</f>
        <v>2550</v>
      </c>
      <c r="C16" s="28">
        <v>0.113</v>
      </c>
      <c r="D16" s="256">
        <f t="shared" ref="D16:D17" si="5">B16*C16</f>
        <v>288.15000000000003</v>
      </c>
      <c r="E16" s="75">
        <f>B4*0.17</f>
        <v>2550</v>
      </c>
      <c r="F16" s="28">
        <f t="shared" si="3"/>
        <v>0.113</v>
      </c>
      <c r="G16" s="22">
        <f>E16*F16</f>
        <v>288.15000000000003</v>
      </c>
      <c r="H16" s="22">
        <f t="shared" si="2"/>
        <v>0</v>
      </c>
      <c r="I16" s="23">
        <f t="shared" si="0"/>
        <v>0</v>
      </c>
      <c r="J16" s="23"/>
      <c r="K16" s="108">
        <f t="shared" si="4"/>
        <v>0.12499171466295371</v>
      </c>
    </row>
    <row r="17" spans="1:11" s="1" customFormat="1" x14ac:dyDescent="0.2">
      <c r="A17" s="109" t="s">
        <v>36</v>
      </c>
      <c r="B17" s="75">
        <f>C4*0.18</f>
        <v>2700</v>
      </c>
      <c r="C17" s="28">
        <v>0.157</v>
      </c>
      <c r="D17" s="256">
        <f t="shared" si="5"/>
        <v>423.9</v>
      </c>
      <c r="E17" s="75">
        <f>B4*0.18</f>
        <v>2700</v>
      </c>
      <c r="F17" s="28">
        <f t="shared" si="3"/>
        <v>0.157</v>
      </c>
      <c r="G17" s="22">
        <f>E17*F17</f>
        <v>423.9</v>
      </c>
      <c r="H17" s="22">
        <f t="shared" si="2"/>
        <v>0</v>
      </c>
      <c r="I17" s="23">
        <f t="shared" si="0"/>
        <v>0</v>
      </c>
      <c r="J17" s="23"/>
      <c r="K17" s="108">
        <f t="shared" si="4"/>
        <v>0.18387641105544358</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G18/$G$45</f>
        <v>0.60080997834970906</v>
      </c>
      <c r="K18" s="62">
        <f t="shared" si="4"/>
        <v>0.63452326985586915</v>
      </c>
    </row>
    <row r="19" spans="1:11" x14ac:dyDescent="0.2">
      <c r="A19" s="107" t="s">
        <v>38</v>
      </c>
      <c r="B19" s="73">
        <v>1</v>
      </c>
      <c r="C19" s="121">
        <f>'Data for Bill Impacts'!G23</f>
        <v>25.19</v>
      </c>
      <c r="D19" s="22">
        <f>B19*C19</f>
        <v>25.19</v>
      </c>
      <c r="E19" s="73">
        <v>1</v>
      </c>
      <c r="F19" s="78">
        <f>VLOOKUP($B$3,'Data for Bill Impacts'!$A$3:$Y$21,17,0)</f>
        <v>30.26</v>
      </c>
      <c r="G19" s="22">
        <f>E19*F19</f>
        <v>30.26</v>
      </c>
      <c r="H19" s="22">
        <f t="shared" si="2"/>
        <v>5.07</v>
      </c>
      <c r="I19" s="23">
        <f>IF(ISERROR(H19/ABS(D19)),"N/A",(H19/ABS(D19)))</f>
        <v>0.20127034537514887</v>
      </c>
      <c r="J19" s="23">
        <f>G19/$G$45</f>
        <v>1.242856846107615E-2</v>
      </c>
      <c r="K19" s="108">
        <f t="shared" si="4"/>
        <v>1.3125973575224638E-2</v>
      </c>
    </row>
    <row r="20" spans="1:11" x14ac:dyDescent="0.2">
      <c r="A20" s="107" t="s">
        <v>193</v>
      </c>
      <c r="B20" s="73">
        <v>1</v>
      </c>
      <c r="C20" s="121">
        <f>'Data for Bill Impacts'!K23</f>
        <v>-0.25</v>
      </c>
      <c r="D20" s="22">
        <f t="shared" ref="D20" si="6">B20*C20</f>
        <v>-0.25</v>
      </c>
      <c r="E20" s="73">
        <v>1</v>
      </c>
      <c r="F20" s="121">
        <f>VLOOKUP($B$3,'Data for Bill Impacts'!$A$3:$Y$21,12,0)</f>
        <v>0</v>
      </c>
      <c r="G20" s="22">
        <f t="shared" ref="G20" si="7">E20*F20</f>
        <v>0</v>
      </c>
      <c r="H20" s="22">
        <f t="shared" si="2"/>
        <v>0.25</v>
      </c>
      <c r="I20" s="23">
        <f t="shared" ref="I20:I21" si="8">IF(ISERROR(H20/D20),0,(H20/D20))</f>
        <v>-1</v>
      </c>
      <c r="J20" s="23">
        <f>G20/$G$45</f>
        <v>0</v>
      </c>
      <c r="K20" s="108">
        <f t="shared" si="4"/>
        <v>0</v>
      </c>
    </row>
    <row r="21" spans="1:11" x14ac:dyDescent="0.2">
      <c r="A21" s="107" t="s">
        <v>39</v>
      </c>
      <c r="B21" s="73">
        <f>IF($C$9="kWh",$C$4,$C$5)</f>
        <v>15000</v>
      </c>
      <c r="C21" s="78">
        <f>VLOOKUP($B$3,'Data for Bill Impacts'!$A$3:$Y$21,10,0)</f>
        <v>1.4500000000000001E-2</v>
      </c>
      <c r="D21" s="22">
        <f>B21*C21</f>
        <v>217.5</v>
      </c>
      <c r="E21" s="73">
        <f>IF($B$9="kWh",$B$4,$B$5)</f>
        <v>15000</v>
      </c>
      <c r="F21" s="78">
        <f>VLOOKUP($B$3,'Data for Bill Impacts'!$A$3:$Y$21,19,0)</f>
        <v>1.7399999999999999E-2</v>
      </c>
      <c r="G21" s="22">
        <f>E21*F21</f>
        <v>261</v>
      </c>
      <c r="H21" s="22">
        <f t="shared" si="2"/>
        <v>43.5</v>
      </c>
      <c r="I21" s="23">
        <f t="shared" si="8"/>
        <v>0.2</v>
      </c>
      <c r="J21" s="23">
        <f>G21/$G$45</f>
        <v>0.10719948342170771</v>
      </c>
      <c r="K21" s="108">
        <f t="shared" si="4"/>
        <v>0.11321477538445572</v>
      </c>
    </row>
    <row r="22" spans="1:11" x14ac:dyDescent="0.2">
      <c r="A22" s="107" t="s">
        <v>195</v>
      </c>
      <c r="B22" s="73">
        <f>IF($C$9="kWh",$C$4,$C$5)</f>
        <v>15000</v>
      </c>
      <c r="C22" s="125">
        <f>'Data for Bill Impacts'!L23</f>
        <v>-2.0000000000000001E-4</v>
      </c>
      <c r="D22" s="22">
        <f>B22*C22</f>
        <v>-3</v>
      </c>
      <c r="E22" s="73">
        <f>IF($B$9="kWh",$B$4,$B$5)</f>
        <v>15000</v>
      </c>
      <c r="F22" s="125">
        <f>VLOOKUP($B$3,'Data for Bill Impacts'!$A$3:$Y$21,20,0)</f>
        <v>0</v>
      </c>
      <c r="G22" s="22">
        <f>E22*F22</f>
        <v>0</v>
      </c>
      <c r="H22" s="22">
        <f>G22-D22</f>
        <v>3</v>
      </c>
      <c r="I22" s="23">
        <f t="shared" ref="I22:I50" si="9">IF(ISERROR(H22/ABS(D22)),"N/A",(H22/ABS(D22)))</f>
        <v>1</v>
      </c>
      <c r="J22" s="23">
        <f>G22/$G$45</f>
        <v>0</v>
      </c>
      <c r="K22" s="108">
        <f t="shared" si="4"/>
        <v>0</v>
      </c>
    </row>
    <row r="23" spans="1:11" hidden="1" x14ac:dyDescent="0.2">
      <c r="A23" s="107" t="s">
        <v>199</v>
      </c>
      <c r="B23" s="73">
        <f>IF($B$9="kWh",$B$4,$B$5)</f>
        <v>15000</v>
      </c>
      <c r="C23" s="125">
        <f>VLOOKUP($B$3,'Data for Bill Impacts'!$A$3:$Y$21,14,0)</f>
        <v>0</v>
      </c>
      <c r="D23" s="22">
        <f>B23*C23</f>
        <v>0</v>
      </c>
      <c r="E23" s="73">
        <f t="shared" ref="E23" si="10">B23</f>
        <v>15000</v>
      </c>
      <c r="F23" s="125">
        <f>VLOOKUP($B$3,'Data for Bill Impacts'!$A$3:$Y$21,23,0)</f>
        <v>0</v>
      </c>
      <c r="G23" s="22">
        <f>E23*F23</f>
        <v>0</v>
      </c>
      <c r="H23" s="22">
        <f t="shared" si="2"/>
        <v>0</v>
      </c>
      <c r="I23" s="23" t="str">
        <f t="shared" si="9"/>
        <v>N/A</v>
      </c>
      <c r="J23" s="23">
        <f t="shared" ref="J23" si="11">G23/$G$45</f>
        <v>0</v>
      </c>
      <c r="K23" s="108">
        <f t="shared" si="4"/>
        <v>0</v>
      </c>
    </row>
    <row r="24" spans="1:11" s="1" customFormat="1" x14ac:dyDescent="0.2">
      <c r="A24" s="110" t="s">
        <v>72</v>
      </c>
      <c r="B24" s="74"/>
      <c r="C24" s="35"/>
      <c r="D24" s="35">
        <f>SUM(D19:D23)</f>
        <v>239.44</v>
      </c>
      <c r="E24" s="73"/>
      <c r="F24" s="35"/>
      <c r="G24" s="35">
        <f>SUM(G19:G23)</f>
        <v>291.26</v>
      </c>
      <c r="H24" s="35">
        <f t="shared" si="2"/>
        <v>51.819999999999993</v>
      </c>
      <c r="I24" s="36">
        <f t="shared" si="9"/>
        <v>0.21642165051787501</v>
      </c>
      <c r="J24" s="36">
        <f>G24/$G$45</f>
        <v>0.11962805188278386</v>
      </c>
      <c r="K24" s="111">
        <f t="shared" si="4"/>
        <v>0.12634074895968037</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2"/>
        <v>0</v>
      </c>
      <c r="I25" s="23">
        <f t="shared" si="9"/>
        <v>0</v>
      </c>
      <c r="J25" s="23">
        <f>G25/$G$45</f>
        <v>3.2447353219597352E-4</v>
      </c>
      <c r="K25" s="108">
        <f t="shared" si="4"/>
        <v>3.4268073775371656E-4</v>
      </c>
    </row>
    <row r="26" spans="1:11" s="1" customFormat="1" x14ac:dyDescent="0.2">
      <c r="A26" s="119" t="s">
        <v>75</v>
      </c>
      <c r="B26" s="120">
        <f>C8-C4</f>
        <v>646.49999999999818</v>
      </c>
      <c r="C26" s="257">
        <f>IF(B4&gt;B7,C13,C12)</f>
        <v>0.106</v>
      </c>
      <c r="D26" s="22">
        <f>B26*C26</f>
        <v>68.528999999999812</v>
      </c>
      <c r="E26" s="120">
        <f>B8-B4</f>
        <v>855</v>
      </c>
      <c r="F26" s="257">
        <f>C26</f>
        <v>0.106</v>
      </c>
      <c r="G26" s="22">
        <f>E26*F26</f>
        <v>90.63</v>
      </c>
      <c r="H26" s="22">
        <f t="shared" si="2"/>
        <v>22.101000000000184</v>
      </c>
      <c r="I26" s="23">
        <f t="shared" si="9"/>
        <v>0.3225058004640407</v>
      </c>
      <c r="J26" s="23">
        <f t="shared" ref="J26:J45" si="12">G26/$G$45</f>
        <v>3.7224096484710228E-2</v>
      </c>
      <c r="K26" s="108">
        <f t="shared" ref="K26:K40" si="13">G26/$G$50</f>
        <v>3.9312854762809275E-2</v>
      </c>
    </row>
    <row r="27" spans="1:11" s="1" customFormat="1" x14ac:dyDescent="0.2">
      <c r="A27" s="119" t="s">
        <v>74</v>
      </c>
      <c r="B27" s="120">
        <f>C8-C4</f>
        <v>646.49999999999818</v>
      </c>
      <c r="C27" s="257">
        <f>0.65*C15+0.17*C16+0.18*C17</f>
        <v>9.7519999999999996E-2</v>
      </c>
      <c r="D27" s="22">
        <f>B27*C27</f>
        <v>63.046679999999817</v>
      </c>
      <c r="E27" s="120">
        <f>B8-B4</f>
        <v>855</v>
      </c>
      <c r="F27" s="257">
        <f>C27</f>
        <v>9.7519999999999996E-2</v>
      </c>
      <c r="G27" s="22">
        <f>E27*F27</f>
        <v>83.379599999999996</v>
      </c>
      <c r="H27" s="22">
        <f t="shared" si="2"/>
        <v>20.332920000000179</v>
      </c>
      <c r="I27" s="23">
        <f t="shared" si="9"/>
        <v>0.32250580046404087</v>
      </c>
      <c r="J27" s="23">
        <f t="shared" si="12"/>
        <v>3.4246168765933407E-2</v>
      </c>
      <c r="K27" s="108">
        <f t="shared" si="13"/>
        <v>3.6167826381784535E-2</v>
      </c>
    </row>
    <row r="28" spans="1:11" s="1" customFormat="1" x14ac:dyDescent="0.2">
      <c r="A28" s="110" t="s">
        <v>78</v>
      </c>
      <c r="B28" s="74"/>
      <c r="C28" s="35"/>
      <c r="D28" s="35">
        <f>SUM(D24,D25:D26)</f>
        <v>308.75899999999979</v>
      </c>
      <c r="E28" s="73"/>
      <c r="F28" s="35"/>
      <c r="G28" s="35">
        <f>SUM(G24,G25:G26)</f>
        <v>382.68</v>
      </c>
      <c r="H28" s="35">
        <f t="shared" si="2"/>
        <v>73.92100000000022</v>
      </c>
      <c r="I28" s="36">
        <f t="shared" si="9"/>
        <v>0.2394132640667973</v>
      </c>
      <c r="J28" s="36">
        <f t="shared" si="12"/>
        <v>0.15717662189969006</v>
      </c>
      <c r="K28" s="111">
        <f t="shared" si="13"/>
        <v>0.16599628446024337</v>
      </c>
    </row>
    <row r="29" spans="1:11" s="1" customFormat="1" x14ac:dyDescent="0.2">
      <c r="A29" s="110" t="s">
        <v>77</v>
      </c>
      <c r="B29" s="74"/>
      <c r="C29" s="35"/>
      <c r="D29" s="35">
        <f>SUM(D24,D25,D27)</f>
        <v>303.27667999999983</v>
      </c>
      <c r="E29" s="73"/>
      <c r="F29" s="35"/>
      <c r="G29" s="35">
        <f>SUM(G24,G25,G27)</f>
        <v>375.42959999999999</v>
      </c>
      <c r="H29" s="35">
        <f t="shared" si="2"/>
        <v>72.152920000000165</v>
      </c>
      <c r="I29" s="36">
        <f t="shared" si="9"/>
        <v>0.2379112037232807</v>
      </c>
      <c r="J29" s="36">
        <f t="shared" si="12"/>
        <v>0.15419869418091323</v>
      </c>
      <c r="K29" s="111">
        <f t="shared" si="13"/>
        <v>0.1628512560792186</v>
      </c>
    </row>
    <row r="30" spans="1:11" x14ac:dyDescent="0.2">
      <c r="A30" s="107" t="s">
        <v>40</v>
      </c>
      <c r="B30" s="73">
        <f>C8</f>
        <v>15646.499999999998</v>
      </c>
      <c r="C30" s="78">
        <f>VLOOKUP($B$3,'Data for Bill Impacts'!$A$3:$Y$21,15,0)</f>
        <v>6.4999999999999997E-3</v>
      </c>
      <c r="D30" s="22">
        <f>B30*C30</f>
        <v>101.70224999999998</v>
      </c>
      <c r="E30" s="73">
        <f>B8</f>
        <v>15855</v>
      </c>
      <c r="F30" s="78">
        <f>VLOOKUP($B$3,'Data for Bill Impacts'!$A$3:$Y$21,24,0)</f>
        <v>5.5999999999999999E-3</v>
      </c>
      <c r="G30" s="22">
        <f>E30*F30</f>
        <v>88.787999999999997</v>
      </c>
      <c r="H30" s="22">
        <f t="shared" si="2"/>
        <v>-12.914249999999981</v>
      </c>
      <c r="I30" s="23">
        <f t="shared" si="9"/>
        <v>-0.1269809664977912</v>
      </c>
      <c r="J30" s="23">
        <f t="shared" si="12"/>
        <v>3.6467539210906452E-2</v>
      </c>
      <c r="K30" s="108">
        <f t="shared" si="13"/>
        <v>3.8513844738831626E-2</v>
      </c>
    </row>
    <row r="31" spans="1:11" x14ac:dyDescent="0.2">
      <c r="A31" s="107" t="s">
        <v>41</v>
      </c>
      <c r="B31" s="73">
        <f>C8</f>
        <v>15646.499999999998</v>
      </c>
      <c r="C31" s="125">
        <f>VLOOKUP($B$3,'Data for Bill Impacts'!$A$3:$Y$21,16,0)</f>
        <v>5.2595081845627977E-3</v>
      </c>
      <c r="D31" s="22">
        <f>B31*C31</f>
        <v>82.292894809761805</v>
      </c>
      <c r="E31" s="73">
        <f>B8</f>
        <v>15855</v>
      </c>
      <c r="F31" s="78">
        <f>VLOOKUP($B$3,'Data for Bill Impacts'!$A$3:$Y$21,25,0)</f>
        <v>4.5999999999999999E-3</v>
      </c>
      <c r="G31" s="22">
        <f>E31*F31</f>
        <v>72.932999999999993</v>
      </c>
      <c r="H31" s="22">
        <f t="shared" si="2"/>
        <v>-9.359894809761812</v>
      </c>
      <c r="I31" s="23">
        <f t="shared" si="9"/>
        <v>-0.11373879642220966</v>
      </c>
      <c r="J31" s="23">
        <f t="shared" si="12"/>
        <v>2.9955478637530297E-2</v>
      </c>
      <c r="K31" s="108">
        <f t="shared" si="13"/>
        <v>3.163637246404026E-2</v>
      </c>
    </row>
    <row r="32" spans="1:11" s="1" customFormat="1" x14ac:dyDescent="0.2">
      <c r="A32" s="110" t="s">
        <v>76</v>
      </c>
      <c r="B32" s="74"/>
      <c r="C32" s="35"/>
      <c r="D32" s="35">
        <f>SUM(D30:D31)</f>
        <v>183.99514480976177</v>
      </c>
      <c r="E32" s="73"/>
      <c r="F32" s="35"/>
      <c r="G32" s="35">
        <f>SUM(G30:G31)</f>
        <v>161.721</v>
      </c>
      <c r="H32" s="35">
        <f t="shared" si="2"/>
        <v>-22.274144809761765</v>
      </c>
      <c r="I32" s="36">
        <f t="shared" si="9"/>
        <v>-0.12105832919010819</v>
      </c>
      <c r="J32" s="36">
        <f t="shared" si="12"/>
        <v>6.6423017848436752E-2</v>
      </c>
      <c r="K32" s="111">
        <f t="shared" si="13"/>
        <v>7.0150217202871887E-2</v>
      </c>
    </row>
    <row r="33" spans="1:11" s="1" customFormat="1" x14ac:dyDescent="0.2">
      <c r="A33" s="110" t="s">
        <v>95</v>
      </c>
      <c r="B33" s="74"/>
      <c r="C33" s="35"/>
      <c r="D33" s="35">
        <f>D28+D32</f>
        <v>492.75414480976156</v>
      </c>
      <c r="E33" s="73"/>
      <c r="F33" s="35"/>
      <c r="G33" s="35">
        <f>G28+G32</f>
        <v>544.40100000000007</v>
      </c>
      <c r="H33" s="35">
        <f t="shared" si="2"/>
        <v>51.646855190238512</v>
      </c>
      <c r="I33" s="36">
        <f t="shared" si="9"/>
        <v>0.10481262458010962</v>
      </c>
      <c r="J33" s="36">
        <f t="shared" si="12"/>
        <v>0.22359963974812683</v>
      </c>
      <c r="K33" s="111">
        <f t="shared" si="13"/>
        <v>0.23614650166311527</v>
      </c>
    </row>
    <row r="34" spans="1:11" s="1" customFormat="1" x14ac:dyDescent="0.2">
      <c r="A34" s="110" t="s">
        <v>96</v>
      </c>
      <c r="B34" s="74"/>
      <c r="C34" s="35"/>
      <c r="D34" s="35">
        <f>D29+D32</f>
        <v>487.2718248097616</v>
      </c>
      <c r="E34" s="73"/>
      <c r="F34" s="35"/>
      <c r="G34" s="35">
        <f>G29+G32</f>
        <v>537.15059999999994</v>
      </c>
      <c r="H34" s="35">
        <f t="shared" si="2"/>
        <v>49.878775190238343</v>
      </c>
      <c r="I34" s="36">
        <f t="shared" si="9"/>
        <v>0.10236334762370425</v>
      </c>
      <c r="J34" s="36">
        <f t="shared" si="12"/>
        <v>0.22062171202934996</v>
      </c>
      <c r="K34" s="111">
        <f t="shared" si="13"/>
        <v>0.23300147328209048</v>
      </c>
    </row>
    <row r="35" spans="1:11" x14ac:dyDescent="0.2">
      <c r="A35" s="107" t="s">
        <v>42</v>
      </c>
      <c r="B35" s="73">
        <f>C8</f>
        <v>15646.499999999998</v>
      </c>
      <c r="C35" s="34">
        <v>3.5999999999999999E-3</v>
      </c>
      <c r="D35" s="22">
        <f>B35*C35</f>
        <v>56.32739999999999</v>
      </c>
      <c r="E35" s="73">
        <f>B8</f>
        <v>15855</v>
      </c>
      <c r="F35" s="34">
        <v>3.5999999999999999E-3</v>
      </c>
      <c r="G35" s="22">
        <f>E35*F35</f>
        <v>57.077999999999996</v>
      </c>
      <c r="H35" s="22">
        <f t="shared" si="2"/>
        <v>0.75060000000000571</v>
      </c>
      <c r="I35" s="23">
        <f t="shared" si="9"/>
        <v>1.3325663886492291E-2</v>
      </c>
      <c r="J35" s="23">
        <f t="shared" si="12"/>
        <v>2.3443418064154144E-2</v>
      </c>
      <c r="K35" s="108">
        <f t="shared" si="13"/>
        <v>2.4758900189248902E-2</v>
      </c>
    </row>
    <row r="36" spans="1:11" x14ac:dyDescent="0.2">
      <c r="A36" s="107" t="s">
        <v>43</v>
      </c>
      <c r="B36" s="73">
        <f>C8</f>
        <v>15646.499999999998</v>
      </c>
      <c r="C36" s="34">
        <v>2.0999999999999999E-3</v>
      </c>
      <c r="D36" s="22">
        <f>B36*C36</f>
        <v>32.857649999999992</v>
      </c>
      <c r="E36" s="73">
        <f>B8</f>
        <v>15855</v>
      </c>
      <c r="F36" s="34">
        <v>2.0999999999999999E-3</v>
      </c>
      <c r="G36" s="22">
        <f>E36*F36</f>
        <v>33.295499999999997</v>
      </c>
      <c r="H36" s="22">
        <f>G36-D36</f>
        <v>0.43785000000000451</v>
      </c>
      <c r="I36" s="23">
        <f t="shared" si="9"/>
        <v>1.3325663886492327E-2</v>
      </c>
      <c r="J36" s="23">
        <f t="shared" si="12"/>
        <v>1.3675327204089918E-2</v>
      </c>
      <c r="K36" s="108">
        <f t="shared" si="13"/>
        <v>1.4442691777061858E-2</v>
      </c>
    </row>
    <row r="37" spans="1:11" x14ac:dyDescent="0.2">
      <c r="A37" s="107" t="s">
        <v>100</v>
      </c>
      <c r="B37" s="73">
        <f>C8</f>
        <v>15646.499999999998</v>
      </c>
      <c r="C37" s="34">
        <v>0</v>
      </c>
      <c r="D37" s="22">
        <f>B37*C37</f>
        <v>0</v>
      </c>
      <c r="E37" s="73">
        <f>B8</f>
        <v>15855</v>
      </c>
      <c r="F37" s="34">
        <v>0</v>
      </c>
      <c r="G37" s="22">
        <f>E37*F37</f>
        <v>0</v>
      </c>
      <c r="H37" s="22">
        <f>G37-D37</f>
        <v>0</v>
      </c>
      <c r="I37" s="23" t="str">
        <f t="shared" si="9"/>
        <v>N/A</v>
      </c>
      <c r="J37" s="23">
        <f t="shared" si="12"/>
        <v>0</v>
      </c>
      <c r="K37" s="108">
        <f t="shared" si="13"/>
        <v>0</v>
      </c>
    </row>
    <row r="38" spans="1:11" x14ac:dyDescent="0.2">
      <c r="A38" s="107" t="s">
        <v>44</v>
      </c>
      <c r="B38" s="73">
        <v>1</v>
      </c>
      <c r="C38" s="22">
        <v>0.25</v>
      </c>
      <c r="D38" s="22">
        <f>B38*C38</f>
        <v>0.25</v>
      </c>
      <c r="E38" s="73">
        <v>1</v>
      </c>
      <c r="F38" s="22">
        <f>C38</f>
        <v>0.25</v>
      </c>
      <c r="G38" s="22">
        <f>E38*F38</f>
        <v>0.25</v>
      </c>
      <c r="H38" s="22">
        <f t="shared" si="2"/>
        <v>0</v>
      </c>
      <c r="I38" s="23">
        <f t="shared" si="9"/>
        <v>0</v>
      </c>
      <c r="J38" s="23">
        <f t="shared" si="12"/>
        <v>1.0268149753037137E-4</v>
      </c>
      <c r="K38" s="108">
        <f t="shared" si="13"/>
        <v>1.0844327144104955E-4</v>
      </c>
    </row>
    <row r="39" spans="1:11" s="1" customFormat="1" x14ac:dyDescent="0.2">
      <c r="A39" s="110" t="s">
        <v>45</v>
      </c>
      <c r="B39" s="74"/>
      <c r="C39" s="35"/>
      <c r="D39" s="35">
        <f>SUM(D35:D38)</f>
        <v>89.43504999999999</v>
      </c>
      <c r="E39" s="73"/>
      <c r="F39" s="35"/>
      <c r="G39" s="35">
        <f>SUM(G35:G38)</f>
        <v>90.623499999999993</v>
      </c>
      <c r="H39" s="35">
        <f t="shared" si="2"/>
        <v>1.1884500000000031</v>
      </c>
      <c r="I39" s="36">
        <f t="shared" si="9"/>
        <v>1.3288414329728705E-2</v>
      </c>
      <c r="J39" s="36">
        <f t="shared" si="12"/>
        <v>3.7221426765774432E-2</v>
      </c>
      <c r="K39" s="111">
        <f t="shared" si="13"/>
        <v>3.9310035237751811E-2</v>
      </c>
    </row>
    <row r="40" spans="1:11" s="1" customFormat="1" ht="13.5" thickBot="1" x14ac:dyDescent="0.25">
      <c r="A40" s="112" t="s">
        <v>46</v>
      </c>
      <c r="B40" s="113">
        <f>C4</f>
        <v>15000</v>
      </c>
      <c r="C40" s="114">
        <v>7.0000000000000001E-3</v>
      </c>
      <c r="D40" s="115">
        <f>B40*C40</f>
        <v>105</v>
      </c>
      <c r="E40" s="116">
        <f>B4</f>
        <v>15000</v>
      </c>
      <c r="F40" s="114">
        <f>C40</f>
        <v>7.0000000000000001E-3</v>
      </c>
      <c r="G40" s="115">
        <f>E40*F40</f>
        <v>105</v>
      </c>
      <c r="H40" s="115">
        <f t="shared" si="2"/>
        <v>0</v>
      </c>
      <c r="I40" s="117">
        <f t="shared" si="9"/>
        <v>0</v>
      </c>
      <c r="J40" s="117">
        <f t="shared" si="12"/>
        <v>4.3126228962755975E-2</v>
      </c>
      <c r="K40" s="118">
        <f t="shared" si="13"/>
        <v>4.554617400524081E-2</v>
      </c>
    </row>
    <row r="41" spans="1:11" s="1" customFormat="1" x14ac:dyDescent="0.2">
      <c r="A41" s="37" t="s">
        <v>137</v>
      </c>
      <c r="B41" s="38"/>
      <c r="C41" s="39"/>
      <c r="D41" s="39">
        <f>SUM(D14,D24,D25,D26,D32,D39,D40)</f>
        <v>2265.9391948097618</v>
      </c>
      <c r="E41" s="38"/>
      <c r="F41" s="39"/>
      <c r="G41" s="39">
        <f>SUM(G14,G24,G25,G26,G32,G39,G40)</f>
        <v>2318.7745</v>
      </c>
      <c r="H41" s="39">
        <f t="shared" si="2"/>
        <v>52.835305190238159</v>
      </c>
      <c r="I41" s="40">
        <f t="shared" si="9"/>
        <v>2.3317176961879588E-2</v>
      </c>
      <c r="J41" s="40">
        <f t="shared" si="12"/>
        <v>0.95238095238095244</v>
      </c>
      <c r="K41" s="41"/>
    </row>
    <row r="42" spans="1:11" x14ac:dyDescent="0.2">
      <c r="A42" s="149" t="s">
        <v>138</v>
      </c>
      <c r="B42" s="43"/>
      <c r="C42" s="26">
        <v>0.13</v>
      </c>
      <c r="D42" s="26">
        <f>D41*C42</f>
        <v>294.57209532526906</v>
      </c>
      <c r="E42" s="26"/>
      <c r="F42" s="26">
        <f>C42</f>
        <v>0.13</v>
      </c>
      <c r="G42" s="26">
        <f>G41*F42</f>
        <v>301.44068500000003</v>
      </c>
      <c r="H42" s="26">
        <f t="shared" si="2"/>
        <v>6.8685896747309698</v>
      </c>
      <c r="I42" s="44">
        <f t="shared" si="9"/>
        <v>2.3317176961879616E-2</v>
      </c>
      <c r="J42" s="44">
        <f t="shared" si="12"/>
        <v>0.12380952380952383</v>
      </c>
      <c r="K42" s="45"/>
    </row>
    <row r="43" spans="1:11" s="1" customFormat="1" x14ac:dyDescent="0.2">
      <c r="A43" s="46" t="s">
        <v>139</v>
      </c>
      <c r="B43" s="24"/>
      <c r="C43" s="25"/>
      <c r="D43" s="25">
        <f>SUM(D41:D42)</f>
        <v>2560.5112901350308</v>
      </c>
      <c r="E43" s="25"/>
      <c r="F43" s="25"/>
      <c r="G43" s="25">
        <f>SUM(G41:G42)</f>
        <v>2620.215185</v>
      </c>
      <c r="H43" s="25">
        <f t="shared" si="2"/>
        <v>59.703894864969243</v>
      </c>
      <c r="I43" s="27">
        <f t="shared" si="9"/>
        <v>2.3317176961879637E-2</v>
      </c>
      <c r="J43" s="27">
        <f t="shared" si="12"/>
        <v>1.0761904761904761</v>
      </c>
      <c r="K43" s="47"/>
    </row>
    <row r="44" spans="1:11" x14ac:dyDescent="0.2">
      <c r="A44" s="42" t="s">
        <v>140</v>
      </c>
      <c r="B44" s="43"/>
      <c r="C44" s="26">
        <v>-0.08</v>
      </c>
      <c r="D44" s="26">
        <f>D41*C44</f>
        <v>-181.27513558478094</v>
      </c>
      <c r="E44" s="26"/>
      <c r="F44" s="26">
        <f>C44</f>
        <v>-0.08</v>
      </c>
      <c r="G44" s="26">
        <f>G41*F44</f>
        <v>-185.50196</v>
      </c>
      <c r="H44" s="26">
        <f t="shared" si="2"/>
        <v>-4.2268244152190562</v>
      </c>
      <c r="I44" s="44">
        <f t="shared" si="9"/>
        <v>-2.3317176961879606E-2</v>
      </c>
      <c r="J44" s="44">
        <f t="shared" si="12"/>
        <v>-7.6190476190476183E-2</v>
      </c>
      <c r="K44" s="45"/>
    </row>
    <row r="45" spans="1:11" s="1" customFormat="1" ht="13.5" thickBot="1" x14ac:dyDescent="0.25">
      <c r="A45" s="48" t="s">
        <v>141</v>
      </c>
      <c r="B45" s="49"/>
      <c r="C45" s="50"/>
      <c r="D45" s="50">
        <f>SUM(D43:D44)</f>
        <v>2379.2361545502499</v>
      </c>
      <c r="E45" s="50"/>
      <c r="F45" s="50"/>
      <c r="G45" s="50">
        <f>SUM(G43:G44)</f>
        <v>2434.713225</v>
      </c>
      <c r="H45" s="50">
        <f t="shared" si="2"/>
        <v>55.477070449750045</v>
      </c>
      <c r="I45" s="51">
        <f t="shared" si="9"/>
        <v>2.3317176961879578E-2</v>
      </c>
      <c r="J45" s="51">
        <f t="shared" si="12"/>
        <v>1</v>
      </c>
      <c r="K45" s="52"/>
    </row>
    <row r="46" spans="1:11" x14ac:dyDescent="0.2">
      <c r="A46" s="53" t="s">
        <v>142</v>
      </c>
      <c r="B46" s="54"/>
      <c r="C46" s="55"/>
      <c r="D46" s="55">
        <f>SUM(D18,D24,D25,D27,D32,D39,D40)</f>
        <v>2144.5068748097619</v>
      </c>
      <c r="E46" s="55"/>
      <c r="F46" s="55"/>
      <c r="G46" s="55">
        <f>SUM(G18,G24,G25,G27,G32,G39,G40)</f>
        <v>2195.5741000000003</v>
      </c>
      <c r="H46" s="55">
        <f>G46-D46</f>
        <v>51.067225190238332</v>
      </c>
      <c r="I46" s="56">
        <f t="shared" si="9"/>
        <v>2.3813038694393777E-2</v>
      </c>
      <c r="J46" s="56"/>
      <c r="K46" s="57">
        <f>G46/$G$50</f>
        <v>0.95238095238095233</v>
      </c>
    </row>
    <row r="47" spans="1:11" x14ac:dyDescent="0.2">
      <c r="A47" s="150" t="s">
        <v>138</v>
      </c>
      <c r="B47" s="59"/>
      <c r="C47" s="31">
        <v>0.13</v>
      </c>
      <c r="D47" s="31">
        <f>D46*C47</f>
        <v>278.78589372526903</v>
      </c>
      <c r="E47" s="31"/>
      <c r="F47" s="31">
        <f>C47</f>
        <v>0.13</v>
      </c>
      <c r="G47" s="31">
        <f>G46*F47</f>
        <v>285.42463300000003</v>
      </c>
      <c r="H47" s="31">
        <f>G47-D47</f>
        <v>6.6387392747309946</v>
      </c>
      <c r="I47" s="32">
        <f t="shared" si="9"/>
        <v>2.3813038694393818E-2</v>
      </c>
      <c r="J47" s="32"/>
      <c r="K47" s="60">
        <f>G47/$G$50</f>
        <v>0.1238095238095238</v>
      </c>
    </row>
    <row r="48" spans="1:11" x14ac:dyDescent="0.2">
      <c r="A48" s="140" t="s">
        <v>143</v>
      </c>
      <c r="B48" s="29"/>
      <c r="C48" s="30"/>
      <c r="D48" s="30">
        <f>SUM(D46:D47)</f>
        <v>2423.292768535031</v>
      </c>
      <c r="E48" s="30"/>
      <c r="F48" s="30"/>
      <c r="G48" s="30">
        <f>SUM(G46:G47)</f>
        <v>2480.9987330000004</v>
      </c>
      <c r="H48" s="30">
        <f>G48-D48</f>
        <v>57.705964464969384</v>
      </c>
      <c r="I48" s="33">
        <f t="shared" si="9"/>
        <v>2.3813038694393805E-2</v>
      </c>
      <c r="J48" s="33"/>
      <c r="K48" s="62">
        <f>G48/$G$50</f>
        <v>1.0761904761904761</v>
      </c>
    </row>
    <row r="49" spans="1:11" x14ac:dyDescent="0.2">
      <c r="A49" s="58" t="s">
        <v>140</v>
      </c>
      <c r="B49" s="59"/>
      <c r="C49" s="31">
        <v>-0.08</v>
      </c>
      <c r="D49" s="31">
        <f>D46*C49</f>
        <v>-171.56054998478095</v>
      </c>
      <c r="E49" s="31"/>
      <c r="F49" s="31">
        <f>C49</f>
        <v>-0.08</v>
      </c>
      <c r="G49" s="31">
        <f>G46*F49</f>
        <v>-175.64592800000003</v>
      </c>
      <c r="H49" s="31">
        <f>G49-D49</f>
        <v>-4.085378015219078</v>
      </c>
      <c r="I49" s="32">
        <f t="shared" si="9"/>
        <v>-2.3813038694393843E-2</v>
      </c>
      <c r="J49" s="32"/>
      <c r="K49" s="60">
        <f>G49/$G$50</f>
        <v>-7.6190476190476183E-2</v>
      </c>
    </row>
    <row r="50" spans="1:11" ht="13.5" thickBot="1" x14ac:dyDescent="0.25">
      <c r="A50" s="63" t="s">
        <v>144</v>
      </c>
      <c r="B50" s="64"/>
      <c r="C50" s="65"/>
      <c r="D50" s="65">
        <f>SUM(D48:D49)</f>
        <v>2251.7322185502499</v>
      </c>
      <c r="E50" s="65"/>
      <c r="F50" s="65"/>
      <c r="G50" s="65">
        <f>SUM(G48:G49)</f>
        <v>2305.3528050000004</v>
      </c>
      <c r="H50" s="65">
        <f>G50-D50</f>
        <v>53.62058644975059</v>
      </c>
      <c r="I50" s="66">
        <f t="shared" si="9"/>
        <v>2.3813038694393929E-2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J37"/>
  <sheetViews>
    <sheetView tabSelected="1" zoomScaleNormal="100" workbookViewId="0">
      <selection activeCell="N7" sqref="N7"/>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202</v>
      </c>
      <c r="C3" s="13" t="s">
        <v>115</v>
      </c>
    </row>
    <row r="4" spans="1:10" x14ac:dyDescent="0.2">
      <c r="A4" s="15" t="s">
        <v>62</v>
      </c>
      <c r="B4" s="79">
        <v>15000</v>
      </c>
      <c r="C4" s="79">
        <v>15000</v>
      </c>
    </row>
    <row r="5" spans="1:10" x14ac:dyDescent="0.2">
      <c r="A5" s="15" t="s">
        <v>16</v>
      </c>
      <c r="B5" s="79">
        <v>60</v>
      </c>
      <c r="C5" s="79">
        <v>60</v>
      </c>
    </row>
    <row r="6" spans="1:10" x14ac:dyDescent="0.2">
      <c r="A6" s="15" t="s">
        <v>20</v>
      </c>
      <c r="B6" s="80">
        <f>VLOOKUP($B$3,'Data for Bill Impacts'!$A$3:$Y$21,2,0)</f>
        <v>1.0465</v>
      </c>
      <c r="C6" s="80">
        <f>VLOOKUP($C$3,'Data for Bill Impacts'!$A$3:$Y$30,2,0)</f>
        <v>1.0430999999999999</v>
      </c>
    </row>
    <row r="7" spans="1:10" x14ac:dyDescent="0.2">
      <c r="A7" s="81" t="s">
        <v>49</v>
      </c>
      <c r="B7" s="82">
        <f>B4/(B5*730)</f>
        <v>0.34246575342465752</v>
      </c>
      <c r="C7" s="82">
        <f>C4/(C5*730)</f>
        <v>0.34246575342465752</v>
      </c>
    </row>
    <row r="8" spans="1:10" x14ac:dyDescent="0.2">
      <c r="A8" s="15" t="s">
        <v>15</v>
      </c>
      <c r="B8" s="79">
        <f>VLOOKUP($B$3,'Data for Bill Impacts'!$A$3:$Y$21,4,0)</f>
        <v>0</v>
      </c>
      <c r="C8" s="79">
        <f>VLOOKUP($C$3,'Data for Bill Impacts'!$A$3:$Y$30,4,0)</f>
        <v>0</v>
      </c>
    </row>
    <row r="9" spans="1:10" x14ac:dyDescent="0.2">
      <c r="A9" s="15" t="s">
        <v>82</v>
      </c>
      <c r="B9" s="79">
        <f>B4*B6</f>
        <v>15697.5</v>
      </c>
      <c r="C9" s="79">
        <f>C4*C6</f>
        <v>15646.499999999998</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15646.499999999998</v>
      </c>
      <c r="C13" s="103">
        <v>9.0999999999999998E-2</v>
      </c>
      <c r="D13" s="104">
        <f>B13*C13</f>
        <v>1423.8314999999998</v>
      </c>
      <c r="E13" s="102">
        <f>B9</f>
        <v>15697.5</v>
      </c>
      <c r="F13" s="103">
        <f>C13</f>
        <v>9.0999999999999998E-2</v>
      </c>
      <c r="G13" s="104">
        <f>E13*F13</f>
        <v>1428.4724999999999</v>
      </c>
      <c r="H13" s="104">
        <f>G13-D13</f>
        <v>4.6410000000000764</v>
      </c>
      <c r="I13" s="105">
        <f t="shared" ref="I13:I18" si="0">IF(ISERROR(H13/ABS(D13)),"N/A",(H13/ABS(D13)))</f>
        <v>3.2595149074873516E-3</v>
      </c>
      <c r="J13" s="123">
        <f t="shared" ref="J13:J35" si="1">G13/$G$35</f>
        <v>0.55748337932141023</v>
      </c>
    </row>
    <row r="14" spans="1:10" x14ac:dyDescent="0.2">
      <c r="A14" s="107" t="s">
        <v>32</v>
      </c>
      <c r="B14" s="73">
        <v>0</v>
      </c>
      <c r="C14" s="21">
        <v>0.106</v>
      </c>
      <c r="D14" s="22">
        <f>B14*C14</f>
        <v>0</v>
      </c>
      <c r="E14" s="73">
        <f t="shared" ref="E14" si="2">B14</f>
        <v>0</v>
      </c>
      <c r="F14" s="21">
        <f>C14</f>
        <v>0.106</v>
      </c>
      <c r="G14" s="22">
        <f>E14*F14</f>
        <v>0</v>
      </c>
      <c r="H14" s="22">
        <f t="shared" ref="H14:H35" si="3">G14-D14</f>
        <v>0</v>
      </c>
      <c r="I14" s="23" t="str">
        <f t="shared" si="0"/>
        <v>N/A</v>
      </c>
      <c r="J14" s="124">
        <f t="shared" si="1"/>
        <v>0</v>
      </c>
    </row>
    <row r="15" spans="1:10" s="1" customFormat="1" x14ac:dyDescent="0.2">
      <c r="A15" s="46" t="s">
        <v>33</v>
      </c>
      <c r="B15" s="24"/>
      <c r="C15" s="25"/>
      <c r="D15" s="25">
        <f>SUM(D13:D14)</f>
        <v>1423.8314999999998</v>
      </c>
      <c r="E15" s="76"/>
      <c r="F15" s="25"/>
      <c r="G15" s="25">
        <f>SUM(G13:G14)</f>
        <v>1428.4724999999999</v>
      </c>
      <c r="H15" s="25">
        <f t="shared" si="3"/>
        <v>4.6410000000000764</v>
      </c>
      <c r="I15" s="27">
        <f t="shared" si="0"/>
        <v>3.2595149074873516E-3</v>
      </c>
      <c r="J15" s="47">
        <f t="shared" si="1"/>
        <v>0.55748337932141023</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207.78</v>
      </c>
      <c r="G16" s="22">
        <f>E16*F16</f>
        <v>207.78</v>
      </c>
      <c r="H16" s="22">
        <f t="shared" si="3"/>
        <v>67.819999999999993</v>
      </c>
      <c r="I16" s="23">
        <f t="shared" si="0"/>
        <v>0.484567019148328</v>
      </c>
      <c r="J16" s="124">
        <f t="shared" si="1"/>
        <v>8.1089343025786381E-2</v>
      </c>
    </row>
    <row r="17" spans="1:10" x14ac:dyDescent="0.2">
      <c r="A17" s="107" t="s">
        <v>193</v>
      </c>
      <c r="B17" s="73">
        <v>1</v>
      </c>
      <c r="C17" s="121">
        <f>'Data for Bill Impacts'!K24</f>
        <v>-1.4</v>
      </c>
      <c r="D17" s="22">
        <f>B17*C17</f>
        <v>-1.4</v>
      </c>
      <c r="E17" s="73">
        <f t="shared" si="4"/>
        <v>1</v>
      </c>
      <c r="F17" s="121">
        <v>0</v>
      </c>
      <c r="G17" s="22">
        <f t="shared" ref="G17" si="5">E17*F17</f>
        <v>0</v>
      </c>
      <c r="H17" s="22">
        <f t="shared" si="3"/>
        <v>1.4</v>
      </c>
      <c r="I17" s="23">
        <f t="shared" si="0"/>
        <v>1</v>
      </c>
      <c r="J17" s="124">
        <f t="shared" si="1"/>
        <v>0</v>
      </c>
    </row>
    <row r="18" spans="1:10" x14ac:dyDescent="0.2">
      <c r="A18" s="107" t="s">
        <v>39</v>
      </c>
      <c r="B18" s="73">
        <f>IF($C$10="kWh",$C$4,$C$5)</f>
        <v>60</v>
      </c>
      <c r="C18" s="78">
        <f>VLOOKUP($B$3,'Data for Bill Impacts'!$A$3:$Y$21,10,0)</f>
        <v>2.5777000000000001</v>
      </c>
      <c r="D18" s="22">
        <f>B18*C18</f>
        <v>154.66200000000001</v>
      </c>
      <c r="E18" s="73">
        <f>IF($B$10="kWh",$B$4,$B$5)</f>
        <v>60</v>
      </c>
      <c r="F18" s="125">
        <f>VLOOKUP($B$3,'Data for Bill Impacts'!$A$3:$Y$21,19,0)</f>
        <v>3.9091999999999998</v>
      </c>
      <c r="G18" s="22">
        <f>E18*F18</f>
        <v>234.55199999999999</v>
      </c>
      <c r="H18" s="22">
        <f t="shared" si="3"/>
        <v>79.889999999999986</v>
      </c>
      <c r="I18" s="23">
        <f t="shared" si="0"/>
        <v>0.51654575784614176</v>
      </c>
      <c r="J18" s="124">
        <f t="shared" si="1"/>
        <v>9.1537528084436645E-2</v>
      </c>
    </row>
    <row r="19" spans="1:10" s="1" customFormat="1" x14ac:dyDescent="0.2">
      <c r="A19" s="107" t="s">
        <v>196</v>
      </c>
      <c r="B19" s="73">
        <f>IF($C$10="kWh",$C$4,$C$5)</f>
        <v>60</v>
      </c>
      <c r="C19" s="78">
        <f>'Data for Bill Impacts'!L24</f>
        <v>-2.58E-2</v>
      </c>
      <c r="D19" s="22">
        <f>B19*C19</f>
        <v>-1.548</v>
      </c>
      <c r="E19" s="73">
        <f>IF($B$10="kWh",$B$4,$B$5)</f>
        <v>60</v>
      </c>
      <c r="F19" s="125">
        <f>VLOOKUP($B$3,'Data for Bill Impacts'!$A$3:$Y$21,21,0)</f>
        <v>0</v>
      </c>
      <c r="G19" s="22">
        <f>E19*F19</f>
        <v>0</v>
      </c>
      <c r="H19" s="22">
        <f t="shared" si="3"/>
        <v>1.548</v>
      </c>
      <c r="I19" s="23">
        <f>IF(ISERROR(H19/ABS(D19)),"N/A",(H19/ABS(D19)))</f>
        <v>1</v>
      </c>
      <c r="J19" s="124">
        <f t="shared" si="1"/>
        <v>0</v>
      </c>
    </row>
    <row r="20" spans="1:10" x14ac:dyDescent="0.2">
      <c r="A20" s="110" t="s">
        <v>97</v>
      </c>
      <c r="B20" s="74"/>
      <c r="C20" s="35"/>
      <c r="D20" s="35">
        <f>SUM(D16:D19)</f>
        <v>291.67399999999998</v>
      </c>
      <c r="E20" s="73"/>
      <c r="F20" s="35"/>
      <c r="G20" s="35">
        <f>SUM(G16:G19)</f>
        <v>442.33199999999999</v>
      </c>
      <c r="H20" s="35">
        <f t="shared" si="3"/>
        <v>150.65800000000002</v>
      </c>
      <c r="I20" s="36">
        <f t="shared" ref="I20:I21" si="6">IF(ISERROR(H20/D20),0,(H20/D20))</f>
        <v>0.51652872727771426</v>
      </c>
      <c r="J20" s="111">
        <f t="shared" si="1"/>
        <v>0.17262687111022304</v>
      </c>
    </row>
    <row r="21" spans="1:10" x14ac:dyDescent="0.2">
      <c r="A21" s="107" t="s">
        <v>40</v>
      </c>
      <c r="B21" s="73">
        <f>IF($C$10="kWh",$C$4,$C$5)</f>
        <v>60</v>
      </c>
      <c r="C21" s="78">
        <f>VLOOKUP($B$3,'Data for Bill Impacts'!$A$3:$Y$21,15,0)</f>
        <v>2.7930999999999999</v>
      </c>
      <c r="D21" s="22">
        <f>B21*C21</f>
        <v>167.58599999999998</v>
      </c>
      <c r="E21" s="73">
        <f>IF($B$10="kWh",$B$4,$B$5)</f>
        <v>60</v>
      </c>
      <c r="F21" s="78">
        <f>VLOOKUP($B$3,'Data for Bill Impacts'!$A$3:$Y$21,24,0)</f>
        <v>1.8612</v>
      </c>
      <c r="G21" s="22">
        <f>E21*F21</f>
        <v>111.672</v>
      </c>
      <c r="H21" s="22">
        <f t="shared" si="3"/>
        <v>-55.913999999999987</v>
      </c>
      <c r="I21" s="23">
        <f t="shared" si="6"/>
        <v>-0.33364362178224904</v>
      </c>
      <c r="J21" s="124">
        <f t="shared" si="1"/>
        <v>4.3581716788793995E-2</v>
      </c>
    </row>
    <row r="22" spans="1:10" s="1" customFormat="1" x14ac:dyDescent="0.2">
      <c r="A22" s="107" t="s">
        <v>41</v>
      </c>
      <c r="B22" s="73">
        <f>IF($C$10="kWh",$C$4,$C$5)</f>
        <v>60</v>
      </c>
      <c r="C22" s="125">
        <f>VLOOKUP($B$3,'Data for Bill Impacts'!$A$3:$Y$21,16,0)</f>
        <v>2.2465318947278483</v>
      </c>
      <c r="D22" s="22">
        <f>B22*C22</f>
        <v>134.79191368367088</v>
      </c>
      <c r="E22" s="73">
        <f>IF($B$10="kWh",$B$4,$B$5)</f>
        <v>60</v>
      </c>
      <c r="F22" s="78">
        <f>VLOOKUP($B$3,'Data for Bill Impacts'!$A$3:$Y$21,25,0)</f>
        <v>1.5062</v>
      </c>
      <c r="G22" s="22">
        <f>E22*F22</f>
        <v>90.372</v>
      </c>
      <c r="H22" s="22">
        <f t="shared" si="3"/>
        <v>-44.419913683670885</v>
      </c>
      <c r="I22" s="23">
        <f t="shared" ref="I22:I35" si="7">IF(ISERROR(H22/ABS(D22)),"N/A",(H22/ABS(D22)))</f>
        <v>-0.32954435076806876</v>
      </c>
      <c r="J22" s="124">
        <f t="shared" si="1"/>
        <v>3.5269063951902817E-2</v>
      </c>
    </row>
    <row r="23" spans="1:10" x14ac:dyDescent="0.2">
      <c r="A23" s="110" t="s">
        <v>76</v>
      </c>
      <c r="B23" s="74"/>
      <c r="C23" s="35"/>
      <c r="D23" s="35">
        <f>SUM(D21:D22)</f>
        <v>302.37791368367084</v>
      </c>
      <c r="E23" s="73"/>
      <c r="F23" s="35"/>
      <c r="G23" s="35">
        <f>SUM(G21:G22)</f>
        <v>202.04399999999998</v>
      </c>
      <c r="H23" s="35">
        <f t="shared" si="3"/>
        <v>-100.33391368367086</v>
      </c>
      <c r="I23" s="36">
        <f t="shared" si="7"/>
        <v>-0.33181627739066294</v>
      </c>
      <c r="J23" s="111">
        <f t="shared" si="1"/>
        <v>7.8850780740696805E-2</v>
      </c>
    </row>
    <row r="24" spans="1:10" s="1" customFormat="1" x14ac:dyDescent="0.2">
      <c r="A24" s="110" t="s">
        <v>80</v>
      </c>
      <c r="B24" s="74"/>
      <c r="C24" s="35"/>
      <c r="D24" s="35">
        <f>D20+D23</f>
        <v>594.05191368367082</v>
      </c>
      <c r="E24" s="73"/>
      <c r="F24" s="35"/>
      <c r="G24" s="35">
        <f>G20+G23</f>
        <v>644.37599999999998</v>
      </c>
      <c r="H24" s="35">
        <f t="shared" si="3"/>
        <v>50.324086316329158</v>
      </c>
      <c r="I24" s="36">
        <f t="shared" si="7"/>
        <v>8.4713280366817301E-2</v>
      </c>
      <c r="J24" s="111">
        <f t="shared" si="1"/>
        <v>0.25147765185091986</v>
      </c>
    </row>
    <row r="25" spans="1:10" x14ac:dyDescent="0.2">
      <c r="A25" s="107" t="s">
        <v>42</v>
      </c>
      <c r="B25" s="73">
        <f>C9</f>
        <v>15646.499999999998</v>
      </c>
      <c r="C25" s="34">
        <v>3.5999999999999999E-3</v>
      </c>
      <c r="D25" s="22">
        <f>B25*C25</f>
        <v>56.32739999999999</v>
      </c>
      <c r="E25" s="73">
        <f>B9</f>
        <v>15697.5</v>
      </c>
      <c r="F25" s="34">
        <v>3.5999999999999999E-3</v>
      </c>
      <c r="G25" s="22">
        <f>E25*F25</f>
        <v>56.510999999999996</v>
      </c>
      <c r="H25" s="22">
        <f t="shared" si="3"/>
        <v>0.18360000000000554</v>
      </c>
      <c r="I25" s="23">
        <f t="shared" si="7"/>
        <v>3.2595149074873962E-3</v>
      </c>
      <c r="J25" s="124">
        <f t="shared" si="1"/>
        <v>2.2054287533594254E-2</v>
      </c>
    </row>
    <row r="26" spans="1:10" x14ac:dyDescent="0.2">
      <c r="A26" s="107" t="s">
        <v>43</v>
      </c>
      <c r="B26" s="73">
        <f>C9</f>
        <v>15646.499999999998</v>
      </c>
      <c r="C26" s="34">
        <v>2.0999999999999999E-3</v>
      </c>
      <c r="D26" s="22">
        <f>B26*C26</f>
        <v>32.857649999999992</v>
      </c>
      <c r="E26" s="73">
        <f>B9</f>
        <v>15697.5</v>
      </c>
      <c r="F26" s="34">
        <v>2.0999999999999999E-3</v>
      </c>
      <c r="G26" s="22">
        <f>E26*F26</f>
        <v>32.964749999999995</v>
      </c>
      <c r="H26" s="22">
        <f>G26-D26</f>
        <v>0.10710000000000264</v>
      </c>
      <c r="I26" s="23">
        <f t="shared" si="7"/>
        <v>3.2595149074873785E-3</v>
      </c>
      <c r="J26" s="124">
        <f t="shared" si="1"/>
        <v>1.2865001061263313E-2</v>
      </c>
    </row>
    <row r="27" spans="1:10" x14ac:dyDescent="0.2">
      <c r="A27" s="107" t="s">
        <v>100</v>
      </c>
      <c r="B27" s="73">
        <f>C9</f>
        <v>15646.499999999998</v>
      </c>
      <c r="C27" s="34">
        <v>0</v>
      </c>
      <c r="D27" s="22">
        <f>B27*C27</f>
        <v>0</v>
      </c>
      <c r="E27" s="73">
        <f>B9</f>
        <v>15697.5</v>
      </c>
      <c r="F27" s="34">
        <v>0</v>
      </c>
      <c r="G27" s="22">
        <f>E27*F27</f>
        <v>0</v>
      </c>
      <c r="H27" s="22">
        <f>G27-D27</f>
        <v>0</v>
      </c>
      <c r="I27" s="23" t="str">
        <f t="shared" si="7"/>
        <v>N/A</v>
      </c>
      <c r="J27" s="124">
        <f t="shared" si="1"/>
        <v>0</v>
      </c>
    </row>
    <row r="28" spans="1:10" x14ac:dyDescent="0.2">
      <c r="A28" s="107" t="s">
        <v>44</v>
      </c>
      <c r="B28" s="73">
        <v>1</v>
      </c>
      <c r="C28" s="22">
        <v>0.25</v>
      </c>
      <c r="D28" s="22">
        <f>B28*C28</f>
        <v>0.25</v>
      </c>
      <c r="E28" s="73">
        <f t="shared" si="4"/>
        <v>1</v>
      </c>
      <c r="F28" s="22">
        <f>C28</f>
        <v>0.25</v>
      </c>
      <c r="G28" s="22">
        <f>E28*F28</f>
        <v>0.25</v>
      </c>
      <c r="H28" s="22">
        <f t="shared" si="3"/>
        <v>0</v>
      </c>
      <c r="I28" s="23">
        <f t="shared" si="7"/>
        <v>0</v>
      </c>
      <c r="J28" s="124">
        <f t="shared" si="1"/>
        <v>9.7566347850835478E-5</v>
      </c>
    </row>
    <row r="29" spans="1:10" x14ac:dyDescent="0.2">
      <c r="A29" s="110" t="s">
        <v>45</v>
      </c>
      <c r="B29" s="74"/>
      <c r="C29" s="35"/>
      <c r="D29" s="35">
        <f>SUM(D25:D28)</f>
        <v>89.43504999999999</v>
      </c>
      <c r="E29" s="73"/>
      <c r="F29" s="35"/>
      <c r="G29" s="35">
        <f>SUM(G25:G28)</f>
        <v>89.725749999999991</v>
      </c>
      <c r="H29" s="35">
        <f t="shared" si="3"/>
        <v>0.29070000000000107</v>
      </c>
      <c r="I29" s="36">
        <f t="shared" si="7"/>
        <v>3.2504035051134999E-3</v>
      </c>
      <c r="J29" s="111">
        <f t="shared" si="1"/>
        <v>3.5016854942708404E-2</v>
      </c>
    </row>
    <row r="30" spans="1:10" ht="13.5" thickBot="1" x14ac:dyDescent="0.25">
      <c r="A30" s="112" t="s">
        <v>46</v>
      </c>
      <c r="B30" s="113">
        <f>C4</f>
        <v>15000</v>
      </c>
      <c r="C30" s="114">
        <v>7.0000000000000001E-3</v>
      </c>
      <c r="D30" s="115">
        <f>B30*C30</f>
        <v>105</v>
      </c>
      <c r="E30" s="116">
        <f>B4</f>
        <v>15000</v>
      </c>
      <c r="F30" s="114">
        <f>C30</f>
        <v>7.0000000000000001E-3</v>
      </c>
      <c r="G30" s="115">
        <f>E30*F30</f>
        <v>105</v>
      </c>
      <c r="H30" s="115">
        <f t="shared" si="3"/>
        <v>0</v>
      </c>
      <c r="I30" s="117">
        <f t="shared" si="7"/>
        <v>0</v>
      </c>
      <c r="J30" s="118">
        <f t="shared" si="1"/>
        <v>4.09778660973509E-2</v>
      </c>
    </row>
    <row r="31" spans="1:10" x14ac:dyDescent="0.2">
      <c r="A31" s="37" t="s">
        <v>146</v>
      </c>
      <c r="B31" s="38"/>
      <c r="C31" s="39"/>
      <c r="D31" s="39">
        <f>SUM(D15,D20,D23,D29,D30)</f>
        <v>2212.3184636836704</v>
      </c>
      <c r="E31" s="38"/>
      <c r="F31" s="39"/>
      <c r="G31" s="39">
        <f>SUM(G15,G20,G23,G29,G30)</f>
        <v>2267.5742499999997</v>
      </c>
      <c r="H31" s="39">
        <f t="shared" si="3"/>
        <v>55.25578631632925</v>
      </c>
      <c r="I31" s="40">
        <f t="shared" si="7"/>
        <v>2.4976416019384644E-2</v>
      </c>
      <c r="J31" s="41">
        <f t="shared" si="1"/>
        <v>0.88495575221238931</v>
      </c>
    </row>
    <row r="32" spans="1:10" x14ac:dyDescent="0.2">
      <c r="A32" s="46" t="s">
        <v>138</v>
      </c>
      <c r="B32" s="43"/>
      <c r="C32" s="26">
        <v>0.13</v>
      </c>
      <c r="D32" s="26">
        <f>D31*C32</f>
        <v>287.60140027887718</v>
      </c>
      <c r="E32" s="26"/>
      <c r="F32" s="26">
        <f>C32</f>
        <v>0.13</v>
      </c>
      <c r="G32" s="26">
        <f>G31*F32</f>
        <v>294.78465249999999</v>
      </c>
      <c r="H32" s="26">
        <f t="shared" si="3"/>
        <v>7.1832522211228138</v>
      </c>
      <c r="I32" s="44">
        <f t="shared" si="7"/>
        <v>2.4976416019384679E-2</v>
      </c>
      <c r="J32" s="45">
        <f t="shared" si="1"/>
        <v>0.11504424778761063</v>
      </c>
    </row>
    <row r="33" spans="1:10" x14ac:dyDescent="0.2">
      <c r="A33" s="46" t="s">
        <v>139</v>
      </c>
      <c r="B33" s="24"/>
      <c r="C33" s="25"/>
      <c r="D33" s="25">
        <f>SUM(D31:D32)</f>
        <v>2499.9198639625474</v>
      </c>
      <c r="E33" s="25"/>
      <c r="F33" s="25"/>
      <c r="G33" s="25">
        <f>SUM(G31:G32)</f>
        <v>2562.3589024999997</v>
      </c>
      <c r="H33" s="25">
        <f t="shared" si="3"/>
        <v>62.439038537452234</v>
      </c>
      <c r="I33" s="27">
        <f t="shared" si="7"/>
        <v>2.4976416019384717E-2</v>
      </c>
      <c r="J33" s="47">
        <f t="shared" si="1"/>
        <v>1</v>
      </c>
    </row>
    <row r="34" spans="1:10" x14ac:dyDescent="0.2">
      <c r="A34" s="46" t="s">
        <v>140</v>
      </c>
      <c r="B34" s="43"/>
      <c r="C34" s="26">
        <v>0</v>
      </c>
      <c r="D34" s="26">
        <f>D31*C34</f>
        <v>0</v>
      </c>
      <c r="E34" s="26"/>
      <c r="F34" s="26">
        <f>C34</f>
        <v>0</v>
      </c>
      <c r="G34" s="26">
        <f>G31*F34</f>
        <v>0</v>
      </c>
      <c r="H34" s="26">
        <f t="shared" si="3"/>
        <v>0</v>
      </c>
      <c r="I34" s="44" t="str">
        <f t="shared" si="7"/>
        <v>N/A</v>
      </c>
      <c r="J34" s="45">
        <f t="shared" si="1"/>
        <v>0</v>
      </c>
    </row>
    <row r="35" spans="1:10" ht="13.5" thickBot="1" x14ac:dyDescent="0.25">
      <c r="A35" s="46" t="s">
        <v>141</v>
      </c>
      <c r="B35" s="49"/>
      <c r="C35" s="50"/>
      <c r="D35" s="50">
        <f>SUM(D33:D34)</f>
        <v>2499.9198639625474</v>
      </c>
      <c r="E35" s="50"/>
      <c r="F35" s="50"/>
      <c r="G35" s="50">
        <f>SUM(G33:G34)</f>
        <v>2562.3589024999997</v>
      </c>
      <c r="H35" s="50">
        <f t="shared" si="3"/>
        <v>62.439038537452234</v>
      </c>
      <c r="I35" s="51">
        <f t="shared" si="7"/>
        <v>2.4976416019384717E-2</v>
      </c>
      <c r="J35" s="52">
        <f t="shared" si="1"/>
        <v>1</v>
      </c>
    </row>
    <row r="36" spans="1:10" x14ac:dyDescent="0.2">
      <c r="A36" s="307"/>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J37"/>
  <sheetViews>
    <sheetView tabSelected="1" topLeftCell="A9" zoomScaleNormal="100" workbookViewId="0">
      <selection activeCell="N7" sqref="N7"/>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202</v>
      </c>
      <c r="C3" s="13" t="s">
        <v>115</v>
      </c>
    </row>
    <row r="4" spans="1:10" x14ac:dyDescent="0.2">
      <c r="A4" s="15" t="s">
        <v>62</v>
      </c>
      <c r="B4" s="79">
        <f>C4</f>
        <v>61239</v>
      </c>
      <c r="C4" s="79">
        <f>'Data for Bill Impacts_HONI Avg '!C18</f>
        <v>61239</v>
      </c>
    </row>
    <row r="5" spans="1:10" x14ac:dyDescent="0.2">
      <c r="A5" s="15" t="s">
        <v>16</v>
      </c>
      <c r="B5" s="79">
        <f>C5</f>
        <v>177</v>
      </c>
      <c r="C5" s="79">
        <f>'Data for Bill Impacts_HONI Avg '!E18</f>
        <v>177</v>
      </c>
    </row>
    <row r="6" spans="1:10" x14ac:dyDescent="0.2">
      <c r="A6" s="15" t="s">
        <v>20</v>
      </c>
      <c r="B6" s="80">
        <f>VLOOKUP($B$3,'Data for Bill Impacts'!$A$3:$Y$21,2,0)</f>
        <v>1.0465</v>
      </c>
      <c r="C6" s="80">
        <f>VLOOKUP($C$3,'Data for Bill Impacts'!$A$3:$Y$30,2,0)</f>
        <v>1.0430999999999999</v>
      </c>
    </row>
    <row r="7" spans="1:10" x14ac:dyDescent="0.2">
      <c r="A7" s="81" t="s">
        <v>49</v>
      </c>
      <c r="B7" s="82">
        <f>B4/(B5*730)</f>
        <v>0.47394938472254472</v>
      </c>
      <c r="C7" s="82">
        <f>C4/(C5*730)</f>
        <v>0.47394938472254472</v>
      </c>
    </row>
    <row r="8" spans="1:10" x14ac:dyDescent="0.2">
      <c r="A8" s="15" t="s">
        <v>15</v>
      </c>
      <c r="B8" s="79">
        <f>VLOOKUP($B$3,'Data for Bill Impacts'!$A$3:$Y$21,4,0)</f>
        <v>0</v>
      </c>
      <c r="C8" s="79">
        <f>VLOOKUP($C$3,'Data for Bill Impacts'!$A$3:$Y$30,4,0)</f>
        <v>0</v>
      </c>
    </row>
    <row r="9" spans="1:10" x14ac:dyDescent="0.2">
      <c r="A9" s="15" t="s">
        <v>82</v>
      </c>
      <c r="B9" s="79">
        <f>B4*B6</f>
        <v>64086.613499999999</v>
      </c>
      <c r="C9" s="79">
        <f>C4*C6</f>
        <v>63878.400899999993</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63878.400899999993</v>
      </c>
      <c r="C13" s="103">
        <v>9.0999999999999998E-2</v>
      </c>
      <c r="D13" s="104">
        <f>B13*C13</f>
        <v>5812.9344818999989</v>
      </c>
      <c r="E13" s="102">
        <f>B9</f>
        <v>64086.613499999999</v>
      </c>
      <c r="F13" s="103">
        <f>C13</f>
        <v>9.0999999999999998E-2</v>
      </c>
      <c r="G13" s="104">
        <f>E13*F13</f>
        <v>5831.8818284999998</v>
      </c>
      <c r="H13" s="104">
        <f>G13-D13</f>
        <v>18.947346600000856</v>
      </c>
      <c r="I13" s="105">
        <f t="shared" ref="I13:I18" si="0">IF(ISERROR(H13/ABS(D13)),"N/A",(H13/ABS(D13)))</f>
        <v>3.2595149074874452E-3</v>
      </c>
      <c r="J13" s="123">
        <f t="shared" ref="J13:J35" si="1">G13/$G$35</f>
        <v>0.63544214748641525</v>
      </c>
    </row>
    <row r="14" spans="1:10" x14ac:dyDescent="0.2">
      <c r="A14" s="107" t="s">
        <v>32</v>
      </c>
      <c r="B14" s="73">
        <v>0</v>
      </c>
      <c r="C14" s="21">
        <v>0.106</v>
      </c>
      <c r="D14" s="22">
        <f>B14*C14</f>
        <v>0</v>
      </c>
      <c r="E14" s="73">
        <f t="shared" ref="E14" si="2">B14</f>
        <v>0</v>
      </c>
      <c r="F14" s="21">
        <f>C14</f>
        <v>0.106</v>
      </c>
      <c r="G14" s="22">
        <f>E14*F14</f>
        <v>0</v>
      </c>
      <c r="H14" s="22">
        <f t="shared" ref="H14:H35" si="3">G14-D14</f>
        <v>0</v>
      </c>
      <c r="I14" s="23" t="str">
        <f t="shared" si="0"/>
        <v>N/A</v>
      </c>
      <c r="J14" s="124">
        <f t="shared" si="1"/>
        <v>0</v>
      </c>
    </row>
    <row r="15" spans="1:10" s="1" customFormat="1" x14ac:dyDescent="0.2">
      <c r="A15" s="46" t="s">
        <v>33</v>
      </c>
      <c r="B15" s="24"/>
      <c r="C15" s="25"/>
      <c r="D15" s="25">
        <f>SUM(D13:D14)</f>
        <v>5812.9344818999989</v>
      </c>
      <c r="E15" s="76"/>
      <c r="F15" s="25"/>
      <c r="G15" s="25">
        <f>SUM(G13:G14)</f>
        <v>5831.8818284999998</v>
      </c>
      <c r="H15" s="25">
        <f t="shared" si="3"/>
        <v>18.947346600000856</v>
      </c>
      <c r="I15" s="27">
        <f t="shared" si="0"/>
        <v>3.2595149074874452E-3</v>
      </c>
      <c r="J15" s="47">
        <f t="shared" si="1"/>
        <v>0.63544214748641525</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207.78</v>
      </c>
      <c r="G16" s="22">
        <f>E16*F16</f>
        <v>207.78</v>
      </c>
      <c r="H16" s="22">
        <f t="shared" si="3"/>
        <v>67.819999999999993</v>
      </c>
      <c r="I16" s="23">
        <f t="shared" si="0"/>
        <v>0.484567019148328</v>
      </c>
      <c r="J16" s="124">
        <f t="shared" si="1"/>
        <v>2.2639719611514647E-2</v>
      </c>
    </row>
    <row r="17" spans="1:10" x14ac:dyDescent="0.2">
      <c r="A17" s="107" t="s">
        <v>193</v>
      </c>
      <c r="B17" s="73">
        <v>1</v>
      </c>
      <c r="C17" s="121">
        <f>'Data for Bill Impacts'!K24</f>
        <v>-1.4</v>
      </c>
      <c r="D17" s="22">
        <f>B17*C17</f>
        <v>-1.4</v>
      </c>
      <c r="E17" s="73">
        <f t="shared" si="4"/>
        <v>1</v>
      </c>
      <c r="F17" s="121">
        <v>0</v>
      </c>
      <c r="G17" s="22">
        <f t="shared" ref="G17" si="5">E17*F17</f>
        <v>0</v>
      </c>
      <c r="H17" s="22">
        <f t="shared" si="3"/>
        <v>1.4</v>
      </c>
      <c r="I17" s="23">
        <f t="shared" si="0"/>
        <v>1</v>
      </c>
      <c r="J17" s="124">
        <f t="shared" si="1"/>
        <v>0</v>
      </c>
    </row>
    <row r="18" spans="1:10" x14ac:dyDescent="0.2">
      <c r="A18" s="107" t="s">
        <v>39</v>
      </c>
      <c r="B18" s="73">
        <f>IF($C$10="kWh",$C$4,$C$5)</f>
        <v>177</v>
      </c>
      <c r="C18" s="78">
        <f>VLOOKUP($B$3,'Data for Bill Impacts'!$A$3:$Y$21,10,0)</f>
        <v>2.5777000000000001</v>
      </c>
      <c r="D18" s="22">
        <f>B18*C18</f>
        <v>456.25290000000001</v>
      </c>
      <c r="E18" s="73">
        <f>IF($B$10="kWh",$B$4,$B$5)</f>
        <v>177</v>
      </c>
      <c r="F18" s="125">
        <f>VLOOKUP($B$3,'Data for Bill Impacts'!$A$3:$Y$21,19,0)</f>
        <v>3.9091999999999998</v>
      </c>
      <c r="G18" s="22">
        <f>E18*F18</f>
        <v>691.92840000000001</v>
      </c>
      <c r="H18" s="22">
        <f t="shared" si="3"/>
        <v>235.6755</v>
      </c>
      <c r="I18" s="23">
        <f t="shared" si="0"/>
        <v>0.51654575784614187</v>
      </c>
      <c r="J18" s="124">
        <f t="shared" si="1"/>
        <v>7.5392554467436479E-2</v>
      </c>
    </row>
    <row r="19" spans="1:10" s="1" customFormat="1" x14ac:dyDescent="0.2">
      <c r="A19" s="107" t="s">
        <v>196</v>
      </c>
      <c r="B19" s="73">
        <f>IF($C$10="kWh",$C$4,$C$5)</f>
        <v>177</v>
      </c>
      <c r="C19" s="78">
        <f>'Data for Bill Impacts'!L24</f>
        <v>-2.58E-2</v>
      </c>
      <c r="D19" s="22">
        <f>B19*C19</f>
        <v>-4.5666000000000002</v>
      </c>
      <c r="E19" s="73">
        <f>IF($B$10="kWh",$B$4,$B$5)</f>
        <v>177</v>
      </c>
      <c r="F19" s="125">
        <f>VLOOKUP($B$3,'Data for Bill Impacts'!$A$3:$Y$21,21,0)</f>
        <v>0</v>
      </c>
      <c r="G19" s="22">
        <f>E19*F19</f>
        <v>0</v>
      </c>
      <c r="H19" s="22">
        <f t="shared" si="3"/>
        <v>4.5666000000000002</v>
      </c>
      <c r="I19" s="23">
        <f>IF(ISERROR(H19/ABS(D19)),"N/A",(H19/ABS(D19)))</f>
        <v>1</v>
      </c>
      <c r="J19" s="124">
        <f t="shared" si="1"/>
        <v>0</v>
      </c>
    </row>
    <row r="20" spans="1:10" x14ac:dyDescent="0.2">
      <c r="A20" s="110" t="s">
        <v>97</v>
      </c>
      <c r="B20" s="74"/>
      <c r="C20" s="35"/>
      <c r="D20" s="35">
        <f>SUM(D16:D19)</f>
        <v>590.24630000000002</v>
      </c>
      <c r="E20" s="73"/>
      <c r="F20" s="35"/>
      <c r="G20" s="35">
        <f>SUM(G16:G19)</f>
        <v>899.70839999999998</v>
      </c>
      <c r="H20" s="35">
        <f t="shared" si="3"/>
        <v>309.46209999999996</v>
      </c>
      <c r="I20" s="36">
        <f t="shared" ref="I20:I21" si="6">IF(ISERROR(H20/D20),0,(H20/D20))</f>
        <v>0.52429316371826462</v>
      </c>
      <c r="J20" s="111">
        <f t="shared" si="1"/>
        <v>9.8032274078951126E-2</v>
      </c>
    </row>
    <row r="21" spans="1:10" x14ac:dyDescent="0.2">
      <c r="A21" s="107" t="s">
        <v>40</v>
      </c>
      <c r="B21" s="73">
        <f>IF($C$10="kWh",$C$4,$C$5)</f>
        <v>177</v>
      </c>
      <c r="C21" s="78">
        <f>VLOOKUP($B$3,'Data for Bill Impacts'!$A$3:$Y$21,15,0)</f>
        <v>2.7930999999999999</v>
      </c>
      <c r="D21" s="22">
        <f>B21*C21</f>
        <v>494.37869999999998</v>
      </c>
      <c r="E21" s="73">
        <f>IF($B$10="kWh",$B$4,$B$5)</f>
        <v>177</v>
      </c>
      <c r="F21" s="78">
        <f>VLOOKUP($B$3,'Data for Bill Impacts'!$A$3:$Y$21,24,0)</f>
        <v>1.8612</v>
      </c>
      <c r="G21" s="22">
        <f>E21*F21</f>
        <v>329.43239999999997</v>
      </c>
      <c r="H21" s="22">
        <f t="shared" si="3"/>
        <v>-164.94630000000001</v>
      </c>
      <c r="I21" s="23">
        <f t="shared" si="6"/>
        <v>-0.33364362178224916</v>
      </c>
      <c r="J21" s="124">
        <f t="shared" si="1"/>
        <v>3.5894971445511299E-2</v>
      </c>
    </row>
    <row r="22" spans="1:10" s="1" customFormat="1" x14ac:dyDescent="0.2">
      <c r="A22" s="107" t="s">
        <v>41</v>
      </c>
      <c r="B22" s="73">
        <f>IF($C$10="kWh",$C$4,$C$5)</f>
        <v>177</v>
      </c>
      <c r="C22" s="125">
        <f>VLOOKUP($B$3,'Data for Bill Impacts'!$A$3:$Y$21,16,0)</f>
        <v>2.2465318947278483</v>
      </c>
      <c r="D22" s="22">
        <f>B22*C22</f>
        <v>397.63614536682917</v>
      </c>
      <c r="E22" s="73">
        <f>IF($B$10="kWh",$B$4,$B$5)</f>
        <v>177</v>
      </c>
      <c r="F22" s="78">
        <f>VLOOKUP($B$3,'Data for Bill Impacts'!$A$3:$Y$21,25,0)</f>
        <v>1.5062</v>
      </c>
      <c r="G22" s="22">
        <f>E22*F22</f>
        <v>266.59739999999999</v>
      </c>
      <c r="H22" s="22">
        <f t="shared" si="3"/>
        <v>-131.03874536682918</v>
      </c>
      <c r="I22" s="23">
        <f t="shared" ref="I22:I35" si="7">IF(ISERROR(H22/ABS(D22)),"N/A",(H22/ABS(D22)))</f>
        <v>-0.32954435076806887</v>
      </c>
      <c r="J22" s="124">
        <f t="shared" si="1"/>
        <v>2.9048466575988138E-2</v>
      </c>
    </row>
    <row r="23" spans="1:10" x14ac:dyDescent="0.2">
      <c r="A23" s="110" t="s">
        <v>76</v>
      </c>
      <c r="B23" s="74"/>
      <c r="C23" s="35"/>
      <c r="D23" s="35">
        <f>SUM(D21:D22)</f>
        <v>892.01484536682915</v>
      </c>
      <c r="E23" s="73"/>
      <c r="F23" s="35"/>
      <c r="G23" s="35">
        <f>SUM(G21:G22)</f>
        <v>596.02980000000002</v>
      </c>
      <c r="H23" s="35">
        <f t="shared" si="3"/>
        <v>-295.98504536682913</v>
      </c>
      <c r="I23" s="36">
        <f t="shared" si="7"/>
        <v>-0.33181627739066299</v>
      </c>
      <c r="J23" s="111">
        <f t="shared" si="1"/>
        <v>6.4943438021499447E-2</v>
      </c>
    </row>
    <row r="24" spans="1:10" s="1" customFormat="1" x14ac:dyDescent="0.2">
      <c r="A24" s="110" t="s">
        <v>80</v>
      </c>
      <c r="B24" s="74"/>
      <c r="C24" s="35"/>
      <c r="D24" s="35">
        <f>D20+D23</f>
        <v>1482.2611453668292</v>
      </c>
      <c r="E24" s="73"/>
      <c r="F24" s="35"/>
      <c r="G24" s="35">
        <f>G20+G23</f>
        <v>1495.7382</v>
      </c>
      <c r="H24" s="35">
        <f t="shared" si="3"/>
        <v>13.477054633170837</v>
      </c>
      <c r="I24" s="36">
        <f t="shared" si="7"/>
        <v>9.0922268827572511E-3</v>
      </c>
      <c r="J24" s="111">
        <f t="shared" si="1"/>
        <v>0.16297571210045056</v>
      </c>
    </row>
    <row r="25" spans="1:10" x14ac:dyDescent="0.2">
      <c r="A25" s="107" t="s">
        <v>42</v>
      </c>
      <c r="B25" s="73">
        <f>C9</f>
        <v>63878.400899999993</v>
      </c>
      <c r="C25" s="34">
        <v>3.5999999999999999E-3</v>
      </c>
      <c r="D25" s="22">
        <f>B25*C25</f>
        <v>229.96224323999996</v>
      </c>
      <c r="E25" s="73">
        <f>B9</f>
        <v>64086.613499999999</v>
      </c>
      <c r="F25" s="34">
        <v>3.5999999999999999E-3</v>
      </c>
      <c r="G25" s="22">
        <f>E25*F25</f>
        <v>230.71180859999998</v>
      </c>
      <c r="H25" s="22">
        <f t="shared" si="3"/>
        <v>0.74956536000001961</v>
      </c>
      <c r="I25" s="23">
        <f t="shared" si="7"/>
        <v>3.2595149074873832E-3</v>
      </c>
      <c r="J25" s="124">
        <f t="shared" si="1"/>
        <v>2.513837066979225E-2</v>
      </c>
    </row>
    <row r="26" spans="1:10" x14ac:dyDescent="0.2">
      <c r="A26" s="107" t="s">
        <v>43</v>
      </c>
      <c r="B26" s="73">
        <f>C9</f>
        <v>63878.400899999993</v>
      </c>
      <c r="C26" s="34">
        <v>2.0999999999999999E-3</v>
      </c>
      <c r="D26" s="22">
        <f>B26*C26</f>
        <v>134.14464188999997</v>
      </c>
      <c r="E26" s="73">
        <f>B9</f>
        <v>64086.613499999999</v>
      </c>
      <c r="F26" s="34">
        <v>2.0999999999999999E-3</v>
      </c>
      <c r="G26" s="22">
        <f>E26*F26</f>
        <v>134.58188834999999</v>
      </c>
      <c r="H26" s="22">
        <f>G26-D26</f>
        <v>0.43724646000001144</v>
      </c>
      <c r="I26" s="23">
        <f t="shared" si="7"/>
        <v>3.2595149074873832E-3</v>
      </c>
      <c r="J26" s="124">
        <f t="shared" si="1"/>
        <v>1.4664049557378812E-2</v>
      </c>
    </row>
    <row r="27" spans="1:10" x14ac:dyDescent="0.2">
      <c r="A27" s="107" t="s">
        <v>100</v>
      </c>
      <c r="B27" s="73">
        <f>C9</f>
        <v>63878.400899999993</v>
      </c>
      <c r="C27" s="34">
        <v>0</v>
      </c>
      <c r="D27" s="22">
        <f>B27*C27</f>
        <v>0</v>
      </c>
      <c r="E27" s="73">
        <f>B9</f>
        <v>64086.613499999999</v>
      </c>
      <c r="F27" s="34">
        <v>0</v>
      </c>
      <c r="G27" s="22">
        <f>E27*F27</f>
        <v>0</v>
      </c>
      <c r="H27" s="22">
        <f>G27-D27</f>
        <v>0</v>
      </c>
      <c r="I27" s="23" t="str">
        <f t="shared" si="7"/>
        <v>N/A</v>
      </c>
      <c r="J27" s="124">
        <f t="shared" si="1"/>
        <v>0</v>
      </c>
    </row>
    <row r="28" spans="1:10" x14ac:dyDescent="0.2">
      <c r="A28" s="107" t="s">
        <v>44</v>
      </c>
      <c r="B28" s="73">
        <v>1</v>
      </c>
      <c r="C28" s="22">
        <v>0.25</v>
      </c>
      <c r="D28" s="22">
        <f>B28*C28</f>
        <v>0.25</v>
      </c>
      <c r="E28" s="73">
        <f t="shared" si="4"/>
        <v>1</v>
      </c>
      <c r="F28" s="22">
        <f>C28</f>
        <v>0.25</v>
      </c>
      <c r="G28" s="22">
        <f>E28*F28</f>
        <v>0.25</v>
      </c>
      <c r="H28" s="22">
        <f t="shared" si="3"/>
        <v>0</v>
      </c>
      <c r="I28" s="23">
        <f t="shared" si="7"/>
        <v>0</v>
      </c>
      <c r="J28" s="124">
        <f t="shared" si="1"/>
        <v>2.7240013008367804E-5</v>
      </c>
    </row>
    <row r="29" spans="1:10" x14ac:dyDescent="0.2">
      <c r="A29" s="110" t="s">
        <v>45</v>
      </c>
      <c r="B29" s="74"/>
      <c r="C29" s="35"/>
      <c r="D29" s="35">
        <f>SUM(D25:D28)</f>
        <v>364.35688512999991</v>
      </c>
      <c r="E29" s="73"/>
      <c r="F29" s="35"/>
      <c r="G29" s="35">
        <f>SUM(G25:G28)</f>
        <v>365.54369694999997</v>
      </c>
      <c r="H29" s="35">
        <f t="shared" si="3"/>
        <v>1.1868118200000595</v>
      </c>
      <c r="I29" s="36">
        <f t="shared" si="7"/>
        <v>3.2572784224363252E-3</v>
      </c>
      <c r="J29" s="111">
        <f t="shared" si="1"/>
        <v>3.9829660240179428E-2</v>
      </c>
    </row>
    <row r="30" spans="1:10" ht="13.5" thickBot="1" x14ac:dyDescent="0.25">
      <c r="A30" s="112" t="s">
        <v>46</v>
      </c>
      <c r="B30" s="113">
        <f>C4</f>
        <v>61239</v>
      </c>
      <c r="C30" s="114">
        <v>7.0000000000000001E-3</v>
      </c>
      <c r="D30" s="115">
        <f>B30*C30</f>
        <v>428.673</v>
      </c>
      <c r="E30" s="116">
        <f>B4</f>
        <v>61239</v>
      </c>
      <c r="F30" s="114">
        <f>C30</f>
        <v>7.0000000000000001E-3</v>
      </c>
      <c r="G30" s="115">
        <f>E30*F30</f>
        <v>428.673</v>
      </c>
      <c r="H30" s="115">
        <f t="shared" si="3"/>
        <v>0</v>
      </c>
      <c r="I30" s="117">
        <f t="shared" si="7"/>
        <v>0</v>
      </c>
      <c r="J30" s="118">
        <f t="shared" si="1"/>
        <v>4.6708232385344203E-2</v>
      </c>
    </row>
    <row r="31" spans="1:10" x14ac:dyDescent="0.2">
      <c r="A31" s="37" t="s">
        <v>146</v>
      </c>
      <c r="B31" s="38"/>
      <c r="C31" s="39"/>
      <c r="D31" s="39">
        <f>SUM(D15,D20,D23,D29,D30)</f>
        <v>8088.2255123968271</v>
      </c>
      <c r="E31" s="38"/>
      <c r="F31" s="39"/>
      <c r="G31" s="39">
        <f>SUM(G15,G20,G23,G29,G30)</f>
        <v>8121.836725449999</v>
      </c>
      <c r="H31" s="39">
        <f t="shared" si="3"/>
        <v>33.611213053171923</v>
      </c>
      <c r="I31" s="40">
        <f t="shared" si="7"/>
        <v>4.1555731849533626E-3</v>
      </c>
      <c r="J31" s="41">
        <f t="shared" si="1"/>
        <v>0.88495575221238931</v>
      </c>
    </row>
    <row r="32" spans="1:10" x14ac:dyDescent="0.2">
      <c r="A32" s="46" t="s">
        <v>138</v>
      </c>
      <c r="B32" s="43"/>
      <c r="C32" s="26">
        <v>0.13</v>
      </c>
      <c r="D32" s="26">
        <f>D31*C32</f>
        <v>1051.4693166115876</v>
      </c>
      <c r="E32" s="26"/>
      <c r="F32" s="26">
        <f>C32</f>
        <v>0.13</v>
      </c>
      <c r="G32" s="26">
        <f>G31*F32</f>
        <v>1055.8387743085</v>
      </c>
      <c r="H32" s="26">
        <f t="shared" si="3"/>
        <v>4.3694576969123773</v>
      </c>
      <c r="I32" s="44">
        <f t="shared" si="7"/>
        <v>4.1555731849533878E-3</v>
      </c>
      <c r="J32" s="45">
        <f t="shared" si="1"/>
        <v>0.11504424778761062</v>
      </c>
    </row>
    <row r="33" spans="1:10" x14ac:dyDescent="0.2">
      <c r="A33" s="46" t="s">
        <v>139</v>
      </c>
      <c r="B33" s="24"/>
      <c r="C33" s="25"/>
      <c r="D33" s="25">
        <f>SUM(D31:D32)</f>
        <v>9139.6948290084147</v>
      </c>
      <c r="E33" s="25"/>
      <c r="F33" s="25"/>
      <c r="G33" s="25">
        <f>SUM(G31:G32)</f>
        <v>9177.6754997584994</v>
      </c>
      <c r="H33" s="25">
        <f t="shared" si="3"/>
        <v>37.980670750084755</v>
      </c>
      <c r="I33" s="27">
        <f t="shared" si="7"/>
        <v>4.1555731849534146E-3</v>
      </c>
      <c r="J33" s="47">
        <f t="shared" si="1"/>
        <v>1</v>
      </c>
    </row>
    <row r="34" spans="1:10" x14ac:dyDescent="0.2">
      <c r="A34" s="46" t="s">
        <v>140</v>
      </c>
      <c r="B34" s="43"/>
      <c r="C34" s="26">
        <v>0</v>
      </c>
      <c r="D34" s="26">
        <f>D31*C34</f>
        <v>0</v>
      </c>
      <c r="E34" s="26"/>
      <c r="F34" s="26">
        <f>C34</f>
        <v>0</v>
      </c>
      <c r="G34" s="26">
        <f>G31*F34</f>
        <v>0</v>
      </c>
      <c r="H34" s="26">
        <f t="shared" si="3"/>
        <v>0</v>
      </c>
      <c r="I34" s="44" t="str">
        <f t="shared" si="7"/>
        <v>N/A</v>
      </c>
      <c r="J34" s="45">
        <f t="shared" si="1"/>
        <v>0</v>
      </c>
    </row>
    <row r="35" spans="1:10" ht="13.5" thickBot="1" x14ac:dyDescent="0.25">
      <c r="A35" s="46" t="s">
        <v>141</v>
      </c>
      <c r="B35" s="49"/>
      <c r="C35" s="50"/>
      <c r="D35" s="50">
        <f>SUM(D33:D34)</f>
        <v>9139.6948290084147</v>
      </c>
      <c r="E35" s="50"/>
      <c r="F35" s="50"/>
      <c r="G35" s="50">
        <f>SUM(G33:G34)</f>
        <v>9177.6754997584994</v>
      </c>
      <c r="H35" s="50">
        <f t="shared" si="3"/>
        <v>37.980670750084755</v>
      </c>
      <c r="I35" s="51">
        <f t="shared" si="7"/>
        <v>4.1555731849534146E-3</v>
      </c>
      <c r="J35" s="52">
        <f t="shared" si="1"/>
        <v>1</v>
      </c>
    </row>
    <row r="36" spans="1:10" x14ac:dyDescent="0.2">
      <c r="A36" s="307"/>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J37"/>
  <sheetViews>
    <sheetView tabSelected="1" zoomScaleNormal="100" workbookViewId="0">
      <selection activeCell="N7" sqref="N7"/>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202</v>
      </c>
      <c r="C3" s="13" t="s">
        <v>115</v>
      </c>
    </row>
    <row r="4" spans="1:10" x14ac:dyDescent="0.2">
      <c r="A4" s="15" t="s">
        <v>62</v>
      </c>
      <c r="B4" s="79">
        <v>175000</v>
      </c>
      <c r="C4" s="79">
        <v>175000</v>
      </c>
    </row>
    <row r="5" spans="1:10" x14ac:dyDescent="0.2">
      <c r="A5" s="15" t="s">
        <v>16</v>
      </c>
      <c r="B5" s="79">
        <v>500</v>
      </c>
      <c r="C5" s="79">
        <v>500</v>
      </c>
    </row>
    <row r="6" spans="1:10" x14ac:dyDescent="0.2">
      <c r="A6" s="15" t="s">
        <v>20</v>
      </c>
      <c r="B6" s="80">
        <f>VLOOKUP($B$3,'Data for Bill Impacts'!$A$3:$Y$21,2,0)</f>
        <v>1.0465</v>
      </c>
      <c r="C6" s="80">
        <f>VLOOKUP($C$3,'Data for Bill Impacts'!$A$3:$Y$30,2,0)</f>
        <v>1.0430999999999999</v>
      </c>
    </row>
    <row r="7" spans="1:10" x14ac:dyDescent="0.2">
      <c r="A7" s="81" t="s">
        <v>49</v>
      </c>
      <c r="B7" s="82">
        <f>B4/(B5*730)</f>
        <v>0.47945205479452052</v>
      </c>
      <c r="C7" s="82">
        <f>C4/(C5*730)</f>
        <v>0.47945205479452052</v>
      </c>
    </row>
    <row r="8" spans="1:10" x14ac:dyDescent="0.2">
      <c r="A8" s="15" t="s">
        <v>15</v>
      </c>
      <c r="B8" s="79">
        <f>VLOOKUP($B$3,'Data for Bill Impacts'!$A$3:$Y$21,4,0)</f>
        <v>0</v>
      </c>
      <c r="C8" s="79">
        <f>VLOOKUP($C$3,'Data for Bill Impacts'!$A$3:$Y$30,4,0)</f>
        <v>0</v>
      </c>
    </row>
    <row r="9" spans="1:10" x14ac:dyDescent="0.2">
      <c r="A9" s="15" t="s">
        <v>82</v>
      </c>
      <c r="B9" s="79">
        <f>B4*B6</f>
        <v>183137.5</v>
      </c>
      <c r="C9" s="79">
        <f>C4*C6</f>
        <v>182542.49999999997</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182542.49999999997</v>
      </c>
      <c r="C13" s="103">
        <v>9.0999999999999998E-2</v>
      </c>
      <c r="D13" s="104">
        <f>B13*C13</f>
        <v>16611.367499999997</v>
      </c>
      <c r="E13" s="102">
        <f>B9</f>
        <v>183137.5</v>
      </c>
      <c r="F13" s="103">
        <f>C13</f>
        <v>9.0999999999999998E-2</v>
      </c>
      <c r="G13" s="104">
        <f>E13*F13</f>
        <v>16665.512500000001</v>
      </c>
      <c r="H13" s="104">
        <f>G13-D13</f>
        <v>54.145000000004075</v>
      </c>
      <c r="I13" s="105">
        <f t="shared" ref="I13:I18" si="0">IF(ISERROR(H13/ABS(D13)),"N/A",(H13/ABS(D13)))</f>
        <v>3.2595149074875433E-3</v>
      </c>
      <c r="J13" s="123">
        <f t="shared" ref="J13:J35" si="1">G13/$G$35</f>
        <v>0.64739995505817016</v>
      </c>
    </row>
    <row r="14" spans="1:10" x14ac:dyDescent="0.2">
      <c r="A14" s="107" t="s">
        <v>32</v>
      </c>
      <c r="B14" s="73">
        <v>0</v>
      </c>
      <c r="C14" s="21">
        <v>0.106</v>
      </c>
      <c r="D14" s="22">
        <f>B14*C14</f>
        <v>0</v>
      </c>
      <c r="E14" s="73">
        <f t="shared" ref="E14" si="2">B14</f>
        <v>0</v>
      </c>
      <c r="F14" s="21">
        <f>C14</f>
        <v>0.106</v>
      </c>
      <c r="G14" s="22">
        <f>E14*F14</f>
        <v>0</v>
      </c>
      <c r="H14" s="22">
        <f t="shared" ref="H14:H35" si="3">G14-D14</f>
        <v>0</v>
      </c>
      <c r="I14" s="23" t="str">
        <f t="shared" si="0"/>
        <v>N/A</v>
      </c>
      <c r="J14" s="124">
        <f t="shared" si="1"/>
        <v>0</v>
      </c>
    </row>
    <row r="15" spans="1:10" s="1" customFormat="1" x14ac:dyDescent="0.2">
      <c r="A15" s="46" t="s">
        <v>33</v>
      </c>
      <c r="B15" s="24"/>
      <c r="C15" s="25"/>
      <c r="D15" s="25">
        <f>SUM(D13:D14)</f>
        <v>16611.367499999997</v>
      </c>
      <c r="E15" s="76"/>
      <c r="F15" s="25"/>
      <c r="G15" s="25">
        <f>SUM(G13:G14)</f>
        <v>16665.512500000001</v>
      </c>
      <c r="H15" s="25">
        <f t="shared" si="3"/>
        <v>54.145000000004075</v>
      </c>
      <c r="I15" s="27">
        <f t="shared" si="0"/>
        <v>3.2595149074875433E-3</v>
      </c>
      <c r="J15" s="47">
        <f t="shared" si="1"/>
        <v>0.64739995505817016</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207.78</v>
      </c>
      <c r="G16" s="22">
        <f>E16*F16</f>
        <v>207.78</v>
      </c>
      <c r="H16" s="22">
        <f t="shared" si="3"/>
        <v>67.819999999999993</v>
      </c>
      <c r="I16" s="23">
        <f t="shared" si="0"/>
        <v>0.484567019148328</v>
      </c>
      <c r="J16" s="124">
        <f t="shared" si="1"/>
        <v>8.0715647155757495E-3</v>
      </c>
    </row>
    <row r="17" spans="1:10" x14ac:dyDescent="0.2">
      <c r="A17" s="107" t="s">
        <v>193</v>
      </c>
      <c r="B17" s="73">
        <v>1</v>
      </c>
      <c r="C17" s="121">
        <f>'Data for Bill Impacts'!K24</f>
        <v>-1.4</v>
      </c>
      <c r="D17" s="22">
        <f>B17*C17</f>
        <v>-1.4</v>
      </c>
      <c r="E17" s="73">
        <f t="shared" si="4"/>
        <v>1</v>
      </c>
      <c r="F17" s="121">
        <v>0</v>
      </c>
      <c r="G17" s="22">
        <f t="shared" ref="G17" si="5">E17*F17</f>
        <v>0</v>
      </c>
      <c r="H17" s="22">
        <f t="shared" si="3"/>
        <v>1.4</v>
      </c>
      <c r="I17" s="23">
        <f t="shared" si="0"/>
        <v>1</v>
      </c>
      <c r="J17" s="124">
        <f t="shared" si="1"/>
        <v>0</v>
      </c>
    </row>
    <row r="18" spans="1:10" x14ac:dyDescent="0.2">
      <c r="A18" s="107" t="s">
        <v>39</v>
      </c>
      <c r="B18" s="73">
        <f>IF($C$10="kWh",$C$4,$C$5)</f>
        <v>500</v>
      </c>
      <c r="C18" s="78">
        <f>VLOOKUP($B$3,'Data for Bill Impacts'!$A$3:$Y$21,10,0)</f>
        <v>2.5777000000000001</v>
      </c>
      <c r="D18" s="22">
        <f>B18*C18</f>
        <v>1288.8500000000001</v>
      </c>
      <c r="E18" s="73">
        <f>IF($B$10="kWh",$B$4,$B$5)</f>
        <v>500</v>
      </c>
      <c r="F18" s="125">
        <f>VLOOKUP($B$3,'Data for Bill Impacts'!$A$3:$Y$21,19,0)</f>
        <v>3.9091999999999998</v>
      </c>
      <c r="G18" s="22">
        <f>E18*F18</f>
        <v>1954.6</v>
      </c>
      <c r="H18" s="22">
        <f t="shared" si="3"/>
        <v>665.74999999999977</v>
      </c>
      <c r="I18" s="23">
        <f t="shared" si="0"/>
        <v>0.51654575784614165</v>
      </c>
      <c r="J18" s="124">
        <f t="shared" si="1"/>
        <v>7.5929735263568957E-2</v>
      </c>
    </row>
    <row r="19" spans="1:10" s="1" customFormat="1" x14ac:dyDescent="0.2">
      <c r="A19" s="107" t="s">
        <v>196</v>
      </c>
      <c r="B19" s="73">
        <f>IF($C$10="kWh",$C$4,$C$5)</f>
        <v>500</v>
      </c>
      <c r="C19" s="78">
        <f>'Data for Bill Impacts'!L24</f>
        <v>-2.58E-2</v>
      </c>
      <c r="D19" s="22">
        <f>B19*C19</f>
        <v>-12.9</v>
      </c>
      <c r="E19" s="73">
        <f>IF($B$10="kWh",$B$4,$B$5)</f>
        <v>500</v>
      </c>
      <c r="F19" s="125">
        <v>0</v>
      </c>
      <c r="G19" s="22">
        <f>E19*F19</f>
        <v>0</v>
      </c>
      <c r="H19" s="22">
        <f t="shared" si="3"/>
        <v>12.9</v>
      </c>
      <c r="I19" s="23">
        <f>IF(ISERROR(H19/ABS(D19)),"N/A",(H19/ABS(D19)))</f>
        <v>1</v>
      </c>
      <c r="J19" s="124">
        <f t="shared" si="1"/>
        <v>0</v>
      </c>
    </row>
    <row r="20" spans="1:10" x14ac:dyDescent="0.2">
      <c r="A20" s="110" t="s">
        <v>97</v>
      </c>
      <c r="B20" s="74"/>
      <c r="C20" s="35"/>
      <c r="D20" s="35">
        <f>SUM(D16:D19)</f>
        <v>1414.51</v>
      </c>
      <c r="E20" s="73"/>
      <c r="F20" s="35"/>
      <c r="G20" s="35">
        <f>SUM(G16:G19)</f>
        <v>2162.38</v>
      </c>
      <c r="H20" s="35">
        <f t="shared" si="3"/>
        <v>747.87000000000012</v>
      </c>
      <c r="I20" s="36">
        <f>IF(ISERROR(H20/D20),0,(H20/D20))</f>
        <v>0.52871312327237008</v>
      </c>
      <c r="J20" s="111">
        <f t="shared" si="1"/>
        <v>8.4001299979144711E-2</v>
      </c>
    </row>
    <row r="21" spans="1:10" x14ac:dyDescent="0.2">
      <c r="A21" s="107" t="s">
        <v>40</v>
      </c>
      <c r="B21" s="73">
        <f>IF($C$10="kWh",$C$4,$C$5)</f>
        <v>500</v>
      </c>
      <c r="C21" s="78">
        <f>VLOOKUP($B$3,'Data for Bill Impacts'!$A$3:$Y$21,15,0)</f>
        <v>2.7930999999999999</v>
      </c>
      <c r="D21" s="22">
        <f>B21*C21</f>
        <v>1396.55</v>
      </c>
      <c r="E21" s="73">
        <f>IF($B$10="kWh",$B$4,$B$5)</f>
        <v>500</v>
      </c>
      <c r="F21" s="78">
        <f>VLOOKUP($B$3,'Data for Bill Impacts'!$A$3:$Y$21,24,0)</f>
        <v>1.8612</v>
      </c>
      <c r="G21" s="22">
        <f>E21*F21</f>
        <v>930.6</v>
      </c>
      <c r="H21" s="22">
        <f t="shared" si="3"/>
        <v>-465.94999999999993</v>
      </c>
      <c r="I21" s="23">
        <f t="shared" ref="I21" si="6">IF(ISERROR(H21/D21),0,(H21/D21))</f>
        <v>-0.3336436217822491</v>
      </c>
      <c r="J21" s="124">
        <f t="shared" si="1"/>
        <v>3.6150727328495488E-2</v>
      </c>
    </row>
    <row r="22" spans="1:10" s="1" customFormat="1" x14ac:dyDescent="0.2">
      <c r="A22" s="107" t="s">
        <v>41</v>
      </c>
      <c r="B22" s="73">
        <f>IF($C$10="kWh",$C$4,$C$5)</f>
        <v>500</v>
      </c>
      <c r="C22" s="125">
        <f>VLOOKUP($B$3,'Data for Bill Impacts'!$A$3:$Y$21,16,0)</f>
        <v>2.2465318947278483</v>
      </c>
      <c r="D22" s="22">
        <f>B22*C22</f>
        <v>1123.2659473639242</v>
      </c>
      <c r="E22" s="73">
        <f>IF($B$10="kWh",$B$4,$B$5)</f>
        <v>500</v>
      </c>
      <c r="F22" s="78">
        <f>VLOOKUP($B$3,'Data for Bill Impacts'!$A$3:$Y$21,25,0)</f>
        <v>1.5062</v>
      </c>
      <c r="G22" s="22">
        <f>E22*F22</f>
        <v>753.1</v>
      </c>
      <c r="H22" s="22">
        <f t="shared" si="3"/>
        <v>-370.16594736392415</v>
      </c>
      <c r="I22" s="23">
        <f t="shared" ref="I22:I35" si="7">IF(ISERROR(H22/ABS(D22)),"N/A",(H22/ABS(D22)))</f>
        <v>-0.32954435076806882</v>
      </c>
      <c r="J22" s="124">
        <f t="shared" si="1"/>
        <v>2.9255440308499837E-2</v>
      </c>
    </row>
    <row r="23" spans="1:10" x14ac:dyDescent="0.2">
      <c r="A23" s="110" t="s">
        <v>76</v>
      </c>
      <c r="B23" s="74"/>
      <c r="C23" s="35"/>
      <c r="D23" s="35">
        <f>SUM(D21:D22)</f>
        <v>2519.8159473639244</v>
      </c>
      <c r="E23" s="73"/>
      <c r="F23" s="35"/>
      <c r="G23" s="35">
        <f>SUM(G21:G22)</f>
        <v>1683.7</v>
      </c>
      <c r="H23" s="35">
        <f t="shared" si="3"/>
        <v>-836.11594736392431</v>
      </c>
      <c r="I23" s="36">
        <f t="shared" si="7"/>
        <v>-0.33181627739066305</v>
      </c>
      <c r="J23" s="111">
        <f t="shared" si="1"/>
        <v>6.5406167636995319E-2</v>
      </c>
    </row>
    <row r="24" spans="1:10" s="1" customFormat="1" x14ac:dyDescent="0.2">
      <c r="A24" s="110" t="s">
        <v>80</v>
      </c>
      <c r="B24" s="74"/>
      <c r="C24" s="35"/>
      <c r="D24" s="35">
        <f>D20+D23</f>
        <v>3934.3259473639246</v>
      </c>
      <c r="E24" s="73"/>
      <c r="F24" s="35"/>
      <c r="G24" s="35">
        <f>G20+G23</f>
        <v>3846.08</v>
      </c>
      <c r="H24" s="35">
        <f t="shared" si="3"/>
        <v>-88.245947363924643</v>
      </c>
      <c r="I24" s="36">
        <f t="shared" si="7"/>
        <v>-2.2429749986284477E-2</v>
      </c>
      <c r="J24" s="111">
        <f t="shared" si="1"/>
        <v>0.14940746761614002</v>
      </c>
    </row>
    <row r="25" spans="1:10" x14ac:dyDescent="0.2">
      <c r="A25" s="107" t="s">
        <v>42</v>
      </c>
      <c r="B25" s="73">
        <f>C9</f>
        <v>182542.49999999997</v>
      </c>
      <c r="C25" s="34">
        <v>3.5999999999999999E-3</v>
      </c>
      <c r="D25" s="22">
        <f>B25*C25</f>
        <v>657.15299999999991</v>
      </c>
      <c r="E25" s="73">
        <f>B9</f>
        <v>183137.5</v>
      </c>
      <c r="F25" s="34">
        <v>3.5999999999999999E-3</v>
      </c>
      <c r="G25" s="22">
        <f>E25*F25</f>
        <v>659.29499999999996</v>
      </c>
      <c r="H25" s="22">
        <f t="shared" si="3"/>
        <v>2.1420000000000528</v>
      </c>
      <c r="I25" s="23">
        <f t="shared" si="7"/>
        <v>3.259514907487378E-3</v>
      </c>
      <c r="J25" s="124">
        <f t="shared" si="1"/>
        <v>2.5611426793510025E-2</v>
      </c>
    </row>
    <row r="26" spans="1:10" x14ac:dyDescent="0.2">
      <c r="A26" s="107" t="s">
        <v>43</v>
      </c>
      <c r="B26" s="73">
        <f>C9</f>
        <v>182542.49999999997</v>
      </c>
      <c r="C26" s="34">
        <v>2.0999999999999999E-3</v>
      </c>
      <c r="D26" s="22">
        <f>B26*C26</f>
        <v>383.33924999999994</v>
      </c>
      <c r="E26" s="73">
        <f>B9</f>
        <v>183137.5</v>
      </c>
      <c r="F26" s="34">
        <v>2.0999999999999999E-3</v>
      </c>
      <c r="G26" s="22">
        <f>E26*F26</f>
        <v>384.58875</v>
      </c>
      <c r="H26" s="22">
        <f>G26-D26</f>
        <v>1.2495000000000687</v>
      </c>
      <c r="I26" s="23">
        <f t="shared" si="7"/>
        <v>3.2595149074874773E-3</v>
      </c>
      <c r="J26" s="124">
        <f t="shared" si="1"/>
        <v>1.4939998962880849E-2</v>
      </c>
    </row>
    <row r="27" spans="1:10" x14ac:dyDescent="0.2">
      <c r="A27" s="107" t="s">
        <v>100</v>
      </c>
      <c r="B27" s="73">
        <f>C9</f>
        <v>182542.49999999997</v>
      </c>
      <c r="C27" s="34">
        <v>0</v>
      </c>
      <c r="D27" s="22">
        <f>B27*C27</f>
        <v>0</v>
      </c>
      <c r="E27" s="73">
        <f>B9</f>
        <v>183137.5</v>
      </c>
      <c r="F27" s="34">
        <v>0</v>
      </c>
      <c r="G27" s="22">
        <f>E27*F27</f>
        <v>0</v>
      </c>
      <c r="H27" s="22">
        <f>G27-D27</f>
        <v>0</v>
      </c>
      <c r="I27" s="23" t="str">
        <f t="shared" si="7"/>
        <v>N/A</v>
      </c>
      <c r="J27" s="124">
        <f t="shared" si="1"/>
        <v>0</v>
      </c>
    </row>
    <row r="28" spans="1:10" x14ac:dyDescent="0.2">
      <c r="A28" s="107" t="s">
        <v>44</v>
      </c>
      <c r="B28" s="73">
        <v>1</v>
      </c>
      <c r="C28" s="22">
        <v>0.25</v>
      </c>
      <c r="D28" s="22">
        <f>B28*C28</f>
        <v>0.25</v>
      </c>
      <c r="E28" s="73">
        <f t="shared" si="4"/>
        <v>1</v>
      </c>
      <c r="F28" s="22">
        <f>C28</f>
        <v>0.25</v>
      </c>
      <c r="G28" s="22">
        <f>E28*F28</f>
        <v>0.25</v>
      </c>
      <c r="H28" s="22">
        <f t="shared" si="3"/>
        <v>0</v>
      </c>
      <c r="I28" s="23">
        <f t="shared" si="7"/>
        <v>0</v>
      </c>
      <c r="J28" s="124">
        <f t="shared" si="1"/>
        <v>9.7116718591487976E-6</v>
      </c>
    </row>
    <row r="29" spans="1:10" x14ac:dyDescent="0.2">
      <c r="A29" s="110" t="s">
        <v>45</v>
      </c>
      <c r="B29" s="74"/>
      <c r="C29" s="35"/>
      <c r="D29" s="35">
        <f>SUM(D25:D28)</f>
        <v>1040.7422499999998</v>
      </c>
      <c r="E29" s="73"/>
      <c r="F29" s="35"/>
      <c r="G29" s="35">
        <f>SUM(G25:G28)</f>
        <v>1044.13375</v>
      </c>
      <c r="H29" s="35">
        <f t="shared" si="3"/>
        <v>3.3915000000001783</v>
      </c>
      <c r="I29" s="36">
        <f t="shared" si="7"/>
        <v>3.2587319290632998E-3</v>
      </c>
      <c r="J29" s="111">
        <f t="shared" si="1"/>
        <v>4.0561137428250023E-2</v>
      </c>
    </row>
    <row r="30" spans="1:10" ht="13.5" thickBot="1" x14ac:dyDescent="0.25">
      <c r="A30" s="112" t="s">
        <v>46</v>
      </c>
      <c r="B30" s="113">
        <f>C4</f>
        <v>175000</v>
      </c>
      <c r="C30" s="114">
        <v>7.0000000000000001E-3</v>
      </c>
      <c r="D30" s="115">
        <f>B30*C30</f>
        <v>1225</v>
      </c>
      <c r="E30" s="116">
        <f>B4</f>
        <v>175000</v>
      </c>
      <c r="F30" s="114">
        <f>C30</f>
        <v>7.0000000000000001E-3</v>
      </c>
      <c r="G30" s="115">
        <f>E30*F30</f>
        <v>1225</v>
      </c>
      <c r="H30" s="115">
        <f t="shared" si="3"/>
        <v>0</v>
      </c>
      <c r="I30" s="117">
        <f t="shared" si="7"/>
        <v>0</v>
      </c>
      <c r="J30" s="118">
        <f t="shared" si="1"/>
        <v>4.7587192109829105E-2</v>
      </c>
    </row>
    <row r="31" spans="1:10" x14ac:dyDescent="0.2">
      <c r="A31" s="37" t="s">
        <v>146</v>
      </c>
      <c r="B31" s="38"/>
      <c r="C31" s="39"/>
      <c r="D31" s="39">
        <f>SUM(D15,D20,D23,D29,D30)</f>
        <v>22811.435697363919</v>
      </c>
      <c r="E31" s="38"/>
      <c r="F31" s="39"/>
      <c r="G31" s="39">
        <f>SUM(G15,G20,G23,G29,G30)</f>
        <v>22780.726250000003</v>
      </c>
      <c r="H31" s="39">
        <f t="shared" si="3"/>
        <v>-30.709447363915388</v>
      </c>
      <c r="I31" s="40">
        <f t="shared" si="7"/>
        <v>-1.3462303631973573E-3</v>
      </c>
      <c r="J31" s="41">
        <f t="shared" si="1"/>
        <v>0.88495575221238942</v>
      </c>
    </row>
    <row r="32" spans="1:10" x14ac:dyDescent="0.2">
      <c r="A32" s="46" t="s">
        <v>138</v>
      </c>
      <c r="B32" s="43"/>
      <c r="C32" s="26">
        <v>0.13</v>
      </c>
      <c r="D32" s="26">
        <f>D31*C32</f>
        <v>2965.4866406573096</v>
      </c>
      <c r="E32" s="26"/>
      <c r="F32" s="26">
        <f>C32</f>
        <v>0.13</v>
      </c>
      <c r="G32" s="26">
        <f>G31*F32</f>
        <v>2961.4944125000006</v>
      </c>
      <c r="H32" s="26">
        <f t="shared" si="3"/>
        <v>-3.9922281573090004</v>
      </c>
      <c r="I32" s="44">
        <f t="shared" si="7"/>
        <v>-1.3462303631973571E-3</v>
      </c>
      <c r="J32" s="45">
        <f t="shared" si="1"/>
        <v>0.11504424778761063</v>
      </c>
    </row>
    <row r="33" spans="1:10" x14ac:dyDescent="0.2">
      <c r="A33" s="46" t="s">
        <v>139</v>
      </c>
      <c r="B33" s="24"/>
      <c r="C33" s="25"/>
      <c r="D33" s="25">
        <f>SUM(D31:D32)</f>
        <v>25776.922338021228</v>
      </c>
      <c r="E33" s="25"/>
      <c r="F33" s="25"/>
      <c r="G33" s="25">
        <f>SUM(G31:G32)</f>
        <v>25742.220662500004</v>
      </c>
      <c r="H33" s="25">
        <f t="shared" si="3"/>
        <v>-34.701675521224388</v>
      </c>
      <c r="I33" s="27">
        <f t="shared" si="7"/>
        <v>-1.3462303631973573E-3</v>
      </c>
      <c r="J33" s="47">
        <f t="shared" si="1"/>
        <v>1</v>
      </c>
    </row>
    <row r="34" spans="1:10" x14ac:dyDescent="0.2">
      <c r="A34" s="46" t="s">
        <v>140</v>
      </c>
      <c r="B34" s="43"/>
      <c r="C34" s="26">
        <v>0</v>
      </c>
      <c r="D34" s="26">
        <f>D31*C34</f>
        <v>0</v>
      </c>
      <c r="E34" s="26"/>
      <c r="F34" s="26">
        <f>C34</f>
        <v>0</v>
      </c>
      <c r="G34" s="26">
        <f>G31*F34</f>
        <v>0</v>
      </c>
      <c r="H34" s="26">
        <f t="shared" si="3"/>
        <v>0</v>
      </c>
      <c r="I34" s="44" t="str">
        <f t="shared" si="7"/>
        <v>N/A</v>
      </c>
      <c r="J34" s="45">
        <f t="shared" si="1"/>
        <v>0</v>
      </c>
    </row>
    <row r="35" spans="1:10" ht="13.5" thickBot="1" x14ac:dyDescent="0.25">
      <c r="A35" s="46" t="s">
        <v>141</v>
      </c>
      <c r="B35" s="49"/>
      <c r="C35" s="50"/>
      <c r="D35" s="50">
        <f>SUM(D33:D34)</f>
        <v>25776.922338021228</v>
      </c>
      <c r="E35" s="50"/>
      <c r="F35" s="50"/>
      <c r="G35" s="50">
        <f>SUM(G33:G34)</f>
        <v>25742.220662500004</v>
      </c>
      <c r="H35" s="50">
        <f t="shared" si="3"/>
        <v>-34.701675521224388</v>
      </c>
      <c r="I35" s="51">
        <f t="shared" si="7"/>
        <v>-1.3462303631973573E-3</v>
      </c>
      <c r="J35" s="52">
        <f t="shared" si="1"/>
        <v>1</v>
      </c>
    </row>
    <row r="36" spans="1:10" x14ac:dyDescent="0.2">
      <c r="A36" s="307"/>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0.499984740745262"/>
    <pageSetUpPr fitToPage="1"/>
  </sheetPr>
  <dimension ref="A1:K68"/>
  <sheetViews>
    <sheetView tabSelected="1" view="pageBreakPreview" topLeftCell="A14"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81">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0.40502172415800758</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0.11794588670535386</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0.52296761086336141</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0.27359905707433213</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0.10501174598197645</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0.15448370335505748</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3" si="5">G18/$G$46</f>
        <v>0.54255107884462783</v>
      </c>
      <c r="K18" s="62">
        <f t="shared" si="4"/>
        <v>0.53309450641136613</v>
      </c>
    </row>
    <row r="19" spans="1:11" x14ac:dyDescent="0.2">
      <c r="A19" s="107" t="s">
        <v>38</v>
      </c>
      <c r="B19" s="73">
        <v>1</v>
      </c>
      <c r="C19" s="78">
        <f>VLOOKUP($B$3,'Data for Bill Impacts'!$A$3:$Y$15,7,0)</f>
        <v>35.85</v>
      </c>
      <c r="D19" s="22">
        <f>B19*C19</f>
        <v>35.85</v>
      </c>
      <c r="E19" s="73">
        <f t="shared" ref="E19:E41" si="6">B19</f>
        <v>1</v>
      </c>
      <c r="F19" s="78">
        <f>VLOOKUP($B$3,'Data for Bill Impacts'!$A$3:$Y$15,17,0)</f>
        <v>36.67</v>
      </c>
      <c r="G19" s="22">
        <f>E19*F19</f>
        <v>36.67</v>
      </c>
      <c r="H19" s="22">
        <f t="shared" si="2"/>
        <v>0.82000000000000028</v>
      </c>
      <c r="I19" s="23">
        <f>IF(ISERROR(H19/ABS(D19)),"N/A",(H19/ABS(D19)))</f>
        <v>2.2873082287308236E-2</v>
      </c>
      <c r="J19" s="23">
        <f t="shared" si="5"/>
        <v>0.27201733745190732</v>
      </c>
      <c r="K19" s="108">
        <f t="shared" si="4"/>
        <v>0.26727612182259769</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7.0000000000000001E-3</v>
      </c>
      <c r="D22" s="22">
        <f t="shared" si="9"/>
        <v>7.0000000000000001E-3</v>
      </c>
      <c r="E22" s="73">
        <f t="shared" si="6"/>
        <v>1</v>
      </c>
      <c r="F22" s="121">
        <f>VLOOKUP($B$3,'Data for Bill Impacts'!$A$3:$Y$15,22,0)</f>
        <v>7.0000000000000001E-3</v>
      </c>
      <c r="G22" s="22">
        <f t="shared" si="7"/>
        <v>7.0000000000000001E-3</v>
      </c>
      <c r="H22" s="22">
        <f t="shared" si="2"/>
        <v>0</v>
      </c>
      <c r="I22" s="23">
        <f t="shared" ref="I22:I51" si="10">IF(ISERROR(H22/ABS(D22)),"N/A",(H22/ABS(D22)))</f>
        <v>0</v>
      </c>
      <c r="J22" s="23">
        <f t="shared" si="5"/>
        <v>5.1925862071539433E-5</v>
      </c>
      <c r="K22" s="108">
        <f t="shared" si="4"/>
        <v>5.1020803184024643E-5</v>
      </c>
    </row>
    <row r="23" spans="1:11" x14ac:dyDescent="0.2">
      <c r="A23" s="107" t="s">
        <v>39</v>
      </c>
      <c r="B23" s="73">
        <f>IF($B$9="kWh",$B$4,$B$5)</f>
        <v>750</v>
      </c>
      <c r="C23" s="125">
        <f>VLOOKUP($B$3,'Data for Bill Impacts'!$A$3:$Y$15,10,0)</f>
        <v>0</v>
      </c>
      <c r="D23" s="22">
        <f>B23*C23</f>
        <v>0</v>
      </c>
      <c r="E23" s="73">
        <f t="shared" si="6"/>
        <v>750</v>
      </c>
      <c r="F23" s="125">
        <f>VLOOKUP($B$3,'Data for Bill Impacts'!$A$3:$Y$15,19,0)</f>
        <v>0</v>
      </c>
      <c r="G23" s="22">
        <f>E23*F23</f>
        <v>0</v>
      </c>
      <c r="H23" s="22">
        <f t="shared" si="2"/>
        <v>0</v>
      </c>
      <c r="I23" s="23" t="str">
        <f t="shared" si="10"/>
        <v>N/A</v>
      </c>
      <c r="J23" s="23">
        <f t="shared" si="5"/>
        <v>0</v>
      </c>
      <c r="K23" s="108">
        <f t="shared" si="4"/>
        <v>0</v>
      </c>
    </row>
    <row r="24" spans="1:11" x14ac:dyDescent="0.2">
      <c r="A24" s="107" t="s">
        <v>199</v>
      </c>
      <c r="B24" s="73">
        <f>IF($B$9="kWh",$B$4,$B$5)</f>
        <v>750</v>
      </c>
      <c r="C24" s="125">
        <f>VLOOKUP($B$3,'Data for Bill Impacts'!$A$3:$Y$15,14,0)</f>
        <v>3.0000000000000004E-5</v>
      </c>
      <c r="D24" s="22">
        <f>B24*C24</f>
        <v>2.2500000000000003E-2</v>
      </c>
      <c r="E24" s="73">
        <f t="shared" si="6"/>
        <v>750</v>
      </c>
      <c r="F24" s="125">
        <f>VLOOKUP($B$3,'Data for Bill Impacts'!$A$3:$Y$15,23,0)</f>
        <v>3.0000000000000004E-5</v>
      </c>
      <c r="G24" s="22">
        <f>E24*F24</f>
        <v>2.2500000000000003E-2</v>
      </c>
      <c r="H24" s="22">
        <f t="shared" si="2"/>
        <v>0</v>
      </c>
      <c r="I24" s="23">
        <f t="shared" si="10"/>
        <v>0</v>
      </c>
      <c r="J24" s="23">
        <f t="shared" ref="J24" si="11">G24/$G$46</f>
        <v>1.6690455665851963E-4</v>
      </c>
      <c r="K24" s="108">
        <f t="shared" si="4"/>
        <v>1.6399543880579352E-4</v>
      </c>
    </row>
    <row r="25" spans="1:11" s="1" customFormat="1" x14ac:dyDescent="0.2">
      <c r="A25" s="110" t="s">
        <v>72</v>
      </c>
      <c r="B25" s="74"/>
      <c r="C25" s="35"/>
      <c r="D25" s="35">
        <f>SUM(D19:D24)</f>
        <v>35.8795</v>
      </c>
      <c r="E25" s="73"/>
      <c r="F25" s="35"/>
      <c r="G25" s="35">
        <f>SUM(G19:G24)</f>
        <v>36.6995</v>
      </c>
      <c r="H25" s="35">
        <f t="shared" si="2"/>
        <v>0.82000000000000028</v>
      </c>
      <c r="I25" s="36">
        <f t="shared" si="10"/>
        <v>2.2854276118675017E-2</v>
      </c>
      <c r="J25" s="36">
        <f>G25/$G$46</f>
        <v>0.27223616787063737</v>
      </c>
      <c r="K25" s="111">
        <f t="shared" si="4"/>
        <v>0.26749113806458746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5.8602044337880219E-3</v>
      </c>
      <c r="K26" s="108">
        <f t="shared" si="4"/>
        <v>5.7580620736256381E-3</v>
      </c>
    </row>
    <row r="27" spans="1:11" s="1" customFormat="1" x14ac:dyDescent="0.2">
      <c r="A27" s="119" t="s">
        <v>75</v>
      </c>
      <c r="B27" s="120">
        <f>B8-B4</f>
        <v>42.75</v>
      </c>
      <c r="C27" s="257">
        <f>IF(B4&gt;B7,C13,C12)</f>
        <v>0.106</v>
      </c>
      <c r="D27" s="22">
        <f>B27*C27</f>
        <v>4.5315000000000003</v>
      </c>
      <c r="E27" s="73">
        <f>B27</f>
        <v>42.75</v>
      </c>
      <c r="F27" s="257">
        <f>C27</f>
        <v>0.106</v>
      </c>
      <c r="G27" s="22">
        <f>E27*F27</f>
        <v>4.5315000000000003</v>
      </c>
      <c r="H27" s="22">
        <f t="shared" si="2"/>
        <v>0</v>
      </c>
      <c r="I27" s="23">
        <f t="shared" si="10"/>
        <v>0</v>
      </c>
      <c r="J27" s="23">
        <f t="shared" ref="J27:J46" si="12">G27/$G$46</f>
        <v>3.3614577711025849E-2</v>
      </c>
      <c r="K27" s="108">
        <f t="shared" ref="K27:K41" si="13">G27/$G$51</f>
        <v>3.3028681375486812E-2</v>
      </c>
    </row>
    <row r="28" spans="1:11" s="1" customFormat="1" x14ac:dyDescent="0.2">
      <c r="A28" s="119" t="s">
        <v>74</v>
      </c>
      <c r="B28" s="120">
        <f>B8-B4</f>
        <v>42.75</v>
      </c>
      <c r="C28" s="257">
        <f>0.65*C15+0.17*C16+0.18*C17</f>
        <v>9.7519999999999996E-2</v>
      </c>
      <c r="D28" s="22">
        <f>B28*C28</f>
        <v>4.1689799999999995</v>
      </c>
      <c r="E28" s="73">
        <f>B28</f>
        <v>42.75</v>
      </c>
      <c r="F28" s="257">
        <f>C28</f>
        <v>9.7519999999999996E-2</v>
      </c>
      <c r="G28" s="22">
        <f>E28*F28</f>
        <v>4.1689799999999995</v>
      </c>
      <c r="H28" s="22">
        <f t="shared" si="2"/>
        <v>0</v>
      </c>
      <c r="I28" s="23">
        <f t="shared" si="10"/>
        <v>0</v>
      </c>
      <c r="J28" s="23">
        <f t="shared" si="12"/>
        <v>3.0925411494143774E-2</v>
      </c>
      <c r="K28" s="108">
        <f t="shared" si="13"/>
        <v>3.0386386865447861E-2</v>
      </c>
    </row>
    <row r="29" spans="1:11" s="1" customFormat="1" x14ac:dyDescent="0.2">
      <c r="A29" s="110" t="s">
        <v>78</v>
      </c>
      <c r="B29" s="74"/>
      <c r="C29" s="35"/>
      <c r="D29" s="35">
        <f>SUM(D25,D26:D27)</f>
        <v>41.201000000000001</v>
      </c>
      <c r="E29" s="73"/>
      <c r="F29" s="35"/>
      <c r="G29" s="35">
        <f>SUM(G25,G26:G27)</f>
        <v>42.021000000000001</v>
      </c>
      <c r="H29" s="35">
        <f t="shared" si="2"/>
        <v>0.82000000000000028</v>
      </c>
      <c r="I29" s="36">
        <f t="shared" si="10"/>
        <v>1.9902429552680768E-2</v>
      </c>
      <c r="J29" s="36">
        <f t="shared" si="12"/>
        <v>0.31171095001545124</v>
      </c>
      <c r="K29" s="111">
        <f t="shared" si="13"/>
        <v>0.30627788151369995</v>
      </c>
    </row>
    <row r="30" spans="1:11" s="1" customFormat="1" x14ac:dyDescent="0.2">
      <c r="A30" s="110" t="s">
        <v>77</v>
      </c>
      <c r="B30" s="74"/>
      <c r="C30" s="35"/>
      <c r="D30" s="35">
        <f>SUM(D25,D26,D28)</f>
        <v>40.838479999999997</v>
      </c>
      <c r="E30" s="73"/>
      <c r="F30" s="35"/>
      <c r="G30" s="35">
        <f>SUM(G25,G26,G28)</f>
        <v>41.658479999999997</v>
      </c>
      <c r="H30" s="35">
        <f t="shared" si="2"/>
        <v>0.82000000000000028</v>
      </c>
      <c r="I30" s="36">
        <f t="shared" si="10"/>
        <v>2.0079101866670855E-2</v>
      </c>
      <c r="J30" s="36">
        <f t="shared" si="12"/>
        <v>0.30902178379856909</v>
      </c>
      <c r="K30" s="111">
        <f t="shared" si="13"/>
        <v>0.30363558700366095</v>
      </c>
    </row>
    <row r="31" spans="1:11" x14ac:dyDescent="0.2">
      <c r="A31" s="107" t="s">
        <v>40</v>
      </c>
      <c r="B31" s="73">
        <f>B8</f>
        <v>792.75</v>
      </c>
      <c r="C31" s="125">
        <f>VLOOKUP($B$3,'Data for Bill Impacts'!$A$3:$Y$15,15,0)</f>
        <v>7.8279999999999999E-3</v>
      </c>
      <c r="D31" s="22">
        <f>B31*C31</f>
        <v>6.2056469999999999</v>
      </c>
      <c r="E31" s="73">
        <f t="shared" si="6"/>
        <v>792.75</v>
      </c>
      <c r="F31" s="78">
        <f>VLOOKUP($B$3,'Data for Bill Impacts'!$A$3:$Y$15,24,0)</f>
        <v>7.7000000000000002E-3</v>
      </c>
      <c r="G31" s="22">
        <f>E31*F31</f>
        <v>6.1041750000000006</v>
      </c>
      <c r="H31" s="22">
        <f t="shared" si="2"/>
        <v>-0.10147199999999934</v>
      </c>
      <c r="I31" s="23">
        <f t="shared" si="10"/>
        <v>-1.635155850792018E-2</v>
      </c>
      <c r="J31" s="23">
        <f t="shared" si="12"/>
        <v>4.5280649872934176E-2</v>
      </c>
      <c r="K31" s="108">
        <f t="shared" si="13"/>
        <v>4.4491415896549091E-2</v>
      </c>
    </row>
    <row r="32" spans="1:11" x14ac:dyDescent="0.2">
      <c r="A32" s="107" t="s">
        <v>41</v>
      </c>
      <c r="B32" s="73">
        <f>B8</f>
        <v>792.75</v>
      </c>
      <c r="C32" s="125">
        <f>VLOOKUP($B$3,'Data for Bill Impacts'!$A$3:$Y$15,16,0)</f>
        <v>6.4380000000000001E-3</v>
      </c>
      <c r="D32" s="22">
        <f>B32*C32</f>
        <v>5.1037245000000002</v>
      </c>
      <c r="E32" s="73">
        <f t="shared" si="6"/>
        <v>792.75</v>
      </c>
      <c r="F32" s="78">
        <f>VLOOKUP($B$3,'Data for Bill Impacts'!$A$3:$Y$15,25,0)</f>
        <v>6.3E-3</v>
      </c>
      <c r="G32" s="22">
        <f>E32*F32</f>
        <v>4.9943249999999999</v>
      </c>
      <c r="H32" s="22">
        <f t="shared" si="2"/>
        <v>-0.10939950000000032</v>
      </c>
      <c r="I32" s="23">
        <f t="shared" si="10"/>
        <v>-2.1435228331780118E-2</v>
      </c>
      <c r="J32" s="23">
        <f t="shared" si="12"/>
        <v>3.7047804441491597E-2</v>
      </c>
      <c r="K32" s="108">
        <f t="shared" si="13"/>
        <v>3.6402067551721984E-2</v>
      </c>
    </row>
    <row r="33" spans="1:11" s="1" customFormat="1" x14ac:dyDescent="0.2">
      <c r="A33" s="110" t="s">
        <v>76</v>
      </c>
      <c r="B33" s="74"/>
      <c r="C33" s="35"/>
      <c r="D33" s="35">
        <f>SUM(D31:D32)</f>
        <v>11.309371500000001</v>
      </c>
      <c r="E33" s="73"/>
      <c r="F33" s="35"/>
      <c r="G33" s="35">
        <f>SUM(G31:G32)</f>
        <v>11.098500000000001</v>
      </c>
      <c r="H33" s="35">
        <f t="shared" si="2"/>
        <v>-0.21087149999999966</v>
      </c>
      <c r="I33" s="36">
        <f t="shared" si="10"/>
        <v>-1.8645731108930291E-2</v>
      </c>
      <c r="J33" s="36">
        <f t="shared" si="12"/>
        <v>8.2328454314425772E-2</v>
      </c>
      <c r="K33" s="111">
        <f t="shared" si="13"/>
        <v>8.0893483448271075E-2</v>
      </c>
    </row>
    <row r="34" spans="1:11" s="1" customFormat="1" x14ac:dyDescent="0.2">
      <c r="A34" s="110" t="s">
        <v>95</v>
      </c>
      <c r="B34" s="74"/>
      <c r="C34" s="35"/>
      <c r="D34" s="35">
        <f>D29+D33</f>
        <v>52.510371500000005</v>
      </c>
      <c r="E34" s="73"/>
      <c r="F34" s="35"/>
      <c r="G34" s="35">
        <f>G29+G33</f>
        <v>53.119500000000002</v>
      </c>
      <c r="H34" s="35">
        <f t="shared" si="2"/>
        <v>0.60912849999999708</v>
      </c>
      <c r="I34" s="36">
        <f t="shared" si="10"/>
        <v>1.1600155980614172E-2</v>
      </c>
      <c r="J34" s="36">
        <f t="shared" si="12"/>
        <v>0.394039404329877</v>
      </c>
      <c r="K34" s="111">
        <f t="shared" si="13"/>
        <v>0.38717136496197102</v>
      </c>
    </row>
    <row r="35" spans="1:11" s="1" customFormat="1" x14ac:dyDescent="0.2">
      <c r="A35" s="110" t="s">
        <v>96</v>
      </c>
      <c r="B35" s="74"/>
      <c r="C35" s="35"/>
      <c r="D35" s="35">
        <f>D30+D33</f>
        <v>52.147851500000002</v>
      </c>
      <c r="E35" s="73"/>
      <c r="F35" s="35"/>
      <c r="G35" s="35">
        <f>G30+G33</f>
        <v>52.756979999999999</v>
      </c>
      <c r="H35" s="35">
        <f t="shared" si="2"/>
        <v>0.60912849999999708</v>
      </c>
      <c r="I35" s="36">
        <f t="shared" si="10"/>
        <v>1.1680797625957745E-2</v>
      </c>
      <c r="J35" s="36">
        <f t="shared" si="12"/>
        <v>0.39135023811299491</v>
      </c>
      <c r="K35" s="111">
        <f t="shared" si="13"/>
        <v>0.38452907045193202</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2"/>
        <v>0</v>
      </c>
      <c r="I36" s="23">
        <f t="shared" si="10"/>
        <v>0</v>
      </c>
      <c r="J36" s="23">
        <f t="shared" si="12"/>
        <v>2.1170173966566626E-2</v>
      </c>
      <c r="K36" s="108">
        <f t="shared" si="13"/>
        <v>2.0801181458126844E-2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10"/>
        <v>0</v>
      </c>
      <c r="J37" s="23">
        <f t="shared" si="12"/>
        <v>1.2349268147163864E-2</v>
      </c>
      <c r="K37" s="108">
        <f t="shared" si="13"/>
        <v>1.213402251724066E-2</v>
      </c>
    </row>
    <row r="38" spans="1:11" x14ac:dyDescent="0.2">
      <c r="A38" s="107" t="s">
        <v>100</v>
      </c>
      <c r="B38" s="73">
        <f>B8</f>
        <v>792.75</v>
      </c>
      <c r="C38" s="34">
        <v>0</v>
      </c>
      <c r="D38" s="22">
        <f>B38*C38</f>
        <v>0</v>
      </c>
      <c r="E38" s="73">
        <f t="shared" si="6"/>
        <v>792.75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1.8544950739835511E-3</v>
      </c>
      <c r="K39" s="108">
        <f t="shared" si="13"/>
        <v>1.8221715422865944E-3</v>
      </c>
    </row>
    <row r="40" spans="1:11" s="1" customFormat="1" x14ac:dyDescent="0.2">
      <c r="A40" s="110" t="s">
        <v>45</v>
      </c>
      <c r="B40" s="74"/>
      <c r="C40" s="35"/>
      <c r="D40" s="35">
        <f>SUM(D36:D39)</f>
        <v>4.768675</v>
      </c>
      <c r="E40" s="73"/>
      <c r="F40" s="35"/>
      <c r="G40" s="35">
        <f>SUM(G36:G39)</f>
        <v>4.768675</v>
      </c>
      <c r="H40" s="35">
        <f t="shared" si="2"/>
        <v>0</v>
      </c>
      <c r="I40" s="36">
        <f t="shared" si="10"/>
        <v>0</v>
      </c>
      <c r="J40" s="36">
        <f t="shared" si="12"/>
        <v>3.537393718771404E-2</v>
      </c>
      <c r="K40" s="111">
        <f t="shared" si="13"/>
        <v>3.47573755176541E-2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127.77904650000001</v>
      </c>
      <c r="E42" s="38"/>
      <c r="F42" s="39"/>
      <c r="G42" s="39">
        <f>SUM(G14,G25,G26,G27,G33,G40,G41)</f>
        <v>128.38817499999999</v>
      </c>
      <c r="H42" s="39">
        <f t="shared" si="2"/>
        <v>0.60912849999998286</v>
      </c>
      <c r="I42" s="40">
        <f t="shared" si="10"/>
        <v>4.7670452760811832E-3</v>
      </c>
      <c r="J42" s="40">
        <f t="shared" si="12"/>
        <v>0.95238095238095233</v>
      </c>
      <c r="K42" s="41"/>
    </row>
    <row r="43" spans="1:11" x14ac:dyDescent="0.2">
      <c r="A43" s="149" t="s">
        <v>138</v>
      </c>
      <c r="B43" s="43"/>
      <c r="C43" s="26">
        <v>0.13</v>
      </c>
      <c r="D43" s="26">
        <f>D42*C43</f>
        <v>16.611276045</v>
      </c>
      <c r="E43" s="26"/>
      <c r="F43" s="26">
        <f>C43</f>
        <v>0.13</v>
      </c>
      <c r="G43" s="26">
        <f>G42*F43</f>
        <v>16.690462749999998</v>
      </c>
      <c r="H43" s="26">
        <f t="shared" si="2"/>
        <v>7.9186704999997914E-2</v>
      </c>
      <c r="I43" s="44">
        <f t="shared" si="10"/>
        <v>4.7670452760811919E-3</v>
      </c>
      <c r="J43" s="44">
        <f t="shared" si="12"/>
        <v>0.1238095238095238</v>
      </c>
      <c r="K43" s="45"/>
    </row>
    <row r="44" spans="1:11" s="1" customFormat="1" x14ac:dyDescent="0.2">
      <c r="A44" s="46" t="s">
        <v>139</v>
      </c>
      <c r="B44" s="24"/>
      <c r="C44" s="25"/>
      <c r="D44" s="25">
        <f>SUM(D42:D43)</f>
        <v>144.390322545</v>
      </c>
      <c r="E44" s="25"/>
      <c r="F44" s="25"/>
      <c r="G44" s="25">
        <f>SUM(G42:G43)</f>
        <v>145.07863774999998</v>
      </c>
      <c r="H44" s="25">
        <f t="shared" si="2"/>
        <v>0.68831520499998078</v>
      </c>
      <c r="I44" s="27">
        <f t="shared" si="10"/>
        <v>4.7670452760811841E-3</v>
      </c>
      <c r="J44" s="27">
        <f t="shared" si="12"/>
        <v>1.0761904761904761</v>
      </c>
      <c r="K44" s="47"/>
    </row>
    <row r="45" spans="1:11" x14ac:dyDescent="0.2">
      <c r="A45" s="42" t="s">
        <v>140</v>
      </c>
      <c r="B45" s="43"/>
      <c r="C45" s="26">
        <v>-0.08</v>
      </c>
      <c r="D45" s="26">
        <f>D42*C45</f>
        <v>-10.22232372</v>
      </c>
      <c r="E45" s="26"/>
      <c r="F45" s="26">
        <f>C45</f>
        <v>-0.08</v>
      </c>
      <c r="G45" s="26">
        <f>G42*F45</f>
        <v>-10.271053999999999</v>
      </c>
      <c r="H45" s="26">
        <f t="shared" si="2"/>
        <v>-4.8730279999999127E-2</v>
      </c>
      <c r="I45" s="44">
        <f t="shared" si="10"/>
        <v>-4.7670452760812318E-3</v>
      </c>
      <c r="J45" s="44">
        <f t="shared" si="12"/>
        <v>-7.6190476190476197E-2</v>
      </c>
      <c r="K45" s="45"/>
    </row>
    <row r="46" spans="1:11" s="1" customFormat="1" ht="13.5" thickBot="1" x14ac:dyDescent="0.25">
      <c r="A46" s="48" t="s">
        <v>141</v>
      </c>
      <c r="B46" s="49"/>
      <c r="C46" s="50"/>
      <c r="D46" s="50">
        <f>SUM(D44:D45)</f>
        <v>134.16799882500001</v>
      </c>
      <c r="E46" s="50"/>
      <c r="F46" s="50"/>
      <c r="G46" s="50">
        <f>SUM(G44:G45)</f>
        <v>134.80758374999999</v>
      </c>
      <c r="H46" s="50">
        <f t="shared" si="2"/>
        <v>0.63958492499997988</v>
      </c>
      <c r="I46" s="51">
        <f t="shared" si="10"/>
        <v>4.7670452760811667E-3</v>
      </c>
      <c r="J46" s="51">
        <f t="shared" si="12"/>
        <v>1</v>
      </c>
      <c r="K46" s="52"/>
    </row>
    <row r="47" spans="1:11" x14ac:dyDescent="0.2">
      <c r="A47" s="53" t="s">
        <v>142</v>
      </c>
      <c r="B47" s="54"/>
      <c r="C47" s="55"/>
      <c r="D47" s="55">
        <f>SUM(D18,D25,D26,D28,D33,D40,D41)</f>
        <v>130.05652650000002</v>
      </c>
      <c r="E47" s="55"/>
      <c r="F47" s="55"/>
      <c r="G47" s="55">
        <f>SUM(G18,G25,G26,G28,G33,G40,G41)</f>
        <v>130.66565500000002</v>
      </c>
      <c r="H47" s="55">
        <f>G47-D47</f>
        <v>0.60912849999999708</v>
      </c>
      <c r="I47" s="56">
        <f t="shared" si="10"/>
        <v>4.6835673410053512E-3</v>
      </c>
      <c r="J47" s="56"/>
      <c r="K47" s="57">
        <f>G47/$G$51</f>
        <v>0.95238095238095233</v>
      </c>
    </row>
    <row r="48" spans="1:11" x14ac:dyDescent="0.2">
      <c r="A48" s="58" t="s">
        <v>138</v>
      </c>
      <c r="B48" s="59"/>
      <c r="C48" s="31">
        <v>0.13</v>
      </c>
      <c r="D48" s="31">
        <f>D47*C48</f>
        <v>16.907348445000004</v>
      </c>
      <c r="E48" s="31"/>
      <c r="F48" s="31">
        <f>C48</f>
        <v>0.13</v>
      </c>
      <c r="G48" s="31">
        <f>G47*F48</f>
        <v>16.986535150000002</v>
      </c>
      <c r="H48" s="31">
        <f>G48-D48</f>
        <v>7.9186704999997914E-2</v>
      </c>
      <c r="I48" s="32">
        <f t="shared" si="10"/>
        <v>4.6835673410052497E-3</v>
      </c>
      <c r="J48" s="32"/>
      <c r="K48" s="60">
        <f>G48/$G$51</f>
        <v>0.1238095238095238</v>
      </c>
    </row>
    <row r="49" spans="1:11" x14ac:dyDescent="0.2">
      <c r="A49" s="61" t="s">
        <v>143</v>
      </c>
      <c r="B49" s="29"/>
      <c r="C49" s="30"/>
      <c r="D49" s="30">
        <f>SUM(D47:D48)</f>
        <v>146.96387494500001</v>
      </c>
      <c r="E49" s="30"/>
      <c r="F49" s="30"/>
      <c r="G49" s="30">
        <f>SUM(G47:G48)</f>
        <v>147.65219015000002</v>
      </c>
      <c r="H49" s="30">
        <f>G49-D49</f>
        <v>0.6883152050000092</v>
      </c>
      <c r="I49" s="33">
        <f t="shared" si="10"/>
        <v>4.6835673410054362E-3</v>
      </c>
      <c r="J49" s="33"/>
      <c r="K49" s="62">
        <f>G49/$G$51</f>
        <v>1.0761904761904761</v>
      </c>
    </row>
    <row r="50" spans="1:11" x14ac:dyDescent="0.2">
      <c r="A50" s="58" t="s">
        <v>140</v>
      </c>
      <c r="B50" s="59"/>
      <c r="C50" s="31">
        <v>-0.08</v>
      </c>
      <c r="D50" s="31">
        <f>D47*C50</f>
        <v>-10.404522120000001</v>
      </c>
      <c r="E50" s="31"/>
      <c r="F50" s="31">
        <f>C50</f>
        <v>-0.08</v>
      </c>
      <c r="G50" s="31">
        <f>G47*F50</f>
        <v>-10.453252400000002</v>
      </c>
      <c r="H50" s="31">
        <f>G50-D50</f>
        <v>-4.8730280000000903E-2</v>
      </c>
      <c r="I50" s="32">
        <f t="shared" si="10"/>
        <v>-4.6835673410054604E-3</v>
      </c>
      <c r="J50" s="32"/>
      <c r="K50" s="60">
        <f>G50/$G$51</f>
        <v>-7.6190476190476183E-2</v>
      </c>
    </row>
    <row r="51" spans="1:11" ht="13.5" thickBot="1" x14ac:dyDescent="0.25">
      <c r="A51" s="63" t="s">
        <v>144</v>
      </c>
      <c r="B51" s="64"/>
      <c r="C51" s="65"/>
      <c r="D51" s="65">
        <f>SUM(D49:D50)</f>
        <v>136.55935282500002</v>
      </c>
      <c r="E51" s="65"/>
      <c r="F51" s="65"/>
      <c r="G51" s="65">
        <f>SUM(G49:G50)</f>
        <v>137.19893775000003</v>
      </c>
      <c r="H51" s="65">
        <f>G51-D51</f>
        <v>0.6395849250000083</v>
      </c>
      <c r="I51" s="66">
        <f t="shared" si="10"/>
        <v>4.6835673410054344E-3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40"/>
  <sheetViews>
    <sheetView tabSelected="1"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ht="25.5" x14ac:dyDescent="0.2">
      <c r="A3" s="13" t="s">
        <v>13</v>
      </c>
      <c r="B3" s="13" t="s">
        <v>11</v>
      </c>
      <c r="C3" s="192" t="s">
        <v>118</v>
      </c>
    </row>
    <row r="4" spans="1:10" x14ac:dyDescent="0.2">
      <c r="A4" s="15" t="s">
        <v>62</v>
      </c>
      <c r="B4" s="79">
        <f>'Data for Bill Impacts_HONI Avg '!B91</f>
        <v>750000</v>
      </c>
      <c r="C4" s="79">
        <f>B4</f>
        <v>750000</v>
      </c>
    </row>
    <row r="5" spans="1:10" x14ac:dyDescent="0.2">
      <c r="A5" s="15" t="s">
        <v>16</v>
      </c>
      <c r="B5" s="79">
        <f>'Data for Bill Impacts_HONI Avg '!C91</f>
        <v>1500</v>
      </c>
      <c r="C5" s="79">
        <v>500</v>
      </c>
    </row>
    <row r="6" spans="1:10" x14ac:dyDescent="0.2">
      <c r="A6" s="15" t="s">
        <v>20</v>
      </c>
      <c r="B6" s="80">
        <f>VLOOKUP($B$3,'Data for Bill Impacts'!$A$3:$Y$15,2,0)</f>
        <v>1.034</v>
      </c>
      <c r="C6" s="211">
        <v>1.0326</v>
      </c>
    </row>
    <row r="7" spans="1:10" x14ac:dyDescent="0.2">
      <c r="A7" s="81" t="s">
        <v>49</v>
      </c>
      <c r="B7" s="82">
        <f>B4/(B5*730)</f>
        <v>0.68493150684931503</v>
      </c>
      <c r="C7" s="82">
        <f>C4/(C5*730)</f>
        <v>2.0547945205479454</v>
      </c>
    </row>
    <row r="8" spans="1:10" x14ac:dyDescent="0.2">
      <c r="A8" s="15" t="s">
        <v>15</v>
      </c>
      <c r="B8" s="79">
        <f>VLOOKUP($B$3,'Data for Bill Impacts'!$A$3:$Y$15,4,0)</f>
        <v>0</v>
      </c>
      <c r="C8" s="79">
        <f>'Data for Bill Impacts'!D25</f>
        <v>0</v>
      </c>
    </row>
    <row r="9" spans="1:10" x14ac:dyDescent="0.2">
      <c r="A9" s="15" t="s">
        <v>82</v>
      </c>
      <c r="B9" s="79">
        <f>B4*B6</f>
        <v>775500</v>
      </c>
      <c r="C9" s="79">
        <f>C4*C6</f>
        <v>774450</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774450</v>
      </c>
      <c r="C13" s="103">
        <v>9.0999999999999998E-2</v>
      </c>
      <c r="D13" s="104">
        <f>B13*C13</f>
        <v>70474.95</v>
      </c>
      <c r="E13" s="102">
        <f>B9</f>
        <v>775500</v>
      </c>
      <c r="F13" s="103">
        <f>C13</f>
        <v>9.0999999999999998E-2</v>
      </c>
      <c r="G13" s="104">
        <f>E13*F13</f>
        <v>70570.5</v>
      </c>
      <c r="H13" s="104">
        <f>G13-D13</f>
        <v>95.55000000000291</v>
      </c>
      <c r="I13" s="105">
        <f t="shared" ref="I13:I18" si="0">IF(ISERROR(H13/ABS(D13)),"N/A",(H13/ABS(D13)))</f>
        <v>1.3558008909549126E-3</v>
      </c>
      <c r="J13" s="123">
        <f t="shared" ref="J13:J38" si="1">G13/$G$38</f>
        <v>0.67321155793321596</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70474.95</v>
      </c>
      <c r="E15" s="76"/>
      <c r="F15" s="25"/>
      <c r="G15" s="25">
        <f>SUM(G13:G14)</f>
        <v>70570.5</v>
      </c>
      <c r="H15" s="25">
        <f t="shared" si="3"/>
        <v>95.55000000000291</v>
      </c>
      <c r="I15" s="27">
        <f t="shared" si="0"/>
        <v>1.3558008909549126E-3</v>
      </c>
      <c r="J15" s="47">
        <f t="shared" si="1"/>
        <v>0.67321155793321596</v>
      </c>
    </row>
    <row r="16" spans="1:10" s="1" customFormat="1" x14ac:dyDescent="0.2">
      <c r="A16" s="107" t="s">
        <v>38</v>
      </c>
      <c r="B16" s="73">
        <v>1</v>
      </c>
      <c r="C16" s="121">
        <f>'Data for Bill Impacts'!G25</f>
        <v>518.85</v>
      </c>
      <c r="D16" s="22">
        <f>B16*C16</f>
        <v>518.85</v>
      </c>
      <c r="E16" s="73">
        <f t="shared" ref="E16:E33" si="4">B16</f>
        <v>1</v>
      </c>
      <c r="F16" s="78">
        <f>VLOOKUP($B$3,'Data for Bill Impacts'!$A$3:$Y$15,17,0)</f>
        <v>1270.3699999999999</v>
      </c>
      <c r="G16" s="22">
        <f>E16*F16</f>
        <v>1270.3699999999999</v>
      </c>
      <c r="H16" s="22">
        <f t="shared" si="3"/>
        <v>751.51999999999987</v>
      </c>
      <c r="I16" s="23">
        <f t="shared" si="0"/>
        <v>1.4484340368121804</v>
      </c>
      <c r="J16" s="124">
        <f t="shared" si="1"/>
        <v>1.2118771538413637E-2</v>
      </c>
    </row>
    <row r="17" spans="1:10" x14ac:dyDescent="0.2">
      <c r="A17" s="107" t="s">
        <v>197</v>
      </c>
      <c r="B17" s="73">
        <v>1</v>
      </c>
      <c r="C17" s="121">
        <f>'Data for Bill Impacts'!K25</f>
        <v>-5.19</v>
      </c>
      <c r="D17" s="22">
        <f>B17*C17</f>
        <v>-5.19</v>
      </c>
      <c r="E17" s="73">
        <f t="shared" si="4"/>
        <v>1</v>
      </c>
      <c r="F17" s="121">
        <v>0</v>
      </c>
      <c r="G17" s="22">
        <f t="shared" ref="G17:G18" si="5">E17*F17</f>
        <v>0</v>
      </c>
      <c r="H17" s="22">
        <f t="shared" si="3"/>
        <v>5.19</v>
      </c>
      <c r="I17" s="23">
        <f t="shared" si="0"/>
        <v>1</v>
      </c>
      <c r="J17" s="124">
        <f t="shared" si="1"/>
        <v>0</v>
      </c>
    </row>
    <row r="18" spans="1:10" x14ac:dyDescent="0.2">
      <c r="A18" s="107" t="s">
        <v>85</v>
      </c>
      <c r="B18" s="73">
        <v>1</v>
      </c>
      <c r="C18" s="121">
        <v>0</v>
      </c>
      <c r="D18" s="22">
        <f t="shared" ref="D18" si="6">B18*C18</f>
        <v>0</v>
      </c>
      <c r="E18" s="73">
        <f t="shared" si="4"/>
        <v>1</v>
      </c>
      <c r="F18" s="121">
        <f>VLOOKUP($B$3,'Data for Bill Impacts'!$A$3:$Y$15,22,0)</f>
        <v>3.819</v>
      </c>
      <c r="G18" s="22">
        <f t="shared" si="5"/>
        <v>3.819</v>
      </c>
      <c r="H18" s="22">
        <f t="shared" si="3"/>
        <v>3.819</v>
      </c>
      <c r="I18" s="23" t="str">
        <f t="shared" si="0"/>
        <v>N/A</v>
      </c>
      <c r="J18" s="124">
        <f t="shared" si="1"/>
        <v>3.6431581747996005E-5</v>
      </c>
    </row>
    <row r="19" spans="1:10" x14ac:dyDescent="0.2">
      <c r="A19" s="107" t="s">
        <v>39</v>
      </c>
      <c r="B19" s="73">
        <f>IF($C$10="kWh",$C$4,$C$5)</f>
        <v>500</v>
      </c>
      <c r="C19" s="125">
        <f>'Data for Bill Impacts'!J25</f>
        <v>2.7397999999999998</v>
      </c>
      <c r="D19" s="22">
        <f>B19*C19</f>
        <v>1369.8999999999999</v>
      </c>
      <c r="E19" s="73">
        <f>IF($B$10="kWh",$B$4,$B$5)</f>
        <v>1500</v>
      </c>
      <c r="F19" s="78">
        <f>VLOOKUP($B$3,'Data for Bill Impacts'!$A$3:$Y$15,19,0)</f>
        <v>1.4496644372303882</v>
      </c>
      <c r="G19" s="22">
        <f>E19*F19</f>
        <v>2174.4966558455822</v>
      </c>
      <c r="H19" s="22">
        <f t="shared" si="3"/>
        <v>804.59665584558229</v>
      </c>
      <c r="I19" s="23">
        <f>IF(ISERROR(H19/ABS(D19)),"N/A",(H19/ABS(D19)))</f>
        <v>0.587339700595359</v>
      </c>
      <c r="J19" s="124">
        <f t="shared" si="1"/>
        <v>2.0743742518508055E-2</v>
      </c>
    </row>
    <row r="20" spans="1:10" x14ac:dyDescent="0.2">
      <c r="A20" s="107" t="s">
        <v>198</v>
      </c>
      <c r="B20" s="73">
        <f>IF($C$10="kWh",$C$4,$C$5)</f>
        <v>500</v>
      </c>
      <c r="C20" s="78">
        <f>'Data for Bill Impacts'!L25</f>
        <v>-2.7400000000000001E-2</v>
      </c>
      <c r="D20" s="22">
        <f>B20*C20</f>
        <v>-13.700000000000001</v>
      </c>
      <c r="E20" s="73">
        <f>B20</f>
        <v>500</v>
      </c>
      <c r="F20" s="125">
        <v>0</v>
      </c>
      <c r="G20" s="22">
        <f>E20*F20</f>
        <v>0</v>
      </c>
      <c r="H20" s="22">
        <f>G20-D20</f>
        <v>13.700000000000001</v>
      </c>
      <c r="I20" s="23">
        <f>IF(ISERROR(H20/D20),0,(H20/D20))</f>
        <v>-1</v>
      </c>
      <c r="J20" s="124">
        <f t="shared" si="1"/>
        <v>0</v>
      </c>
    </row>
    <row r="21" spans="1:10" s="1" customFormat="1" x14ac:dyDescent="0.2">
      <c r="A21" s="107" t="s">
        <v>199</v>
      </c>
      <c r="B21" s="73">
        <f>IF($C$10="kWh",$C$4,$C$5)</f>
        <v>500</v>
      </c>
      <c r="C21" s="125">
        <f>VLOOKUP($C$3,'Data for Bill Impacts'!$A$3:$Y$39,14,0)</f>
        <v>0</v>
      </c>
      <c r="D21" s="22">
        <f>B21*C21</f>
        <v>0</v>
      </c>
      <c r="E21" s="73">
        <f>IF($B$10="kWh",$B$4,$B$5)</f>
        <v>1500</v>
      </c>
      <c r="F21" s="125">
        <f>VLOOKUP($B$3,'Data for Bill Impacts'!$A$3:$Y$15,23,0)</f>
        <v>-0.13666999999999996</v>
      </c>
      <c r="G21" s="22">
        <f>E21*F21</f>
        <v>-205.00499999999994</v>
      </c>
      <c r="H21" s="22">
        <f>G21-D21</f>
        <v>-205.00499999999994</v>
      </c>
      <c r="I21" s="23">
        <f>IF(ISERROR(H21/D21),0,(H21/D21))</f>
        <v>0</v>
      </c>
      <c r="J21" s="124">
        <f t="shared" si="1"/>
        <v>-1.9556576109578212E-3</v>
      </c>
    </row>
    <row r="22" spans="1:10" s="1" customFormat="1" x14ac:dyDescent="0.2">
      <c r="A22" s="107" t="s">
        <v>148</v>
      </c>
      <c r="B22" s="73">
        <f>C9</f>
        <v>774450</v>
      </c>
      <c r="C22" s="125">
        <f>VLOOKUP($C$3,'Data for Bill Impacts'!$A$3:$Y$39,20,0)</f>
        <v>0</v>
      </c>
      <c r="D22" s="22">
        <f>B22*C22</f>
        <v>0</v>
      </c>
      <c r="E22" s="73">
        <f>B9</f>
        <v>775500</v>
      </c>
      <c r="F22" s="78">
        <f>VLOOKUP($B$3,'Data for Bill Impacts'!$A$3:$Y$39,21,0)</f>
        <v>0</v>
      </c>
      <c r="G22" s="22">
        <f>E22*F22</f>
        <v>0</v>
      </c>
      <c r="H22" s="22">
        <f t="shared" si="3"/>
        <v>0</v>
      </c>
      <c r="I22" s="23" t="str">
        <f t="shared" ref="I22:I38" si="7">IF(ISERROR(H22/ABS(D22)),"N/A",(H22/ABS(D22)))</f>
        <v>N/A</v>
      </c>
      <c r="J22" s="124">
        <f t="shared" si="1"/>
        <v>0</v>
      </c>
    </row>
    <row r="23" spans="1:10" x14ac:dyDescent="0.2">
      <c r="A23" s="110" t="s">
        <v>97</v>
      </c>
      <c r="B23" s="74"/>
      <c r="C23" s="35"/>
      <c r="D23" s="35">
        <f>SUM(D16:D22)</f>
        <v>1869.86</v>
      </c>
      <c r="E23" s="73"/>
      <c r="F23" s="35"/>
      <c r="G23" s="35">
        <f>SUM(G16:G22)</f>
        <v>3243.6806558455819</v>
      </c>
      <c r="H23" s="35">
        <f t="shared" si="3"/>
        <v>1373.820655845582</v>
      </c>
      <c r="I23" s="36">
        <f t="shared" si="7"/>
        <v>0.73471845798379665</v>
      </c>
      <c r="J23" s="111">
        <f t="shared" si="1"/>
        <v>3.0943288027711863E-2</v>
      </c>
    </row>
    <row r="24" spans="1:10" x14ac:dyDescent="0.2">
      <c r="A24" s="107" t="s">
        <v>40</v>
      </c>
      <c r="B24" s="73">
        <f>C5</f>
        <v>500</v>
      </c>
      <c r="C24" s="125">
        <f>VLOOKUP($C$3,'Data for Bill Impacts'!$A$3:$Y$39,15,0)</f>
        <v>2.7930999999999999</v>
      </c>
      <c r="D24" s="22">
        <f>B24*C24</f>
        <v>1396.55</v>
      </c>
      <c r="E24" s="73">
        <f>B5</f>
        <v>1500</v>
      </c>
      <c r="F24" s="78">
        <f>VLOOKUP($B$3,'Data for Bill Impacts'!$A$3:$Y$15,24,0)</f>
        <v>3.5367000000000002</v>
      </c>
      <c r="G24" s="22">
        <f>E24*F24</f>
        <v>5305.05</v>
      </c>
      <c r="H24" s="22">
        <f t="shared" si="3"/>
        <v>3908.5</v>
      </c>
      <c r="I24" s="23">
        <f t="shared" si="7"/>
        <v>2.7986824675092192</v>
      </c>
      <c r="J24" s="124">
        <f t="shared" si="1"/>
        <v>5.0607845706259806E-2</v>
      </c>
    </row>
    <row r="25" spans="1:10" s="1" customFormat="1" x14ac:dyDescent="0.2">
      <c r="A25" s="107" t="s">
        <v>41</v>
      </c>
      <c r="B25" s="73">
        <f>C5</f>
        <v>500</v>
      </c>
      <c r="C25" s="125">
        <f>VLOOKUP($C$3,'Data for Bill Impacts'!$A$3:$Y$39,16,0)</f>
        <v>2.2465318991985725</v>
      </c>
      <c r="D25" s="22">
        <f>B25*C25</f>
        <v>1123.2659495992862</v>
      </c>
      <c r="E25" s="73">
        <f>B5</f>
        <v>1500</v>
      </c>
      <c r="F25" s="78">
        <f>VLOOKUP($B$3,'Data for Bill Impacts'!$A$3:$Y$15,25,0)</f>
        <v>2.6514000000000002</v>
      </c>
      <c r="G25" s="22">
        <f>E25*F25</f>
        <v>3977.1000000000004</v>
      </c>
      <c r="H25" s="22">
        <f t="shared" si="3"/>
        <v>2853.8340504007142</v>
      </c>
      <c r="I25" s="23">
        <f t="shared" si="7"/>
        <v>2.5406574920380973</v>
      </c>
      <c r="J25" s="124">
        <f t="shared" si="1"/>
        <v>3.7939786271263397E-2</v>
      </c>
    </row>
    <row r="26" spans="1:10" x14ac:dyDescent="0.2">
      <c r="A26" s="110" t="s">
        <v>76</v>
      </c>
      <c r="B26" s="74"/>
      <c r="C26" s="35"/>
      <c r="D26" s="35">
        <f>SUM(D24:D25)</f>
        <v>2519.8159495992859</v>
      </c>
      <c r="E26" s="73"/>
      <c r="F26" s="35"/>
      <c r="G26" s="35">
        <f>SUM(G24:G25)</f>
        <v>9282.1500000000015</v>
      </c>
      <c r="H26" s="35">
        <f t="shared" si="3"/>
        <v>6762.3340504007156</v>
      </c>
      <c r="I26" s="36">
        <f t="shared" si="7"/>
        <v>2.6836618966064156</v>
      </c>
      <c r="J26" s="111">
        <f t="shared" si="1"/>
        <v>8.8547631977523217E-2</v>
      </c>
    </row>
    <row r="27" spans="1:10" s="1" customFormat="1" x14ac:dyDescent="0.2">
      <c r="A27" s="110" t="s">
        <v>80</v>
      </c>
      <c r="B27" s="74"/>
      <c r="C27" s="35"/>
      <c r="D27" s="35">
        <f>D23+D26</f>
        <v>4389.6759495992856</v>
      </c>
      <c r="E27" s="73"/>
      <c r="F27" s="35"/>
      <c r="G27" s="35">
        <f>G23+G26</f>
        <v>12525.830655845584</v>
      </c>
      <c r="H27" s="35">
        <f t="shared" si="3"/>
        <v>8136.1547062462987</v>
      </c>
      <c r="I27" s="36">
        <f t="shared" si="7"/>
        <v>1.8534750172137451</v>
      </c>
      <c r="J27" s="111">
        <f t="shared" si="1"/>
        <v>0.11949092000523509</v>
      </c>
    </row>
    <row r="28" spans="1:10" x14ac:dyDescent="0.2">
      <c r="A28" s="107" t="s">
        <v>42</v>
      </c>
      <c r="B28" s="73">
        <f>C9</f>
        <v>774450</v>
      </c>
      <c r="C28" s="34">
        <v>3.5999999999999999E-3</v>
      </c>
      <c r="D28" s="22">
        <f>B28*C28</f>
        <v>2788.02</v>
      </c>
      <c r="E28" s="73">
        <f>B9</f>
        <v>775500</v>
      </c>
      <c r="F28" s="34">
        <v>3.5999999999999999E-3</v>
      </c>
      <c r="G28" s="22">
        <f>E28*F28</f>
        <v>2791.7999999999997</v>
      </c>
      <c r="H28" s="22">
        <f t="shared" si="3"/>
        <v>3.7799999999997453</v>
      </c>
      <c r="I28" s="23">
        <f t="shared" si="7"/>
        <v>1.3558008909547799E-3</v>
      </c>
      <c r="J28" s="124">
        <f t="shared" si="1"/>
        <v>2.6632545149006346E-2</v>
      </c>
    </row>
    <row r="29" spans="1:10" x14ac:dyDescent="0.2">
      <c r="A29" s="107" t="s">
        <v>43</v>
      </c>
      <c r="B29" s="73">
        <f>C9</f>
        <v>774450</v>
      </c>
      <c r="C29" s="34">
        <v>2.0999999999999999E-3</v>
      </c>
      <c r="D29" s="22">
        <f>B29*C29</f>
        <v>1626.3449999999998</v>
      </c>
      <c r="E29" s="73">
        <f>B9</f>
        <v>775500</v>
      </c>
      <c r="F29" s="34">
        <v>2.0999999999999999E-3</v>
      </c>
      <c r="G29" s="22">
        <f>E29*F29</f>
        <v>1628.55</v>
      </c>
      <c r="H29" s="22">
        <f>G29-D29</f>
        <v>2.2050000000001546</v>
      </c>
      <c r="I29" s="23">
        <f t="shared" si="7"/>
        <v>1.3558008909549664E-3</v>
      </c>
      <c r="J29" s="124">
        <f t="shared" si="1"/>
        <v>1.5535651336920369E-2</v>
      </c>
    </row>
    <row r="30" spans="1:10" x14ac:dyDescent="0.2">
      <c r="A30" s="107" t="s">
        <v>100</v>
      </c>
      <c r="B30" s="73">
        <f>C9</f>
        <v>774450</v>
      </c>
      <c r="C30" s="34">
        <v>0</v>
      </c>
      <c r="D30" s="22">
        <f>B30*C30</f>
        <v>0</v>
      </c>
      <c r="E30" s="73">
        <f>B9</f>
        <v>775500</v>
      </c>
      <c r="F30" s="34">
        <v>0</v>
      </c>
      <c r="G30" s="22">
        <f>E30*F30</f>
        <v>0</v>
      </c>
      <c r="H30" s="22">
        <f>G30-D30</f>
        <v>0</v>
      </c>
      <c r="I30" s="23" t="str">
        <f t="shared" si="7"/>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si="1"/>
        <v>2.3848901379939778E-6</v>
      </c>
    </row>
    <row r="32" spans="1:10" x14ac:dyDescent="0.2">
      <c r="A32" s="110" t="s">
        <v>45</v>
      </c>
      <c r="B32" s="74"/>
      <c r="C32" s="35"/>
      <c r="D32" s="35">
        <f>SUM(D28:D31)</f>
        <v>4414.6149999999998</v>
      </c>
      <c r="E32" s="73"/>
      <c r="F32" s="35"/>
      <c r="G32" s="35">
        <f>SUM(G28:G31)</f>
        <v>4420.5999999999995</v>
      </c>
      <c r="H32" s="35">
        <f t="shared" si="3"/>
        <v>5.9849999999996726</v>
      </c>
      <c r="I32" s="36">
        <f t="shared" si="7"/>
        <v>1.3557241118420684E-3</v>
      </c>
      <c r="J32" s="111">
        <f t="shared" si="1"/>
        <v>4.2170581376064706E-2</v>
      </c>
    </row>
    <row r="33" spans="1:10" ht="13.5" thickBot="1" x14ac:dyDescent="0.25">
      <c r="A33" s="112" t="s">
        <v>46</v>
      </c>
      <c r="B33" s="113">
        <f>B4</f>
        <v>750000</v>
      </c>
      <c r="C33" s="114">
        <v>7.0000000000000001E-3</v>
      </c>
      <c r="D33" s="115">
        <f>B33*C33</f>
        <v>5250</v>
      </c>
      <c r="E33" s="116">
        <f t="shared" si="4"/>
        <v>750000</v>
      </c>
      <c r="F33" s="114">
        <f>C33</f>
        <v>7.0000000000000001E-3</v>
      </c>
      <c r="G33" s="115">
        <f>E33*F33</f>
        <v>5250</v>
      </c>
      <c r="H33" s="115">
        <f t="shared" si="3"/>
        <v>0</v>
      </c>
      <c r="I33" s="117">
        <f t="shared" si="7"/>
        <v>0</v>
      </c>
      <c r="J33" s="118">
        <f t="shared" si="1"/>
        <v>5.0082692897873531E-2</v>
      </c>
    </row>
    <row r="34" spans="1:10" x14ac:dyDescent="0.2">
      <c r="A34" s="37" t="s">
        <v>146</v>
      </c>
      <c r="B34" s="38"/>
      <c r="C34" s="39"/>
      <c r="D34" s="39">
        <f>SUM(D15,D23,D26,D32,D33)</f>
        <v>84529.240949599291</v>
      </c>
      <c r="E34" s="38"/>
      <c r="F34" s="39"/>
      <c r="G34" s="39">
        <f>SUM(G15,G23,G26,G32,G33)</f>
        <v>92766.930655845586</v>
      </c>
      <c r="H34" s="39">
        <f t="shared" si="3"/>
        <v>8237.6897062462958</v>
      </c>
      <c r="I34" s="40">
        <f t="shared" si="7"/>
        <v>9.7453728599763867E-2</v>
      </c>
      <c r="J34" s="41">
        <f t="shared" si="1"/>
        <v>0.88495575221238931</v>
      </c>
    </row>
    <row r="35" spans="1:10" x14ac:dyDescent="0.2">
      <c r="A35" s="46" t="s">
        <v>138</v>
      </c>
      <c r="B35" s="43"/>
      <c r="C35" s="26">
        <v>0.13</v>
      </c>
      <c r="D35" s="26">
        <f>D34*C35</f>
        <v>10988.801323447908</v>
      </c>
      <c r="E35" s="26"/>
      <c r="F35" s="26">
        <f>C35</f>
        <v>0.13</v>
      </c>
      <c r="G35" s="26">
        <f>G34*F35</f>
        <v>12059.700985259926</v>
      </c>
      <c r="H35" s="26">
        <f t="shared" si="3"/>
        <v>1070.8996618120182</v>
      </c>
      <c r="I35" s="44">
        <f t="shared" si="7"/>
        <v>9.7453728599763853E-2</v>
      </c>
      <c r="J35" s="45">
        <f t="shared" si="1"/>
        <v>0.11504424778761062</v>
      </c>
    </row>
    <row r="36" spans="1:10" x14ac:dyDescent="0.2">
      <c r="A36" s="46" t="s">
        <v>139</v>
      </c>
      <c r="B36" s="24"/>
      <c r="C36" s="25"/>
      <c r="D36" s="25">
        <f>SUM(D34:D35)</f>
        <v>95518.042273047206</v>
      </c>
      <c r="E36" s="25"/>
      <c r="F36" s="25"/>
      <c r="G36" s="25">
        <f>SUM(G34:G35)</f>
        <v>104826.63164110552</v>
      </c>
      <c r="H36" s="25">
        <f t="shared" si="3"/>
        <v>9308.5893680583104</v>
      </c>
      <c r="I36" s="27">
        <f t="shared" si="7"/>
        <v>9.7453728599763825E-2</v>
      </c>
      <c r="J36" s="47">
        <f t="shared" si="1"/>
        <v>1</v>
      </c>
    </row>
    <row r="37" spans="1:10" x14ac:dyDescent="0.2">
      <c r="A37" s="46" t="s">
        <v>140</v>
      </c>
      <c r="B37" s="43"/>
      <c r="C37" s="26">
        <v>0</v>
      </c>
      <c r="D37" s="26">
        <f>D34*C37</f>
        <v>0</v>
      </c>
      <c r="E37" s="26"/>
      <c r="F37" s="26">
        <f>C37</f>
        <v>0</v>
      </c>
      <c r="G37" s="26">
        <f>G34*F37</f>
        <v>0</v>
      </c>
      <c r="H37" s="26">
        <f t="shared" si="3"/>
        <v>0</v>
      </c>
      <c r="I37" s="44" t="str">
        <f t="shared" si="7"/>
        <v>N/A</v>
      </c>
      <c r="J37" s="45">
        <f t="shared" si="1"/>
        <v>0</v>
      </c>
    </row>
    <row r="38" spans="1:10" ht="13.5" thickBot="1" x14ac:dyDescent="0.25">
      <c r="A38" s="46" t="s">
        <v>141</v>
      </c>
      <c r="B38" s="49"/>
      <c r="C38" s="50"/>
      <c r="D38" s="50">
        <f>SUM(D36:D37)</f>
        <v>95518.042273047206</v>
      </c>
      <c r="E38" s="50"/>
      <c r="F38" s="50"/>
      <c r="G38" s="50">
        <f>SUM(G36:G37)</f>
        <v>104826.63164110552</v>
      </c>
      <c r="H38" s="50">
        <f t="shared" si="3"/>
        <v>9308.5893680583104</v>
      </c>
      <c r="I38" s="51">
        <f t="shared" si="7"/>
        <v>9.7453728599763825E-2</v>
      </c>
      <c r="J38" s="52">
        <f t="shared" si="1"/>
        <v>1</v>
      </c>
    </row>
    <row r="39" spans="1:10" x14ac:dyDescent="0.2">
      <c r="F39" s="69"/>
    </row>
    <row r="40" spans="1:10" x14ac:dyDescent="0.2">
      <c r="F40" s="69"/>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Impacts'!$A$12:$A$21</xm:f>
          </x14:formula1>
          <xm:sqref>B3</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pageSetUpPr fitToPage="1"/>
  </sheetPr>
  <dimension ref="A1:J40"/>
  <sheetViews>
    <sheetView tabSelected="1"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ht="25.5" x14ac:dyDescent="0.2">
      <c r="A3" s="13" t="s">
        <v>13</v>
      </c>
      <c r="B3" s="13" t="s">
        <v>11</v>
      </c>
      <c r="C3" s="192" t="s">
        <v>118</v>
      </c>
    </row>
    <row r="4" spans="1:10" x14ac:dyDescent="0.2">
      <c r="A4" s="15" t="s">
        <v>62</v>
      </c>
      <c r="B4" s="79">
        <f>C4</f>
        <v>1037333.9377380953</v>
      </c>
      <c r="C4" s="79">
        <f>'Data for Bill Impacts_HONI Avg '!E34</f>
        <v>1037333.9377380953</v>
      </c>
    </row>
    <row r="5" spans="1:10" x14ac:dyDescent="0.2">
      <c r="A5" s="15" t="s">
        <v>16</v>
      </c>
      <c r="B5" s="79">
        <f>C5</f>
        <v>2075.0566666666664</v>
      </c>
      <c r="C5" s="79">
        <f>'Data for Bill Impacts_HONI Avg '!F34</f>
        <v>2075.0566666666664</v>
      </c>
    </row>
    <row r="6" spans="1:10" x14ac:dyDescent="0.2">
      <c r="A6" s="15" t="s">
        <v>20</v>
      </c>
      <c r="B6" s="80">
        <f>VLOOKUP($B$3,'Data for Bill Impacts'!$A$3:$Y$15,2,0)</f>
        <v>1.034</v>
      </c>
      <c r="C6" s="211">
        <v>1.0326</v>
      </c>
    </row>
    <row r="7" spans="1:10" x14ac:dyDescent="0.2">
      <c r="A7" s="81" t="s">
        <v>49</v>
      </c>
      <c r="B7" s="82">
        <f>B4/(B5*730)</f>
        <v>0.68480317525229406</v>
      </c>
      <c r="C7" s="82">
        <f>C4/(C5*730)</f>
        <v>0.68480317525229406</v>
      </c>
    </row>
    <row r="8" spans="1:10" x14ac:dyDescent="0.2">
      <c r="A8" s="15" t="s">
        <v>15</v>
      </c>
      <c r="B8" s="79">
        <f>VLOOKUP($B$3,'Data for Bill Impacts'!$A$3:$Y$15,4,0)</f>
        <v>0</v>
      </c>
      <c r="C8" s="79">
        <f>'Data for Bill Impacts'!D25</f>
        <v>0</v>
      </c>
    </row>
    <row r="9" spans="1:10" x14ac:dyDescent="0.2">
      <c r="A9" s="15" t="s">
        <v>82</v>
      </c>
      <c r="B9" s="79">
        <f>B4*B6</f>
        <v>1072603.2916211905</v>
      </c>
      <c r="C9" s="79">
        <f>C4*C6</f>
        <v>1071151.0241083573</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1071151.0241083573</v>
      </c>
      <c r="C13" s="103">
        <v>9.0999999999999998E-2</v>
      </c>
      <c r="D13" s="104">
        <f>B13*C13</f>
        <v>97474.743193860515</v>
      </c>
      <c r="E13" s="102">
        <f>B9</f>
        <v>1072603.2916211905</v>
      </c>
      <c r="F13" s="103">
        <f>C13</f>
        <v>9.0999999999999998E-2</v>
      </c>
      <c r="G13" s="104">
        <f>E13*F13</f>
        <v>97606.899537528327</v>
      </c>
      <c r="H13" s="104">
        <f>G13-D13</f>
        <v>132.1563436678116</v>
      </c>
      <c r="I13" s="105">
        <f t="shared" ref="I13:I18" si="0">IF(ISERROR(H13/ABS(D13)),"N/A",(H13/ABS(D13)))</f>
        <v>1.3558008909546481E-3</v>
      </c>
      <c r="J13" s="123">
        <f t="shared" ref="J13:J38" si="1">G13/$G$38</f>
        <v>0.67576772838127219</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97474.743193860515</v>
      </c>
      <c r="E15" s="76"/>
      <c r="F15" s="25"/>
      <c r="G15" s="25">
        <f>SUM(G13:G14)</f>
        <v>97606.899537528327</v>
      </c>
      <c r="H15" s="25">
        <f t="shared" si="3"/>
        <v>132.1563436678116</v>
      </c>
      <c r="I15" s="27">
        <f t="shared" si="0"/>
        <v>1.3558008909546481E-3</v>
      </c>
      <c r="J15" s="47">
        <f t="shared" si="1"/>
        <v>0.67576772838127219</v>
      </c>
    </row>
    <row r="16" spans="1:10" s="1" customFormat="1" x14ac:dyDescent="0.2">
      <c r="A16" s="107" t="s">
        <v>38</v>
      </c>
      <c r="B16" s="73">
        <v>1</v>
      </c>
      <c r="C16" s="121">
        <f>'Data for Bill Impacts'!G25</f>
        <v>518.85</v>
      </c>
      <c r="D16" s="22">
        <f>B16*C16</f>
        <v>518.85</v>
      </c>
      <c r="E16" s="73">
        <f t="shared" ref="E16:E33" si="4">B16</f>
        <v>1</v>
      </c>
      <c r="F16" s="78">
        <f>VLOOKUP($B$3,'Data for Bill Impacts'!$A$3:$Y$15,17,0)</f>
        <v>1270.3699999999999</v>
      </c>
      <c r="G16" s="22">
        <f>E16*F16</f>
        <v>1270.3699999999999</v>
      </c>
      <c r="H16" s="22">
        <f t="shared" si="3"/>
        <v>751.51999999999987</v>
      </c>
      <c r="I16" s="23">
        <f t="shared" si="0"/>
        <v>1.4484340368121804</v>
      </c>
      <c r="J16" s="124">
        <f t="shared" si="1"/>
        <v>8.7952291607587274E-3</v>
      </c>
    </row>
    <row r="17" spans="1:10" x14ac:dyDescent="0.2">
      <c r="A17" s="107" t="s">
        <v>197</v>
      </c>
      <c r="B17" s="73">
        <v>1</v>
      </c>
      <c r="C17" s="121">
        <f>'Data for Bill Impacts'!K25</f>
        <v>-5.19</v>
      </c>
      <c r="D17" s="22">
        <f>B17*C17</f>
        <v>-5.19</v>
      </c>
      <c r="E17" s="73">
        <f t="shared" si="4"/>
        <v>1</v>
      </c>
      <c r="F17" s="121">
        <v>0</v>
      </c>
      <c r="G17" s="22">
        <f t="shared" ref="G17:G18" si="5">E17*F17</f>
        <v>0</v>
      </c>
      <c r="H17" s="22">
        <f t="shared" si="3"/>
        <v>5.19</v>
      </c>
      <c r="I17" s="23">
        <f t="shared" si="0"/>
        <v>1</v>
      </c>
      <c r="J17" s="124">
        <f t="shared" si="1"/>
        <v>0</v>
      </c>
    </row>
    <row r="18" spans="1:10" x14ac:dyDescent="0.2">
      <c r="A18" s="107" t="s">
        <v>85</v>
      </c>
      <c r="B18" s="73">
        <v>1</v>
      </c>
      <c r="C18" s="121">
        <f>'Data for Bill Impacts'!M25</f>
        <v>0</v>
      </c>
      <c r="D18" s="22">
        <f t="shared" ref="D18" si="6">B18*C18</f>
        <v>0</v>
      </c>
      <c r="E18" s="73">
        <f t="shared" si="4"/>
        <v>1</v>
      </c>
      <c r="F18" s="121">
        <f>VLOOKUP($B$3,'Data for Bill Impacts'!$A$3:$Y$15,22,0)</f>
        <v>3.819</v>
      </c>
      <c r="G18" s="22">
        <f t="shared" si="5"/>
        <v>3.819</v>
      </c>
      <c r="H18" s="22">
        <f t="shared" si="3"/>
        <v>3.819</v>
      </c>
      <c r="I18" s="23" t="str">
        <f t="shared" si="0"/>
        <v>N/A</v>
      </c>
      <c r="J18" s="124">
        <f t="shared" si="1"/>
        <v>2.6440312794648474E-5</v>
      </c>
    </row>
    <row r="19" spans="1:10" x14ac:dyDescent="0.2">
      <c r="A19" s="107" t="s">
        <v>39</v>
      </c>
      <c r="B19" s="73">
        <f>IF($C$10="kWh",$C$4,$C$5)</f>
        <v>2075.0566666666664</v>
      </c>
      <c r="C19" s="125">
        <f>'Data for Bill Impacts'!J25</f>
        <v>2.7397999999999998</v>
      </c>
      <c r="D19" s="22">
        <f>B19*C19</f>
        <v>5685.2402553333322</v>
      </c>
      <c r="E19" s="73">
        <f>IF($B$10="kWh",$B$4,$B$5)</f>
        <v>2075.0566666666664</v>
      </c>
      <c r="F19" s="78">
        <f>VLOOKUP($B$3,'Data for Bill Impacts'!$A$3:$Y$15,19,0)</f>
        <v>1.4496644372303882</v>
      </c>
      <c r="G19" s="22">
        <f>E19*F19</f>
        <v>3008.135854904498</v>
      </c>
      <c r="H19" s="22">
        <f t="shared" si="3"/>
        <v>-2677.1044004288342</v>
      </c>
      <c r="I19" s="23">
        <f>IF(ISERROR(H19/ABS(D19)),"N/A",(H19/ABS(D19)))</f>
        <v>-0.47088676646821365</v>
      </c>
      <c r="J19" s="124">
        <f t="shared" si="1"/>
        <v>2.0826408204365598E-2</v>
      </c>
    </row>
    <row r="20" spans="1:10" x14ac:dyDescent="0.2">
      <c r="A20" s="107" t="s">
        <v>198</v>
      </c>
      <c r="B20" s="73">
        <f>IF($C$10="kWh",$C$4,$C$5)</f>
        <v>2075.0566666666664</v>
      </c>
      <c r="C20" s="78">
        <f>'Data for Bill Impacts'!L25</f>
        <v>-2.7400000000000001E-2</v>
      </c>
      <c r="D20" s="22">
        <f>B20*C20</f>
        <v>-56.856552666666659</v>
      </c>
      <c r="E20" s="73">
        <f>B20</f>
        <v>2075.0566666666664</v>
      </c>
      <c r="F20" s="125">
        <v>0</v>
      </c>
      <c r="G20" s="22">
        <f>E20*F20</f>
        <v>0</v>
      </c>
      <c r="H20" s="22">
        <f>G20-D20</f>
        <v>56.856552666666659</v>
      </c>
      <c r="I20" s="23">
        <f>IF(ISERROR(H20/D20),0,(H20/D20))</f>
        <v>-1</v>
      </c>
      <c r="J20" s="124">
        <f t="shared" si="1"/>
        <v>0</v>
      </c>
    </row>
    <row r="21" spans="1:10" s="1" customFormat="1" x14ac:dyDescent="0.2">
      <c r="A21" s="107" t="s">
        <v>199</v>
      </c>
      <c r="B21" s="73">
        <f>IF($C$10="kWh",$C$4,$C$5)</f>
        <v>2075.0566666666664</v>
      </c>
      <c r="C21" s="125">
        <f>VLOOKUP($C$3,'Data for Bill Impacts'!$A$3:$Y$39,14,0)</f>
        <v>0</v>
      </c>
      <c r="D21" s="22">
        <f>B21*C21</f>
        <v>0</v>
      </c>
      <c r="E21" s="73">
        <f>IF($B$10="kWh",$B$4,$B$5)</f>
        <v>2075.0566666666664</v>
      </c>
      <c r="F21" s="125">
        <f>VLOOKUP($B$3,'Data for Bill Impacts'!$A$3:$Y$15,23,0)</f>
        <v>-0.13666999999999996</v>
      </c>
      <c r="G21" s="22">
        <f>E21*F21</f>
        <v>-283.5979946333332</v>
      </c>
      <c r="H21" s="22">
        <f>G21-D21</f>
        <v>-283.5979946333332</v>
      </c>
      <c r="I21" s="23">
        <f>IF(ISERROR(H21/D21),0,(H21/D21))</f>
        <v>0</v>
      </c>
      <c r="J21" s="124">
        <f t="shared" si="1"/>
        <v>-1.9634510830165933E-3</v>
      </c>
    </row>
    <row r="22" spans="1:10" s="1" customFormat="1" x14ac:dyDescent="0.2">
      <c r="A22" s="107" t="s">
        <v>148</v>
      </c>
      <c r="B22" s="73">
        <f>C9</f>
        <v>1071151.0241083573</v>
      </c>
      <c r="C22" s="125">
        <f>VLOOKUP($C$3,'Data for Bill Impacts'!$A$3:$Y$39,20,0)</f>
        <v>0</v>
      </c>
      <c r="D22" s="22">
        <f>B22*C22</f>
        <v>0</v>
      </c>
      <c r="E22" s="73">
        <f>B9</f>
        <v>1072603.2916211905</v>
      </c>
      <c r="F22" s="78">
        <f>VLOOKUP($B$3,'Data for Bill Impacts'!$A$3:$Y$39,21,0)</f>
        <v>0</v>
      </c>
      <c r="G22" s="22">
        <f>E22*F22</f>
        <v>0</v>
      </c>
      <c r="H22" s="22">
        <f t="shared" si="3"/>
        <v>0</v>
      </c>
      <c r="I22" s="23" t="str">
        <f t="shared" ref="I22:I38" si="7">IF(ISERROR(H22/ABS(D22)),"N/A",(H22/ABS(D22)))</f>
        <v>N/A</v>
      </c>
      <c r="J22" s="124">
        <f t="shared" si="1"/>
        <v>0</v>
      </c>
    </row>
    <row r="23" spans="1:10" x14ac:dyDescent="0.2">
      <c r="A23" s="110" t="s">
        <v>97</v>
      </c>
      <c r="B23" s="74"/>
      <c r="C23" s="35"/>
      <c r="D23" s="35">
        <f>SUM(D16:D22)</f>
        <v>6142.043702666665</v>
      </c>
      <c r="E23" s="73"/>
      <c r="F23" s="35"/>
      <c r="G23" s="35">
        <f>SUM(G16:G22)</f>
        <v>3998.7268602711652</v>
      </c>
      <c r="H23" s="35">
        <f t="shared" si="3"/>
        <v>-2143.3168423954999</v>
      </c>
      <c r="I23" s="36">
        <f t="shared" si="7"/>
        <v>-0.34895825333592873</v>
      </c>
      <c r="J23" s="111">
        <f t="shared" si="1"/>
        <v>2.7684626594902385E-2</v>
      </c>
    </row>
    <row r="24" spans="1:10" x14ac:dyDescent="0.2">
      <c r="A24" s="107" t="s">
        <v>40</v>
      </c>
      <c r="B24" s="73">
        <f>C5</f>
        <v>2075.0566666666664</v>
      </c>
      <c r="C24" s="125">
        <f>VLOOKUP($C$3,'Data for Bill Impacts'!$A$3:$Y$39,15,0)</f>
        <v>2.7930999999999999</v>
      </c>
      <c r="D24" s="22">
        <f>B24*C24</f>
        <v>5795.8407756666656</v>
      </c>
      <c r="E24" s="73">
        <f>B5</f>
        <v>2075.0566666666664</v>
      </c>
      <c r="F24" s="78">
        <f>VLOOKUP($B$3,'Data for Bill Impacts'!$A$3:$Y$15,24,0)</f>
        <v>3.5367000000000002</v>
      </c>
      <c r="G24" s="22">
        <f>E24*F24</f>
        <v>7338.8529129999997</v>
      </c>
      <c r="H24" s="22">
        <f t="shared" si="3"/>
        <v>1543.0121373333341</v>
      </c>
      <c r="I24" s="23">
        <f t="shared" si="7"/>
        <v>0.26622748916973987</v>
      </c>
      <c r="J24" s="124">
        <f t="shared" si="1"/>
        <v>5.080952253826581E-2</v>
      </c>
    </row>
    <row r="25" spans="1:10" s="1" customFormat="1" x14ac:dyDescent="0.2">
      <c r="A25" s="107" t="s">
        <v>41</v>
      </c>
      <c r="B25" s="73">
        <f>C5</f>
        <v>2075.0566666666664</v>
      </c>
      <c r="C25" s="125">
        <f>VLOOKUP($C$3,'Data for Bill Impacts'!$A$3:$Y$39,16,0)</f>
        <v>2.2465318991985725</v>
      </c>
      <c r="D25" s="22">
        <f>B25*C25</f>
        <v>4661.6809943113258</v>
      </c>
      <c r="E25" s="73">
        <f>B5</f>
        <v>2075.0566666666664</v>
      </c>
      <c r="F25" s="78">
        <f>VLOOKUP($B$3,'Data for Bill Impacts'!$A$3:$Y$15,25,0)</f>
        <v>2.6514000000000002</v>
      </c>
      <c r="G25" s="22">
        <f>E25*F25</f>
        <v>5501.8052459999999</v>
      </c>
      <c r="H25" s="22">
        <f t="shared" si="3"/>
        <v>840.12425168867412</v>
      </c>
      <c r="I25" s="23">
        <f t="shared" si="7"/>
        <v>0.18021916401269891</v>
      </c>
      <c r="J25" s="124">
        <f t="shared" si="1"/>
        <v>3.809097974325161E-2</v>
      </c>
    </row>
    <row r="26" spans="1:10" x14ac:dyDescent="0.2">
      <c r="A26" s="110" t="s">
        <v>76</v>
      </c>
      <c r="B26" s="74"/>
      <c r="C26" s="35"/>
      <c r="D26" s="35">
        <f>SUM(D24:D25)</f>
        <v>10457.521769977991</v>
      </c>
      <c r="E26" s="73"/>
      <c r="F26" s="35"/>
      <c r="G26" s="35">
        <f>SUM(G24:G25)</f>
        <v>12840.658158999999</v>
      </c>
      <c r="H26" s="35">
        <f t="shared" si="3"/>
        <v>2383.1363890220073</v>
      </c>
      <c r="I26" s="36">
        <f t="shared" si="7"/>
        <v>0.22788729886880482</v>
      </c>
      <c r="J26" s="111">
        <f t="shared" si="1"/>
        <v>8.8900502281517413E-2</v>
      </c>
    </row>
    <row r="27" spans="1:10" s="1" customFormat="1" x14ac:dyDescent="0.2">
      <c r="A27" s="110" t="s">
        <v>80</v>
      </c>
      <c r="B27" s="74"/>
      <c r="C27" s="35"/>
      <c r="D27" s="35">
        <f>D23+D26</f>
        <v>16599.565472644656</v>
      </c>
      <c r="E27" s="73"/>
      <c r="F27" s="35"/>
      <c r="G27" s="35">
        <f>G23+G26</f>
        <v>16839.385019271165</v>
      </c>
      <c r="H27" s="35">
        <f t="shared" si="3"/>
        <v>239.81954662650969</v>
      </c>
      <c r="I27" s="36">
        <f t="shared" si="7"/>
        <v>1.4447338818701106E-2</v>
      </c>
      <c r="J27" s="111">
        <f t="shared" si="1"/>
        <v>0.11658512887641981</v>
      </c>
    </row>
    <row r="28" spans="1:10" x14ac:dyDescent="0.2">
      <c r="A28" s="107" t="s">
        <v>42</v>
      </c>
      <c r="B28" s="73">
        <f>C9</f>
        <v>1071151.0241083573</v>
      </c>
      <c r="C28" s="34">
        <v>3.5999999999999999E-3</v>
      </c>
      <c r="D28" s="22">
        <f>B28*C28</f>
        <v>3856.1436867900861</v>
      </c>
      <c r="E28" s="73">
        <f>B9</f>
        <v>1072603.2916211905</v>
      </c>
      <c r="F28" s="34">
        <v>3.5999999999999999E-3</v>
      </c>
      <c r="G28" s="22">
        <f>E28*F28</f>
        <v>3861.3718498362855</v>
      </c>
      <c r="H28" s="22">
        <f t="shared" si="3"/>
        <v>5.22816304619937</v>
      </c>
      <c r="I28" s="23">
        <f t="shared" si="7"/>
        <v>1.3558008909547077E-3</v>
      </c>
      <c r="J28" s="124">
        <f t="shared" si="1"/>
        <v>2.6733668375522854E-2</v>
      </c>
    </row>
    <row r="29" spans="1:10" x14ac:dyDescent="0.2">
      <c r="A29" s="107" t="s">
        <v>43</v>
      </c>
      <c r="B29" s="73">
        <f>C9</f>
        <v>1071151.0241083573</v>
      </c>
      <c r="C29" s="34">
        <v>2.0999999999999999E-3</v>
      </c>
      <c r="D29" s="22">
        <f>B29*C29</f>
        <v>2249.4171506275502</v>
      </c>
      <c r="E29" s="73">
        <f>B9</f>
        <v>1072603.2916211905</v>
      </c>
      <c r="F29" s="34">
        <v>2.0999999999999999E-3</v>
      </c>
      <c r="G29" s="22">
        <f>E29*F29</f>
        <v>2252.4669124044999</v>
      </c>
      <c r="H29" s="22">
        <f>G29-D29</f>
        <v>3.0497617769497083</v>
      </c>
      <c r="I29" s="23">
        <f t="shared" si="7"/>
        <v>1.3558008909547413E-3</v>
      </c>
      <c r="J29" s="124">
        <f t="shared" si="1"/>
        <v>1.5594639885721667E-2</v>
      </c>
    </row>
    <row r="30" spans="1:10" x14ac:dyDescent="0.2">
      <c r="A30" s="107" t="s">
        <v>100</v>
      </c>
      <c r="B30" s="73">
        <f>C9</f>
        <v>1071151.0241083573</v>
      </c>
      <c r="C30" s="34">
        <v>0</v>
      </c>
      <c r="D30" s="22">
        <f>B30*C30</f>
        <v>0</v>
      </c>
      <c r="E30" s="73">
        <f>B9</f>
        <v>1072603.2916211905</v>
      </c>
      <c r="F30" s="34">
        <v>0</v>
      </c>
      <c r="G30" s="22">
        <f>E30*F30</f>
        <v>0</v>
      </c>
      <c r="H30" s="22">
        <f>G30-D30</f>
        <v>0</v>
      </c>
      <c r="I30" s="23" t="str">
        <f t="shared" si="7"/>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si="1"/>
        <v>1.730840062493354E-6</v>
      </c>
    </row>
    <row r="32" spans="1:10" x14ac:dyDescent="0.2">
      <c r="A32" s="110" t="s">
        <v>45</v>
      </c>
      <c r="B32" s="74"/>
      <c r="C32" s="35"/>
      <c r="D32" s="35">
        <f>SUM(D28:D31)</f>
        <v>6105.8108374176363</v>
      </c>
      <c r="E32" s="73"/>
      <c r="F32" s="35"/>
      <c r="G32" s="35">
        <f>SUM(G28:G31)</f>
        <v>6114.0887622407854</v>
      </c>
      <c r="H32" s="35">
        <f t="shared" si="3"/>
        <v>8.2779248231490783</v>
      </c>
      <c r="I32" s="36">
        <f t="shared" si="7"/>
        <v>1.3557453782256552E-3</v>
      </c>
      <c r="J32" s="111">
        <f t="shared" si="1"/>
        <v>4.2330039101307018E-2</v>
      </c>
    </row>
    <row r="33" spans="1:10" ht="13.5" thickBot="1" x14ac:dyDescent="0.25">
      <c r="A33" s="112" t="s">
        <v>46</v>
      </c>
      <c r="B33" s="113">
        <f>B4</f>
        <v>1037333.9377380953</v>
      </c>
      <c r="C33" s="114">
        <v>7.0000000000000001E-3</v>
      </c>
      <c r="D33" s="115">
        <f>B33*C33</f>
        <v>7261.3375641666671</v>
      </c>
      <c r="E33" s="116">
        <f t="shared" si="4"/>
        <v>1037333.9377380953</v>
      </c>
      <c r="F33" s="114">
        <f>C33</f>
        <v>7.0000000000000001E-3</v>
      </c>
      <c r="G33" s="115">
        <f>E33*F33</f>
        <v>7261.3375641666671</v>
      </c>
      <c r="H33" s="115">
        <f t="shared" si="3"/>
        <v>0</v>
      </c>
      <c r="I33" s="117">
        <f t="shared" si="7"/>
        <v>0</v>
      </c>
      <c r="J33" s="118">
        <f t="shared" si="1"/>
        <v>5.0272855853390287E-2</v>
      </c>
    </row>
    <row r="34" spans="1:10" x14ac:dyDescent="0.2">
      <c r="A34" s="37" t="s">
        <v>146</v>
      </c>
      <c r="B34" s="38"/>
      <c r="C34" s="39"/>
      <c r="D34" s="39">
        <f>SUM(D15,D23,D26,D32,D33)</f>
        <v>127441.45706808947</v>
      </c>
      <c r="E34" s="38"/>
      <c r="F34" s="39"/>
      <c r="G34" s="39">
        <f>SUM(G15,G23,G26,G32,G33)</f>
        <v>127821.71088320695</v>
      </c>
      <c r="H34" s="39">
        <f t="shared" si="3"/>
        <v>380.25381511748128</v>
      </c>
      <c r="I34" s="40">
        <f t="shared" si="7"/>
        <v>2.9837528843876852E-3</v>
      </c>
      <c r="J34" s="41">
        <f t="shared" si="1"/>
        <v>0.88495575221238931</v>
      </c>
    </row>
    <row r="35" spans="1:10" x14ac:dyDescent="0.2">
      <c r="A35" s="46" t="s">
        <v>138</v>
      </c>
      <c r="B35" s="43"/>
      <c r="C35" s="26">
        <v>0.13</v>
      </c>
      <c r="D35" s="26">
        <f>D34*C35</f>
        <v>16567.389418851631</v>
      </c>
      <c r="E35" s="26"/>
      <c r="F35" s="26">
        <f>C35</f>
        <v>0.13</v>
      </c>
      <c r="G35" s="26">
        <f>G34*F35</f>
        <v>16616.822414816903</v>
      </c>
      <c r="H35" s="26">
        <f t="shared" si="3"/>
        <v>49.432995965271402</v>
      </c>
      <c r="I35" s="44">
        <f t="shared" si="7"/>
        <v>2.9837528843876145E-3</v>
      </c>
      <c r="J35" s="45">
        <f t="shared" si="1"/>
        <v>0.1150442477876106</v>
      </c>
    </row>
    <row r="36" spans="1:10" x14ac:dyDescent="0.2">
      <c r="A36" s="46" t="s">
        <v>139</v>
      </c>
      <c r="B36" s="24"/>
      <c r="C36" s="25"/>
      <c r="D36" s="25">
        <f>SUM(D34:D35)</f>
        <v>144008.8464869411</v>
      </c>
      <c r="E36" s="25"/>
      <c r="F36" s="25"/>
      <c r="G36" s="25">
        <f>SUM(G34:G35)</f>
        <v>144438.53329802386</v>
      </c>
      <c r="H36" s="25">
        <f t="shared" si="3"/>
        <v>429.6868110827636</v>
      </c>
      <c r="I36" s="27">
        <f t="shared" si="7"/>
        <v>2.9837528843877528E-3</v>
      </c>
      <c r="J36" s="47">
        <f t="shared" si="1"/>
        <v>1</v>
      </c>
    </row>
    <row r="37" spans="1:10" x14ac:dyDescent="0.2">
      <c r="A37" s="46" t="s">
        <v>140</v>
      </c>
      <c r="B37" s="43"/>
      <c r="C37" s="26">
        <v>0</v>
      </c>
      <c r="D37" s="26">
        <f>D34*C37</f>
        <v>0</v>
      </c>
      <c r="E37" s="26"/>
      <c r="F37" s="26">
        <f>C37</f>
        <v>0</v>
      </c>
      <c r="G37" s="26">
        <f>G34*F37</f>
        <v>0</v>
      </c>
      <c r="H37" s="26">
        <f t="shared" si="3"/>
        <v>0</v>
      </c>
      <c r="I37" s="44" t="str">
        <f t="shared" si="7"/>
        <v>N/A</v>
      </c>
      <c r="J37" s="45">
        <f t="shared" si="1"/>
        <v>0</v>
      </c>
    </row>
    <row r="38" spans="1:10" ht="13.5" thickBot="1" x14ac:dyDescent="0.25">
      <c r="A38" s="46" t="s">
        <v>141</v>
      </c>
      <c r="B38" s="49"/>
      <c r="C38" s="50"/>
      <c r="D38" s="50">
        <f>SUM(D36:D37)</f>
        <v>144008.8464869411</v>
      </c>
      <c r="E38" s="50"/>
      <c r="F38" s="50"/>
      <c r="G38" s="50">
        <f>SUM(G36:G37)</f>
        <v>144438.53329802386</v>
      </c>
      <c r="H38" s="50">
        <f t="shared" si="3"/>
        <v>429.6868110827636</v>
      </c>
      <c r="I38" s="51">
        <f t="shared" si="7"/>
        <v>2.9837528843877528E-3</v>
      </c>
      <c r="J38" s="52">
        <f t="shared" si="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J40"/>
  <sheetViews>
    <sheetView tabSelected="1" topLeftCell="A10" workbookViewId="0">
      <selection activeCell="N7" sqref="N7"/>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ht="25.5" x14ac:dyDescent="0.2">
      <c r="A3" s="13" t="s">
        <v>13</v>
      </c>
      <c r="B3" s="13" t="s">
        <v>11</v>
      </c>
      <c r="C3" s="192" t="s">
        <v>118</v>
      </c>
    </row>
    <row r="4" spans="1:10" x14ac:dyDescent="0.2">
      <c r="A4" s="15" t="s">
        <v>62</v>
      </c>
      <c r="B4" s="79">
        <f>'Data for Bill Impacts_HONI Avg '!B93</f>
        <v>2000000</v>
      </c>
      <c r="C4" s="79">
        <f>B4</f>
        <v>2000000</v>
      </c>
    </row>
    <row r="5" spans="1:10" x14ac:dyDescent="0.2">
      <c r="A5" s="15" t="s">
        <v>16</v>
      </c>
      <c r="B5" s="79">
        <f>'Data for Bill Impacts_HONI Avg '!C93</f>
        <v>3500</v>
      </c>
      <c r="C5" s="79">
        <f>B5</f>
        <v>3500</v>
      </c>
    </row>
    <row r="6" spans="1:10" x14ac:dyDescent="0.2">
      <c r="A6" s="15" t="s">
        <v>20</v>
      </c>
      <c r="B6" s="80">
        <f>VLOOKUP($B$3,'Data for Bill Impacts'!$A$3:$Y$15,2,0)</f>
        <v>1.034</v>
      </c>
      <c r="C6" s="211">
        <v>1.0326</v>
      </c>
    </row>
    <row r="7" spans="1:10" x14ac:dyDescent="0.2">
      <c r="A7" s="81" t="s">
        <v>49</v>
      </c>
      <c r="B7" s="82">
        <f>B4/(B5*730)</f>
        <v>0.78277886497064575</v>
      </c>
      <c r="C7" s="82">
        <f>C4/(C5*730)</f>
        <v>0.78277886497064575</v>
      </c>
    </row>
    <row r="8" spans="1:10" x14ac:dyDescent="0.2">
      <c r="A8" s="15" t="s">
        <v>15</v>
      </c>
      <c r="B8" s="79">
        <f>VLOOKUP($B$3,'Data for Bill Impacts'!$A$3:$Y$15,4,0)</f>
        <v>0</v>
      </c>
      <c r="C8" s="79">
        <f>'Data for Bill Impacts'!D25</f>
        <v>0</v>
      </c>
    </row>
    <row r="9" spans="1:10" x14ac:dyDescent="0.2">
      <c r="A9" s="15" t="s">
        <v>82</v>
      </c>
      <c r="B9" s="79">
        <f>B4*B6</f>
        <v>2068000</v>
      </c>
      <c r="C9" s="79">
        <f>C4*C6</f>
        <v>2065200</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2065200</v>
      </c>
      <c r="C13" s="103">
        <v>9.0999999999999998E-2</v>
      </c>
      <c r="D13" s="104">
        <f>B13*C13</f>
        <v>187933.19999999998</v>
      </c>
      <c r="E13" s="102">
        <f>B9</f>
        <v>2068000</v>
      </c>
      <c r="F13" s="103">
        <f>C13</f>
        <v>9.0999999999999998E-2</v>
      </c>
      <c r="G13" s="104">
        <f>E13*F13</f>
        <v>188188</v>
      </c>
      <c r="H13" s="104">
        <f>G13-D13</f>
        <v>254.80000000001746</v>
      </c>
      <c r="I13" s="105">
        <f t="shared" ref="I13:I18" si="0">IF(ISERROR(H13/ABS(D13)),"N/A",(H13/ABS(D13)))</f>
        <v>1.3558008909549642E-3</v>
      </c>
      <c r="J13" s="123">
        <f t="shared" ref="J13:J38" si="1">G13/$G$38</f>
        <v>0.68958751435842414</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187933.19999999998</v>
      </c>
      <c r="E15" s="76"/>
      <c r="F15" s="25"/>
      <c r="G15" s="25">
        <f>SUM(G13:G14)</f>
        <v>188188</v>
      </c>
      <c r="H15" s="25">
        <f t="shared" si="3"/>
        <v>254.80000000001746</v>
      </c>
      <c r="I15" s="27">
        <f t="shared" si="0"/>
        <v>1.3558008909549642E-3</v>
      </c>
      <c r="J15" s="47">
        <f t="shared" si="1"/>
        <v>0.68958751435842414</v>
      </c>
    </row>
    <row r="16" spans="1:10" s="1" customFormat="1" x14ac:dyDescent="0.2">
      <c r="A16" s="107" t="s">
        <v>38</v>
      </c>
      <c r="B16" s="73">
        <v>1</v>
      </c>
      <c r="C16" s="121">
        <f>'Data for Bill Impacts'!G25</f>
        <v>518.85</v>
      </c>
      <c r="D16" s="22">
        <f>B16*C16</f>
        <v>518.85</v>
      </c>
      <c r="E16" s="73">
        <f t="shared" ref="E16:E33" si="4">B16</f>
        <v>1</v>
      </c>
      <c r="F16" s="78">
        <f>VLOOKUP($B$3,'Data for Bill Impacts'!$A$3:$Y$15,17,0)</f>
        <v>1270.3699999999999</v>
      </c>
      <c r="G16" s="22">
        <f>E16*F16</f>
        <v>1270.3699999999999</v>
      </c>
      <c r="H16" s="22">
        <f t="shared" si="3"/>
        <v>751.51999999999987</v>
      </c>
      <c r="I16" s="23">
        <f t="shared" si="0"/>
        <v>1.4484340368121804</v>
      </c>
      <c r="J16" s="124">
        <f t="shared" si="1"/>
        <v>4.6550858217076071E-3</v>
      </c>
    </row>
    <row r="17" spans="1:10" x14ac:dyDescent="0.2">
      <c r="A17" s="107" t="s">
        <v>197</v>
      </c>
      <c r="B17" s="73">
        <v>1</v>
      </c>
      <c r="C17" s="121">
        <f>'Data for Bill Impacts'!K25</f>
        <v>-5.19</v>
      </c>
      <c r="D17" s="22">
        <f>B17*C17</f>
        <v>-5.19</v>
      </c>
      <c r="E17" s="73">
        <f t="shared" si="4"/>
        <v>1</v>
      </c>
      <c r="F17" s="121">
        <v>0</v>
      </c>
      <c r="G17" s="22">
        <f t="shared" ref="G17:G18" si="5">E17*F17</f>
        <v>0</v>
      </c>
      <c r="H17" s="22">
        <f t="shared" si="3"/>
        <v>5.19</v>
      </c>
      <c r="I17" s="23">
        <f t="shared" si="0"/>
        <v>1</v>
      </c>
      <c r="J17" s="124">
        <f t="shared" si="1"/>
        <v>0</v>
      </c>
    </row>
    <row r="18" spans="1:10" x14ac:dyDescent="0.2">
      <c r="A18" s="107" t="s">
        <v>85</v>
      </c>
      <c r="B18" s="73">
        <v>1</v>
      </c>
      <c r="C18" s="121">
        <f>'Data for Bill Impacts'!M25</f>
        <v>0</v>
      </c>
      <c r="D18" s="22">
        <f t="shared" ref="D18" si="6">B18*C18</f>
        <v>0</v>
      </c>
      <c r="E18" s="73">
        <f t="shared" si="4"/>
        <v>1</v>
      </c>
      <c r="F18" s="121">
        <f>VLOOKUP($B$3,'Data for Bill Impacts'!$A$3:$Y$15,22,0)</f>
        <v>3.819</v>
      </c>
      <c r="G18" s="22">
        <f t="shared" si="5"/>
        <v>3.819</v>
      </c>
      <c r="H18" s="22">
        <f t="shared" si="3"/>
        <v>3.819</v>
      </c>
      <c r="I18" s="23" t="str">
        <f t="shared" si="0"/>
        <v>N/A</v>
      </c>
      <c r="J18" s="124">
        <f t="shared" si="1"/>
        <v>1.399416922085798E-5</v>
      </c>
    </row>
    <row r="19" spans="1:10" x14ac:dyDescent="0.2">
      <c r="A19" s="107" t="s">
        <v>39</v>
      </c>
      <c r="B19" s="73">
        <f>IF($C$10="kWh",$C$4,$C$5)</f>
        <v>3500</v>
      </c>
      <c r="C19" s="125">
        <f>'Data for Bill Impacts'!J25</f>
        <v>2.7397999999999998</v>
      </c>
      <c r="D19" s="22">
        <f>B19*C19</f>
        <v>9589.2999999999993</v>
      </c>
      <c r="E19" s="73">
        <f>IF($B$10="kWh",$B$4,$B$5)</f>
        <v>3500</v>
      </c>
      <c r="F19" s="125">
        <f>VLOOKUP($B$3,'Data for Bill Impacts'!$A$3:$Y$15,19,0)</f>
        <v>1.4496644372303882</v>
      </c>
      <c r="G19" s="22">
        <f>E19*F19</f>
        <v>5073.8255303063588</v>
      </c>
      <c r="H19" s="22">
        <f t="shared" si="3"/>
        <v>-4515.4744696936405</v>
      </c>
      <c r="I19" s="23">
        <f>IF(ISERROR(H19/ABS(D19)),"N/A",(H19/ABS(D19)))</f>
        <v>-0.47088676646821359</v>
      </c>
      <c r="J19" s="124">
        <f t="shared" si="1"/>
        <v>1.8592294597595357E-2</v>
      </c>
    </row>
    <row r="20" spans="1:10" x14ac:dyDescent="0.2">
      <c r="A20" s="107" t="s">
        <v>198</v>
      </c>
      <c r="B20" s="73">
        <f>IF($C$10="kWh",$C$4,$C$5)</f>
        <v>3500</v>
      </c>
      <c r="C20" s="78">
        <f>'Data for Bill Impacts'!L25</f>
        <v>-2.7400000000000001E-2</v>
      </c>
      <c r="D20" s="22">
        <f>B20*C20</f>
        <v>-95.9</v>
      </c>
      <c r="E20" s="73">
        <f>B20</f>
        <v>3500</v>
      </c>
      <c r="F20" s="125">
        <v>0</v>
      </c>
      <c r="G20" s="22">
        <f>E20*F20</f>
        <v>0</v>
      </c>
      <c r="H20" s="22">
        <f>G20-D20</f>
        <v>95.9</v>
      </c>
      <c r="I20" s="23">
        <f>IF(ISERROR(H20/D20),0,(H20/D20))</f>
        <v>-1</v>
      </c>
      <c r="J20" s="124">
        <f t="shared" si="1"/>
        <v>0</v>
      </c>
    </row>
    <row r="21" spans="1:10" s="1" customFormat="1" x14ac:dyDescent="0.2">
      <c r="A21" s="107" t="s">
        <v>199</v>
      </c>
      <c r="B21" s="73">
        <f>IF($C$10="kWh",$C$4,$C$5)</f>
        <v>3500</v>
      </c>
      <c r="C21" s="125">
        <f>VLOOKUP($C$3,'Data for Bill Impacts'!$A$3:$Y$39,14,0)</f>
        <v>0</v>
      </c>
      <c r="D21" s="22">
        <f>B21*C21</f>
        <v>0</v>
      </c>
      <c r="E21" s="73">
        <f>IF($B$10="kWh",$B$4,$B$5)</f>
        <v>3500</v>
      </c>
      <c r="F21" s="125">
        <f>VLOOKUP($B$3,'Data for Bill Impacts'!$A$3:$Y$15,23,0)</f>
        <v>-0.13666999999999996</v>
      </c>
      <c r="G21" s="22">
        <f>E21*F21</f>
        <v>-478.34499999999986</v>
      </c>
      <c r="H21" s="22">
        <f>G21-D21</f>
        <v>-478.34499999999986</v>
      </c>
      <c r="I21" s="23">
        <f>IF(ISERROR(H21/D21),0,(H21/D21))</f>
        <v>0</v>
      </c>
      <c r="J21" s="124">
        <f t="shared" si="1"/>
        <v>-1.7528255763161321E-3</v>
      </c>
    </row>
    <row r="22" spans="1:10" s="1" customFormat="1" x14ac:dyDescent="0.2">
      <c r="A22" s="107" t="s">
        <v>148</v>
      </c>
      <c r="B22" s="73">
        <f>C9</f>
        <v>2065200</v>
      </c>
      <c r="C22" s="125">
        <f>VLOOKUP($C$3,'Data for Bill Impacts'!$A$3:$Y$39,20,0)</f>
        <v>0</v>
      </c>
      <c r="D22" s="22">
        <f>B22*C22</f>
        <v>0</v>
      </c>
      <c r="E22" s="73">
        <f>B9</f>
        <v>2068000</v>
      </c>
      <c r="F22" s="78">
        <f>VLOOKUP($B$3,'Data for Bill Impacts'!$A$3:$Y$39,21,0)</f>
        <v>0</v>
      </c>
      <c r="G22" s="22">
        <f>E22*F22</f>
        <v>0</v>
      </c>
      <c r="H22" s="22">
        <f t="shared" si="3"/>
        <v>0</v>
      </c>
      <c r="I22" s="23" t="str">
        <f t="shared" ref="I22:I38" si="7">IF(ISERROR(H22/ABS(D22)),"N/A",(H22/ABS(D22)))</f>
        <v>N/A</v>
      </c>
      <c r="J22" s="124">
        <f t="shared" si="1"/>
        <v>0</v>
      </c>
    </row>
    <row r="23" spans="1:10" x14ac:dyDescent="0.2">
      <c r="A23" s="110" t="s">
        <v>97</v>
      </c>
      <c r="B23" s="74"/>
      <c r="C23" s="35"/>
      <c r="D23" s="35">
        <f>SUM(D16:D22)</f>
        <v>10007.06</v>
      </c>
      <c r="E23" s="73"/>
      <c r="F23" s="35"/>
      <c r="G23" s="35">
        <f>SUM(G16:G22)</f>
        <v>5869.669530306358</v>
      </c>
      <c r="H23" s="35">
        <f t="shared" si="3"/>
        <v>-4137.3904696936415</v>
      </c>
      <c r="I23" s="36">
        <f t="shared" si="7"/>
        <v>-0.4134471532791491</v>
      </c>
      <c r="J23" s="111">
        <f t="shared" si="1"/>
        <v>2.1508549012207685E-2</v>
      </c>
    </row>
    <row r="24" spans="1:10" x14ac:dyDescent="0.2">
      <c r="A24" s="107" t="s">
        <v>40</v>
      </c>
      <c r="B24" s="73">
        <f>C5</f>
        <v>3500</v>
      </c>
      <c r="C24" s="125">
        <f>VLOOKUP($C$3,'Data for Bill Impacts'!$A$3:$Y$39,15,0)</f>
        <v>2.7930999999999999</v>
      </c>
      <c r="D24" s="22">
        <f>B24*C24</f>
        <v>9775.85</v>
      </c>
      <c r="E24" s="73">
        <f>B5</f>
        <v>3500</v>
      </c>
      <c r="F24" s="78">
        <f>VLOOKUP($B$3,'Data for Bill Impacts'!$A$3:$Y$15,24,0)</f>
        <v>3.5367000000000002</v>
      </c>
      <c r="G24" s="22">
        <f>E24*F24</f>
        <v>12378.45</v>
      </c>
      <c r="H24" s="22">
        <f t="shared" si="3"/>
        <v>2602.6000000000004</v>
      </c>
      <c r="I24" s="23">
        <f t="shared" si="7"/>
        <v>0.26622748916973976</v>
      </c>
      <c r="J24" s="124">
        <f t="shared" si="1"/>
        <v>4.5359026968297848E-2</v>
      </c>
    </row>
    <row r="25" spans="1:10" s="1" customFormat="1" x14ac:dyDescent="0.2">
      <c r="A25" s="107" t="s">
        <v>41</v>
      </c>
      <c r="B25" s="73">
        <f>C5</f>
        <v>3500</v>
      </c>
      <c r="C25" s="125">
        <f>VLOOKUP($C$3,'Data for Bill Impacts'!$A$3:$Y$39,16,0)</f>
        <v>2.2465318991985725</v>
      </c>
      <c r="D25" s="22">
        <f>B25*C25</f>
        <v>7862.8616471950036</v>
      </c>
      <c r="E25" s="73">
        <f>B5</f>
        <v>3500</v>
      </c>
      <c r="F25" s="78">
        <f>VLOOKUP($B$3,'Data for Bill Impacts'!$A$3:$Y$15,25,0)</f>
        <v>2.6514000000000002</v>
      </c>
      <c r="G25" s="22">
        <f>E25*F25</f>
        <v>9279.9000000000015</v>
      </c>
      <c r="H25" s="22">
        <f t="shared" si="3"/>
        <v>1417.0383528049979</v>
      </c>
      <c r="I25" s="23">
        <f t="shared" si="7"/>
        <v>0.18021916401269911</v>
      </c>
      <c r="J25" s="124">
        <f t="shared" si="1"/>
        <v>3.4004841831013349E-2</v>
      </c>
    </row>
    <row r="26" spans="1:10" x14ac:dyDescent="0.2">
      <c r="A26" s="110" t="s">
        <v>76</v>
      </c>
      <c r="B26" s="74"/>
      <c r="C26" s="35"/>
      <c r="D26" s="35">
        <f>SUM(D24:D25)</f>
        <v>17638.711647195003</v>
      </c>
      <c r="E26" s="73"/>
      <c r="F26" s="35"/>
      <c r="G26" s="35">
        <f>SUM(G24:G25)</f>
        <v>21658.350000000002</v>
      </c>
      <c r="H26" s="35">
        <f t="shared" si="3"/>
        <v>4019.6383528049992</v>
      </c>
      <c r="I26" s="36">
        <f t="shared" si="7"/>
        <v>0.22788729886880499</v>
      </c>
      <c r="J26" s="111">
        <f t="shared" si="1"/>
        <v>7.9363868799311205E-2</v>
      </c>
    </row>
    <row r="27" spans="1:10" s="1" customFormat="1" x14ac:dyDescent="0.2">
      <c r="A27" s="110" t="s">
        <v>80</v>
      </c>
      <c r="B27" s="74"/>
      <c r="C27" s="35"/>
      <c r="D27" s="35">
        <f>D23+D26</f>
        <v>27645.771647195004</v>
      </c>
      <c r="E27" s="73"/>
      <c r="F27" s="35"/>
      <c r="G27" s="35">
        <f>G23+G26</f>
        <v>27528.019530306359</v>
      </c>
      <c r="H27" s="35">
        <f t="shared" si="3"/>
        <v>-117.75211688864511</v>
      </c>
      <c r="I27" s="36">
        <f t="shared" si="7"/>
        <v>-4.2593174244276331E-3</v>
      </c>
      <c r="J27" s="111">
        <f t="shared" si="1"/>
        <v>0.10087241781151889</v>
      </c>
    </row>
    <row r="28" spans="1:10" x14ac:dyDescent="0.2">
      <c r="A28" s="107" t="s">
        <v>42</v>
      </c>
      <c r="B28" s="73">
        <f>C9</f>
        <v>2065200</v>
      </c>
      <c r="C28" s="34">
        <v>3.5999999999999999E-3</v>
      </c>
      <c r="D28" s="22">
        <f>B28*C28</f>
        <v>7434.7199999999993</v>
      </c>
      <c r="E28" s="73">
        <f>B9</f>
        <v>2068000</v>
      </c>
      <c r="F28" s="34">
        <v>3.5999999999999999E-3</v>
      </c>
      <c r="G28" s="22">
        <f>E28*F28</f>
        <v>7444.8</v>
      </c>
      <c r="H28" s="22">
        <f t="shared" si="3"/>
        <v>10.080000000000837</v>
      </c>
      <c r="I28" s="23">
        <f t="shared" si="7"/>
        <v>1.3558008909549839E-3</v>
      </c>
      <c r="J28" s="124">
        <f t="shared" si="1"/>
        <v>2.7280385183410184E-2</v>
      </c>
    </row>
    <row r="29" spans="1:10" x14ac:dyDescent="0.2">
      <c r="A29" s="107" t="s">
        <v>43</v>
      </c>
      <c r="B29" s="73">
        <f>C9</f>
        <v>2065200</v>
      </c>
      <c r="C29" s="34">
        <v>2.0999999999999999E-3</v>
      </c>
      <c r="D29" s="22">
        <f>B29*C29</f>
        <v>4336.92</v>
      </c>
      <c r="E29" s="73">
        <f>B9</f>
        <v>2068000</v>
      </c>
      <c r="F29" s="34">
        <v>2.0999999999999999E-3</v>
      </c>
      <c r="G29" s="22">
        <f>E29*F29</f>
        <v>4342.8</v>
      </c>
      <c r="H29" s="22">
        <f>G29-D29</f>
        <v>5.8800000000001091</v>
      </c>
      <c r="I29" s="23">
        <f t="shared" si="7"/>
        <v>1.3558008909548963E-3</v>
      </c>
      <c r="J29" s="124">
        <f t="shared" si="1"/>
        <v>1.591355802365594E-2</v>
      </c>
    </row>
    <row r="30" spans="1:10" x14ac:dyDescent="0.2">
      <c r="A30" s="107" t="s">
        <v>100</v>
      </c>
      <c r="B30" s="73">
        <f>C9</f>
        <v>2065200</v>
      </c>
      <c r="C30" s="34">
        <v>0</v>
      </c>
      <c r="D30" s="22">
        <f>B30*C30</f>
        <v>0</v>
      </c>
      <c r="E30" s="73">
        <f>B9</f>
        <v>2068000</v>
      </c>
      <c r="F30" s="34">
        <v>0</v>
      </c>
      <c r="G30" s="22">
        <f>E30*F30</f>
        <v>0</v>
      </c>
      <c r="H30" s="22">
        <f>G30-D30</f>
        <v>0</v>
      </c>
      <c r="I30" s="23" t="str">
        <f t="shared" si="7"/>
        <v>N/A</v>
      </c>
      <c r="J30" s="124">
        <f t="shared" si="1"/>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si="1"/>
        <v>9.1608858476420402E-7</v>
      </c>
    </row>
    <row r="32" spans="1:10" x14ac:dyDescent="0.2">
      <c r="A32" s="110" t="s">
        <v>45</v>
      </c>
      <c r="B32" s="74"/>
      <c r="C32" s="35"/>
      <c r="D32" s="35">
        <f>SUM(D28:D31)</f>
        <v>11771.89</v>
      </c>
      <c r="E32" s="73"/>
      <c r="F32" s="35"/>
      <c r="G32" s="35">
        <f>SUM(G28:G31)</f>
        <v>11787.85</v>
      </c>
      <c r="H32" s="35">
        <f t="shared" si="3"/>
        <v>15.960000000000946</v>
      </c>
      <c r="I32" s="36">
        <f t="shared" si="7"/>
        <v>1.3557720977685781E-3</v>
      </c>
      <c r="J32" s="111">
        <f t="shared" si="1"/>
        <v>4.3194859295650888E-2</v>
      </c>
    </row>
    <row r="33" spans="1:10" ht="13.5" thickBot="1" x14ac:dyDescent="0.25">
      <c r="A33" s="112" t="s">
        <v>46</v>
      </c>
      <c r="B33" s="113">
        <f>B4</f>
        <v>2000000</v>
      </c>
      <c r="C33" s="114">
        <v>7.0000000000000001E-3</v>
      </c>
      <c r="D33" s="115">
        <f>B33*C33</f>
        <v>14000</v>
      </c>
      <c r="E33" s="116">
        <f t="shared" si="4"/>
        <v>2000000</v>
      </c>
      <c r="F33" s="114">
        <f>C33</f>
        <v>7.0000000000000001E-3</v>
      </c>
      <c r="G33" s="115">
        <f>E33*F33</f>
        <v>14000</v>
      </c>
      <c r="H33" s="115">
        <f t="shared" si="3"/>
        <v>0</v>
      </c>
      <c r="I33" s="117">
        <f t="shared" si="7"/>
        <v>0</v>
      </c>
      <c r="J33" s="118">
        <f t="shared" si="1"/>
        <v>5.1300960746795424E-2</v>
      </c>
    </row>
    <row r="34" spans="1:10" x14ac:dyDescent="0.2">
      <c r="A34" s="37" t="s">
        <v>146</v>
      </c>
      <c r="B34" s="38"/>
      <c r="C34" s="39"/>
      <c r="D34" s="39">
        <f>SUM(D15,D23,D26,D32,D33)</f>
        <v>241350.86164719501</v>
      </c>
      <c r="E34" s="38"/>
      <c r="F34" s="39"/>
      <c r="G34" s="39">
        <f>SUM(G15,G23,G26,G32,G33)</f>
        <v>241503.86953030637</v>
      </c>
      <c r="H34" s="39">
        <f t="shared" si="3"/>
        <v>153.00788311136421</v>
      </c>
      <c r="I34" s="40">
        <f t="shared" si="7"/>
        <v>6.3396451981609272E-4</v>
      </c>
      <c r="J34" s="41">
        <f t="shared" si="1"/>
        <v>0.88495575221238931</v>
      </c>
    </row>
    <row r="35" spans="1:10" x14ac:dyDescent="0.2">
      <c r="A35" s="46" t="s">
        <v>138</v>
      </c>
      <c r="B35" s="43"/>
      <c r="C35" s="26">
        <v>0.13</v>
      </c>
      <c r="D35" s="26">
        <f>D34*C35</f>
        <v>31375.612014135353</v>
      </c>
      <c r="E35" s="26"/>
      <c r="F35" s="26">
        <f>C35</f>
        <v>0.13</v>
      </c>
      <c r="G35" s="26">
        <f>G34*F35</f>
        <v>31395.503038939831</v>
      </c>
      <c r="H35" s="26">
        <f t="shared" si="3"/>
        <v>19.891024804477638</v>
      </c>
      <c r="I35" s="44">
        <f t="shared" si="7"/>
        <v>6.3396451981610194E-4</v>
      </c>
      <c r="J35" s="45">
        <f t="shared" si="1"/>
        <v>0.11504424778761062</v>
      </c>
    </row>
    <row r="36" spans="1:10" x14ac:dyDescent="0.2">
      <c r="A36" s="46" t="s">
        <v>139</v>
      </c>
      <c r="B36" s="24"/>
      <c r="C36" s="25"/>
      <c r="D36" s="25">
        <f>SUM(D34:D35)</f>
        <v>272726.47366133035</v>
      </c>
      <c r="E36" s="25"/>
      <c r="F36" s="25"/>
      <c r="G36" s="25">
        <f>SUM(G34:G35)</f>
        <v>272899.37256924622</v>
      </c>
      <c r="H36" s="25">
        <f t="shared" si="3"/>
        <v>172.89890791586367</v>
      </c>
      <c r="I36" s="27">
        <f t="shared" si="7"/>
        <v>6.3396451981617382E-4</v>
      </c>
      <c r="J36" s="47">
        <f t="shared" si="1"/>
        <v>1</v>
      </c>
    </row>
    <row r="37" spans="1:10" x14ac:dyDescent="0.2">
      <c r="A37" s="46" t="s">
        <v>140</v>
      </c>
      <c r="B37" s="43"/>
      <c r="C37" s="26">
        <v>0</v>
      </c>
      <c r="D37" s="26">
        <f>D34*C37</f>
        <v>0</v>
      </c>
      <c r="E37" s="26"/>
      <c r="F37" s="26">
        <f>C37</f>
        <v>0</v>
      </c>
      <c r="G37" s="26">
        <f>G34*F37</f>
        <v>0</v>
      </c>
      <c r="H37" s="26">
        <f t="shared" si="3"/>
        <v>0</v>
      </c>
      <c r="I37" s="44" t="str">
        <f t="shared" si="7"/>
        <v>N/A</v>
      </c>
      <c r="J37" s="45">
        <f t="shared" si="1"/>
        <v>0</v>
      </c>
    </row>
    <row r="38" spans="1:10" ht="13.5" thickBot="1" x14ac:dyDescent="0.25">
      <c r="A38" s="46" t="s">
        <v>141</v>
      </c>
      <c r="B38" s="49"/>
      <c r="C38" s="50"/>
      <c r="D38" s="50">
        <f>SUM(D36:D37)</f>
        <v>272726.47366133035</v>
      </c>
      <c r="E38" s="50"/>
      <c r="F38" s="50"/>
      <c r="G38" s="50">
        <f>SUM(G36:G37)</f>
        <v>272899.37256924622</v>
      </c>
      <c r="H38" s="50">
        <f t="shared" si="3"/>
        <v>172.89890791586367</v>
      </c>
      <c r="I38" s="51">
        <f t="shared" si="7"/>
        <v>6.3396451981617382E-4</v>
      </c>
      <c r="J38" s="52">
        <f t="shared" si="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K67"/>
  <sheetViews>
    <sheetView tabSelected="1" topLeftCell="A4" zoomScale="115" zoomScaleNormal="115"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185</v>
      </c>
      <c r="C3" s="13" t="s">
        <v>125</v>
      </c>
    </row>
    <row r="4" spans="1:11" x14ac:dyDescent="0.2">
      <c r="A4" s="15" t="s">
        <v>62</v>
      </c>
      <c r="B4" s="15">
        <v>400</v>
      </c>
      <c r="C4" s="15">
        <f>B4</f>
        <v>400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81">
        <f>B4*B6</f>
        <v>426.68</v>
      </c>
      <c r="C8" s="181">
        <f>C4*C6</f>
        <v>422.56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G12/$G$45</f>
        <v>0.39251445940236529</v>
      </c>
      <c r="K12" s="106"/>
    </row>
    <row r="13" spans="1:11" x14ac:dyDescent="0.2">
      <c r="A13" s="107" t="s">
        <v>32</v>
      </c>
      <c r="B13" s="73">
        <f>IF(B4&gt;B7,(B4)-B7,0)</f>
        <v>0</v>
      </c>
      <c r="C13" s="21">
        <v>0.106</v>
      </c>
      <c r="D13" s="22">
        <f>B13*C13</f>
        <v>0</v>
      </c>
      <c r="E13" s="73">
        <f t="shared" ref="E13:E38" si="1">B13</f>
        <v>0</v>
      </c>
      <c r="F13" s="21">
        <f>C13</f>
        <v>0.106</v>
      </c>
      <c r="G13" s="22">
        <f>E13*F13</f>
        <v>0</v>
      </c>
      <c r="H13" s="22">
        <f t="shared" ref="H13:H45" si="2">G13-D13</f>
        <v>0</v>
      </c>
      <c r="I13" s="23" t="str">
        <f t="shared" si="0"/>
        <v>N/A</v>
      </c>
      <c r="J13" s="23">
        <f>G13/$G$45</f>
        <v>0</v>
      </c>
      <c r="K13" s="108"/>
    </row>
    <row r="14" spans="1:11" s="1" customFormat="1" x14ac:dyDescent="0.2">
      <c r="A14" s="46" t="s">
        <v>33</v>
      </c>
      <c r="B14" s="24"/>
      <c r="C14" s="25"/>
      <c r="D14" s="25">
        <f>SUM(D12:D13)</f>
        <v>36.4</v>
      </c>
      <c r="E14" s="76"/>
      <c r="F14" s="25"/>
      <c r="G14" s="25">
        <f>SUM(G12:G13)</f>
        <v>36.4</v>
      </c>
      <c r="H14" s="25">
        <f t="shared" si="2"/>
        <v>0</v>
      </c>
      <c r="I14" s="27">
        <f t="shared" si="0"/>
        <v>0</v>
      </c>
      <c r="J14" s="27">
        <f>G14/$G$45</f>
        <v>0.39251445940236529</v>
      </c>
      <c r="K14" s="108"/>
    </row>
    <row r="15" spans="1:11" s="1" customFormat="1" x14ac:dyDescent="0.2">
      <c r="A15" s="109" t="s">
        <v>34</v>
      </c>
      <c r="B15" s="75">
        <f>B4*0.65</f>
        <v>260</v>
      </c>
      <c r="C15" s="28">
        <v>7.6999999999999999E-2</v>
      </c>
      <c r="D15" s="22">
        <f>B15*C15</f>
        <v>20.02</v>
      </c>
      <c r="E15" s="73">
        <f t="shared" ref="E15:F17" si="3">B15</f>
        <v>260</v>
      </c>
      <c r="F15" s="28">
        <f t="shared" si="3"/>
        <v>7.6999999999999999E-2</v>
      </c>
      <c r="G15" s="22">
        <f>E15*F15</f>
        <v>20.02</v>
      </c>
      <c r="H15" s="22">
        <f t="shared" si="2"/>
        <v>0</v>
      </c>
      <c r="I15" s="23">
        <f t="shared" si="0"/>
        <v>0</v>
      </c>
      <c r="J15" s="23"/>
      <c r="K15" s="108">
        <f t="shared" ref="K15:K25" si="4">G15/$G$50</f>
        <v>0.20929055956497722</v>
      </c>
    </row>
    <row r="16" spans="1:11" s="1" customFormat="1" x14ac:dyDescent="0.2">
      <c r="A16" s="109" t="s">
        <v>35</v>
      </c>
      <c r="B16" s="75">
        <f>B4*0.17</f>
        <v>68</v>
      </c>
      <c r="C16" s="28">
        <v>0.113</v>
      </c>
      <c r="D16" s="22">
        <f>B16*C16</f>
        <v>7.6840000000000002</v>
      </c>
      <c r="E16" s="73">
        <f t="shared" si="3"/>
        <v>68</v>
      </c>
      <c r="F16" s="28">
        <f t="shared" si="3"/>
        <v>0.113</v>
      </c>
      <c r="G16" s="22">
        <f>E16*F16</f>
        <v>7.6840000000000002</v>
      </c>
      <c r="H16" s="22">
        <f t="shared" si="2"/>
        <v>0</v>
      </c>
      <c r="I16" s="23">
        <f t="shared" si="0"/>
        <v>0</v>
      </c>
      <c r="J16" s="23"/>
      <c r="K16" s="108">
        <f t="shared" si="4"/>
        <v>8.0329103880983271E-2</v>
      </c>
    </row>
    <row r="17" spans="1:11" s="1" customFormat="1" x14ac:dyDescent="0.2">
      <c r="A17" s="109" t="s">
        <v>36</v>
      </c>
      <c r="B17" s="75">
        <f>B4*0.18</f>
        <v>72</v>
      </c>
      <c r="C17" s="28">
        <v>0.157</v>
      </c>
      <c r="D17" s="22">
        <f>B17*C17</f>
        <v>11.304</v>
      </c>
      <c r="E17" s="73">
        <f t="shared" si="3"/>
        <v>72</v>
      </c>
      <c r="F17" s="28">
        <f t="shared" si="3"/>
        <v>0.157</v>
      </c>
      <c r="G17" s="22">
        <f>E17*F17</f>
        <v>11.304</v>
      </c>
      <c r="H17" s="22">
        <f t="shared" si="2"/>
        <v>0</v>
      </c>
      <c r="I17" s="23">
        <f t="shared" si="0"/>
        <v>0</v>
      </c>
      <c r="J17" s="23"/>
      <c r="K17" s="108">
        <f t="shared" si="4"/>
        <v>0.11817285141471043</v>
      </c>
    </row>
    <row r="18" spans="1:11" s="1" customFormat="1" x14ac:dyDescent="0.2">
      <c r="A18" s="61" t="s">
        <v>37</v>
      </c>
      <c r="B18" s="29"/>
      <c r="C18" s="30"/>
      <c r="D18" s="30">
        <f>SUM(D15:D17)</f>
        <v>39.008000000000003</v>
      </c>
      <c r="E18" s="77"/>
      <c r="F18" s="30"/>
      <c r="G18" s="30">
        <f>SUM(G15:G17)</f>
        <v>39.008000000000003</v>
      </c>
      <c r="H18" s="31">
        <f t="shared" si="2"/>
        <v>0</v>
      </c>
      <c r="I18" s="32">
        <f t="shared" si="0"/>
        <v>0</v>
      </c>
      <c r="J18" s="33">
        <f>G18/$G$45</f>
        <v>0.42063747341668867</v>
      </c>
      <c r="K18" s="62">
        <f t="shared" si="4"/>
        <v>0.40779251486067097</v>
      </c>
    </row>
    <row r="19" spans="1:11" x14ac:dyDescent="0.2">
      <c r="A19" s="107" t="s">
        <v>38</v>
      </c>
      <c r="B19" s="73">
        <v>1</v>
      </c>
      <c r="C19" s="121">
        <f>VLOOKUP($C$3,'Data for Bill Impacts'!$A$3:$Y$39,7,0)</f>
        <v>36.78</v>
      </c>
      <c r="D19" s="22">
        <f>B19*C19</f>
        <v>36.78</v>
      </c>
      <c r="E19" s="73">
        <f t="shared" si="1"/>
        <v>1</v>
      </c>
      <c r="F19" s="121">
        <f>VLOOKUP($B$3,'Data for Bill Impacts'!$A$3:$Y$39,17,0)</f>
        <v>40.43</v>
      </c>
      <c r="G19" s="22">
        <f>E19*F19</f>
        <v>40.43</v>
      </c>
      <c r="H19" s="22">
        <f t="shared" si="2"/>
        <v>3.6499999999999986</v>
      </c>
      <c r="I19" s="23">
        <f>IF(ISERROR(H19/ABS(D19)),"N/A",(H19/ABS(D19)))</f>
        <v>9.9238716693855311E-2</v>
      </c>
      <c r="J19" s="23">
        <f>G19/$G$45</f>
        <v>0.43597141740762718</v>
      </c>
      <c r="K19" s="108">
        <f t="shared" si="4"/>
        <v>0.4226582079526488</v>
      </c>
    </row>
    <row r="20" spans="1:11" x14ac:dyDescent="0.2">
      <c r="A20" s="107" t="s">
        <v>193</v>
      </c>
      <c r="B20" s="73">
        <v>1</v>
      </c>
      <c r="C20" s="78">
        <f>'Data for Bill Impacts'!K34</f>
        <v>-0.55000000000000004</v>
      </c>
      <c r="D20" s="22">
        <f>B20*C20</f>
        <v>-0.55000000000000004</v>
      </c>
      <c r="E20" s="73">
        <f t="shared" si="1"/>
        <v>1</v>
      </c>
      <c r="F20" s="121">
        <v>0</v>
      </c>
      <c r="G20" s="22">
        <f t="shared" ref="G20" si="5">E20*F20</f>
        <v>0</v>
      </c>
      <c r="H20" s="22">
        <f t="shared" si="2"/>
        <v>0.55000000000000004</v>
      </c>
      <c r="I20" s="23">
        <f t="shared" ref="I20:I21" si="6">IF(ISERROR(H20/D20),0,(H20/D20))</f>
        <v>-1</v>
      </c>
      <c r="J20" s="23">
        <f>G20/$G$45</f>
        <v>0</v>
      </c>
      <c r="K20" s="108">
        <f t="shared" si="4"/>
        <v>0</v>
      </c>
    </row>
    <row r="21" spans="1:11" x14ac:dyDescent="0.2">
      <c r="A21" s="107" t="s">
        <v>39</v>
      </c>
      <c r="B21" s="73">
        <f>IF($C$9="kWh",$C$4,$C$5)</f>
        <v>400</v>
      </c>
      <c r="C21" s="125">
        <f>VLOOKUP($C$3,'Data for Bill Impacts'!$A$3:$Y$39,10,0)</f>
        <v>0</v>
      </c>
      <c r="D21" s="22">
        <f>B21*C21</f>
        <v>0</v>
      </c>
      <c r="E21" s="73">
        <f t="shared" si="1"/>
        <v>400</v>
      </c>
      <c r="F21" s="125">
        <f>VLOOKUP($B$3,'Data for Bill Impacts'!$A$3:$Y$39,19,0)</f>
        <v>0</v>
      </c>
      <c r="G21" s="22">
        <f>E21*F21</f>
        <v>0</v>
      </c>
      <c r="H21" s="22">
        <f t="shared" si="2"/>
        <v>0</v>
      </c>
      <c r="I21" s="23">
        <f t="shared" si="6"/>
        <v>0</v>
      </c>
      <c r="J21" s="23">
        <f>G21/$G$45</f>
        <v>0</v>
      </c>
      <c r="K21" s="108">
        <f t="shared" si="4"/>
        <v>0</v>
      </c>
    </row>
    <row r="22" spans="1:11" x14ac:dyDescent="0.2">
      <c r="A22" s="107" t="s">
        <v>194</v>
      </c>
      <c r="B22" s="73">
        <f>IF($C$9="kWh",$C$4,$C$5)</f>
        <v>400</v>
      </c>
      <c r="C22" s="78">
        <f>'Data for Bill Impacts'!H34</f>
        <v>8.9999999999999998E-4</v>
      </c>
      <c r="D22" s="22">
        <f>B22*C22</f>
        <v>0.36</v>
      </c>
      <c r="E22" s="73">
        <f>B22</f>
        <v>400</v>
      </c>
      <c r="F22" s="125">
        <v>0</v>
      </c>
      <c r="G22" s="22">
        <f>E22*F22</f>
        <v>0</v>
      </c>
      <c r="H22" s="22">
        <f>G22-D22</f>
        <v>-0.36</v>
      </c>
      <c r="I22" s="23">
        <f t="shared" ref="I22:I50" si="7">IF(ISERROR(H22/ABS(D22)),"N/A",(H22/ABS(D22)))</f>
        <v>-1</v>
      </c>
      <c r="J22" s="23">
        <f t="shared" ref="J22" si="8">G22/$G$45</f>
        <v>0</v>
      </c>
      <c r="K22" s="108">
        <f t="shared" si="4"/>
        <v>0</v>
      </c>
    </row>
    <row r="23" spans="1:11" x14ac:dyDescent="0.2">
      <c r="A23" s="107" t="s">
        <v>195</v>
      </c>
      <c r="B23" s="73">
        <f>IF($B$9="kWh",$B$4,$B$5)</f>
        <v>400</v>
      </c>
      <c r="C23" s="125">
        <f>'Data for Bill Impacts'!L34</f>
        <v>0</v>
      </c>
      <c r="D23" s="22">
        <f>B23*C23</f>
        <v>0</v>
      </c>
      <c r="E23" s="73">
        <f t="shared" si="1"/>
        <v>400</v>
      </c>
      <c r="F23" s="125">
        <v>0</v>
      </c>
      <c r="G23" s="22">
        <f>E23*F23</f>
        <v>0</v>
      </c>
      <c r="H23" s="22">
        <f t="shared" si="2"/>
        <v>0</v>
      </c>
      <c r="I23" s="23" t="str">
        <f t="shared" si="7"/>
        <v>N/A</v>
      </c>
      <c r="J23" s="23">
        <f>G23/$G$45</f>
        <v>0</v>
      </c>
      <c r="K23" s="108">
        <f t="shared" si="4"/>
        <v>0</v>
      </c>
    </row>
    <row r="24" spans="1:11" s="1" customFormat="1" x14ac:dyDescent="0.2">
      <c r="A24" s="110" t="s">
        <v>72</v>
      </c>
      <c r="B24" s="74"/>
      <c r="C24" s="35"/>
      <c r="D24" s="35">
        <f>SUM(D19:D23)</f>
        <v>36.590000000000003</v>
      </c>
      <c r="E24" s="73"/>
      <c r="F24" s="35"/>
      <c r="G24" s="35">
        <f>SUM(G19:G23)</f>
        <v>40.43</v>
      </c>
      <c r="H24" s="35">
        <f t="shared" si="2"/>
        <v>3.8399999999999963</v>
      </c>
      <c r="I24" s="36">
        <f t="shared" si="7"/>
        <v>0.10494670675047817</v>
      </c>
      <c r="J24" s="36">
        <f>G24/$G$45</f>
        <v>0.43597141740762718</v>
      </c>
      <c r="K24" s="111">
        <f t="shared" si="4"/>
        <v>0.4226582079526488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8.5188577727436429E-3</v>
      </c>
      <c r="K25" s="108">
        <f t="shared" si="4"/>
        <v>8.2587183844321684E-3</v>
      </c>
    </row>
    <row r="26" spans="1:11" s="1" customFormat="1" x14ac:dyDescent="0.2">
      <c r="A26" s="119" t="s">
        <v>75</v>
      </c>
      <c r="B26" s="120">
        <f>C8-C4</f>
        <v>22.560000000000002</v>
      </c>
      <c r="C26" s="257">
        <f>IF(B4&gt;B7,C13,C12)</f>
        <v>9.0999999999999998E-2</v>
      </c>
      <c r="D26" s="22">
        <f>B26*C26</f>
        <v>2.0529600000000001</v>
      </c>
      <c r="E26" s="73">
        <f>B8-B4</f>
        <v>26.680000000000007</v>
      </c>
      <c r="F26" s="257">
        <f>C26</f>
        <v>9.0999999999999998E-2</v>
      </c>
      <c r="G26" s="22">
        <f>E26*F26</f>
        <v>2.4278800000000005</v>
      </c>
      <c r="H26" s="22">
        <f t="shared" si="2"/>
        <v>0.37492000000000036</v>
      </c>
      <c r="I26" s="23">
        <f t="shared" si="7"/>
        <v>0.18262411347517749</v>
      </c>
      <c r="J26" s="23">
        <f t="shared" ref="J26:J45" si="9">G26/$G$45</f>
        <v>2.6180714442137772E-2</v>
      </c>
      <c r="K26" s="108">
        <f t="shared" ref="K26:K40" si="10">G26/$G$50</f>
        <v>2.538123695087997E-2</v>
      </c>
    </row>
    <row r="27" spans="1:11" s="1" customFormat="1" x14ac:dyDescent="0.2">
      <c r="A27" s="119" t="s">
        <v>74</v>
      </c>
      <c r="B27" s="120">
        <f>C8-C4</f>
        <v>22.560000000000002</v>
      </c>
      <c r="C27" s="257">
        <f>0.65*C15+0.17*C16+0.18*C17</f>
        <v>9.7519999999999996E-2</v>
      </c>
      <c r="D27" s="22">
        <f>B27*C27</f>
        <v>2.2000512000000003</v>
      </c>
      <c r="E27" s="73">
        <f>B8-B4</f>
        <v>26.680000000000007</v>
      </c>
      <c r="F27" s="257">
        <f>C27</f>
        <v>9.7519999999999996E-2</v>
      </c>
      <c r="G27" s="22">
        <f>E27*F27</f>
        <v>2.6018336000000004</v>
      </c>
      <c r="H27" s="22">
        <f t="shared" si="2"/>
        <v>0.4017824000000001</v>
      </c>
      <c r="I27" s="23">
        <f t="shared" si="7"/>
        <v>0.18262411347517732</v>
      </c>
      <c r="J27" s="23">
        <f t="shared" si="9"/>
        <v>2.8056519476893135E-2</v>
      </c>
      <c r="K27" s="108">
        <f t="shared" si="10"/>
        <v>2.7199760741206756E-2</v>
      </c>
    </row>
    <row r="28" spans="1:11" s="1" customFormat="1" x14ac:dyDescent="0.2">
      <c r="A28" s="110" t="s">
        <v>78</v>
      </c>
      <c r="B28" s="74"/>
      <c r="C28" s="35"/>
      <c r="D28" s="35">
        <f>SUM(D24,D25:D26)</f>
        <v>39.432960000000001</v>
      </c>
      <c r="E28" s="73"/>
      <c r="F28" s="35"/>
      <c r="G28" s="35">
        <f>SUM(G24,G25:G26)</f>
        <v>43.647880000000001</v>
      </c>
      <c r="H28" s="35">
        <f t="shared" si="2"/>
        <v>4.2149199999999993</v>
      </c>
      <c r="I28" s="36">
        <f t="shared" si="7"/>
        <v>0.10688824780082447</v>
      </c>
      <c r="J28" s="36">
        <f t="shared" si="9"/>
        <v>0.47067098962250858</v>
      </c>
      <c r="K28" s="111">
        <f t="shared" si="10"/>
        <v>0.45629816328796097</v>
      </c>
    </row>
    <row r="29" spans="1:11" s="1" customFormat="1" x14ac:dyDescent="0.2">
      <c r="A29" s="110" t="s">
        <v>77</v>
      </c>
      <c r="B29" s="74"/>
      <c r="C29" s="35"/>
      <c r="D29" s="35">
        <f>SUM(D24,D25,D27)</f>
        <v>39.5800512</v>
      </c>
      <c r="E29" s="73"/>
      <c r="F29" s="35"/>
      <c r="G29" s="35">
        <f>SUM(G24,G25,G27)</f>
        <v>43.821833599999998</v>
      </c>
      <c r="H29" s="35">
        <f t="shared" si="2"/>
        <v>4.2417823999999982</v>
      </c>
      <c r="I29" s="36">
        <f t="shared" si="7"/>
        <v>0.10716970472236272</v>
      </c>
      <c r="J29" s="36">
        <f t="shared" si="9"/>
        <v>0.4725467946572639</v>
      </c>
      <c r="K29" s="111">
        <f t="shared" si="10"/>
        <v>0.45811668707828773</v>
      </c>
    </row>
    <row r="30" spans="1:11" x14ac:dyDescent="0.2">
      <c r="A30" s="107" t="s">
        <v>40</v>
      </c>
      <c r="B30" s="73">
        <f>C8</f>
        <v>422.56</v>
      </c>
      <c r="C30" s="125">
        <f>VLOOKUP($C$3,'Data for Bill Impacts'!$A$3:$Y$39,15,0)</f>
        <v>6.7999999999999996E-3</v>
      </c>
      <c r="D30" s="22">
        <f>B30*C30</f>
        <v>2.873408</v>
      </c>
      <c r="E30" s="73">
        <f>B8</f>
        <v>426.68</v>
      </c>
      <c r="F30" s="78">
        <f>VLOOKUP($B$3,'Data for Bill Impacts'!$A$3:$Y$39,24,0)</f>
        <v>7.1000000000000004E-3</v>
      </c>
      <c r="G30" s="22">
        <f>E30*F30</f>
        <v>3.0294280000000002</v>
      </c>
      <c r="H30" s="22">
        <f t="shared" si="2"/>
        <v>0.15602000000000027</v>
      </c>
      <c r="I30" s="23">
        <f t="shared" si="7"/>
        <v>5.4297892954985952E-2</v>
      </c>
      <c r="J30" s="23">
        <f t="shared" si="9"/>
        <v>3.266742565160409E-2</v>
      </c>
      <c r="K30" s="108">
        <f t="shared" si="10"/>
        <v>3.1669864199890603E-2</v>
      </c>
    </row>
    <row r="31" spans="1:11" x14ac:dyDescent="0.2">
      <c r="A31" s="107" t="s">
        <v>41</v>
      </c>
      <c r="B31" s="73">
        <f>C8</f>
        <v>422.56</v>
      </c>
      <c r="C31" s="125">
        <f>VLOOKUP($C$3,'Data for Bill Impacts'!$A$3:$Y$39,16,0)</f>
        <v>3.5999999999999999E-3</v>
      </c>
      <c r="D31" s="22">
        <f>B31*C31</f>
        <v>1.5212159999999999</v>
      </c>
      <c r="E31" s="73">
        <f>B8</f>
        <v>426.68</v>
      </c>
      <c r="F31" s="78">
        <f>VLOOKUP($B$3,'Data for Bill Impacts'!$A$3:$Y$39,25,0)</f>
        <v>6.0000000000000001E-3</v>
      </c>
      <c r="G31" s="22">
        <f>E31*F31</f>
        <v>2.5600800000000001</v>
      </c>
      <c r="H31" s="22">
        <f t="shared" si="2"/>
        <v>1.0388640000000002</v>
      </c>
      <c r="I31" s="23">
        <f t="shared" si="7"/>
        <v>0.68291682443518886</v>
      </c>
      <c r="J31" s="23">
        <f t="shared" si="9"/>
        <v>2.7606275198538664E-2</v>
      </c>
      <c r="K31" s="108">
        <f t="shared" si="10"/>
        <v>2.6763265521034314E-2</v>
      </c>
    </row>
    <row r="32" spans="1:11" s="1" customFormat="1" x14ac:dyDescent="0.2">
      <c r="A32" s="110" t="s">
        <v>76</v>
      </c>
      <c r="B32" s="74"/>
      <c r="C32" s="35"/>
      <c r="D32" s="35">
        <f>SUM(D30:D31)</f>
        <v>4.3946240000000003</v>
      </c>
      <c r="E32" s="73"/>
      <c r="F32" s="35"/>
      <c r="G32" s="35">
        <f>SUM(G30:G31)</f>
        <v>5.5895080000000004</v>
      </c>
      <c r="H32" s="35">
        <f t="shared" si="2"/>
        <v>1.1948840000000001</v>
      </c>
      <c r="I32" s="36">
        <f t="shared" si="7"/>
        <v>0.27189675385197914</v>
      </c>
      <c r="J32" s="36">
        <f t="shared" si="9"/>
        <v>6.0273700850142754E-2</v>
      </c>
      <c r="K32" s="111">
        <f t="shared" si="10"/>
        <v>5.8433129720924917E-2</v>
      </c>
    </row>
    <row r="33" spans="1:11" s="1" customFormat="1" x14ac:dyDescent="0.2">
      <c r="A33" s="110" t="s">
        <v>95</v>
      </c>
      <c r="B33" s="74"/>
      <c r="C33" s="35"/>
      <c r="D33" s="35">
        <f>D28+D32</f>
        <v>43.827584000000002</v>
      </c>
      <c r="E33" s="73"/>
      <c r="F33" s="35"/>
      <c r="G33" s="35">
        <f>G28+G32</f>
        <v>49.237388000000003</v>
      </c>
      <c r="H33" s="35">
        <f t="shared" si="2"/>
        <v>5.4098040000000012</v>
      </c>
      <c r="I33" s="36">
        <f t="shared" si="7"/>
        <v>0.12343377175433629</v>
      </c>
      <c r="J33" s="36">
        <f t="shared" si="9"/>
        <v>0.53094469047265136</v>
      </c>
      <c r="K33" s="111">
        <f t="shared" si="10"/>
        <v>0.51473129300888587</v>
      </c>
    </row>
    <row r="34" spans="1:11" s="1" customFormat="1" x14ac:dyDescent="0.2">
      <c r="A34" s="110" t="s">
        <v>96</v>
      </c>
      <c r="B34" s="74"/>
      <c r="C34" s="35"/>
      <c r="D34" s="35">
        <f>D29+D32</f>
        <v>43.9746752</v>
      </c>
      <c r="E34" s="73"/>
      <c r="F34" s="35"/>
      <c r="G34" s="35">
        <f>G29+G32</f>
        <v>49.4113416</v>
      </c>
      <c r="H34" s="35">
        <f t="shared" si="2"/>
        <v>5.4366664</v>
      </c>
      <c r="I34" s="36">
        <f t="shared" si="7"/>
        <v>0.12363175794417237</v>
      </c>
      <c r="J34" s="36">
        <f t="shared" si="9"/>
        <v>0.53282049550740673</v>
      </c>
      <c r="K34" s="111">
        <f t="shared" si="10"/>
        <v>0.51654981679921264</v>
      </c>
    </row>
    <row r="35" spans="1:11" x14ac:dyDescent="0.2">
      <c r="A35" s="107" t="s">
        <v>42</v>
      </c>
      <c r="B35" s="73">
        <f>C8</f>
        <v>422.56</v>
      </c>
      <c r="C35" s="34">
        <v>3.5999999999999999E-3</v>
      </c>
      <c r="D35" s="22">
        <f>B35*C35</f>
        <v>1.5212159999999999</v>
      </c>
      <c r="E35" s="73">
        <f>B8</f>
        <v>426.68</v>
      </c>
      <c r="F35" s="34">
        <v>3.5999999999999999E-3</v>
      </c>
      <c r="G35" s="22">
        <f>E35*F35</f>
        <v>1.5360480000000001</v>
      </c>
      <c r="H35" s="22">
        <f t="shared" si="2"/>
        <v>1.4832000000000178E-2</v>
      </c>
      <c r="I35" s="23">
        <f t="shared" si="7"/>
        <v>9.7500946611133333E-3</v>
      </c>
      <c r="J35" s="23">
        <f t="shared" si="9"/>
        <v>1.6563765119123199E-2</v>
      </c>
      <c r="K35" s="108">
        <f t="shared" si="10"/>
        <v>1.6057959312620589E-2</v>
      </c>
    </row>
    <row r="36" spans="1:11" x14ac:dyDescent="0.2">
      <c r="A36" s="107" t="s">
        <v>43</v>
      </c>
      <c r="B36" s="73">
        <f>C8</f>
        <v>422.56</v>
      </c>
      <c r="C36" s="34">
        <v>2.0999999999999999E-3</v>
      </c>
      <c r="D36" s="22">
        <f>B36*C36</f>
        <v>0.88737599999999994</v>
      </c>
      <c r="E36" s="73">
        <f>B8</f>
        <v>426.68</v>
      </c>
      <c r="F36" s="34">
        <v>2.0999999999999999E-3</v>
      </c>
      <c r="G36" s="22">
        <f>E36*F36</f>
        <v>0.89602799999999994</v>
      </c>
      <c r="H36" s="22">
        <f>G36-D36</f>
        <v>8.651999999999993E-3</v>
      </c>
      <c r="I36" s="23">
        <f t="shared" si="7"/>
        <v>9.7500946611132067E-3</v>
      </c>
      <c r="J36" s="23">
        <f t="shared" si="9"/>
        <v>9.6621963194885325E-3</v>
      </c>
      <c r="K36" s="108">
        <f t="shared" si="10"/>
        <v>9.367142932362009E-3</v>
      </c>
    </row>
    <row r="37" spans="1:11" x14ac:dyDescent="0.2">
      <c r="A37" s="107" t="s">
        <v>100</v>
      </c>
      <c r="B37" s="73">
        <f>C8</f>
        <v>422.56</v>
      </c>
      <c r="C37" s="34">
        <v>0</v>
      </c>
      <c r="D37" s="22">
        <f>B37*C37</f>
        <v>0</v>
      </c>
      <c r="E37" s="73">
        <f>B8</f>
        <v>426.68</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2.6958410673239377E-3</v>
      </c>
      <c r="K38" s="108">
        <f t="shared" si="10"/>
        <v>2.6135184760861293E-3</v>
      </c>
    </row>
    <row r="39" spans="1:11" s="1" customFormat="1" x14ac:dyDescent="0.2">
      <c r="A39" s="110" t="s">
        <v>45</v>
      </c>
      <c r="B39" s="74"/>
      <c r="C39" s="35"/>
      <c r="D39" s="35">
        <f>SUM(D35:D38)</f>
        <v>2.6585919999999996</v>
      </c>
      <c r="E39" s="73"/>
      <c r="F39" s="35"/>
      <c r="G39" s="35">
        <f>SUM(G35:G38)</f>
        <v>2.6820759999999999</v>
      </c>
      <c r="H39" s="35">
        <f t="shared" si="2"/>
        <v>2.3484000000000282E-2</v>
      </c>
      <c r="I39" s="36">
        <f t="shared" si="7"/>
        <v>8.8332470721345299E-3</v>
      </c>
      <c r="J39" s="36">
        <f t="shared" si="9"/>
        <v>2.8921802505935668E-2</v>
      </c>
      <c r="K39" s="111">
        <f t="shared" si="10"/>
        <v>2.8038620721068726E-2</v>
      </c>
    </row>
    <row r="40" spans="1:11" s="1" customFormat="1" ht="13.5" thickBot="1" x14ac:dyDescent="0.25">
      <c r="A40" s="112" t="s">
        <v>46</v>
      </c>
      <c r="B40" s="113">
        <f>C4</f>
        <v>400</v>
      </c>
      <c r="C40" s="114">
        <v>0</v>
      </c>
      <c r="D40" s="115">
        <f>B40*C40</f>
        <v>0</v>
      </c>
      <c r="E40" s="116">
        <f>B4</f>
        <v>400</v>
      </c>
      <c r="F40" s="114">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82.886176000000006</v>
      </c>
      <c r="E41" s="38"/>
      <c r="F41" s="39"/>
      <c r="G41" s="39">
        <f>SUM(G14,G24,G25,G26,G32,G39,G40)</f>
        <v>88.319463999999996</v>
      </c>
      <c r="H41" s="39">
        <f t="shared" si="2"/>
        <v>5.4332879999999903</v>
      </c>
      <c r="I41" s="40">
        <f t="shared" si="7"/>
        <v>6.5551196378030391E-2</v>
      </c>
      <c r="J41" s="40">
        <f t="shared" si="9"/>
        <v>0.95238095238095222</v>
      </c>
      <c r="K41" s="41"/>
    </row>
    <row r="42" spans="1:11" x14ac:dyDescent="0.2">
      <c r="A42" s="149" t="s">
        <v>138</v>
      </c>
      <c r="B42" s="43"/>
      <c r="C42" s="26">
        <v>0.13</v>
      </c>
      <c r="D42" s="26">
        <f>D41*C42</f>
        <v>10.775202880000002</v>
      </c>
      <c r="E42" s="26"/>
      <c r="F42" s="26">
        <f>C42</f>
        <v>0.13</v>
      </c>
      <c r="G42" s="26">
        <f>G41*F42</f>
        <v>11.481530319999999</v>
      </c>
      <c r="H42" s="26">
        <f t="shared" si="2"/>
        <v>0.70632743999999725</v>
      </c>
      <c r="I42" s="44">
        <f t="shared" si="7"/>
        <v>6.5551196378030252E-2</v>
      </c>
      <c r="J42" s="44">
        <f t="shared" si="9"/>
        <v>0.12380952380952379</v>
      </c>
      <c r="K42" s="45"/>
    </row>
    <row r="43" spans="1:11" s="1" customFormat="1" x14ac:dyDescent="0.2">
      <c r="A43" s="46" t="s">
        <v>139</v>
      </c>
      <c r="B43" s="24"/>
      <c r="C43" s="25"/>
      <c r="D43" s="25">
        <f>SUM(D41:D42)</f>
        <v>93.661378880000001</v>
      </c>
      <c r="E43" s="25"/>
      <c r="F43" s="25"/>
      <c r="G43" s="25">
        <f>SUM(G41:G42)</f>
        <v>99.800994320000001</v>
      </c>
      <c r="H43" s="25">
        <f t="shared" si="2"/>
        <v>6.13961544</v>
      </c>
      <c r="I43" s="27">
        <f t="shared" si="7"/>
        <v>6.5551196378030516E-2</v>
      </c>
      <c r="J43" s="27">
        <f t="shared" si="9"/>
        <v>1.0761904761904761</v>
      </c>
      <c r="K43" s="47"/>
    </row>
    <row r="44" spans="1:11" x14ac:dyDescent="0.2">
      <c r="A44" s="42" t="s">
        <v>140</v>
      </c>
      <c r="B44" s="43"/>
      <c r="C44" s="26">
        <v>-0.08</v>
      </c>
      <c r="D44" s="26">
        <f>D41*C44</f>
        <v>-6.6308940800000009</v>
      </c>
      <c r="E44" s="26"/>
      <c r="F44" s="26">
        <f>C44</f>
        <v>-0.08</v>
      </c>
      <c r="G44" s="26">
        <f>G41*F44</f>
        <v>-7.0655571200000002</v>
      </c>
      <c r="H44" s="26">
        <f t="shared" si="2"/>
        <v>-0.43466303999999933</v>
      </c>
      <c r="I44" s="44">
        <f t="shared" si="7"/>
        <v>-6.5551196378030405E-2</v>
      </c>
      <c r="J44" s="44">
        <f t="shared" si="9"/>
        <v>-7.6190476190476183E-2</v>
      </c>
      <c r="K44" s="45"/>
    </row>
    <row r="45" spans="1:11" s="1" customFormat="1" ht="13.5" thickBot="1" x14ac:dyDescent="0.25">
      <c r="A45" s="48" t="s">
        <v>141</v>
      </c>
      <c r="B45" s="49"/>
      <c r="C45" s="50"/>
      <c r="D45" s="50">
        <f>SUM(D43:D44)</f>
        <v>87.030484799999996</v>
      </c>
      <c r="E45" s="50"/>
      <c r="F45" s="50"/>
      <c r="G45" s="50">
        <f>SUM(G43:G44)</f>
        <v>92.735437200000007</v>
      </c>
      <c r="H45" s="50">
        <f t="shared" si="2"/>
        <v>5.7049524000000105</v>
      </c>
      <c r="I45" s="51">
        <f t="shared" si="7"/>
        <v>6.5551196378030641E-2</v>
      </c>
      <c r="J45" s="51">
        <f t="shared" si="9"/>
        <v>1</v>
      </c>
      <c r="K45" s="52"/>
    </row>
    <row r="46" spans="1:11" x14ac:dyDescent="0.2">
      <c r="A46" s="53" t="s">
        <v>142</v>
      </c>
      <c r="B46" s="54"/>
      <c r="C46" s="55"/>
      <c r="D46" s="55">
        <f>SUM(D18,D24,D25,D27,D32,D39,D40)</f>
        <v>85.641267200000016</v>
      </c>
      <c r="E46" s="55"/>
      <c r="F46" s="55"/>
      <c r="G46" s="55">
        <f>SUM(G18,G24,G25,G27,G32,G39,G40)</f>
        <v>91.101417600000005</v>
      </c>
      <c r="H46" s="55">
        <f>G46-D46</f>
        <v>5.4601503999999892</v>
      </c>
      <c r="I46" s="56">
        <f t="shared" si="7"/>
        <v>6.3756067355341381E-2</v>
      </c>
      <c r="J46" s="56"/>
      <c r="K46" s="57">
        <f>G46/$G$50</f>
        <v>0.95238095238095233</v>
      </c>
    </row>
    <row r="47" spans="1:11" x14ac:dyDescent="0.2">
      <c r="A47" s="58" t="s">
        <v>138</v>
      </c>
      <c r="B47" s="59"/>
      <c r="C47" s="31">
        <v>0.13</v>
      </c>
      <c r="D47" s="31">
        <f>D46*C47</f>
        <v>11.133364736000003</v>
      </c>
      <c r="E47" s="31"/>
      <c r="F47" s="31">
        <f>C47</f>
        <v>0.13</v>
      </c>
      <c r="G47" s="31">
        <f>G46*F47</f>
        <v>11.843184288000002</v>
      </c>
      <c r="H47" s="31">
        <f>G47-D47</f>
        <v>0.70981955199999902</v>
      </c>
      <c r="I47" s="32">
        <f t="shared" si="7"/>
        <v>6.3756067355341409E-2</v>
      </c>
      <c r="J47" s="32"/>
      <c r="K47" s="60">
        <f>G47/$G$50</f>
        <v>0.12380952380952381</v>
      </c>
    </row>
    <row r="48" spans="1:11" x14ac:dyDescent="0.2">
      <c r="A48" s="61" t="s">
        <v>143</v>
      </c>
      <c r="B48" s="29"/>
      <c r="C48" s="30"/>
      <c r="D48" s="30">
        <f>SUM(D46:D47)</f>
        <v>96.77463193600002</v>
      </c>
      <c r="E48" s="30"/>
      <c r="F48" s="30"/>
      <c r="G48" s="30">
        <f>SUM(G46:G47)</f>
        <v>102.94460188800001</v>
      </c>
      <c r="H48" s="30">
        <f>G48-D48</f>
        <v>6.1699699519999882</v>
      </c>
      <c r="I48" s="33">
        <f t="shared" si="7"/>
        <v>6.3756067355341381E-2</v>
      </c>
      <c r="J48" s="33"/>
      <c r="K48" s="62">
        <f>G48/$G$50</f>
        <v>1.0761904761904761</v>
      </c>
    </row>
    <row r="49" spans="1:11" x14ac:dyDescent="0.2">
      <c r="A49" s="58" t="s">
        <v>140</v>
      </c>
      <c r="B49" s="59"/>
      <c r="C49" s="31">
        <v>-0.08</v>
      </c>
      <c r="D49" s="31">
        <f>D46*C49</f>
        <v>-6.8513013760000012</v>
      </c>
      <c r="E49" s="31"/>
      <c r="F49" s="31">
        <f>C49</f>
        <v>-0.08</v>
      </c>
      <c r="G49" s="31">
        <f>G46*F49</f>
        <v>-7.288113408000001</v>
      </c>
      <c r="H49" s="31">
        <f>G49-D49</f>
        <v>-0.43681203199999974</v>
      </c>
      <c r="I49" s="32">
        <f t="shared" si="7"/>
        <v>-6.3756067355341464E-2</v>
      </c>
      <c r="J49" s="32"/>
      <c r="K49" s="60">
        <f>G49/$G$50</f>
        <v>-7.6190476190476197E-2</v>
      </c>
    </row>
    <row r="50" spans="1:11" ht="13.5" thickBot="1" x14ac:dyDescent="0.25">
      <c r="A50" s="63" t="s">
        <v>144</v>
      </c>
      <c r="B50" s="64"/>
      <c r="C50" s="65"/>
      <c r="D50" s="65">
        <f>SUM(D48:D49)</f>
        <v>89.923330560000025</v>
      </c>
      <c r="E50" s="65"/>
      <c r="F50" s="65"/>
      <c r="G50" s="65">
        <f>SUM(G48:G49)</f>
        <v>95.656488480000007</v>
      </c>
      <c r="H50" s="65">
        <f>G50-D50</f>
        <v>5.7331579199999823</v>
      </c>
      <c r="I50" s="66">
        <f t="shared" si="7"/>
        <v>6.3756067355341298E-2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dataConsolidate/>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185</v>
      </c>
      <c r="C3" s="13" t="s">
        <v>125</v>
      </c>
    </row>
    <row r="4" spans="1:11" x14ac:dyDescent="0.2">
      <c r="A4" s="15" t="s">
        <v>62</v>
      </c>
      <c r="B4" s="79">
        <f>C4</f>
        <v>569.97605296090956</v>
      </c>
      <c r="C4" s="79">
        <f>'Data for Bill Impacts_HONI Avg '!E28</f>
        <v>569.97605296090956</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81">
        <f>B4*B6</f>
        <v>607.99345569340221</v>
      </c>
      <c r="C8" s="181">
        <f>C4*C6</f>
        <v>602.12270234790481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569.97605296090956</v>
      </c>
      <c r="C12" s="103">
        <v>9.0999999999999998E-2</v>
      </c>
      <c r="D12" s="104">
        <f>B12*C12</f>
        <v>51.86782081944277</v>
      </c>
      <c r="E12" s="102">
        <f>B12</f>
        <v>569.97605296090956</v>
      </c>
      <c r="F12" s="103">
        <f>C12</f>
        <v>9.0999999999999998E-2</v>
      </c>
      <c r="G12" s="104">
        <f>E12*F12</f>
        <v>51.86782081944277</v>
      </c>
      <c r="H12" s="104">
        <f>G12-D12</f>
        <v>0</v>
      </c>
      <c r="I12" s="105">
        <f t="shared" ref="I12:I18" si="0">IF(ISERROR(H12/ABS(D12)),"N/A",(H12/ABS(D12)))</f>
        <v>0</v>
      </c>
      <c r="J12" s="105">
        <f>G12/$G$45</f>
        <v>0.4564259710169557</v>
      </c>
      <c r="K12" s="106"/>
    </row>
    <row r="13" spans="1:11" x14ac:dyDescent="0.2">
      <c r="A13" s="107" t="s">
        <v>32</v>
      </c>
      <c r="B13" s="73">
        <f>IF(B4&gt;B7,(B4)-B7,0)</f>
        <v>0</v>
      </c>
      <c r="C13" s="21">
        <v>0.106</v>
      </c>
      <c r="D13" s="22">
        <f>B13*C13</f>
        <v>0</v>
      </c>
      <c r="E13" s="73">
        <f t="shared" ref="E13:E38" si="1">B13</f>
        <v>0</v>
      </c>
      <c r="F13" s="21">
        <f>C13</f>
        <v>0.106</v>
      </c>
      <c r="G13" s="22">
        <f>E13*F13</f>
        <v>0</v>
      </c>
      <c r="H13" s="22">
        <f t="shared" ref="H13:H45" si="2">G13-D13</f>
        <v>0</v>
      </c>
      <c r="I13" s="23" t="str">
        <f t="shared" si="0"/>
        <v>N/A</v>
      </c>
      <c r="J13" s="23">
        <f>G13/$G$45</f>
        <v>0</v>
      </c>
      <c r="K13" s="108"/>
    </row>
    <row r="14" spans="1:11" s="1" customFormat="1" x14ac:dyDescent="0.2">
      <c r="A14" s="46" t="s">
        <v>33</v>
      </c>
      <c r="B14" s="24"/>
      <c r="C14" s="25"/>
      <c r="D14" s="25">
        <f>SUM(D12:D13)</f>
        <v>51.86782081944277</v>
      </c>
      <c r="E14" s="76"/>
      <c r="F14" s="25"/>
      <c r="G14" s="25">
        <f>SUM(G12:G13)</f>
        <v>51.86782081944277</v>
      </c>
      <c r="H14" s="25">
        <f t="shared" si="2"/>
        <v>0</v>
      </c>
      <c r="I14" s="27">
        <f t="shared" si="0"/>
        <v>0</v>
      </c>
      <c r="J14" s="27">
        <f>G14/$G$45</f>
        <v>0.4564259710169557</v>
      </c>
      <c r="K14" s="108"/>
    </row>
    <row r="15" spans="1:11" s="1" customFormat="1" x14ac:dyDescent="0.2">
      <c r="A15" s="109" t="s">
        <v>34</v>
      </c>
      <c r="B15" s="75">
        <f>B4*0.65</f>
        <v>370.4844344245912</v>
      </c>
      <c r="C15" s="28">
        <v>7.6999999999999999E-2</v>
      </c>
      <c r="D15" s="22">
        <f>B15*C15</f>
        <v>28.527301450693521</v>
      </c>
      <c r="E15" s="73">
        <f t="shared" ref="E15:F17" si="3">B15</f>
        <v>370.4844344245912</v>
      </c>
      <c r="F15" s="28">
        <f t="shared" si="3"/>
        <v>7.6999999999999999E-2</v>
      </c>
      <c r="G15" s="22">
        <f>E15*F15</f>
        <v>28.527301450693521</v>
      </c>
      <c r="H15" s="22">
        <f t="shared" si="2"/>
        <v>0</v>
      </c>
      <c r="I15" s="23">
        <f t="shared" si="0"/>
        <v>0</v>
      </c>
      <c r="J15" s="23"/>
      <c r="K15" s="108">
        <f t="shared" ref="K15:K25" si="4">G15/$G$50</f>
        <v>0.24216439011798319</v>
      </c>
    </row>
    <row r="16" spans="1:11" s="1" customFormat="1" x14ac:dyDescent="0.2">
      <c r="A16" s="109" t="s">
        <v>35</v>
      </c>
      <c r="B16" s="75">
        <f>B4*0.17</f>
        <v>96.895929003354638</v>
      </c>
      <c r="C16" s="28">
        <v>0.113</v>
      </c>
      <c r="D16" s="22">
        <f>B16*C16</f>
        <v>10.949239977379074</v>
      </c>
      <c r="E16" s="73">
        <f t="shared" si="3"/>
        <v>96.895929003354638</v>
      </c>
      <c r="F16" s="28">
        <f t="shared" si="3"/>
        <v>0.113</v>
      </c>
      <c r="G16" s="22">
        <f>E16*F16</f>
        <v>10.949239977379074</v>
      </c>
      <c r="H16" s="22">
        <f t="shared" si="2"/>
        <v>0</v>
      </c>
      <c r="I16" s="23">
        <f t="shared" si="0"/>
        <v>0</v>
      </c>
      <c r="J16" s="23"/>
      <c r="K16" s="108">
        <f t="shared" si="4"/>
        <v>9.29466120712579E-2</v>
      </c>
    </row>
    <row r="17" spans="1:11" s="1" customFormat="1" x14ac:dyDescent="0.2">
      <c r="A17" s="109" t="s">
        <v>36</v>
      </c>
      <c r="B17" s="75">
        <f>B4*0.18</f>
        <v>102.59568953296372</v>
      </c>
      <c r="C17" s="28">
        <v>0.157</v>
      </c>
      <c r="D17" s="22">
        <f>B17*C17</f>
        <v>16.107523256675304</v>
      </c>
      <c r="E17" s="73">
        <f t="shared" si="3"/>
        <v>102.59568953296372</v>
      </c>
      <c r="F17" s="28">
        <f t="shared" si="3"/>
        <v>0.157</v>
      </c>
      <c r="G17" s="22">
        <f>E17*F17</f>
        <v>16.107523256675304</v>
      </c>
      <c r="H17" s="22">
        <f t="shared" si="2"/>
        <v>0</v>
      </c>
      <c r="I17" s="23">
        <f t="shared" si="0"/>
        <v>0</v>
      </c>
      <c r="J17" s="23"/>
      <c r="K17" s="108">
        <f t="shared" si="4"/>
        <v>0.13673457871596814</v>
      </c>
    </row>
    <row r="18" spans="1:11" s="1" customFormat="1" x14ac:dyDescent="0.2">
      <c r="A18" s="61" t="s">
        <v>37</v>
      </c>
      <c r="B18" s="29"/>
      <c r="C18" s="30"/>
      <c r="D18" s="30">
        <f>SUM(D15:D17)</f>
        <v>55.584064684747901</v>
      </c>
      <c r="E18" s="77"/>
      <c r="F18" s="30"/>
      <c r="G18" s="30">
        <f>SUM(G15:G17)</f>
        <v>55.584064684747901</v>
      </c>
      <c r="H18" s="31">
        <f t="shared" si="2"/>
        <v>0</v>
      </c>
      <c r="I18" s="32">
        <f t="shared" si="0"/>
        <v>0</v>
      </c>
      <c r="J18" s="33">
        <f>G18/$G$45</f>
        <v>0.48912813948981887</v>
      </c>
      <c r="K18" s="62">
        <f t="shared" si="4"/>
        <v>0.47184558090520928</v>
      </c>
    </row>
    <row r="19" spans="1:11" x14ac:dyDescent="0.2">
      <c r="A19" s="107" t="s">
        <v>38</v>
      </c>
      <c r="B19" s="73">
        <v>1</v>
      </c>
      <c r="C19" s="121">
        <f>VLOOKUP($C$3,'Data for Bill Impacts'!$A$3:$Y$39,7,0)</f>
        <v>36.78</v>
      </c>
      <c r="D19" s="22">
        <f>B19*C19</f>
        <v>36.78</v>
      </c>
      <c r="E19" s="73">
        <f t="shared" si="1"/>
        <v>1</v>
      </c>
      <c r="F19" s="121">
        <f>VLOOKUP($B$3,'Data for Bill Impacts'!$A$3:$Y$39,17,0)</f>
        <v>40.43</v>
      </c>
      <c r="G19" s="22">
        <f>E19*F19</f>
        <v>40.43</v>
      </c>
      <c r="H19" s="22">
        <f t="shared" si="2"/>
        <v>3.6499999999999986</v>
      </c>
      <c r="I19" s="23">
        <f>IF(ISERROR(H19/ABS(D19)),"N/A",(H19/ABS(D19)))</f>
        <v>9.9238716693855311E-2</v>
      </c>
      <c r="J19" s="23">
        <f>G19/$G$45</f>
        <v>0.35577554091685026</v>
      </c>
      <c r="K19" s="108">
        <f t="shared" si="4"/>
        <v>0.34320478259720011</v>
      </c>
    </row>
    <row r="20" spans="1:11" x14ac:dyDescent="0.2">
      <c r="A20" s="107" t="s">
        <v>193</v>
      </c>
      <c r="B20" s="73">
        <v>1</v>
      </c>
      <c r="C20" s="78">
        <f>'Data for Bill Impacts'!K34</f>
        <v>-0.55000000000000004</v>
      </c>
      <c r="D20" s="22">
        <f>B20*C20</f>
        <v>-0.55000000000000004</v>
      </c>
      <c r="E20" s="73">
        <f t="shared" si="1"/>
        <v>1</v>
      </c>
      <c r="F20" s="121">
        <v>0</v>
      </c>
      <c r="G20" s="22">
        <f t="shared" ref="G20" si="5">E20*F20</f>
        <v>0</v>
      </c>
      <c r="H20" s="22">
        <f t="shared" si="2"/>
        <v>0.55000000000000004</v>
      </c>
      <c r="I20" s="23">
        <f t="shared" ref="I20:I21" si="6">IF(ISERROR(H20/D20),0,(H20/D20))</f>
        <v>-1</v>
      </c>
      <c r="J20" s="23">
        <f>G20/$G$45</f>
        <v>0</v>
      </c>
      <c r="K20" s="108">
        <f t="shared" si="4"/>
        <v>0</v>
      </c>
    </row>
    <row r="21" spans="1:11" x14ac:dyDescent="0.2">
      <c r="A21" s="107" t="s">
        <v>39</v>
      </c>
      <c r="B21" s="73">
        <f>IF($C$9="kWh",$C$4,$C$5)</f>
        <v>569.97605296090956</v>
      </c>
      <c r="C21" s="125">
        <f>VLOOKUP($C$3,'Data for Bill Impacts'!$A$3:$Y$39,10,0)</f>
        <v>0</v>
      </c>
      <c r="D21" s="22">
        <f>B21*C21</f>
        <v>0</v>
      </c>
      <c r="E21" s="73">
        <f t="shared" si="1"/>
        <v>569.97605296090956</v>
      </c>
      <c r="F21" s="125">
        <f>VLOOKUP($B$3,'Data for Bill Impacts'!$A$3:$Y$39,19,0)</f>
        <v>0</v>
      </c>
      <c r="G21" s="22">
        <f>E21*F21</f>
        <v>0</v>
      </c>
      <c r="H21" s="22">
        <f t="shared" si="2"/>
        <v>0</v>
      </c>
      <c r="I21" s="23">
        <f t="shared" si="6"/>
        <v>0</v>
      </c>
      <c r="J21" s="23">
        <f>G21/$G$45</f>
        <v>0</v>
      </c>
      <c r="K21" s="108">
        <f t="shared" si="4"/>
        <v>0</v>
      </c>
    </row>
    <row r="22" spans="1:11" x14ac:dyDescent="0.2">
      <c r="A22" s="107" t="s">
        <v>194</v>
      </c>
      <c r="B22" s="73">
        <f>IF($C$9="kWh",$C$4,$C$5)</f>
        <v>569.97605296090956</v>
      </c>
      <c r="C22" s="78">
        <f>'Data for Bill Impacts'!H34</f>
        <v>8.9999999999999998E-4</v>
      </c>
      <c r="D22" s="22">
        <f>B22*C22</f>
        <v>0.51297844766481859</v>
      </c>
      <c r="E22" s="73">
        <f>B22</f>
        <v>569.97605296090956</v>
      </c>
      <c r="F22" s="125">
        <v>0</v>
      </c>
      <c r="G22" s="22">
        <f>E22*F22</f>
        <v>0</v>
      </c>
      <c r="H22" s="22">
        <f>G22-D22</f>
        <v>-0.51297844766481859</v>
      </c>
      <c r="I22" s="23">
        <f t="shared" ref="I22:I50" si="7">IF(ISERROR(H22/ABS(D22)),"N/A",(H22/ABS(D22)))</f>
        <v>-1</v>
      </c>
      <c r="J22" s="23">
        <f t="shared" ref="J22" si="8">G22/$G$45</f>
        <v>0</v>
      </c>
      <c r="K22" s="108">
        <f t="shared" si="4"/>
        <v>0</v>
      </c>
    </row>
    <row r="23" spans="1:11" x14ac:dyDescent="0.2">
      <c r="A23" s="107" t="s">
        <v>195</v>
      </c>
      <c r="B23" s="73">
        <f>IF($B$9="kWh",$B$4,$B$5)</f>
        <v>569.97605296090956</v>
      </c>
      <c r="C23" s="125">
        <f>'Data for Bill Impacts'!L34</f>
        <v>0</v>
      </c>
      <c r="D23" s="22">
        <f>B23*C23</f>
        <v>0</v>
      </c>
      <c r="E23" s="73">
        <f t="shared" si="1"/>
        <v>569.97605296090956</v>
      </c>
      <c r="F23" s="125">
        <v>0</v>
      </c>
      <c r="G23" s="22">
        <f>E23*F23</f>
        <v>0</v>
      </c>
      <c r="H23" s="22">
        <f t="shared" si="2"/>
        <v>0</v>
      </c>
      <c r="I23" s="23" t="str">
        <f t="shared" si="7"/>
        <v>N/A</v>
      </c>
      <c r="J23" s="23">
        <f>G23/$G$45</f>
        <v>0</v>
      </c>
      <c r="K23" s="108">
        <f t="shared" si="4"/>
        <v>0</v>
      </c>
    </row>
    <row r="24" spans="1:11" s="1" customFormat="1" x14ac:dyDescent="0.2">
      <c r="A24" s="110" t="s">
        <v>72</v>
      </c>
      <c r="B24" s="74"/>
      <c r="C24" s="35"/>
      <c r="D24" s="35">
        <f>SUM(D19:D23)</f>
        <v>36.742978447664825</v>
      </c>
      <c r="E24" s="73"/>
      <c r="F24" s="35"/>
      <c r="G24" s="35">
        <f>SUM(G19:G23)</f>
        <v>40.43</v>
      </c>
      <c r="H24" s="35">
        <f t="shared" si="2"/>
        <v>3.6870215523351746</v>
      </c>
      <c r="I24" s="36">
        <f t="shared" si="7"/>
        <v>0.1003462894981912</v>
      </c>
      <c r="J24" s="36">
        <f>G24/$G$45</f>
        <v>0.35577554091685026</v>
      </c>
      <c r="K24" s="111">
        <f t="shared" si="4"/>
        <v>0.34320478259720011</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6.9518347099755554E-3</v>
      </c>
      <c r="K25" s="108">
        <f t="shared" si="4"/>
        <v>6.7062027764478874E-3</v>
      </c>
    </row>
    <row r="26" spans="1:11" s="1" customFormat="1" x14ac:dyDescent="0.2">
      <c r="A26" s="119" t="s">
        <v>75</v>
      </c>
      <c r="B26" s="120">
        <f>C8-C4</f>
        <v>32.14664938699525</v>
      </c>
      <c r="C26" s="257">
        <f>IF(C4&gt;C7,C13,C12)</f>
        <v>9.0999999999999998E-2</v>
      </c>
      <c r="D26" s="22">
        <f>B26*C26</f>
        <v>2.9253450942165675</v>
      </c>
      <c r="E26" s="73">
        <f>B8-B4</f>
        <v>38.017402732492656</v>
      </c>
      <c r="F26" s="257">
        <f>IF(B4&gt;C7,F13,F12)</f>
        <v>9.0999999999999998E-2</v>
      </c>
      <c r="G26" s="22">
        <f>E26*F26</f>
        <v>3.4595836486568317</v>
      </c>
      <c r="H26" s="22">
        <f t="shared" si="2"/>
        <v>0.53423855444026414</v>
      </c>
      <c r="I26" s="23">
        <f t="shared" si="7"/>
        <v>0.18262411347517882</v>
      </c>
      <c r="J26" s="23">
        <f t="shared" ref="J26:J45" si="9">G26/$G$45</f>
        <v>3.0443612266830934E-2</v>
      </c>
      <c r="K26" s="108">
        <f t="shared" ref="K26:K40" si="10">G26/$G$50</f>
        <v>2.9367936037944502E-2</v>
      </c>
    </row>
    <row r="27" spans="1:11" s="1" customFormat="1" x14ac:dyDescent="0.2">
      <c r="A27" s="119" t="s">
        <v>74</v>
      </c>
      <c r="B27" s="120">
        <f>C8-C4</f>
        <v>32.14664938699525</v>
      </c>
      <c r="C27" s="257">
        <f>0.65*C15+0.17*C16+0.18*C17</f>
        <v>9.7519999999999996E-2</v>
      </c>
      <c r="D27" s="22">
        <f>B27*C27</f>
        <v>3.1349412482197767</v>
      </c>
      <c r="E27" s="73">
        <f>B8-B4</f>
        <v>38.017402732492656</v>
      </c>
      <c r="F27" s="257">
        <f>0.65*F15+0.17*F16+0.18*F17</f>
        <v>9.7519999999999996E-2</v>
      </c>
      <c r="G27" s="22">
        <f>E27*F27</f>
        <v>3.7074571144726836</v>
      </c>
      <c r="H27" s="22">
        <f t="shared" si="2"/>
        <v>0.57251586625290685</v>
      </c>
      <c r="I27" s="23">
        <f t="shared" si="7"/>
        <v>0.18262411347517871</v>
      </c>
      <c r="J27" s="23">
        <f t="shared" si="9"/>
        <v>3.2624846903970904E-2</v>
      </c>
      <c r="K27" s="108">
        <f t="shared" si="10"/>
        <v>3.1472100246377449E-2</v>
      </c>
    </row>
    <row r="28" spans="1:11" s="1" customFormat="1" x14ac:dyDescent="0.2">
      <c r="A28" s="110" t="s">
        <v>78</v>
      </c>
      <c r="B28" s="74"/>
      <c r="C28" s="35"/>
      <c r="D28" s="35">
        <f>SUM(D24,D25:D26)</f>
        <v>40.458323541881391</v>
      </c>
      <c r="E28" s="73"/>
      <c r="F28" s="35"/>
      <c r="G28" s="35">
        <f>SUM(G24,G25:G26)</f>
        <v>44.679583648656831</v>
      </c>
      <c r="H28" s="35">
        <f t="shared" si="2"/>
        <v>4.2212601067754392</v>
      </c>
      <c r="I28" s="36">
        <f t="shared" si="7"/>
        <v>0.10433601141198305</v>
      </c>
      <c r="J28" s="36">
        <f t="shared" si="9"/>
        <v>0.39317098789365673</v>
      </c>
      <c r="K28" s="111">
        <f t="shared" si="10"/>
        <v>0.37927892141159247</v>
      </c>
    </row>
    <row r="29" spans="1:11" s="1" customFormat="1" x14ac:dyDescent="0.2">
      <c r="A29" s="110" t="s">
        <v>77</v>
      </c>
      <c r="B29" s="74"/>
      <c r="C29" s="35"/>
      <c r="D29" s="35">
        <f>SUM(D24,D25,D27)</f>
        <v>40.667919695884599</v>
      </c>
      <c r="E29" s="73"/>
      <c r="F29" s="35"/>
      <c r="G29" s="35">
        <f>SUM(G24,G25,G27)</f>
        <v>44.927457114472681</v>
      </c>
      <c r="H29" s="35">
        <f t="shared" si="2"/>
        <v>4.2595374185880814</v>
      </c>
      <c r="I29" s="36">
        <f t="shared" si="7"/>
        <v>0.10473949615424087</v>
      </c>
      <c r="J29" s="36">
        <f t="shared" si="9"/>
        <v>0.39535222253079666</v>
      </c>
      <c r="K29" s="111">
        <f t="shared" si="10"/>
        <v>0.38138308562002537</v>
      </c>
    </row>
    <row r="30" spans="1:11" x14ac:dyDescent="0.2">
      <c r="A30" s="107" t="s">
        <v>40</v>
      </c>
      <c r="B30" s="73">
        <f>C8</f>
        <v>602.12270234790481</v>
      </c>
      <c r="C30" s="125">
        <f>VLOOKUP($C$3,'Data for Bill Impacts'!$A$3:$Y$39,15,0)</f>
        <v>6.7999999999999996E-3</v>
      </c>
      <c r="D30" s="22">
        <f>B30*C30</f>
        <v>4.0944343759657524</v>
      </c>
      <c r="E30" s="73">
        <f>B8</f>
        <v>607.99345569340221</v>
      </c>
      <c r="F30" s="78">
        <f>VLOOKUP($B$3,'Data for Bill Impacts'!$A$3:$Y$39,24,0)</f>
        <v>7.1000000000000004E-3</v>
      </c>
      <c r="G30" s="22">
        <f>E30*F30</f>
        <v>4.3167535354231559</v>
      </c>
      <c r="H30" s="22">
        <f t="shared" si="2"/>
        <v>0.22231915945740344</v>
      </c>
      <c r="I30" s="23">
        <f t="shared" si="7"/>
        <v>5.4297892954986028E-2</v>
      </c>
      <c r="J30" s="23">
        <f t="shared" si="9"/>
        <v>3.79865279265372E-2</v>
      </c>
      <c r="K30" s="108">
        <f t="shared" si="10"/>
        <v>3.6644334866450634E-2</v>
      </c>
    </row>
    <row r="31" spans="1:11" x14ac:dyDescent="0.2">
      <c r="A31" s="107" t="s">
        <v>41</v>
      </c>
      <c r="B31" s="73">
        <f>C8</f>
        <v>602.12270234790481</v>
      </c>
      <c r="C31" s="125">
        <f>VLOOKUP($C$3,'Data for Bill Impacts'!$A$3:$Y$39,16,0)</f>
        <v>3.5999999999999999E-3</v>
      </c>
      <c r="D31" s="22">
        <f>B31*C31</f>
        <v>2.1676417284524572</v>
      </c>
      <c r="E31" s="73">
        <f>B8</f>
        <v>607.99345569340221</v>
      </c>
      <c r="F31" s="78">
        <f>VLOOKUP($B$3,'Data for Bill Impacts'!$A$3:$Y$39,25,0)</f>
        <v>6.0000000000000001E-3</v>
      </c>
      <c r="G31" s="22">
        <f>E31*F31</f>
        <v>3.6479607341604132</v>
      </c>
      <c r="H31" s="22">
        <f t="shared" si="2"/>
        <v>1.480319005707956</v>
      </c>
      <c r="I31" s="23">
        <f t="shared" si="7"/>
        <v>0.68291682443518886</v>
      </c>
      <c r="J31" s="23">
        <f t="shared" si="9"/>
        <v>3.2101291205524393E-2</v>
      </c>
      <c r="K31" s="108">
        <f t="shared" si="10"/>
        <v>3.0967043549113209E-2</v>
      </c>
    </row>
    <row r="32" spans="1:11" s="1" customFormat="1" x14ac:dyDescent="0.2">
      <c r="A32" s="110" t="s">
        <v>76</v>
      </c>
      <c r="B32" s="74"/>
      <c r="C32" s="35"/>
      <c r="D32" s="35">
        <f>SUM(D30:D31)</f>
        <v>6.2620761044182096</v>
      </c>
      <c r="E32" s="73"/>
      <c r="F32" s="35"/>
      <c r="G32" s="35">
        <f>SUM(G30:G31)</f>
        <v>7.9647142695835687</v>
      </c>
      <c r="H32" s="35">
        <f t="shared" si="2"/>
        <v>1.702638165165359</v>
      </c>
      <c r="I32" s="36">
        <f t="shared" si="7"/>
        <v>0.27189675385197926</v>
      </c>
      <c r="J32" s="36">
        <f t="shared" si="9"/>
        <v>7.0087819132061593E-2</v>
      </c>
      <c r="K32" s="111">
        <f t="shared" si="10"/>
        <v>6.7611378415563833E-2</v>
      </c>
    </row>
    <row r="33" spans="1:11" s="1" customFormat="1" x14ac:dyDescent="0.2">
      <c r="A33" s="110" t="s">
        <v>95</v>
      </c>
      <c r="B33" s="74"/>
      <c r="C33" s="35"/>
      <c r="D33" s="35">
        <f>D28+D32</f>
        <v>46.720399646299597</v>
      </c>
      <c r="E33" s="73"/>
      <c r="F33" s="35"/>
      <c r="G33" s="35">
        <f>G28+G32</f>
        <v>52.644297918240397</v>
      </c>
      <c r="H33" s="35">
        <f t="shared" si="2"/>
        <v>5.9238982719408</v>
      </c>
      <c r="I33" s="36">
        <f t="shared" si="7"/>
        <v>0.12679468319595147</v>
      </c>
      <c r="J33" s="36">
        <f t="shared" si="9"/>
        <v>0.46325880702571831</v>
      </c>
      <c r="K33" s="111">
        <f t="shared" si="10"/>
        <v>0.44689029982715628</v>
      </c>
    </row>
    <row r="34" spans="1:11" s="1" customFormat="1" x14ac:dyDescent="0.2">
      <c r="A34" s="110" t="s">
        <v>96</v>
      </c>
      <c r="B34" s="74"/>
      <c r="C34" s="35"/>
      <c r="D34" s="35">
        <f>D29+D32</f>
        <v>46.929995800302805</v>
      </c>
      <c r="E34" s="73"/>
      <c r="F34" s="35"/>
      <c r="G34" s="35">
        <f>G29+G32</f>
        <v>52.892171384056248</v>
      </c>
      <c r="H34" s="35">
        <f t="shared" si="2"/>
        <v>5.9621755837534423</v>
      </c>
      <c r="I34" s="36">
        <f t="shared" si="7"/>
        <v>0.1270440255124628</v>
      </c>
      <c r="J34" s="36">
        <f t="shared" si="9"/>
        <v>0.46544004166285824</v>
      </c>
      <c r="K34" s="111">
        <f t="shared" si="10"/>
        <v>0.44899446403558924</v>
      </c>
    </row>
    <row r="35" spans="1:11" x14ac:dyDescent="0.2">
      <c r="A35" s="107" t="s">
        <v>42</v>
      </c>
      <c r="B35" s="73">
        <f>C8</f>
        <v>602.12270234790481</v>
      </c>
      <c r="C35" s="34">
        <v>3.5999999999999999E-3</v>
      </c>
      <c r="D35" s="22">
        <f>B35*C35</f>
        <v>2.1676417284524572</v>
      </c>
      <c r="E35" s="73">
        <f>B8</f>
        <v>607.99345569340221</v>
      </c>
      <c r="F35" s="34">
        <v>3.5999999999999999E-3</v>
      </c>
      <c r="G35" s="22">
        <f>E35*F35</f>
        <v>2.1887764404962478</v>
      </c>
      <c r="H35" s="22">
        <f t="shared" si="2"/>
        <v>2.1134712043790582E-2</v>
      </c>
      <c r="I35" s="23">
        <f t="shared" si="7"/>
        <v>9.7500946611132414E-3</v>
      </c>
      <c r="J35" s="23">
        <f t="shared" si="9"/>
        <v>1.9260774723314635E-2</v>
      </c>
      <c r="K35" s="108">
        <f t="shared" si="10"/>
        <v>1.8580226129467924E-2</v>
      </c>
    </row>
    <row r="36" spans="1:11" x14ac:dyDescent="0.2">
      <c r="A36" s="107" t="s">
        <v>43</v>
      </c>
      <c r="B36" s="73">
        <f>C8</f>
        <v>602.12270234790481</v>
      </c>
      <c r="C36" s="34">
        <v>2.0999999999999999E-3</v>
      </c>
      <c r="D36" s="22">
        <f>B36*C36</f>
        <v>1.2644576749306</v>
      </c>
      <c r="E36" s="73">
        <f>B8</f>
        <v>607.99345569340221</v>
      </c>
      <c r="F36" s="34">
        <v>2.0999999999999999E-3</v>
      </c>
      <c r="G36" s="22">
        <f>E36*F36</f>
        <v>1.2767862569561446</v>
      </c>
      <c r="H36" s="22">
        <f>G36-D36</f>
        <v>1.2328582025544543E-2</v>
      </c>
      <c r="I36" s="23">
        <f t="shared" si="7"/>
        <v>9.7500946611132708E-3</v>
      </c>
      <c r="J36" s="23">
        <f t="shared" si="9"/>
        <v>1.1235451921933537E-2</v>
      </c>
      <c r="K36" s="108">
        <f t="shared" si="10"/>
        <v>1.0838465242189623E-2</v>
      </c>
    </row>
    <row r="37" spans="1:11" x14ac:dyDescent="0.2">
      <c r="A37" s="107" t="s">
        <v>100</v>
      </c>
      <c r="B37" s="73">
        <f>C8</f>
        <v>602.12270234790481</v>
      </c>
      <c r="C37" s="34">
        <v>0</v>
      </c>
      <c r="D37" s="22">
        <f>B37*C37</f>
        <v>0</v>
      </c>
      <c r="E37" s="73">
        <f>B8</f>
        <v>607.99345569340221</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2.1999476930302389E-3</v>
      </c>
      <c r="K38" s="108">
        <f t="shared" si="10"/>
        <v>2.1222160684961668E-3</v>
      </c>
    </row>
    <row r="39" spans="1:11" s="1" customFormat="1" x14ac:dyDescent="0.2">
      <c r="A39" s="110" t="s">
        <v>45</v>
      </c>
      <c r="B39" s="74"/>
      <c r="C39" s="35"/>
      <c r="D39" s="35">
        <f>SUM(D35:D38)</f>
        <v>3.6820994033830572</v>
      </c>
      <c r="E39" s="73"/>
      <c r="F39" s="35"/>
      <c r="G39" s="35">
        <f>SUM(G35:G38)</f>
        <v>3.7155626974523921</v>
      </c>
      <c r="H39" s="35">
        <f t="shared" si="2"/>
        <v>3.3463294069334903E-2</v>
      </c>
      <c r="I39" s="36">
        <f t="shared" si="7"/>
        <v>9.0881017602591971E-3</v>
      </c>
      <c r="J39" s="36">
        <f t="shared" si="9"/>
        <v>3.2696174338278407E-2</v>
      </c>
      <c r="K39" s="111">
        <f t="shared" si="10"/>
        <v>3.1540907440153712E-2</v>
      </c>
    </row>
    <row r="40" spans="1:11" s="1" customFormat="1" ht="13.5" thickBot="1" x14ac:dyDescent="0.25">
      <c r="A40" s="112" t="s">
        <v>46</v>
      </c>
      <c r="B40" s="113">
        <f>C4</f>
        <v>569.97605296090956</v>
      </c>
      <c r="C40" s="193">
        <v>0</v>
      </c>
      <c r="D40" s="115">
        <f>B40*C40</f>
        <v>0</v>
      </c>
      <c r="E40" s="116">
        <f>B4</f>
        <v>569.97605296090956</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102.27031986912544</v>
      </c>
      <c r="E41" s="38"/>
      <c r="F41" s="39"/>
      <c r="G41" s="39">
        <f>SUM(G14,G24,G25,G26,G32,G39,G40)</f>
        <v>108.22768143513557</v>
      </c>
      <c r="H41" s="39">
        <f t="shared" si="2"/>
        <v>5.9573615660101211</v>
      </c>
      <c r="I41" s="40">
        <f t="shared" si="7"/>
        <v>5.825112871098586E-2</v>
      </c>
      <c r="J41" s="40">
        <f t="shared" si="9"/>
        <v>0.95238095238095244</v>
      </c>
      <c r="K41" s="41"/>
    </row>
    <row r="42" spans="1:11" x14ac:dyDescent="0.2">
      <c r="A42" s="149" t="s">
        <v>138</v>
      </c>
      <c r="B42" s="43"/>
      <c r="C42" s="26">
        <v>0.13</v>
      </c>
      <c r="D42" s="26">
        <f>D41*C42</f>
        <v>13.295141582986307</v>
      </c>
      <c r="E42" s="26"/>
      <c r="F42" s="26">
        <f>C42</f>
        <v>0.13</v>
      </c>
      <c r="G42" s="26">
        <f>G41*F42</f>
        <v>14.069598586567624</v>
      </c>
      <c r="H42" s="26">
        <f t="shared" si="2"/>
        <v>0.77445700358131653</v>
      </c>
      <c r="I42" s="44">
        <f t="shared" si="7"/>
        <v>5.8251128710985922E-2</v>
      </c>
      <c r="J42" s="44">
        <f t="shared" si="9"/>
        <v>0.12380952380952381</v>
      </c>
      <c r="K42" s="45"/>
    </row>
    <row r="43" spans="1:11" s="1" customFormat="1" x14ac:dyDescent="0.2">
      <c r="A43" s="46" t="s">
        <v>139</v>
      </c>
      <c r="B43" s="24"/>
      <c r="C43" s="25"/>
      <c r="D43" s="25">
        <f>SUM(D41:D42)</f>
        <v>115.56546145211175</v>
      </c>
      <c r="E43" s="25"/>
      <c r="F43" s="25"/>
      <c r="G43" s="25">
        <f>SUM(G41:G42)</f>
        <v>122.29728002170319</v>
      </c>
      <c r="H43" s="25">
        <f t="shared" si="2"/>
        <v>6.7318185695914394</v>
      </c>
      <c r="I43" s="27">
        <f t="shared" si="7"/>
        <v>5.8251128710985887E-2</v>
      </c>
      <c r="J43" s="27">
        <f t="shared" si="9"/>
        <v>1.0761904761904761</v>
      </c>
      <c r="K43" s="47"/>
    </row>
    <row r="44" spans="1:11" x14ac:dyDescent="0.2">
      <c r="A44" s="42" t="s">
        <v>140</v>
      </c>
      <c r="B44" s="43"/>
      <c r="C44" s="26">
        <v>-0.08</v>
      </c>
      <c r="D44" s="26">
        <f>D41*C44</f>
        <v>-8.1816255895300358</v>
      </c>
      <c r="E44" s="26"/>
      <c r="F44" s="26">
        <f>C44</f>
        <v>-0.08</v>
      </c>
      <c r="G44" s="26">
        <f>G41*F44</f>
        <v>-8.6582145148108456</v>
      </c>
      <c r="H44" s="26">
        <f t="shared" si="2"/>
        <v>-0.47658892528080976</v>
      </c>
      <c r="I44" s="44">
        <f t="shared" si="7"/>
        <v>-5.8251128710985867E-2</v>
      </c>
      <c r="J44" s="44">
        <f t="shared" si="9"/>
        <v>-7.6190476190476197E-2</v>
      </c>
      <c r="K44" s="45"/>
    </row>
    <row r="45" spans="1:11" s="1" customFormat="1" ht="13.5" thickBot="1" x14ac:dyDescent="0.25">
      <c r="A45" s="48" t="s">
        <v>141</v>
      </c>
      <c r="B45" s="49"/>
      <c r="C45" s="50"/>
      <c r="D45" s="50">
        <f>SUM(D43:D44)</f>
        <v>107.38383586258172</v>
      </c>
      <c r="E45" s="50"/>
      <c r="F45" s="50"/>
      <c r="G45" s="50">
        <f>SUM(G43:G44)</f>
        <v>113.63906550689234</v>
      </c>
      <c r="H45" s="50">
        <f t="shared" si="2"/>
        <v>6.2552296443106172</v>
      </c>
      <c r="I45" s="51">
        <f t="shared" si="7"/>
        <v>5.8251128710985769E-2</v>
      </c>
      <c r="J45" s="51">
        <f t="shared" si="9"/>
        <v>1</v>
      </c>
      <c r="K45" s="52"/>
    </row>
    <row r="46" spans="1:11" x14ac:dyDescent="0.2">
      <c r="A46" s="53" t="s">
        <v>142</v>
      </c>
      <c r="B46" s="54"/>
      <c r="C46" s="55"/>
      <c r="D46" s="55">
        <f>SUM(D18,D24,D25,D27,D32,D39,D40)</f>
        <v>106.19615988843378</v>
      </c>
      <c r="E46" s="55"/>
      <c r="F46" s="55"/>
      <c r="G46" s="55">
        <f>SUM(G18,G24,G25,G27,G32,G39,G40)</f>
        <v>112.19179876625655</v>
      </c>
      <c r="H46" s="55">
        <f>G46-D46</f>
        <v>5.9956388778227705</v>
      </c>
      <c r="I46" s="56">
        <f t="shared" si="7"/>
        <v>5.645815144466234E-2</v>
      </c>
      <c r="J46" s="56"/>
      <c r="K46" s="57">
        <f>G46/$G$50</f>
        <v>0.95238095238095233</v>
      </c>
    </row>
    <row r="47" spans="1:11" x14ac:dyDescent="0.2">
      <c r="A47" s="58" t="s">
        <v>138</v>
      </c>
      <c r="B47" s="59"/>
      <c r="C47" s="31">
        <v>0.13</v>
      </c>
      <c r="D47" s="31">
        <f>D46*C47</f>
        <v>13.805500785496392</v>
      </c>
      <c r="E47" s="31"/>
      <c r="F47" s="31">
        <f>C47</f>
        <v>0.13</v>
      </c>
      <c r="G47" s="31">
        <f>G46*F47</f>
        <v>14.584933839613353</v>
      </c>
      <c r="H47" s="31">
        <f>G47-D47</f>
        <v>0.77943305411696073</v>
      </c>
      <c r="I47" s="32">
        <f t="shared" si="7"/>
        <v>5.6458151444662381E-2</v>
      </c>
      <c r="J47" s="32"/>
      <c r="K47" s="60">
        <f>G47/$G$50</f>
        <v>0.1238095238095238</v>
      </c>
    </row>
    <row r="48" spans="1:11" x14ac:dyDescent="0.2">
      <c r="A48" s="61" t="s">
        <v>143</v>
      </c>
      <c r="B48" s="29"/>
      <c r="C48" s="30"/>
      <c r="D48" s="30">
        <f>SUM(D46:D47)</f>
        <v>120.00166067393017</v>
      </c>
      <c r="E48" s="30"/>
      <c r="F48" s="30"/>
      <c r="G48" s="30">
        <f>SUM(G46:G47)</f>
        <v>126.77673260586991</v>
      </c>
      <c r="H48" s="30">
        <f>G48-D48</f>
        <v>6.7750719319397348</v>
      </c>
      <c r="I48" s="33">
        <f t="shared" si="7"/>
        <v>5.6458151444662374E-2</v>
      </c>
      <c r="J48" s="33"/>
      <c r="K48" s="62">
        <f>G48/$G$50</f>
        <v>1.0761904761904761</v>
      </c>
    </row>
    <row r="49" spans="1:11" x14ac:dyDescent="0.2">
      <c r="A49" s="58" t="s">
        <v>140</v>
      </c>
      <c r="B49" s="59"/>
      <c r="C49" s="31">
        <v>-0.08</v>
      </c>
      <c r="D49" s="31">
        <f>D46*C49</f>
        <v>-8.4956927910747027</v>
      </c>
      <c r="E49" s="31"/>
      <c r="F49" s="31">
        <f>C49</f>
        <v>-0.08</v>
      </c>
      <c r="G49" s="31">
        <f>G46*F49</f>
        <v>-8.9753439013005245</v>
      </c>
      <c r="H49" s="31">
        <f>G49-D49</f>
        <v>-0.47965111022582185</v>
      </c>
      <c r="I49" s="32">
        <f t="shared" si="7"/>
        <v>-5.6458151444662361E-2</v>
      </c>
      <c r="J49" s="32"/>
      <c r="K49" s="60">
        <f>G49/$G$50</f>
        <v>-7.6190476190476183E-2</v>
      </c>
    </row>
    <row r="50" spans="1:11" ht="13.5" thickBot="1" x14ac:dyDescent="0.25">
      <c r="A50" s="63" t="s">
        <v>144</v>
      </c>
      <c r="B50" s="64"/>
      <c r="C50" s="65"/>
      <c r="D50" s="65">
        <f>SUM(D48:D49)</f>
        <v>111.50596788285547</v>
      </c>
      <c r="E50" s="65"/>
      <c r="F50" s="65"/>
      <c r="G50" s="65">
        <f>SUM(G48:G49)</f>
        <v>117.80138870456939</v>
      </c>
      <c r="H50" s="65">
        <f>G50-D50</f>
        <v>6.2954208217139183</v>
      </c>
      <c r="I50" s="66">
        <f t="shared" si="7"/>
        <v>5.6458151444662423E-2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185</v>
      </c>
      <c r="C3" s="13" t="s">
        <v>125</v>
      </c>
    </row>
    <row r="4" spans="1:11" x14ac:dyDescent="0.2">
      <c r="A4" s="15" t="s">
        <v>62</v>
      </c>
      <c r="B4" s="79">
        <v>750</v>
      </c>
      <c r="C4" s="79">
        <f>B4</f>
        <v>750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81">
        <f>B4*B6</f>
        <v>800.02499999999998</v>
      </c>
      <c r="C8" s="181">
        <f>C4*C6</f>
        <v>792.3</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G12/$G$45</f>
        <v>0.393007133381784</v>
      </c>
      <c r="K12" s="106"/>
    </row>
    <row r="13" spans="1:11" x14ac:dyDescent="0.2">
      <c r="A13" s="107" t="s">
        <v>32</v>
      </c>
      <c r="B13" s="73">
        <f>IF(B4&gt;B7,(B4)-B7,0)</f>
        <v>150</v>
      </c>
      <c r="C13" s="21">
        <v>0.106</v>
      </c>
      <c r="D13" s="22">
        <f>B13*C13</f>
        <v>15.9</v>
      </c>
      <c r="E13" s="73">
        <f t="shared" ref="E13:E38" si="1">B13</f>
        <v>150</v>
      </c>
      <c r="F13" s="21">
        <f>C13</f>
        <v>0.106</v>
      </c>
      <c r="G13" s="22">
        <f>E13*F13</f>
        <v>15.9</v>
      </c>
      <c r="H13" s="22">
        <f t="shared" ref="H13:H45" si="2">G13-D13</f>
        <v>0</v>
      </c>
      <c r="I13" s="23">
        <f t="shared" si="0"/>
        <v>0</v>
      </c>
      <c r="J13" s="23">
        <f>G13/$G$45</f>
        <v>0.11444713224854149</v>
      </c>
      <c r="K13" s="108"/>
    </row>
    <row r="14" spans="1:11" s="1" customFormat="1" x14ac:dyDescent="0.2">
      <c r="A14" s="46" t="s">
        <v>33</v>
      </c>
      <c r="B14" s="24"/>
      <c r="C14" s="25"/>
      <c r="D14" s="25">
        <f>SUM(D12:D13)</f>
        <v>70.5</v>
      </c>
      <c r="E14" s="76"/>
      <c r="F14" s="25"/>
      <c r="G14" s="25">
        <f>SUM(G12:G13)</f>
        <v>70.5</v>
      </c>
      <c r="H14" s="25">
        <f t="shared" si="2"/>
        <v>0</v>
      </c>
      <c r="I14" s="27">
        <f t="shared" si="0"/>
        <v>0</v>
      </c>
      <c r="J14" s="27">
        <f>G14/$G$45</f>
        <v>0.50745426563032547</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5" si="4">G15/$G$50</f>
        <v>0.2657421407152134</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0.10199613432845654</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0.15004741052171688</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G18/$G$45</f>
        <v>0.52645680834329101</v>
      </c>
      <c r="K18" s="62">
        <f t="shared" si="4"/>
        <v>0.51778568556538684</v>
      </c>
    </row>
    <row r="19" spans="1:11" x14ac:dyDescent="0.2">
      <c r="A19" s="107" t="s">
        <v>38</v>
      </c>
      <c r="B19" s="73">
        <v>1</v>
      </c>
      <c r="C19" s="121">
        <f>VLOOKUP($C$3,'Data for Bill Impacts'!$A$3:$Y$39,7,0)</f>
        <v>36.78</v>
      </c>
      <c r="D19" s="22">
        <f>B19*C19</f>
        <v>36.78</v>
      </c>
      <c r="E19" s="73">
        <f t="shared" si="1"/>
        <v>1</v>
      </c>
      <c r="F19" s="121">
        <f>VLOOKUP($B$3,'Data for Bill Impacts'!$A$3:$Y$39,17,0)</f>
        <v>40.43</v>
      </c>
      <c r="G19" s="22">
        <f>E19*F19</f>
        <v>40.43</v>
      </c>
      <c r="H19" s="22">
        <f t="shared" si="2"/>
        <v>3.6499999999999986</v>
      </c>
      <c r="I19" s="23">
        <f>IF(ISERROR(H19/ABS(D19)),"N/A",(H19/ABS(D19)))</f>
        <v>9.9238716693855311E-2</v>
      </c>
      <c r="J19" s="23">
        <f>G19/$G$45</f>
        <v>0.29101242495651147</v>
      </c>
      <c r="K19" s="108">
        <f t="shared" si="4"/>
        <v>0.28621924073569305</v>
      </c>
    </row>
    <row r="20" spans="1:11" x14ac:dyDescent="0.2">
      <c r="A20" s="107" t="s">
        <v>193</v>
      </c>
      <c r="B20" s="73">
        <v>1</v>
      </c>
      <c r="C20" s="78">
        <f>'Data for Bill Impacts'!K34</f>
        <v>-0.55000000000000004</v>
      </c>
      <c r="D20" s="22">
        <f>B20*C20</f>
        <v>-0.55000000000000004</v>
      </c>
      <c r="E20" s="73">
        <f t="shared" si="1"/>
        <v>1</v>
      </c>
      <c r="F20" s="121">
        <v>0</v>
      </c>
      <c r="G20" s="22">
        <f t="shared" ref="G20" si="5">E20*F20</f>
        <v>0</v>
      </c>
      <c r="H20" s="22">
        <f t="shared" si="2"/>
        <v>0.55000000000000004</v>
      </c>
      <c r="I20" s="23">
        <f t="shared" ref="I20:I21" si="6">IF(ISERROR(H20/D20),0,(H20/D20))</f>
        <v>-1</v>
      </c>
      <c r="J20" s="23">
        <f>G20/$G$45</f>
        <v>0</v>
      </c>
      <c r="K20" s="108">
        <f t="shared" si="4"/>
        <v>0</v>
      </c>
    </row>
    <row r="21" spans="1:11" x14ac:dyDescent="0.2">
      <c r="A21" s="107" t="s">
        <v>39</v>
      </c>
      <c r="B21" s="73">
        <f>IF($C$9="kWh",$C$4,$C$5)</f>
        <v>750</v>
      </c>
      <c r="C21" s="125">
        <f>VLOOKUP($C$3,'Data for Bill Impacts'!$A$3:$Y$39,10,0)</f>
        <v>0</v>
      </c>
      <c r="D21" s="22">
        <f>B21*C21</f>
        <v>0</v>
      </c>
      <c r="E21" s="73">
        <f t="shared" si="1"/>
        <v>750</v>
      </c>
      <c r="F21" s="125">
        <f>VLOOKUP($B$3,'Data for Bill Impacts'!$A$3:$Y$39,19,0)</f>
        <v>0</v>
      </c>
      <c r="G21" s="22">
        <f>E21*F21</f>
        <v>0</v>
      </c>
      <c r="H21" s="22">
        <f t="shared" si="2"/>
        <v>0</v>
      </c>
      <c r="I21" s="23">
        <f t="shared" si="6"/>
        <v>0</v>
      </c>
      <c r="J21" s="23">
        <f>G21/$G$45</f>
        <v>0</v>
      </c>
      <c r="K21" s="108">
        <f t="shared" si="4"/>
        <v>0</v>
      </c>
    </row>
    <row r="22" spans="1:11" x14ac:dyDescent="0.2">
      <c r="A22" s="107" t="s">
        <v>194</v>
      </c>
      <c r="B22" s="73">
        <f>IF($C$9="kWh",$C$4,$C$5)</f>
        <v>750</v>
      </c>
      <c r="C22" s="78">
        <f>'Data for Bill Impacts'!H34</f>
        <v>8.9999999999999998E-4</v>
      </c>
      <c r="D22" s="22">
        <f>B22*C22</f>
        <v>0.67499999999999993</v>
      </c>
      <c r="E22" s="73">
        <f>B22</f>
        <v>750</v>
      </c>
      <c r="F22" s="125">
        <v>0</v>
      </c>
      <c r="G22" s="22">
        <f>E22*F22</f>
        <v>0</v>
      </c>
      <c r="H22" s="22">
        <f>G22-D22</f>
        <v>-0.67499999999999993</v>
      </c>
      <c r="I22" s="23">
        <f t="shared" ref="I22:I50" si="7">IF(ISERROR(H22/ABS(D22)),"N/A",(H22/ABS(D22)))</f>
        <v>-1</v>
      </c>
      <c r="J22" s="23">
        <f t="shared" ref="J22" si="8">G22/$G$45</f>
        <v>0</v>
      </c>
      <c r="K22" s="108">
        <f t="shared" si="4"/>
        <v>0</v>
      </c>
    </row>
    <row r="23" spans="1:11" x14ac:dyDescent="0.2">
      <c r="A23" s="107" t="s">
        <v>195</v>
      </c>
      <c r="B23" s="73">
        <f>IF($B$9="kWh",$B$4,$B$5)</f>
        <v>750</v>
      </c>
      <c r="C23" s="125">
        <f>'Data for Bill Impacts'!L34</f>
        <v>0</v>
      </c>
      <c r="D23" s="22">
        <f>B23*C23</f>
        <v>0</v>
      </c>
      <c r="E23" s="73">
        <f t="shared" si="1"/>
        <v>750</v>
      </c>
      <c r="F23" s="125">
        <v>0</v>
      </c>
      <c r="G23" s="22">
        <f>E23*F23</f>
        <v>0</v>
      </c>
      <c r="H23" s="22">
        <f t="shared" si="2"/>
        <v>0</v>
      </c>
      <c r="I23" s="23" t="str">
        <f t="shared" si="7"/>
        <v>N/A</v>
      </c>
      <c r="J23" s="23">
        <f>G23/$G$45</f>
        <v>0</v>
      </c>
      <c r="K23" s="108">
        <f t="shared" si="4"/>
        <v>0</v>
      </c>
    </row>
    <row r="24" spans="1:11" s="1" customFormat="1" x14ac:dyDescent="0.2">
      <c r="A24" s="110" t="s">
        <v>72</v>
      </c>
      <c r="B24" s="74"/>
      <c r="C24" s="35"/>
      <c r="D24" s="35">
        <f>SUM(D19:D23)</f>
        <v>36.905000000000001</v>
      </c>
      <c r="E24" s="73"/>
      <c r="F24" s="35"/>
      <c r="G24" s="35">
        <f>SUM(G19:G23)</f>
        <v>40.43</v>
      </c>
      <c r="H24" s="35">
        <f t="shared" si="2"/>
        <v>3.5249999999999986</v>
      </c>
      <c r="I24" s="36">
        <f t="shared" si="7"/>
        <v>9.551551280314316E-2</v>
      </c>
      <c r="J24" s="36">
        <f>G24/$G$45</f>
        <v>0.29101242495651147</v>
      </c>
      <c r="K24" s="111">
        <f t="shared" si="4"/>
        <v>0.28621924073569305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5.6863669481979733E-3</v>
      </c>
      <c r="K25" s="108">
        <f t="shared" si="4"/>
        <v>5.5927083893444847E-3</v>
      </c>
    </row>
    <row r="26" spans="1:11" s="1" customFormat="1" x14ac:dyDescent="0.2">
      <c r="A26" s="119" t="s">
        <v>75</v>
      </c>
      <c r="B26" s="120">
        <f>C8-C4</f>
        <v>42.299999999999955</v>
      </c>
      <c r="C26" s="257">
        <f>IF(C4&gt;C7,C13,C12)</f>
        <v>0.106</v>
      </c>
      <c r="D26" s="22">
        <f>B26*C26</f>
        <v>4.4837999999999951</v>
      </c>
      <c r="E26" s="73">
        <f>B8-B4</f>
        <v>50.024999999999977</v>
      </c>
      <c r="F26" s="257">
        <f>IF(B4&gt;C7,F13,F12)</f>
        <v>0.106</v>
      </c>
      <c r="G26" s="22">
        <f>E26*F26</f>
        <v>5.3026499999999972</v>
      </c>
      <c r="H26" s="22">
        <f t="shared" si="2"/>
        <v>0.81885000000000208</v>
      </c>
      <c r="I26" s="23">
        <f t="shared" si="7"/>
        <v>0.18262411347517796</v>
      </c>
      <c r="J26" s="23">
        <f t="shared" ref="J26:J45" si="9">G26/$G$45</f>
        <v>3.8168118604888564E-2</v>
      </c>
      <c r="K26" s="108">
        <f t="shared" ref="K26:K40" si="10">G26/$G$50</f>
        <v>3.7539462203490526E-2</v>
      </c>
    </row>
    <row r="27" spans="1:11" s="1" customFormat="1" x14ac:dyDescent="0.2">
      <c r="A27" s="119" t="s">
        <v>74</v>
      </c>
      <c r="B27" s="120">
        <f>C8-C4</f>
        <v>42.299999999999955</v>
      </c>
      <c r="C27" s="257">
        <f>0.65*C15+0.17*C16+0.18*C17</f>
        <v>9.7519999999999996E-2</v>
      </c>
      <c r="D27" s="22">
        <f>B27*C27</f>
        <v>4.1250959999999957</v>
      </c>
      <c r="E27" s="73">
        <f>B8-B4</f>
        <v>50.024999999999977</v>
      </c>
      <c r="F27" s="257">
        <f>0.65*F15+0.17*F16+0.18*F17</f>
        <v>9.7519999999999996E-2</v>
      </c>
      <c r="G27" s="22">
        <f>E27*F27</f>
        <v>4.8784379999999974</v>
      </c>
      <c r="H27" s="22">
        <f t="shared" si="2"/>
        <v>0.75334200000000173</v>
      </c>
      <c r="I27" s="23">
        <f t="shared" si="7"/>
        <v>0.18262411347517793</v>
      </c>
      <c r="J27" s="23">
        <f t="shared" si="9"/>
        <v>3.5114669116497479E-2</v>
      </c>
      <c r="K27" s="108">
        <f t="shared" si="10"/>
        <v>3.4536305227211281E-2</v>
      </c>
    </row>
    <row r="28" spans="1:11" s="1" customFormat="1" x14ac:dyDescent="0.2">
      <c r="A28" s="110" t="s">
        <v>78</v>
      </c>
      <c r="B28" s="74"/>
      <c r="C28" s="35"/>
      <c r="D28" s="35">
        <f>SUM(D24,D25:D26)</f>
        <v>42.178799999999995</v>
      </c>
      <c r="E28" s="73"/>
      <c r="F28" s="35"/>
      <c r="G28" s="35">
        <f>SUM(G24,G25:G26)</f>
        <v>46.522649999999999</v>
      </c>
      <c r="H28" s="35">
        <f t="shared" si="2"/>
        <v>4.3438500000000033</v>
      </c>
      <c r="I28" s="36">
        <f t="shared" si="7"/>
        <v>0.1029865714529575</v>
      </c>
      <c r="J28" s="36">
        <f t="shared" si="9"/>
        <v>0.33486691050959805</v>
      </c>
      <c r="K28" s="111">
        <f t="shared" si="10"/>
        <v>0.32935141132852802</v>
      </c>
    </row>
    <row r="29" spans="1:11" s="1" customFormat="1" x14ac:dyDescent="0.2">
      <c r="A29" s="110" t="s">
        <v>77</v>
      </c>
      <c r="B29" s="74"/>
      <c r="C29" s="35"/>
      <c r="D29" s="35">
        <f>SUM(D24,D25,D27)</f>
        <v>41.820095999999992</v>
      </c>
      <c r="E29" s="73"/>
      <c r="F29" s="35"/>
      <c r="G29" s="35">
        <f>SUM(G24,G25,G27)</f>
        <v>46.098437999999994</v>
      </c>
      <c r="H29" s="35">
        <f t="shared" si="2"/>
        <v>4.2783420000000021</v>
      </c>
      <c r="I29" s="36">
        <f t="shared" si="7"/>
        <v>0.10230349542956579</v>
      </c>
      <c r="J29" s="36">
        <f t="shared" si="9"/>
        <v>0.3318134610212069</v>
      </c>
      <c r="K29" s="111">
        <f t="shared" si="10"/>
        <v>0.32634825435224879</v>
      </c>
    </row>
    <row r="30" spans="1:11" x14ac:dyDescent="0.2">
      <c r="A30" s="107" t="s">
        <v>40</v>
      </c>
      <c r="B30" s="73">
        <f>C8</f>
        <v>792.3</v>
      </c>
      <c r="C30" s="125">
        <f>VLOOKUP($C$3,'Data for Bill Impacts'!$A$3:$Y$39,15,0)</f>
        <v>6.7999999999999996E-3</v>
      </c>
      <c r="D30" s="22">
        <f>B30*C30</f>
        <v>5.3876399999999993</v>
      </c>
      <c r="E30" s="73">
        <f>B8</f>
        <v>800.02499999999998</v>
      </c>
      <c r="F30" s="78">
        <f>VLOOKUP($B$3,'Data for Bill Impacts'!$A$3:$Y$39,24,0)</f>
        <v>7.1000000000000004E-3</v>
      </c>
      <c r="G30" s="22">
        <f>E30*F30</f>
        <v>5.6801775000000001</v>
      </c>
      <c r="H30" s="22">
        <f t="shared" si="2"/>
        <v>0.29253750000000078</v>
      </c>
      <c r="I30" s="23">
        <f t="shared" si="7"/>
        <v>5.4297892954986007E-2</v>
      </c>
      <c r="J30" s="23">
        <f t="shared" si="9"/>
        <v>4.0885536197338979E-2</v>
      </c>
      <c r="K30" s="108">
        <f t="shared" si="10"/>
        <v>4.0212121971159212E-2</v>
      </c>
    </row>
    <row r="31" spans="1:11" x14ac:dyDescent="0.2">
      <c r="A31" s="107" t="s">
        <v>41</v>
      </c>
      <c r="B31" s="73">
        <f>C8</f>
        <v>792.3</v>
      </c>
      <c r="C31" s="125">
        <f>VLOOKUP($C$3,'Data for Bill Impacts'!$A$3:$Y$39,16,0)</f>
        <v>3.5999999999999999E-3</v>
      </c>
      <c r="D31" s="22">
        <f>B31*C31</f>
        <v>2.8522799999999999</v>
      </c>
      <c r="E31" s="73">
        <f>B8</f>
        <v>800.02499999999998</v>
      </c>
      <c r="F31" s="78">
        <f>VLOOKUP($B$3,'Data for Bill Impacts'!$A$3:$Y$39,25,0)</f>
        <v>6.0000000000000001E-3</v>
      </c>
      <c r="G31" s="22">
        <f>E31*F31</f>
        <v>4.8001500000000004</v>
      </c>
      <c r="H31" s="22">
        <f t="shared" si="2"/>
        <v>1.9478700000000004</v>
      </c>
      <c r="I31" s="23">
        <f t="shared" si="7"/>
        <v>0.68291682443518886</v>
      </c>
      <c r="J31" s="23">
        <f t="shared" si="9"/>
        <v>3.4551157349863929E-2</v>
      </c>
      <c r="K31" s="108">
        <f t="shared" si="10"/>
        <v>3.3982074905204974E-2</v>
      </c>
    </row>
    <row r="32" spans="1:11" s="1" customFormat="1" x14ac:dyDescent="0.2">
      <c r="A32" s="110" t="s">
        <v>76</v>
      </c>
      <c r="B32" s="74"/>
      <c r="C32" s="35"/>
      <c r="D32" s="35">
        <f>SUM(D30:D31)</f>
        <v>8.2399199999999997</v>
      </c>
      <c r="E32" s="73"/>
      <c r="F32" s="35"/>
      <c r="G32" s="35">
        <f>SUM(G30:G31)</f>
        <v>10.480327500000001</v>
      </c>
      <c r="H32" s="35">
        <f t="shared" si="2"/>
        <v>2.2404075000000017</v>
      </c>
      <c r="I32" s="36">
        <f t="shared" si="7"/>
        <v>0.27189675385197937</v>
      </c>
      <c r="J32" s="36">
        <f t="shared" si="9"/>
        <v>7.5436693547202921E-2</v>
      </c>
      <c r="K32" s="111">
        <f t="shared" si="10"/>
        <v>7.4194196876364193E-2</v>
      </c>
    </row>
    <row r="33" spans="1:11" s="1" customFormat="1" x14ac:dyDescent="0.2">
      <c r="A33" s="110" t="s">
        <v>95</v>
      </c>
      <c r="B33" s="74"/>
      <c r="C33" s="35"/>
      <c r="D33" s="35">
        <f>D28+D32</f>
        <v>50.418719999999993</v>
      </c>
      <c r="E33" s="73"/>
      <c r="F33" s="35"/>
      <c r="G33" s="35">
        <f>G28+G32</f>
        <v>57.0029775</v>
      </c>
      <c r="H33" s="35">
        <f t="shared" si="2"/>
        <v>6.5842575000000068</v>
      </c>
      <c r="I33" s="36">
        <f t="shared" si="7"/>
        <v>0.13059152433857915</v>
      </c>
      <c r="J33" s="36">
        <f t="shared" si="9"/>
        <v>0.41030360405680094</v>
      </c>
      <c r="K33" s="111">
        <f t="shared" si="10"/>
        <v>0.40354560820489221</v>
      </c>
    </row>
    <row r="34" spans="1:11" s="1" customFormat="1" x14ac:dyDescent="0.2">
      <c r="A34" s="110" t="s">
        <v>96</v>
      </c>
      <c r="B34" s="74"/>
      <c r="C34" s="35"/>
      <c r="D34" s="35">
        <f>D29+D32</f>
        <v>50.06001599999999</v>
      </c>
      <c r="E34" s="73"/>
      <c r="F34" s="35"/>
      <c r="G34" s="35">
        <f>G29+G32</f>
        <v>56.578765499999996</v>
      </c>
      <c r="H34" s="35">
        <f t="shared" si="2"/>
        <v>6.5187495000000055</v>
      </c>
      <c r="I34" s="36">
        <f t="shared" si="7"/>
        <v>0.13021868590693234</v>
      </c>
      <c r="J34" s="36">
        <f t="shared" si="9"/>
        <v>0.40725015456840979</v>
      </c>
      <c r="K34" s="111">
        <f t="shared" si="10"/>
        <v>0.40054245122861298</v>
      </c>
    </row>
    <row r="35" spans="1:11" x14ac:dyDescent="0.2">
      <c r="A35" s="107" t="s">
        <v>42</v>
      </c>
      <c r="B35" s="73">
        <f>C8</f>
        <v>792.3</v>
      </c>
      <c r="C35" s="34">
        <v>3.5999999999999999E-3</v>
      </c>
      <c r="D35" s="22">
        <f>B35*C35</f>
        <v>2.8522799999999999</v>
      </c>
      <c r="E35" s="73">
        <f>B8</f>
        <v>800.02499999999998</v>
      </c>
      <c r="F35" s="34">
        <v>3.5999999999999999E-3</v>
      </c>
      <c r="G35" s="22">
        <f>E35*F35</f>
        <v>2.88009</v>
      </c>
      <c r="H35" s="22">
        <f t="shared" si="2"/>
        <v>2.7810000000000112E-2</v>
      </c>
      <c r="I35" s="23">
        <f t="shared" si="7"/>
        <v>9.7500946611132535E-3</v>
      </c>
      <c r="J35" s="23">
        <f t="shared" si="9"/>
        <v>2.0730694409918357E-2</v>
      </c>
      <c r="K35" s="108">
        <f t="shared" si="10"/>
        <v>2.0389244943122983E-2</v>
      </c>
    </row>
    <row r="36" spans="1:11" x14ac:dyDescent="0.2">
      <c r="A36" s="107" t="s">
        <v>43</v>
      </c>
      <c r="B36" s="73">
        <f>C8</f>
        <v>792.3</v>
      </c>
      <c r="C36" s="34">
        <v>2.0999999999999999E-3</v>
      </c>
      <c r="D36" s="22">
        <f>B36*C36</f>
        <v>1.6638299999999997</v>
      </c>
      <c r="E36" s="73">
        <f>B8</f>
        <v>800.02499999999998</v>
      </c>
      <c r="F36" s="34">
        <v>2.0999999999999999E-3</v>
      </c>
      <c r="G36" s="22">
        <f>E36*F36</f>
        <v>1.6800524999999999</v>
      </c>
      <c r="H36" s="22">
        <f>G36-D36</f>
        <v>1.6222500000000251E-2</v>
      </c>
      <c r="I36" s="23">
        <f t="shared" si="7"/>
        <v>9.7500946611133663E-3</v>
      </c>
      <c r="J36" s="23">
        <f t="shared" si="9"/>
        <v>1.2092905072452373E-2</v>
      </c>
      <c r="K36" s="108">
        <f t="shared" si="10"/>
        <v>1.1893726216821738E-2</v>
      </c>
    </row>
    <row r="37" spans="1:11" x14ac:dyDescent="0.2">
      <c r="A37" s="107" t="s">
        <v>100</v>
      </c>
      <c r="B37" s="73">
        <f>C8</f>
        <v>792.3</v>
      </c>
      <c r="C37" s="34">
        <v>0</v>
      </c>
      <c r="D37" s="22">
        <f>B37*C37</f>
        <v>0</v>
      </c>
      <c r="E37" s="73">
        <f>B8</f>
        <v>800.02499999999998</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1.7994832114550548E-3</v>
      </c>
      <c r="K38" s="108">
        <f t="shared" si="10"/>
        <v>1.7698444270077482E-3</v>
      </c>
    </row>
    <row r="39" spans="1:11" s="1" customFormat="1" x14ac:dyDescent="0.2">
      <c r="A39" s="110" t="s">
        <v>45</v>
      </c>
      <c r="B39" s="74"/>
      <c r="C39" s="35"/>
      <c r="D39" s="35">
        <f>SUM(D35:D38)</f>
        <v>4.7661099999999994</v>
      </c>
      <c r="E39" s="73"/>
      <c r="F39" s="35"/>
      <c r="G39" s="35">
        <f>SUM(G35:G38)</f>
        <v>4.8101424999999995</v>
      </c>
      <c r="H39" s="35">
        <f t="shared" si="2"/>
        <v>4.4032500000000141E-2</v>
      </c>
      <c r="I39" s="36">
        <f t="shared" si="7"/>
        <v>9.238666333760687E-3</v>
      </c>
      <c r="J39" s="36">
        <f t="shared" si="9"/>
        <v>3.4623082693825781E-2</v>
      </c>
      <c r="K39" s="111">
        <f t="shared" si="10"/>
        <v>3.4052815586952466E-2</v>
      </c>
    </row>
    <row r="40" spans="1:11" s="1" customFormat="1" ht="13.5" thickBot="1" x14ac:dyDescent="0.25">
      <c r="A40" s="112" t="s">
        <v>46</v>
      </c>
      <c r="B40" s="113">
        <f>C4</f>
        <v>750</v>
      </c>
      <c r="C40" s="193">
        <v>0</v>
      </c>
      <c r="D40" s="115">
        <f>B40*C40</f>
        <v>0</v>
      </c>
      <c r="E40" s="116">
        <f>B4</f>
        <v>750</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125.68482999999999</v>
      </c>
      <c r="E41" s="38"/>
      <c r="F41" s="39"/>
      <c r="G41" s="39">
        <f>SUM(G14,G24,G25,G26,G32,G39,G40)</f>
        <v>132.31312000000003</v>
      </c>
      <c r="H41" s="39">
        <f t="shared" si="2"/>
        <v>6.6282900000000353</v>
      </c>
      <c r="I41" s="40">
        <f t="shared" si="7"/>
        <v>5.2737390821151892E-2</v>
      </c>
      <c r="J41" s="40">
        <f t="shared" si="9"/>
        <v>0.95238095238095233</v>
      </c>
      <c r="K41" s="41"/>
    </row>
    <row r="42" spans="1:11" x14ac:dyDescent="0.2">
      <c r="A42" s="149" t="s">
        <v>138</v>
      </c>
      <c r="B42" s="43"/>
      <c r="C42" s="26">
        <v>0.13</v>
      </c>
      <c r="D42" s="26">
        <f>D41*C42</f>
        <v>16.339027899999998</v>
      </c>
      <c r="E42" s="26"/>
      <c r="F42" s="26">
        <f>C42</f>
        <v>0.13</v>
      </c>
      <c r="G42" s="26">
        <f>G41*F42</f>
        <v>17.200705600000003</v>
      </c>
      <c r="H42" s="26">
        <f t="shared" si="2"/>
        <v>0.86167770000000488</v>
      </c>
      <c r="I42" s="44">
        <f t="shared" si="7"/>
        <v>5.2737390821151912E-2</v>
      </c>
      <c r="J42" s="44">
        <f t="shared" si="9"/>
        <v>0.1238095238095238</v>
      </c>
      <c r="K42" s="45"/>
    </row>
    <row r="43" spans="1:11" s="1" customFormat="1" x14ac:dyDescent="0.2">
      <c r="A43" s="46" t="s">
        <v>139</v>
      </c>
      <c r="B43" s="24"/>
      <c r="C43" s="25"/>
      <c r="D43" s="25">
        <f>SUM(D41:D42)</f>
        <v>142.0238579</v>
      </c>
      <c r="E43" s="25"/>
      <c r="F43" s="25"/>
      <c r="G43" s="25">
        <f>SUM(G41:G42)</f>
        <v>149.51382560000002</v>
      </c>
      <c r="H43" s="25">
        <f t="shared" si="2"/>
        <v>7.4899677000000224</v>
      </c>
      <c r="I43" s="27">
        <f t="shared" si="7"/>
        <v>5.2737390821151767E-2</v>
      </c>
      <c r="J43" s="27">
        <f t="shared" si="9"/>
        <v>1.0761904761904761</v>
      </c>
      <c r="K43" s="47"/>
    </row>
    <row r="44" spans="1:11" x14ac:dyDescent="0.2">
      <c r="A44" s="42" t="s">
        <v>140</v>
      </c>
      <c r="B44" s="43"/>
      <c r="C44" s="26">
        <v>-0.08</v>
      </c>
      <c r="D44" s="26">
        <f>D41*C44</f>
        <v>-10.054786399999999</v>
      </c>
      <c r="E44" s="26"/>
      <c r="F44" s="26">
        <f>C44</f>
        <v>-0.08</v>
      </c>
      <c r="G44" s="26">
        <f>G41*F44</f>
        <v>-10.585049600000003</v>
      </c>
      <c r="H44" s="26">
        <f t="shared" si="2"/>
        <v>-0.53026320000000382</v>
      </c>
      <c r="I44" s="44">
        <f t="shared" si="7"/>
        <v>-5.2737390821151989E-2</v>
      </c>
      <c r="J44" s="44">
        <f t="shared" si="9"/>
        <v>-7.6190476190476197E-2</v>
      </c>
      <c r="K44" s="45"/>
    </row>
    <row r="45" spans="1:11" s="1" customFormat="1" ht="13.5" thickBot="1" x14ac:dyDescent="0.25">
      <c r="A45" s="48" t="s">
        <v>141</v>
      </c>
      <c r="B45" s="49"/>
      <c r="C45" s="50"/>
      <c r="D45" s="50">
        <f>SUM(D43:D44)</f>
        <v>131.96907149999998</v>
      </c>
      <c r="E45" s="50"/>
      <c r="F45" s="50"/>
      <c r="G45" s="50">
        <f>SUM(G43:G44)</f>
        <v>138.92877600000003</v>
      </c>
      <c r="H45" s="50">
        <f t="shared" si="2"/>
        <v>6.9597045000000435</v>
      </c>
      <c r="I45" s="51">
        <f t="shared" si="7"/>
        <v>5.273739082115194E-2</v>
      </c>
      <c r="J45" s="51">
        <f t="shared" si="9"/>
        <v>1</v>
      </c>
      <c r="K45" s="52"/>
    </row>
    <row r="46" spans="1:11" x14ac:dyDescent="0.2">
      <c r="A46" s="53" t="s">
        <v>142</v>
      </c>
      <c r="B46" s="54"/>
      <c r="C46" s="55"/>
      <c r="D46" s="55">
        <f>SUM(D18,D24,D25,D27,D32,D39,D40)</f>
        <v>127.96612600000002</v>
      </c>
      <c r="E46" s="55"/>
      <c r="F46" s="55"/>
      <c r="G46" s="55">
        <f>SUM(G18,G24,G25,G27,G32,G39,G40)</f>
        <v>134.52890800000003</v>
      </c>
      <c r="H46" s="55">
        <f>G46-D46</f>
        <v>6.5627820000000128</v>
      </c>
      <c r="I46" s="56">
        <f t="shared" si="7"/>
        <v>5.1285306550578953E-2</v>
      </c>
      <c r="J46" s="56"/>
      <c r="K46" s="57">
        <f>G46/$G$50</f>
        <v>0.95238095238095244</v>
      </c>
    </row>
    <row r="47" spans="1:11" x14ac:dyDescent="0.2">
      <c r="A47" s="58" t="s">
        <v>138</v>
      </c>
      <c r="B47" s="59"/>
      <c r="C47" s="31">
        <v>0.13</v>
      </c>
      <c r="D47" s="31">
        <f>D46*C47</f>
        <v>16.635596380000003</v>
      </c>
      <c r="E47" s="31"/>
      <c r="F47" s="31">
        <f>C47</f>
        <v>0.13</v>
      </c>
      <c r="G47" s="31">
        <f>G46*F47</f>
        <v>17.488758040000004</v>
      </c>
      <c r="H47" s="31">
        <f>G47-D47</f>
        <v>0.85316166000000138</v>
      </c>
      <c r="I47" s="32">
        <f t="shared" si="7"/>
        <v>5.1285306550578939E-2</v>
      </c>
      <c r="J47" s="32"/>
      <c r="K47" s="60">
        <f>G47/$G$50</f>
        <v>0.12380952380952383</v>
      </c>
    </row>
    <row r="48" spans="1:11" x14ac:dyDescent="0.2">
      <c r="A48" s="61" t="s">
        <v>143</v>
      </c>
      <c r="B48" s="29"/>
      <c r="C48" s="30"/>
      <c r="D48" s="30">
        <f>SUM(D46:D47)</f>
        <v>144.60172238000001</v>
      </c>
      <c r="E48" s="30"/>
      <c r="F48" s="30"/>
      <c r="G48" s="30">
        <f>SUM(G46:G47)</f>
        <v>152.01766604000002</v>
      </c>
      <c r="H48" s="30">
        <f>G48-D48</f>
        <v>7.4159436600000106</v>
      </c>
      <c r="I48" s="33">
        <f t="shared" si="7"/>
        <v>5.1285306550578932E-2</v>
      </c>
      <c r="J48" s="33"/>
      <c r="K48" s="62">
        <f>G48/$G$50</f>
        <v>1.0761904761904761</v>
      </c>
    </row>
    <row r="49" spans="1:11" x14ac:dyDescent="0.2">
      <c r="A49" s="58" t="s">
        <v>140</v>
      </c>
      <c r="B49" s="59"/>
      <c r="C49" s="31">
        <v>-0.08</v>
      </c>
      <c r="D49" s="31">
        <f>D46*C49</f>
        <v>-10.237290080000001</v>
      </c>
      <c r="E49" s="31"/>
      <c r="F49" s="31">
        <f>C49</f>
        <v>-0.08</v>
      </c>
      <c r="G49" s="31">
        <f>G46*F49</f>
        <v>-10.762312640000003</v>
      </c>
      <c r="H49" s="31">
        <f>G49-D49</f>
        <v>-0.5250225600000018</v>
      </c>
      <c r="I49" s="32">
        <f t="shared" si="7"/>
        <v>-5.128530655057903E-2</v>
      </c>
      <c r="J49" s="32"/>
      <c r="K49" s="60">
        <f>G49/$G$50</f>
        <v>-7.6190476190476197E-2</v>
      </c>
    </row>
    <row r="50" spans="1:11" ht="13.5" thickBot="1" x14ac:dyDescent="0.25">
      <c r="A50" s="63" t="s">
        <v>144</v>
      </c>
      <c r="B50" s="64"/>
      <c r="C50" s="65"/>
      <c r="D50" s="65">
        <f>SUM(D48:D49)</f>
        <v>134.3644323</v>
      </c>
      <c r="E50" s="65"/>
      <c r="F50" s="65"/>
      <c r="G50" s="65">
        <f>SUM(G48:G49)</f>
        <v>141.25535340000002</v>
      </c>
      <c r="H50" s="65">
        <f>G50-D50</f>
        <v>6.8909211000000141</v>
      </c>
      <c r="I50" s="66">
        <f t="shared" si="7"/>
        <v>5.1285306550578967E-2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185</v>
      </c>
      <c r="C3" s="13" t="s">
        <v>125</v>
      </c>
    </row>
    <row r="4" spans="1:11" x14ac:dyDescent="0.2">
      <c r="A4" s="15" t="s">
        <v>62</v>
      </c>
      <c r="B4" s="15">
        <v>1800</v>
      </c>
      <c r="C4" s="15">
        <f>B4</f>
        <v>1800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81">
        <f>B4*B6</f>
        <v>1920.06</v>
      </c>
      <c r="C8" s="181">
        <f>C4*C6</f>
        <v>1901.52</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G12/$G$45</f>
        <v>0.19111078468735718</v>
      </c>
      <c r="K12" s="106"/>
    </row>
    <row r="13" spans="1:11" x14ac:dyDescent="0.2">
      <c r="A13" s="107" t="s">
        <v>32</v>
      </c>
      <c r="B13" s="73">
        <f>IF(B4&gt;B7,(B4)-B7,0)</f>
        <v>1200</v>
      </c>
      <c r="C13" s="21">
        <v>0.106</v>
      </c>
      <c r="D13" s="22">
        <f>B13*C13</f>
        <v>127.2</v>
      </c>
      <c r="E13" s="73">
        <f t="shared" ref="E13:E38" si="1">B13</f>
        <v>1200</v>
      </c>
      <c r="F13" s="21">
        <f>C13</f>
        <v>0.106</v>
      </c>
      <c r="G13" s="22">
        <f>E13*F13</f>
        <v>127.2</v>
      </c>
      <c r="H13" s="22">
        <f t="shared" ref="H13:H45" si="2">G13-D13</f>
        <v>0</v>
      </c>
      <c r="I13" s="23">
        <f t="shared" si="0"/>
        <v>0</v>
      </c>
      <c r="J13" s="23">
        <f>G13/$G$45</f>
        <v>0.44522512476615078</v>
      </c>
      <c r="K13" s="108"/>
    </row>
    <row r="14" spans="1:11" s="1" customFormat="1" x14ac:dyDescent="0.2">
      <c r="A14" s="46" t="s">
        <v>33</v>
      </c>
      <c r="B14" s="24"/>
      <c r="C14" s="25"/>
      <c r="D14" s="25">
        <f>SUM(D12:D13)</f>
        <v>181.8</v>
      </c>
      <c r="E14" s="76"/>
      <c r="F14" s="25"/>
      <c r="G14" s="25">
        <f>SUM(G12:G13)</f>
        <v>181.8</v>
      </c>
      <c r="H14" s="25">
        <f t="shared" si="2"/>
        <v>0</v>
      </c>
      <c r="I14" s="27">
        <f t="shared" si="0"/>
        <v>0</v>
      </c>
      <c r="J14" s="27">
        <f>G14/$G$45</f>
        <v>0.63633590945350793</v>
      </c>
      <c r="K14" s="108"/>
    </row>
    <row r="15" spans="1:11" s="1" customFormat="1" x14ac:dyDescent="0.2">
      <c r="A15" s="109" t="s">
        <v>34</v>
      </c>
      <c r="B15" s="75">
        <f>B4*0.65</f>
        <v>1170</v>
      </c>
      <c r="C15" s="28">
        <v>7.6999999999999999E-2</v>
      </c>
      <c r="D15" s="22">
        <f>B15*C15</f>
        <v>90.09</v>
      </c>
      <c r="E15" s="73">
        <f t="shared" ref="E15:F17" si="3">B15</f>
        <v>1170</v>
      </c>
      <c r="F15" s="28">
        <f t="shared" si="3"/>
        <v>7.6999999999999999E-2</v>
      </c>
      <c r="G15" s="22">
        <f>E15*F15</f>
        <v>90.09</v>
      </c>
      <c r="H15" s="22">
        <f t="shared" si="2"/>
        <v>0</v>
      </c>
      <c r="I15" s="23">
        <f t="shared" si="0"/>
        <v>0</v>
      </c>
      <c r="J15" s="23"/>
      <c r="K15" s="108">
        <f t="shared" ref="K15:K25" si="4">G15/$G$50</f>
        <v>0.32400420351724829</v>
      </c>
    </row>
    <row r="16" spans="1:11" s="1" customFormat="1" x14ac:dyDescent="0.2">
      <c r="A16" s="109" t="s">
        <v>35</v>
      </c>
      <c r="B16" s="75">
        <f>B4*0.17</f>
        <v>306</v>
      </c>
      <c r="C16" s="28">
        <v>0.113</v>
      </c>
      <c r="D16" s="22">
        <f>B16*C16</f>
        <v>34.578000000000003</v>
      </c>
      <c r="E16" s="73">
        <f t="shared" si="3"/>
        <v>306</v>
      </c>
      <c r="F16" s="28">
        <f t="shared" si="3"/>
        <v>0.113</v>
      </c>
      <c r="G16" s="22">
        <f>E16*F16</f>
        <v>34.578000000000003</v>
      </c>
      <c r="H16" s="22">
        <f t="shared" si="2"/>
        <v>0</v>
      </c>
      <c r="I16" s="23">
        <f t="shared" si="0"/>
        <v>0</v>
      </c>
      <c r="J16" s="23"/>
      <c r="K16" s="108">
        <f t="shared" si="4"/>
        <v>0.12435805693439239</v>
      </c>
    </row>
    <row r="17" spans="1:11" s="1" customFormat="1" x14ac:dyDescent="0.2">
      <c r="A17" s="109" t="s">
        <v>36</v>
      </c>
      <c r="B17" s="75">
        <f>B4*0.18</f>
        <v>324</v>
      </c>
      <c r="C17" s="28">
        <v>0.157</v>
      </c>
      <c r="D17" s="22">
        <f>B17*C17</f>
        <v>50.868000000000002</v>
      </c>
      <c r="E17" s="73">
        <f t="shared" si="3"/>
        <v>324</v>
      </c>
      <c r="F17" s="28">
        <f t="shared" si="3"/>
        <v>0.157</v>
      </c>
      <c r="G17" s="22">
        <f>E17*F17</f>
        <v>50.868000000000002</v>
      </c>
      <c r="H17" s="22">
        <f t="shared" si="2"/>
        <v>0</v>
      </c>
      <c r="I17" s="23">
        <f t="shared" si="0"/>
        <v>0</v>
      </c>
      <c r="J17" s="23"/>
      <c r="K17" s="108">
        <f t="shared" si="4"/>
        <v>0.18294423159635237</v>
      </c>
    </row>
    <row r="18" spans="1:11" s="1" customFormat="1" x14ac:dyDescent="0.2">
      <c r="A18" s="61" t="s">
        <v>37</v>
      </c>
      <c r="B18" s="29"/>
      <c r="C18" s="30"/>
      <c r="D18" s="30">
        <f>SUM(D15:D17)</f>
        <v>175.536</v>
      </c>
      <c r="E18" s="77"/>
      <c r="F18" s="30"/>
      <c r="G18" s="30">
        <f>SUM(G15:G17)</f>
        <v>175.536</v>
      </c>
      <c r="H18" s="31">
        <f t="shared" si="2"/>
        <v>0</v>
      </c>
      <c r="I18" s="32">
        <f t="shared" si="0"/>
        <v>0</v>
      </c>
      <c r="J18" s="33">
        <f>G18/$G$45</f>
        <v>0.61441067217728806</v>
      </c>
      <c r="K18" s="62">
        <f t="shared" si="4"/>
        <v>0.63130649204799305</v>
      </c>
    </row>
    <row r="19" spans="1:11" x14ac:dyDescent="0.2">
      <c r="A19" s="107" t="s">
        <v>38</v>
      </c>
      <c r="B19" s="73">
        <v>1</v>
      </c>
      <c r="C19" s="121">
        <f>VLOOKUP($C$3,'Data for Bill Impacts'!$A$3:$Y$39,7,0)</f>
        <v>36.78</v>
      </c>
      <c r="D19" s="22">
        <f>B19*C19</f>
        <v>36.78</v>
      </c>
      <c r="E19" s="73">
        <f t="shared" si="1"/>
        <v>1</v>
      </c>
      <c r="F19" s="121">
        <f>VLOOKUP($B$3,'Data for Bill Impacts'!$A$3:$Y$39,17,0)</f>
        <v>40.43</v>
      </c>
      <c r="G19" s="22">
        <f>E19*F19</f>
        <v>40.43</v>
      </c>
      <c r="H19" s="22">
        <f t="shared" si="2"/>
        <v>3.6499999999999986</v>
      </c>
      <c r="I19" s="23">
        <f>IF(ISERROR(H19/ABS(D19)),"N/A",(H19/ABS(D19)))</f>
        <v>9.9238716693855311E-2</v>
      </c>
      <c r="J19" s="23">
        <f>G19/$G$45</f>
        <v>0.14151298580420971</v>
      </c>
      <c r="K19" s="108">
        <f t="shared" si="4"/>
        <v>0.14540448382952989</v>
      </c>
    </row>
    <row r="20" spans="1:11" x14ac:dyDescent="0.2">
      <c r="A20" s="107" t="s">
        <v>193</v>
      </c>
      <c r="B20" s="73">
        <v>1</v>
      </c>
      <c r="C20" s="78">
        <f>'Data for Bill Impacts'!K34</f>
        <v>-0.55000000000000004</v>
      </c>
      <c r="D20" s="22">
        <f>B20*C20</f>
        <v>-0.55000000000000004</v>
      </c>
      <c r="E20" s="73">
        <f t="shared" si="1"/>
        <v>1</v>
      </c>
      <c r="F20" s="121">
        <v>0</v>
      </c>
      <c r="G20" s="22">
        <f t="shared" ref="G20" si="5">E20*F20</f>
        <v>0</v>
      </c>
      <c r="H20" s="22">
        <f t="shared" si="2"/>
        <v>0.55000000000000004</v>
      </c>
      <c r="I20" s="23">
        <f t="shared" ref="I20:I21" si="6">IF(ISERROR(H20/D20),0,(H20/D20))</f>
        <v>-1</v>
      </c>
      <c r="J20" s="23">
        <f>G20/$G$45</f>
        <v>0</v>
      </c>
      <c r="K20" s="108">
        <f t="shared" si="4"/>
        <v>0</v>
      </c>
    </row>
    <row r="21" spans="1:11" x14ac:dyDescent="0.2">
      <c r="A21" s="107" t="s">
        <v>39</v>
      </c>
      <c r="B21" s="73">
        <f>IF($C$9="kWh",$C$4,$C$5)</f>
        <v>1800</v>
      </c>
      <c r="C21" s="125">
        <f>VLOOKUP($C$3,'Data for Bill Impacts'!$A$3:$Y$39,10,0)</f>
        <v>0</v>
      </c>
      <c r="D21" s="22">
        <f>B21*C21</f>
        <v>0</v>
      </c>
      <c r="E21" s="73">
        <f t="shared" si="1"/>
        <v>1800</v>
      </c>
      <c r="F21" s="125">
        <f>VLOOKUP($B$3,'Data for Bill Impacts'!$A$3:$Y$39,19,0)</f>
        <v>0</v>
      </c>
      <c r="G21" s="22">
        <f>E21*F21</f>
        <v>0</v>
      </c>
      <c r="H21" s="22">
        <f t="shared" si="2"/>
        <v>0</v>
      </c>
      <c r="I21" s="23">
        <f t="shared" si="6"/>
        <v>0</v>
      </c>
      <c r="J21" s="23">
        <f>G21/$G$45</f>
        <v>0</v>
      </c>
      <c r="K21" s="108">
        <f t="shared" si="4"/>
        <v>0</v>
      </c>
    </row>
    <row r="22" spans="1:11" x14ac:dyDescent="0.2">
      <c r="A22" s="107" t="s">
        <v>194</v>
      </c>
      <c r="B22" s="73">
        <f>IF($C$9="kWh",$C$4,$C$5)</f>
        <v>1800</v>
      </c>
      <c r="C22" s="78">
        <f>'Data for Bill Impacts'!H34</f>
        <v>8.9999999999999998E-4</v>
      </c>
      <c r="D22" s="22">
        <f>B22*C22</f>
        <v>1.6199999999999999</v>
      </c>
      <c r="E22" s="73">
        <f>B22</f>
        <v>1800</v>
      </c>
      <c r="F22" s="125">
        <v>0</v>
      </c>
      <c r="G22" s="22">
        <f>E22*F22</f>
        <v>0</v>
      </c>
      <c r="H22" s="22">
        <f>G22-D22</f>
        <v>-1.6199999999999999</v>
      </c>
      <c r="I22" s="23">
        <f t="shared" ref="I22:I50" si="7">IF(ISERROR(H22/ABS(D22)),"N/A",(H22/ABS(D22)))</f>
        <v>-1</v>
      </c>
      <c r="J22" s="23">
        <f t="shared" ref="J22" si="8">G22/$G$45</f>
        <v>0</v>
      </c>
      <c r="K22" s="108">
        <f t="shared" si="4"/>
        <v>0</v>
      </c>
    </row>
    <row r="23" spans="1:11" x14ac:dyDescent="0.2">
      <c r="A23" s="107" t="s">
        <v>195</v>
      </c>
      <c r="B23" s="73">
        <f>IF($B$9="kWh",$B$4,$B$5)</f>
        <v>1800</v>
      </c>
      <c r="C23" s="125">
        <f>'Data for Bill Impacts'!L34</f>
        <v>0</v>
      </c>
      <c r="D23" s="22">
        <f>B23*C23</f>
        <v>0</v>
      </c>
      <c r="E23" s="73">
        <f t="shared" si="1"/>
        <v>1800</v>
      </c>
      <c r="F23" s="125">
        <v>0</v>
      </c>
      <c r="G23" s="22">
        <f>E23*F23</f>
        <v>0</v>
      </c>
      <c r="H23" s="22">
        <f t="shared" si="2"/>
        <v>0</v>
      </c>
      <c r="I23" s="23" t="str">
        <f t="shared" si="7"/>
        <v>N/A</v>
      </c>
      <c r="J23" s="23">
        <f>G23/$G$45</f>
        <v>0</v>
      </c>
      <c r="K23" s="108">
        <f t="shared" si="4"/>
        <v>0</v>
      </c>
    </row>
    <row r="24" spans="1:11" s="1" customFormat="1" x14ac:dyDescent="0.2">
      <c r="A24" s="110" t="s">
        <v>72</v>
      </c>
      <c r="B24" s="74"/>
      <c r="C24" s="35"/>
      <c r="D24" s="35">
        <f>SUM(D19:D23)</f>
        <v>37.85</v>
      </c>
      <c r="E24" s="73"/>
      <c r="F24" s="35"/>
      <c r="G24" s="35">
        <f>SUM(G19:G23)</f>
        <v>40.43</v>
      </c>
      <c r="H24" s="35">
        <f t="shared" si="2"/>
        <v>2.5799999999999983</v>
      </c>
      <c r="I24" s="36">
        <f t="shared" si="7"/>
        <v>6.8163804491413432E-2</v>
      </c>
      <c r="J24" s="36">
        <f>G24/$G$45</f>
        <v>0.14151298580420971</v>
      </c>
      <c r="K24" s="111">
        <f t="shared" si="4"/>
        <v>0.14540448382952989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2.7651560421797102E-3</v>
      </c>
      <c r="K25" s="108">
        <f t="shared" si="4"/>
        <v>2.8411957018384519E-3</v>
      </c>
    </row>
    <row r="26" spans="1:11" s="1" customFormat="1" x14ac:dyDescent="0.2">
      <c r="A26" s="119" t="s">
        <v>75</v>
      </c>
      <c r="B26" s="120">
        <f>C8-C4</f>
        <v>101.51999999999998</v>
      </c>
      <c r="C26" s="257">
        <f>IF(C4&gt;C7,C13,C12)</f>
        <v>0.106</v>
      </c>
      <c r="D26" s="22">
        <f>B26*C26</f>
        <v>10.761119999999998</v>
      </c>
      <c r="E26" s="73">
        <f>B8-B4</f>
        <v>120.05999999999995</v>
      </c>
      <c r="F26" s="257">
        <f>IF(B4&gt;C7,F13,F12)</f>
        <v>0.106</v>
      </c>
      <c r="G26" s="22">
        <f>E26*F26</f>
        <v>12.726359999999994</v>
      </c>
      <c r="H26" s="22">
        <f t="shared" si="2"/>
        <v>1.9652399999999961</v>
      </c>
      <c r="I26" s="23">
        <f t="shared" si="7"/>
        <v>0.18262411347517699</v>
      </c>
      <c r="J26" s="23">
        <f t="shared" ref="J26:J45" si="9">G26/$G$45</f>
        <v>4.4544773732853364E-2</v>
      </c>
      <c r="K26" s="108">
        <f t="shared" ref="K26:K40" si="10">G26/$G$50</f>
        <v>4.5769720673479473E-2</v>
      </c>
    </row>
    <row r="27" spans="1:11" s="1" customFormat="1" x14ac:dyDescent="0.2">
      <c r="A27" s="119" t="s">
        <v>74</v>
      </c>
      <c r="B27" s="120">
        <f>C8-C4</f>
        <v>101.51999999999998</v>
      </c>
      <c r="C27" s="257">
        <f>0.65*C15+0.17*C16+0.18*C17</f>
        <v>9.7519999999999996E-2</v>
      </c>
      <c r="D27" s="22">
        <f>B27*C27</f>
        <v>9.9002303999999981</v>
      </c>
      <c r="E27" s="73">
        <f>B8-B4</f>
        <v>120.05999999999995</v>
      </c>
      <c r="F27" s="257">
        <f>0.65*F15+0.17*F16+0.18*F17</f>
        <v>9.7519999999999996E-2</v>
      </c>
      <c r="G27" s="22">
        <f>E27*F27</f>
        <v>11.708251199999994</v>
      </c>
      <c r="H27" s="22">
        <f t="shared" si="2"/>
        <v>1.808020799999996</v>
      </c>
      <c r="I27" s="23">
        <f t="shared" si="7"/>
        <v>0.18262411347517693</v>
      </c>
      <c r="J27" s="23">
        <f t="shared" si="9"/>
        <v>4.0981191834225092E-2</v>
      </c>
      <c r="K27" s="108">
        <f t="shared" si="10"/>
        <v>4.2108143019601113E-2</v>
      </c>
    </row>
    <row r="28" spans="1:11" s="1" customFormat="1" x14ac:dyDescent="0.2">
      <c r="A28" s="110" t="s">
        <v>78</v>
      </c>
      <c r="B28" s="74"/>
      <c r="C28" s="35"/>
      <c r="D28" s="35">
        <f>SUM(D24,D25:D26)</f>
        <v>49.401119999999999</v>
      </c>
      <c r="E28" s="73"/>
      <c r="F28" s="35"/>
      <c r="G28" s="35">
        <f>SUM(G24,G25:G26)</f>
        <v>53.946359999999991</v>
      </c>
      <c r="H28" s="35">
        <f t="shared" si="2"/>
        <v>4.5452399999999926</v>
      </c>
      <c r="I28" s="36">
        <f t="shared" si="7"/>
        <v>9.200682089798759E-2</v>
      </c>
      <c r="J28" s="36">
        <f t="shared" si="9"/>
        <v>0.18882291557924277</v>
      </c>
      <c r="K28" s="111">
        <f t="shared" si="10"/>
        <v>0.19401540020484778</v>
      </c>
    </row>
    <row r="29" spans="1:11" s="1" customFormat="1" x14ac:dyDescent="0.2">
      <c r="A29" s="110" t="s">
        <v>77</v>
      </c>
      <c r="B29" s="74"/>
      <c r="C29" s="35"/>
      <c r="D29" s="35">
        <f>SUM(D24,D25,D27)</f>
        <v>48.540230399999999</v>
      </c>
      <c r="E29" s="73"/>
      <c r="F29" s="35"/>
      <c r="G29" s="35">
        <f>SUM(G24,G25,G27)</f>
        <v>52.928251199999991</v>
      </c>
      <c r="H29" s="35">
        <f t="shared" si="2"/>
        <v>4.3880207999999925</v>
      </c>
      <c r="I29" s="36">
        <f t="shared" si="7"/>
        <v>9.0399669796375592E-2</v>
      </c>
      <c r="J29" s="36">
        <f t="shared" si="9"/>
        <v>0.18525933368061451</v>
      </c>
      <c r="K29" s="111">
        <f t="shared" si="10"/>
        <v>0.19035382255096944</v>
      </c>
    </row>
    <row r="30" spans="1:11" x14ac:dyDescent="0.2">
      <c r="A30" s="107" t="s">
        <v>40</v>
      </c>
      <c r="B30" s="73">
        <f>C8</f>
        <v>1901.52</v>
      </c>
      <c r="C30" s="125">
        <f>VLOOKUP($C$3,'Data for Bill Impacts'!$A$3:$Y$39,15,0)</f>
        <v>6.7999999999999996E-3</v>
      </c>
      <c r="D30" s="22">
        <f>B30*C30</f>
        <v>12.930335999999999</v>
      </c>
      <c r="E30" s="73">
        <f>B8</f>
        <v>1920.06</v>
      </c>
      <c r="F30" s="78">
        <f>VLOOKUP($B$3,'Data for Bill Impacts'!$A$3:$Y$39,24,0)</f>
        <v>7.1000000000000004E-3</v>
      </c>
      <c r="G30" s="22">
        <f>E30*F30</f>
        <v>13.632426000000001</v>
      </c>
      <c r="H30" s="22">
        <f t="shared" si="2"/>
        <v>0.70209000000000188</v>
      </c>
      <c r="I30" s="23">
        <f t="shared" si="7"/>
        <v>5.4297892954986007E-2</v>
      </c>
      <c r="J30" s="23">
        <f t="shared" si="9"/>
        <v>4.7716183700592121E-2</v>
      </c>
      <c r="K30" s="108">
        <f t="shared" si="10"/>
        <v>4.9028341970671845E-2</v>
      </c>
    </row>
    <row r="31" spans="1:11" x14ac:dyDescent="0.2">
      <c r="A31" s="107" t="s">
        <v>41</v>
      </c>
      <c r="B31" s="73">
        <f>C8</f>
        <v>1901.52</v>
      </c>
      <c r="C31" s="125">
        <f>VLOOKUP($C$3,'Data for Bill Impacts'!$A$3:$Y$39,16,0)</f>
        <v>3.5999999999999999E-3</v>
      </c>
      <c r="D31" s="22">
        <f>B31*C31</f>
        <v>6.845472</v>
      </c>
      <c r="E31" s="73">
        <f>B8</f>
        <v>1920.06</v>
      </c>
      <c r="F31" s="78">
        <f>VLOOKUP($B$3,'Data for Bill Impacts'!$A$3:$Y$39,25,0)</f>
        <v>6.0000000000000001E-3</v>
      </c>
      <c r="G31" s="22">
        <f>E31*F31</f>
        <v>11.52036</v>
      </c>
      <c r="H31" s="22">
        <f t="shared" si="2"/>
        <v>4.6748880000000002</v>
      </c>
      <c r="I31" s="23">
        <f t="shared" si="7"/>
        <v>0.68291682443518875</v>
      </c>
      <c r="J31" s="23">
        <f t="shared" si="9"/>
        <v>4.0323535521627145E-2</v>
      </c>
      <c r="K31" s="108">
        <f t="shared" si="10"/>
        <v>4.1432401665356493E-2</v>
      </c>
    </row>
    <row r="32" spans="1:11" s="1" customFormat="1" x14ac:dyDescent="0.2">
      <c r="A32" s="110" t="s">
        <v>76</v>
      </c>
      <c r="B32" s="74"/>
      <c r="C32" s="35"/>
      <c r="D32" s="35">
        <f>SUM(D30:D31)</f>
        <v>19.775807999999998</v>
      </c>
      <c r="E32" s="73"/>
      <c r="F32" s="35"/>
      <c r="G32" s="35">
        <f>SUM(G30:G31)</f>
        <v>25.152785999999999</v>
      </c>
      <c r="H32" s="35">
        <f t="shared" si="2"/>
        <v>5.3769780000000011</v>
      </c>
      <c r="I32" s="36">
        <f t="shared" si="7"/>
        <v>0.27189675385197926</v>
      </c>
      <c r="J32" s="36">
        <f t="shared" si="9"/>
        <v>8.8039719222219259E-2</v>
      </c>
      <c r="K32" s="111">
        <f t="shared" si="10"/>
        <v>9.0460743636028337E-2</v>
      </c>
    </row>
    <row r="33" spans="1:11" s="1" customFormat="1" x14ac:dyDescent="0.2">
      <c r="A33" s="110" t="s">
        <v>95</v>
      </c>
      <c r="B33" s="74"/>
      <c r="C33" s="35"/>
      <c r="D33" s="35">
        <f>D28+D32</f>
        <v>69.176928000000004</v>
      </c>
      <c r="E33" s="73"/>
      <c r="F33" s="35"/>
      <c r="G33" s="35">
        <f>G28+G32</f>
        <v>79.09914599999999</v>
      </c>
      <c r="H33" s="35">
        <f t="shared" si="2"/>
        <v>9.9222179999999867</v>
      </c>
      <c r="I33" s="36">
        <f t="shared" si="7"/>
        <v>0.14343247505873616</v>
      </c>
      <c r="J33" s="36">
        <f t="shared" si="9"/>
        <v>0.276862634801462</v>
      </c>
      <c r="K33" s="111">
        <f t="shared" si="10"/>
        <v>0.28447614384087611</v>
      </c>
    </row>
    <row r="34" spans="1:11" s="1" customFormat="1" x14ac:dyDescent="0.2">
      <c r="A34" s="110" t="s">
        <v>96</v>
      </c>
      <c r="B34" s="74"/>
      <c r="C34" s="35"/>
      <c r="D34" s="35">
        <f>D29+D32</f>
        <v>68.316038399999996</v>
      </c>
      <c r="E34" s="73"/>
      <c r="F34" s="35"/>
      <c r="G34" s="35">
        <f>G29+G32</f>
        <v>78.081037199999997</v>
      </c>
      <c r="H34" s="35">
        <f t="shared" si="2"/>
        <v>9.7649988000000008</v>
      </c>
      <c r="I34" s="36">
        <f t="shared" si="7"/>
        <v>0.14293859873467138</v>
      </c>
      <c r="J34" s="36">
        <f t="shared" si="9"/>
        <v>0.27329905290283379</v>
      </c>
      <c r="K34" s="111">
        <f t="shared" si="10"/>
        <v>0.28081456618699779</v>
      </c>
    </row>
    <row r="35" spans="1:11" x14ac:dyDescent="0.2">
      <c r="A35" s="107" t="s">
        <v>42</v>
      </c>
      <c r="B35" s="73">
        <f>C8</f>
        <v>1901.52</v>
      </c>
      <c r="C35" s="34">
        <v>3.5999999999999999E-3</v>
      </c>
      <c r="D35" s="22">
        <f>B35*C35</f>
        <v>6.845472</v>
      </c>
      <c r="E35" s="73">
        <f>B8</f>
        <v>1920.06</v>
      </c>
      <c r="F35" s="34">
        <v>3.5999999999999999E-3</v>
      </c>
      <c r="G35" s="22">
        <f>E35*F35</f>
        <v>6.9122159999999999</v>
      </c>
      <c r="H35" s="22">
        <f t="shared" si="2"/>
        <v>6.6743999999999915E-2</v>
      </c>
      <c r="I35" s="23">
        <f t="shared" si="7"/>
        <v>9.7500946611132015E-3</v>
      </c>
      <c r="J35" s="23">
        <f t="shared" si="9"/>
        <v>2.4194121312976286E-2</v>
      </c>
      <c r="K35" s="108">
        <f t="shared" si="10"/>
        <v>2.4859440999213892E-2</v>
      </c>
    </row>
    <row r="36" spans="1:11" x14ac:dyDescent="0.2">
      <c r="A36" s="107" t="s">
        <v>43</v>
      </c>
      <c r="B36" s="73">
        <f>C8</f>
        <v>1901.52</v>
      </c>
      <c r="C36" s="34">
        <v>2.0999999999999999E-3</v>
      </c>
      <c r="D36" s="22">
        <f>B36*C36</f>
        <v>3.9931919999999996</v>
      </c>
      <c r="E36" s="73">
        <f>B8</f>
        <v>1920.06</v>
      </c>
      <c r="F36" s="34">
        <v>2.0999999999999999E-3</v>
      </c>
      <c r="G36" s="22">
        <f>E36*F36</f>
        <v>4.0321259999999999</v>
      </c>
      <c r="H36" s="22">
        <f>G36-D36</f>
        <v>3.8934000000000246E-2</v>
      </c>
      <c r="I36" s="23">
        <f t="shared" si="7"/>
        <v>9.7500946611132778E-3</v>
      </c>
      <c r="J36" s="23">
        <f t="shared" si="9"/>
        <v>1.41132374325695E-2</v>
      </c>
      <c r="K36" s="108">
        <f t="shared" si="10"/>
        <v>1.4501340582874771E-2</v>
      </c>
    </row>
    <row r="37" spans="1:11" x14ac:dyDescent="0.2">
      <c r="A37" s="107" t="s">
        <v>100</v>
      </c>
      <c r="B37" s="73">
        <f>C8</f>
        <v>1901.52</v>
      </c>
      <c r="C37" s="34">
        <v>0</v>
      </c>
      <c r="D37" s="22">
        <f>B37*C37</f>
        <v>0</v>
      </c>
      <c r="E37" s="73">
        <f>B8</f>
        <v>1920.06</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8.7504938043661703E-4</v>
      </c>
      <c r="K38" s="108">
        <f t="shared" si="10"/>
        <v>8.9911256387292782E-4</v>
      </c>
    </row>
    <row r="39" spans="1:11" s="1" customFormat="1" x14ac:dyDescent="0.2">
      <c r="A39" s="110" t="s">
        <v>45</v>
      </c>
      <c r="B39" s="74"/>
      <c r="C39" s="35"/>
      <c r="D39" s="35">
        <f>SUM(D35:D38)</f>
        <v>11.088664</v>
      </c>
      <c r="E39" s="73"/>
      <c r="F39" s="35"/>
      <c r="G39" s="35">
        <f>SUM(G35:G38)</f>
        <v>11.194341999999999</v>
      </c>
      <c r="H39" s="35">
        <f t="shared" si="2"/>
        <v>0.10567799999999927</v>
      </c>
      <c r="I39" s="36">
        <f t="shared" si="7"/>
        <v>9.5302734396135805E-3</v>
      </c>
      <c r="J39" s="36">
        <f t="shared" si="9"/>
        <v>3.91824081259824E-2</v>
      </c>
      <c r="K39" s="111">
        <f t="shared" si="10"/>
        <v>4.0259894145961587E-2</v>
      </c>
    </row>
    <row r="40" spans="1:11" s="1" customFormat="1" ht="13.5" thickBot="1" x14ac:dyDescent="0.25">
      <c r="A40" s="112" t="s">
        <v>46</v>
      </c>
      <c r="B40" s="113">
        <f>C4</f>
        <v>1800</v>
      </c>
      <c r="C40" s="193">
        <v>0</v>
      </c>
      <c r="D40" s="115">
        <f>B40*C40</f>
        <v>0</v>
      </c>
      <c r="E40" s="116">
        <f>B4</f>
        <v>1800</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262.06559199999998</v>
      </c>
      <c r="E41" s="38"/>
      <c r="F41" s="39"/>
      <c r="G41" s="39">
        <f>SUM(G14,G24,G25,G26,G32,G39,G40)</f>
        <v>272.09348800000004</v>
      </c>
      <c r="H41" s="39">
        <f t="shared" si="2"/>
        <v>10.027896000000055</v>
      </c>
      <c r="I41" s="40">
        <f t="shared" si="7"/>
        <v>3.8264832569092307E-2</v>
      </c>
      <c r="J41" s="40">
        <f t="shared" si="9"/>
        <v>0.95238095238095255</v>
      </c>
      <c r="K41" s="41"/>
    </row>
    <row r="42" spans="1:11" x14ac:dyDescent="0.2">
      <c r="A42" s="149" t="s">
        <v>138</v>
      </c>
      <c r="B42" s="43"/>
      <c r="C42" s="26">
        <v>0.13</v>
      </c>
      <c r="D42" s="26">
        <f>D41*C42</f>
        <v>34.06852696</v>
      </c>
      <c r="E42" s="26"/>
      <c r="F42" s="26">
        <f>C42</f>
        <v>0.13</v>
      </c>
      <c r="G42" s="26">
        <f>G41*F42</f>
        <v>35.372153440000005</v>
      </c>
      <c r="H42" s="26">
        <f t="shared" si="2"/>
        <v>1.3036264800000055</v>
      </c>
      <c r="I42" s="44">
        <f t="shared" si="7"/>
        <v>3.8264832569092251E-2</v>
      </c>
      <c r="J42" s="44">
        <f t="shared" si="9"/>
        <v>0.12380952380952383</v>
      </c>
      <c r="K42" s="45"/>
    </row>
    <row r="43" spans="1:11" s="1" customFormat="1" x14ac:dyDescent="0.2">
      <c r="A43" s="46" t="s">
        <v>139</v>
      </c>
      <c r="B43" s="24"/>
      <c r="C43" s="25"/>
      <c r="D43" s="25">
        <f>SUM(D41:D42)</f>
        <v>296.13411895999997</v>
      </c>
      <c r="E43" s="25"/>
      <c r="F43" s="25"/>
      <c r="G43" s="25">
        <f>SUM(G41:G42)</f>
        <v>307.46564144000001</v>
      </c>
      <c r="H43" s="25">
        <f t="shared" si="2"/>
        <v>11.331522480000046</v>
      </c>
      <c r="I43" s="27">
        <f t="shared" si="7"/>
        <v>3.8264832569092251E-2</v>
      </c>
      <c r="J43" s="27">
        <f t="shared" si="9"/>
        <v>1.0761904761904761</v>
      </c>
      <c r="K43" s="47"/>
    </row>
    <row r="44" spans="1:11" x14ac:dyDescent="0.2">
      <c r="A44" s="42" t="s">
        <v>140</v>
      </c>
      <c r="B44" s="43"/>
      <c r="C44" s="26">
        <v>-0.08</v>
      </c>
      <c r="D44" s="26">
        <f>D41*C44</f>
        <v>-20.965247359999999</v>
      </c>
      <c r="E44" s="26"/>
      <c r="F44" s="26">
        <f>C44</f>
        <v>-0.08</v>
      </c>
      <c r="G44" s="26">
        <f>G41*F44</f>
        <v>-21.767479040000005</v>
      </c>
      <c r="H44" s="26">
        <f t="shared" si="2"/>
        <v>-0.80223168000000555</v>
      </c>
      <c r="I44" s="44">
        <f t="shared" si="7"/>
        <v>-3.8264832569092355E-2</v>
      </c>
      <c r="J44" s="44">
        <f t="shared" si="9"/>
        <v>-7.6190476190476211E-2</v>
      </c>
      <c r="K44" s="45"/>
    </row>
    <row r="45" spans="1:11" s="1" customFormat="1" ht="13.5" thickBot="1" x14ac:dyDescent="0.25">
      <c r="A45" s="48" t="s">
        <v>141</v>
      </c>
      <c r="B45" s="49"/>
      <c r="C45" s="50"/>
      <c r="D45" s="50">
        <f>SUM(D43:D44)</f>
        <v>275.16887159999999</v>
      </c>
      <c r="E45" s="50"/>
      <c r="F45" s="50"/>
      <c r="G45" s="50">
        <f>SUM(G43:G44)</f>
        <v>285.6981624</v>
      </c>
      <c r="H45" s="50">
        <f t="shared" si="2"/>
        <v>10.529290800000012</v>
      </c>
      <c r="I45" s="51">
        <f t="shared" si="7"/>
        <v>3.826483256909214E-2</v>
      </c>
      <c r="J45" s="51">
        <f t="shared" si="9"/>
        <v>1</v>
      </c>
      <c r="K45" s="52"/>
    </row>
    <row r="46" spans="1:11" x14ac:dyDescent="0.2">
      <c r="A46" s="53" t="s">
        <v>142</v>
      </c>
      <c r="B46" s="54"/>
      <c r="C46" s="55"/>
      <c r="D46" s="55">
        <f>SUM(D18,D24,D25,D27,D32,D39,D40)</f>
        <v>254.94070239999996</v>
      </c>
      <c r="E46" s="55"/>
      <c r="F46" s="55"/>
      <c r="G46" s="55">
        <f>SUM(G18,G24,G25,G27,G32,G39,G40)</f>
        <v>264.81137919999998</v>
      </c>
      <c r="H46" s="55">
        <f>G46-D46</f>
        <v>9.8706768000000125</v>
      </c>
      <c r="I46" s="56">
        <f t="shared" si="7"/>
        <v>3.8717539832117502E-2</v>
      </c>
      <c r="J46" s="56"/>
      <c r="K46" s="57">
        <f>G46/$G$50</f>
        <v>0.95238095238095233</v>
      </c>
    </row>
    <row r="47" spans="1:11" x14ac:dyDescent="0.2">
      <c r="A47" s="58" t="s">
        <v>138</v>
      </c>
      <c r="B47" s="59"/>
      <c r="C47" s="31">
        <v>0.13</v>
      </c>
      <c r="D47" s="31">
        <f>D46*C47</f>
        <v>33.142291311999998</v>
      </c>
      <c r="E47" s="31"/>
      <c r="F47" s="31">
        <f>C47</f>
        <v>0.13</v>
      </c>
      <c r="G47" s="31">
        <f>G46*F47</f>
        <v>34.425479295999999</v>
      </c>
      <c r="H47" s="31">
        <f>G47-D47</f>
        <v>1.2831879840000013</v>
      </c>
      <c r="I47" s="32">
        <f t="shared" si="7"/>
        <v>3.8717539832117488E-2</v>
      </c>
      <c r="J47" s="32"/>
      <c r="K47" s="60">
        <f>G47/$G$50</f>
        <v>0.12380952380952381</v>
      </c>
    </row>
    <row r="48" spans="1:11" x14ac:dyDescent="0.2">
      <c r="A48" s="61" t="s">
        <v>143</v>
      </c>
      <c r="B48" s="29"/>
      <c r="C48" s="30"/>
      <c r="D48" s="30">
        <f>SUM(D46:D47)</f>
        <v>288.08299371199996</v>
      </c>
      <c r="E48" s="30"/>
      <c r="F48" s="30"/>
      <c r="G48" s="30">
        <f>SUM(G46:G47)</f>
        <v>299.23685849599997</v>
      </c>
      <c r="H48" s="30">
        <f>G48-D48</f>
        <v>11.153864784000007</v>
      </c>
      <c r="I48" s="33">
        <f t="shared" si="7"/>
        <v>3.8717539832117474E-2</v>
      </c>
      <c r="J48" s="33"/>
      <c r="K48" s="62">
        <f>G48/$G$50</f>
        <v>1.0761904761904761</v>
      </c>
    </row>
    <row r="49" spans="1:11" x14ac:dyDescent="0.2">
      <c r="A49" s="58" t="s">
        <v>140</v>
      </c>
      <c r="B49" s="59"/>
      <c r="C49" s="31">
        <v>-0.08</v>
      </c>
      <c r="D49" s="31">
        <f>D46*C49</f>
        <v>-20.395256191999998</v>
      </c>
      <c r="E49" s="31"/>
      <c r="F49" s="31">
        <f>C49</f>
        <v>-0.08</v>
      </c>
      <c r="G49" s="31">
        <f>G46*F49</f>
        <v>-21.184910335999998</v>
      </c>
      <c r="H49" s="31">
        <f>G49-D49</f>
        <v>-0.789654144</v>
      </c>
      <c r="I49" s="32">
        <f t="shared" si="7"/>
        <v>-3.8717539832117454E-2</v>
      </c>
      <c r="J49" s="32"/>
      <c r="K49" s="60">
        <f>G49/$G$50</f>
        <v>-7.6190476190476183E-2</v>
      </c>
    </row>
    <row r="50" spans="1:11" ht="13.5" thickBot="1" x14ac:dyDescent="0.25">
      <c r="A50" s="63" t="s">
        <v>144</v>
      </c>
      <c r="B50" s="64"/>
      <c r="C50" s="65"/>
      <c r="D50" s="65">
        <f>SUM(D48:D49)</f>
        <v>267.68773751999998</v>
      </c>
      <c r="E50" s="65"/>
      <c r="F50" s="65"/>
      <c r="G50" s="65">
        <f>SUM(G48:G49)</f>
        <v>278.05194815999999</v>
      </c>
      <c r="H50" s="65">
        <f>G50-D50</f>
        <v>10.36421064000001</v>
      </c>
      <c r="I50" s="66">
        <f t="shared" si="7"/>
        <v>3.8717539832117488E-2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K67"/>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185</v>
      </c>
      <c r="C3" s="13" t="s">
        <v>119</v>
      </c>
    </row>
    <row r="4" spans="1:11" x14ac:dyDescent="0.2">
      <c r="A4" s="15" t="s">
        <v>62</v>
      </c>
      <c r="B4" s="15">
        <v>400</v>
      </c>
      <c r="C4" s="15">
        <f>B4</f>
        <v>400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426.68</v>
      </c>
      <c r="C8" s="15">
        <f>C4*C6</f>
        <v>426.20000000000005</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G12/$G$45</f>
        <v>0.39251445940236529</v>
      </c>
      <c r="K12" s="106"/>
    </row>
    <row r="13" spans="1:11" x14ac:dyDescent="0.2">
      <c r="A13" s="107" t="s">
        <v>32</v>
      </c>
      <c r="B13" s="73">
        <f>IF(B4&gt;B7,(B4)-B7,0)</f>
        <v>0</v>
      </c>
      <c r="C13" s="21">
        <v>0.106</v>
      </c>
      <c r="D13" s="22">
        <f>B13*C13</f>
        <v>0</v>
      </c>
      <c r="E13" s="73">
        <f t="shared" ref="E13:E38" si="1">B13</f>
        <v>0</v>
      </c>
      <c r="F13" s="21">
        <f>C13</f>
        <v>0.106</v>
      </c>
      <c r="G13" s="22">
        <f>E13*F13</f>
        <v>0</v>
      </c>
      <c r="H13" s="22">
        <f t="shared" ref="H13:H45" si="2">G13-D13</f>
        <v>0</v>
      </c>
      <c r="I13" s="23" t="str">
        <f t="shared" si="0"/>
        <v>N/A</v>
      </c>
      <c r="J13" s="23">
        <f>G13/$G$45</f>
        <v>0</v>
      </c>
      <c r="K13" s="108"/>
    </row>
    <row r="14" spans="1:11" s="1" customFormat="1" x14ac:dyDescent="0.2">
      <c r="A14" s="46" t="s">
        <v>33</v>
      </c>
      <c r="B14" s="24"/>
      <c r="C14" s="25"/>
      <c r="D14" s="25">
        <f>SUM(D12:D13)</f>
        <v>36.4</v>
      </c>
      <c r="E14" s="76"/>
      <c r="F14" s="25"/>
      <c r="G14" s="25">
        <f>SUM(G12:G13)</f>
        <v>36.4</v>
      </c>
      <c r="H14" s="25">
        <f t="shared" si="2"/>
        <v>0</v>
      </c>
      <c r="I14" s="27">
        <f t="shared" si="0"/>
        <v>0</v>
      </c>
      <c r="J14" s="27">
        <f>G14/$G$45</f>
        <v>0.39251445940236529</v>
      </c>
      <c r="K14" s="108"/>
    </row>
    <row r="15" spans="1:11" s="1" customFormat="1" x14ac:dyDescent="0.2">
      <c r="A15" s="109" t="s">
        <v>34</v>
      </c>
      <c r="B15" s="75">
        <f>B4*0.65</f>
        <v>260</v>
      </c>
      <c r="C15" s="28">
        <v>7.6999999999999999E-2</v>
      </c>
      <c r="D15" s="22">
        <f>B15*C15</f>
        <v>20.02</v>
      </c>
      <c r="E15" s="73">
        <f t="shared" ref="E15:F17" si="3">B15</f>
        <v>260</v>
      </c>
      <c r="F15" s="28">
        <f t="shared" si="3"/>
        <v>7.6999999999999999E-2</v>
      </c>
      <c r="G15" s="22">
        <f>E15*F15</f>
        <v>20.02</v>
      </c>
      <c r="H15" s="22">
        <f t="shared" si="2"/>
        <v>0</v>
      </c>
      <c r="I15" s="23">
        <f t="shared" si="0"/>
        <v>0</v>
      </c>
      <c r="J15" s="23"/>
      <c r="K15" s="108">
        <f t="shared" ref="K15:K25" si="4">G15/$G$50</f>
        <v>0.20929055956497722</v>
      </c>
    </row>
    <row r="16" spans="1:11" s="1" customFormat="1" x14ac:dyDescent="0.2">
      <c r="A16" s="109" t="s">
        <v>35</v>
      </c>
      <c r="B16" s="75">
        <f>B4*0.17</f>
        <v>68</v>
      </c>
      <c r="C16" s="28">
        <v>0.113</v>
      </c>
      <c r="D16" s="22">
        <f>B16*C16</f>
        <v>7.6840000000000002</v>
      </c>
      <c r="E16" s="73">
        <f t="shared" si="3"/>
        <v>68</v>
      </c>
      <c r="F16" s="28">
        <f t="shared" si="3"/>
        <v>0.113</v>
      </c>
      <c r="G16" s="22">
        <f>E16*F16</f>
        <v>7.6840000000000002</v>
      </c>
      <c r="H16" s="22">
        <f t="shared" si="2"/>
        <v>0</v>
      </c>
      <c r="I16" s="23">
        <f t="shared" si="0"/>
        <v>0</v>
      </c>
      <c r="J16" s="23"/>
      <c r="K16" s="108">
        <f t="shared" si="4"/>
        <v>8.0329103880983271E-2</v>
      </c>
    </row>
    <row r="17" spans="1:11" s="1" customFormat="1" x14ac:dyDescent="0.2">
      <c r="A17" s="109" t="s">
        <v>36</v>
      </c>
      <c r="B17" s="75">
        <f>B4*0.18</f>
        <v>72</v>
      </c>
      <c r="C17" s="28">
        <v>0.157</v>
      </c>
      <c r="D17" s="22">
        <f>B17*C17</f>
        <v>11.304</v>
      </c>
      <c r="E17" s="73">
        <f t="shared" si="3"/>
        <v>72</v>
      </c>
      <c r="F17" s="28">
        <f t="shared" si="3"/>
        <v>0.157</v>
      </c>
      <c r="G17" s="22">
        <f>E17*F17</f>
        <v>11.304</v>
      </c>
      <c r="H17" s="22">
        <f t="shared" si="2"/>
        <v>0</v>
      </c>
      <c r="I17" s="23">
        <f t="shared" si="0"/>
        <v>0</v>
      </c>
      <c r="J17" s="23"/>
      <c r="K17" s="108">
        <f t="shared" si="4"/>
        <v>0.11817285141471043</v>
      </c>
    </row>
    <row r="18" spans="1:11" s="1" customFormat="1" x14ac:dyDescent="0.2">
      <c r="A18" s="61" t="s">
        <v>37</v>
      </c>
      <c r="B18" s="29"/>
      <c r="C18" s="30"/>
      <c r="D18" s="30">
        <f>SUM(D15:D17)</f>
        <v>39.008000000000003</v>
      </c>
      <c r="E18" s="77"/>
      <c r="F18" s="30"/>
      <c r="G18" s="30">
        <f>SUM(G15:G17)</f>
        <v>39.008000000000003</v>
      </c>
      <c r="H18" s="31">
        <f t="shared" si="2"/>
        <v>0</v>
      </c>
      <c r="I18" s="32">
        <f t="shared" si="0"/>
        <v>0</v>
      </c>
      <c r="J18" s="33">
        <f>G18/$G$45</f>
        <v>0.42063747341668867</v>
      </c>
      <c r="K18" s="62">
        <f t="shared" si="4"/>
        <v>0.40779251486067097</v>
      </c>
    </row>
    <row r="19" spans="1:11" x14ac:dyDescent="0.2">
      <c r="A19" s="107" t="s">
        <v>38</v>
      </c>
      <c r="B19" s="73">
        <v>1</v>
      </c>
      <c r="C19" s="121">
        <f>VLOOKUP($C$3,'Data for Bill Impacts'!$A$3:$Y$39,7,0)</f>
        <v>35.619999999999997</v>
      </c>
      <c r="D19" s="22">
        <f>B19*C19</f>
        <v>35.619999999999997</v>
      </c>
      <c r="E19" s="73">
        <f t="shared" si="1"/>
        <v>1</v>
      </c>
      <c r="F19" s="121">
        <f>VLOOKUP($B$3,'Data for Bill Impacts'!$A$3:$Y$39,17,0)</f>
        <v>40.43</v>
      </c>
      <c r="G19" s="22">
        <f>E19*F19</f>
        <v>40.43</v>
      </c>
      <c r="H19" s="22">
        <f t="shared" si="2"/>
        <v>4.8100000000000023</v>
      </c>
      <c r="I19" s="23">
        <f>IF(ISERROR(H19/ABS(D19)),"N/A",(H19/ABS(D19)))</f>
        <v>0.13503649635036505</v>
      </c>
      <c r="J19" s="23">
        <f>G19/$G$45</f>
        <v>0.43597141740762718</v>
      </c>
      <c r="K19" s="108">
        <f t="shared" si="4"/>
        <v>0.4226582079526488</v>
      </c>
    </row>
    <row r="20" spans="1:11" x14ac:dyDescent="0.2">
      <c r="A20" s="107" t="s">
        <v>193</v>
      </c>
      <c r="B20" s="73">
        <v>1</v>
      </c>
      <c r="C20" s="121">
        <f>'Data for Bill Impacts'!K28</f>
        <v>-0.36</v>
      </c>
      <c r="D20" s="22">
        <f>B20*C20</f>
        <v>-0.36</v>
      </c>
      <c r="E20" s="73">
        <f t="shared" si="1"/>
        <v>1</v>
      </c>
      <c r="F20" s="121">
        <v>0</v>
      </c>
      <c r="G20" s="22">
        <f t="shared" ref="G20" si="5">E20*F20</f>
        <v>0</v>
      </c>
      <c r="H20" s="22">
        <f t="shared" si="2"/>
        <v>0.36</v>
      </c>
      <c r="I20" s="23">
        <f t="shared" ref="I20:I21" si="6">IF(ISERROR(H20/D20),0,(H20/D20))</f>
        <v>-1</v>
      </c>
      <c r="J20" s="23">
        <f>G20/$G$45</f>
        <v>0</v>
      </c>
      <c r="K20" s="108">
        <f t="shared" si="4"/>
        <v>0</v>
      </c>
    </row>
    <row r="21" spans="1:11" x14ac:dyDescent="0.2">
      <c r="A21" s="107" t="s">
        <v>39</v>
      </c>
      <c r="B21" s="73">
        <f>IF($C$9="kWh",$C$4,$C$5)</f>
        <v>400</v>
      </c>
      <c r="C21" s="125">
        <f>VLOOKUP($C$3,'Data for Bill Impacts'!$A$3:$Y$39,10,0)</f>
        <v>0</v>
      </c>
      <c r="D21" s="22">
        <f>B21*C21</f>
        <v>0</v>
      </c>
      <c r="E21" s="73">
        <f t="shared" si="1"/>
        <v>400</v>
      </c>
      <c r="F21" s="125">
        <v>0</v>
      </c>
      <c r="G21" s="22">
        <f>E21*F21</f>
        <v>0</v>
      </c>
      <c r="H21" s="22">
        <f t="shared" si="2"/>
        <v>0</v>
      </c>
      <c r="I21" s="23">
        <f t="shared" si="6"/>
        <v>0</v>
      </c>
      <c r="J21" s="23">
        <f>G21/$G$45</f>
        <v>0</v>
      </c>
      <c r="K21" s="108">
        <f t="shared" si="4"/>
        <v>0</v>
      </c>
    </row>
    <row r="22" spans="1:11" x14ac:dyDescent="0.2">
      <c r="A22" s="107" t="s">
        <v>194</v>
      </c>
      <c r="B22" s="73">
        <f>IF($B$9="kWh",$B$4,$B$5)</f>
        <v>400</v>
      </c>
      <c r="C22" s="78">
        <f>'Data for Bill Impacts'!H28</f>
        <v>4.0000000000000002E-4</v>
      </c>
      <c r="D22" s="22">
        <f>B22*C22</f>
        <v>0.16</v>
      </c>
      <c r="E22" s="73">
        <f t="shared" si="1"/>
        <v>400</v>
      </c>
      <c r="F22" s="125">
        <v>0</v>
      </c>
      <c r="G22" s="22">
        <f>E22*F22</f>
        <v>0</v>
      </c>
      <c r="H22" s="22">
        <f t="shared" si="2"/>
        <v>-0.16</v>
      </c>
      <c r="I22" s="23">
        <f t="shared" ref="I22:I50" si="7">IF(ISERROR(H22/ABS(D22)),"N/A",(H22/ABS(D22)))</f>
        <v>-1</v>
      </c>
      <c r="J22" s="23">
        <f>G22/$G$45</f>
        <v>0</v>
      </c>
      <c r="K22" s="108">
        <f t="shared" si="4"/>
        <v>0</v>
      </c>
    </row>
    <row r="23" spans="1:11" x14ac:dyDescent="0.2">
      <c r="A23" s="107" t="s">
        <v>195</v>
      </c>
      <c r="B23" s="73">
        <f>IF($C$9="kWh",$C$4,$C$5)</f>
        <v>400</v>
      </c>
      <c r="C23" s="125">
        <f>'Data for Bill Impacts'!L28</f>
        <v>0</v>
      </c>
      <c r="D23" s="22">
        <f>B23*C23</f>
        <v>0</v>
      </c>
      <c r="E23" s="73">
        <f t="shared" si="1"/>
        <v>400</v>
      </c>
      <c r="F23" s="125">
        <v>0</v>
      </c>
      <c r="G23" s="22">
        <f>E23*F23</f>
        <v>0</v>
      </c>
      <c r="H23" s="22">
        <f t="shared" si="2"/>
        <v>0</v>
      </c>
      <c r="I23" s="23" t="str">
        <f t="shared" si="7"/>
        <v>N/A</v>
      </c>
      <c r="J23" s="23">
        <f t="shared" ref="J23" si="8">G23/$G$45</f>
        <v>0</v>
      </c>
      <c r="K23" s="108">
        <f t="shared" si="4"/>
        <v>0</v>
      </c>
    </row>
    <row r="24" spans="1:11" s="1" customFormat="1" x14ac:dyDescent="0.2">
      <c r="A24" s="110" t="s">
        <v>72</v>
      </c>
      <c r="B24" s="74"/>
      <c r="C24" s="35"/>
      <c r="D24" s="35">
        <f>SUM(D19:D23)</f>
        <v>35.419999999999995</v>
      </c>
      <c r="E24" s="73"/>
      <c r="F24" s="35"/>
      <c r="G24" s="35">
        <f>SUM(G19:G23)</f>
        <v>40.43</v>
      </c>
      <c r="H24" s="35">
        <f t="shared" si="2"/>
        <v>5.0100000000000051</v>
      </c>
      <c r="I24" s="36">
        <f t="shared" si="7"/>
        <v>0.14144551101072858</v>
      </c>
      <c r="J24" s="36">
        <f>G24/$G$45</f>
        <v>0.43597141740762718</v>
      </c>
      <c r="K24" s="111">
        <f t="shared" si="4"/>
        <v>0.4226582079526488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8.5188577727436429E-3</v>
      </c>
      <c r="K25" s="108">
        <f t="shared" si="4"/>
        <v>8.2587183844321684E-3</v>
      </c>
    </row>
    <row r="26" spans="1:11" s="1" customFormat="1" x14ac:dyDescent="0.2">
      <c r="A26" s="119" t="s">
        <v>75</v>
      </c>
      <c r="B26" s="120">
        <f>C8-C4</f>
        <v>26.200000000000045</v>
      </c>
      <c r="C26" s="257">
        <f>IF(C4&gt;C7,C13,C12)</f>
        <v>9.0999999999999998E-2</v>
      </c>
      <c r="D26" s="22">
        <f>B26*C26</f>
        <v>2.3842000000000039</v>
      </c>
      <c r="E26" s="73">
        <f>B8-B4</f>
        <v>26.680000000000007</v>
      </c>
      <c r="F26" s="257">
        <f>IF(B4&gt;C7,F13,F12)</f>
        <v>9.0999999999999998E-2</v>
      </c>
      <c r="G26" s="22">
        <f>E26*F26</f>
        <v>2.4278800000000005</v>
      </c>
      <c r="H26" s="22">
        <f t="shared" si="2"/>
        <v>4.367999999999661E-2</v>
      </c>
      <c r="I26" s="23">
        <f t="shared" si="7"/>
        <v>1.8320610687021448E-2</v>
      </c>
      <c r="J26" s="23">
        <f t="shared" ref="J26:J45" si="9">G26/$G$45</f>
        <v>2.6180714442137772E-2</v>
      </c>
      <c r="K26" s="108">
        <f t="shared" ref="K26:K40" si="10">G26/$G$50</f>
        <v>2.538123695087997E-2</v>
      </c>
    </row>
    <row r="27" spans="1:11" s="1" customFormat="1" x14ac:dyDescent="0.2">
      <c r="A27" s="119" t="s">
        <v>74</v>
      </c>
      <c r="B27" s="120">
        <f>C8-C4</f>
        <v>26.200000000000045</v>
      </c>
      <c r="C27" s="257">
        <f>0.65*C15+0.17*C16+0.18*C17</f>
        <v>9.7519999999999996E-2</v>
      </c>
      <c r="D27" s="22">
        <f>B27*C27</f>
        <v>2.5550240000000044</v>
      </c>
      <c r="E27" s="73">
        <f>B8-B4</f>
        <v>26.680000000000007</v>
      </c>
      <c r="F27" s="257">
        <f>0.65*F15+0.17*F16+0.18*F17</f>
        <v>9.7519999999999996E-2</v>
      </c>
      <c r="G27" s="22">
        <f>E27*F27</f>
        <v>2.6018336000000004</v>
      </c>
      <c r="H27" s="22">
        <f t="shared" si="2"/>
        <v>4.680959999999601E-2</v>
      </c>
      <c r="I27" s="23">
        <f t="shared" si="7"/>
        <v>1.8320610687021309E-2</v>
      </c>
      <c r="J27" s="23">
        <f t="shared" si="9"/>
        <v>2.8056519476893135E-2</v>
      </c>
      <c r="K27" s="108">
        <f t="shared" si="10"/>
        <v>2.7199760741206756E-2</v>
      </c>
    </row>
    <row r="28" spans="1:11" s="1" customFormat="1" x14ac:dyDescent="0.2">
      <c r="A28" s="110" t="s">
        <v>78</v>
      </c>
      <c r="B28" s="74"/>
      <c r="C28" s="35"/>
      <c r="D28" s="35">
        <f>SUM(D24,D25:D26)</f>
        <v>38.594200000000001</v>
      </c>
      <c r="E28" s="73"/>
      <c r="F28" s="35"/>
      <c r="G28" s="35">
        <f>SUM(G24,G25:G26)</f>
        <v>43.647880000000001</v>
      </c>
      <c r="H28" s="35">
        <f t="shared" si="2"/>
        <v>5.0536799999999999</v>
      </c>
      <c r="I28" s="36">
        <f t="shared" si="7"/>
        <v>0.13094402785910836</v>
      </c>
      <c r="J28" s="36">
        <f t="shared" si="9"/>
        <v>0.47067098962250858</v>
      </c>
      <c r="K28" s="111">
        <f t="shared" si="10"/>
        <v>0.45629816328796097</v>
      </c>
    </row>
    <row r="29" spans="1:11" s="1" customFormat="1" x14ac:dyDescent="0.2">
      <c r="A29" s="110" t="s">
        <v>77</v>
      </c>
      <c r="B29" s="74"/>
      <c r="C29" s="35"/>
      <c r="D29" s="35">
        <f>SUM(D24,D25,D27)</f>
        <v>38.765023999999997</v>
      </c>
      <c r="E29" s="73"/>
      <c r="F29" s="35"/>
      <c r="G29" s="35">
        <f>SUM(G24,G25,G27)</f>
        <v>43.821833599999998</v>
      </c>
      <c r="H29" s="35">
        <f t="shared" si="2"/>
        <v>5.0568096000000011</v>
      </c>
      <c r="I29" s="36">
        <f t="shared" si="7"/>
        <v>0.13044773556698949</v>
      </c>
      <c r="J29" s="36">
        <f t="shared" si="9"/>
        <v>0.4725467946572639</v>
      </c>
      <c r="K29" s="111">
        <f t="shared" si="10"/>
        <v>0.45811668707828773</v>
      </c>
    </row>
    <row r="30" spans="1:11" x14ac:dyDescent="0.2">
      <c r="A30" s="107" t="s">
        <v>40</v>
      </c>
      <c r="B30" s="73">
        <f>C8</f>
        <v>426.20000000000005</v>
      </c>
      <c r="C30" s="125">
        <f>VLOOKUP($C$3,'Data for Bill Impacts'!$A$3:$Y$39,15,0)</f>
        <v>6.5444567943617011E-3</v>
      </c>
      <c r="D30" s="22">
        <f>B30*C30</f>
        <v>2.7892474857569574</v>
      </c>
      <c r="E30" s="73">
        <f>B8</f>
        <v>426.68</v>
      </c>
      <c r="F30" s="78">
        <f>VLOOKUP($B$3,'Data for Bill Impacts'!$A$3:$Y$39,24,0)</f>
        <v>7.1000000000000004E-3</v>
      </c>
      <c r="G30" s="22">
        <f>E30*F30</f>
        <v>3.0294280000000002</v>
      </c>
      <c r="H30" s="22">
        <f t="shared" si="2"/>
        <v>0.24018051424304288</v>
      </c>
      <c r="I30" s="23">
        <f t="shared" si="7"/>
        <v>8.6109431116995955E-2</v>
      </c>
      <c r="J30" s="23">
        <f t="shared" si="9"/>
        <v>3.266742565160409E-2</v>
      </c>
      <c r="K30" s="108">
        <f t="shared" si="10"/>
        <v>3.1669864199890603E-2</v>
      </c>
    </row>
    <row r="31" spans="1:11" x14ac:dyDescent="0.2">
      <c r="A31" s="107" t="s">
        <v>41</v>
      </c>
      <c r="B31" s="73">
        <f>C8</f>
        <v>426.20000000000005</v>
      </c>
      <c r="C31" s="125">
        <f>VLOOKUP($C$3,'Data for Bill Impacts'!$A$3:$Y$39,16,0)</f>
        <v>5.4157299366720292E-3</v>
      </c>
      <c r="D31" s="22">
        <f>B31*C31</f>
        <v>2.308184099009619</v>
      </c>
      <c r="E31" s="73">
        <f>B8</f>
        <v>426.68</v>
      </c>
      <c r="F31" s="78">
        <f>VLOOKUP($B$3,'Data for Bill Impacts'!$A$3:$Y$39,25,0)</f>
        <v>6.0000000000000001E-3</v>
      </c>
      <c r="G31" s="22">
        <f>E31*F31</f>
        <v>2.5600800000000001</v>
      </c>
      <c r="H31" s="22">
        <f t="shared" si="2"/>
        <v>0.25189590099038117</v>
      </c>
      <c r="I31" s="23">
        <f t="shared" si="7"/>
        <v>0.10913163343359963</v>
      </c>
      <c r="J31" s="23">
        <f t="shared" si="9"/>
        <v>2.7606275198538664E-2</v>
      </c>
      <c r="K31" s="108">
        <f t="shared" si="10"/>
        <v>2.6763265521034314E-2</v>
      </c>
    </row>
    <row r="32" spans="1:11" s="1" customFormat="1" x14ac:dyDescent="0.2">
      <c r="A32" s="110" t="s">
        <v>76</v>
      </c>
      <c r="B32" s="74"/>
      <c r="C32" s="35"/>
      <c r="D32" s="35">
        <f>SUM(D30:D31)</f>
        <v>5.0974315847665768</v>
      </c>
      <c r="E32" s="73"/>
      <c r="F32" s="35"/>
      <c r="G32" s="35">
        <f>SUM(G30:G31)</f>
        <v>5.5895080000000004</v>
      </c>
      <c r="H32" s="35">
        <f t="shared" si="2"/>
        <v>0.4920764152334236</v>
      </c>
      <c r="I32" s="36">
        <f t="shared" si="7"/>
        <v>9.6534187276582528E-2</v>
      </c>
      <c r="J32" s="36">
        <f t="shared" si="9"/>
        <v>6.0273700850142754E-2</v>
      </c>
      <c r="K32" s="111">
        <f t="shared" si="10"/>
        <v>5.8433129720924917E-2</v>
      </c>
    </row>
    <row r="33" spans="1:11" s="1" customFormat="1" x14ac:dyDescent="0.2">
      <c r="A33" s="110" t="s">
        <v>95</v>
      </c>
      <c r="B33" s="74"/>
      <c r="C33" s="35"/>
      <c r="D33" s="35">
        <f>D28+D32</f>
        <v>43.691631584766576</v>
      </c>
      <c r="E33" s="73"/>
      <c r="F33" s="35"/>
      <c r="G33" s="35">
        <f>G28+G32</f>
        <v>49.237388000000003</v>
      </c>
      <c r="H33" s="35">
        <f t="shared" si="2"/>
        <v>5.5457564152334271</v>
      </c>
      <c r="I33" s="36">
        <f t="shared" si="7"/>
        <v>0.12692948773208548</v>
      </c>
      <c r="J33" s="36">
        <f t="shared" si="9"/>
        <v>0.53094469047265136</v>
      </c>
      <c r="K33" s="111">
        <f t="shared" si="10"/>
        <v>0.51473129300888587</v>
      </c>
    </row>
    <row r="34" spans="1:11" s="1" customFormat="1" x14ac:dyDescent="0.2">
      <c r="A34" s="110" t="s">
        <v>96</v>
      </c>
      <c r="B34" s="74"/>
      <c r="C34" s="35"/>
      <c r="D34" s="35">
        <f>D29+D32</f>
        <v>43.862455584766572</v>
      </c>
      <c r="E34" s="73"/>
      <c r="F34" s="35"/>
      <c r="G34" s="35">
        <f>G29+G32</f>
        <v>49.4113416</v>
      </c>
      <c r="H34" s="35">
        <f t="shared" si="2"/>
        <v>5.5488860152334283</v>
      </c>
      <c r="I34" s="36">
        <f t="shared" si="7"/>
        <v>0.12650650633341551</v>
      </c>
      <c r="J34" s="36">
        <f t="shared" si="9"/>
        <v>0.53282049550740673</v>
      </c>
      <c r="K34" s="111">
        <f t="shared" si="10"/>
        <v>0.51654981679921264</v>
      </c>
    </row>
    <row r="35" spans="1:11" x14ac:dyDescent="0.2">
      <c r="A35" s="107" t="s">
        <v>42</v>
      </c>
      <c r="B35" s="73">
        <f>C8</f>
        <v>426.20000000000005</v>
      </c>
      <c r="C35" s="34">
        <v>3.5999999999999999E-3</v>
      </c>
      <c r="D35" s="22">
        <f>B35*C35</f>
        <v>1.5343200000000001</v>
      </c>
      <c r="E35" s="73">
        <f>B8</f>
        <v>426.68</v>
      </c>
      <c r="F35" s="34">
        <v>3.5999999999999999E-3</v>
      </c>
      <c r="G35" s="22">
        <f>E35*F35</f>
        <v>1.5360480000000001</v>
      </c>
      <c r="H35" s="22">
        <f t="shared" si="2"/>
        <v>1.7279999999999518E-3</v>
      </c>
      <c r="I35" s="23">
        <f t="shared" si="7"/>
        <v>1.1262318160487718E-3</v>
      </c>
      <c r="J35" s="23">
        <f t="shared" si="9"/>
        <v>1.6563765119123199E-2</v>
      </c>
      <c r="K35" s="108">
        <f t="shared" si="10"/>
        <v>1.6057959312620589E-2</v>
      </c>
    </row>
    <row r="36" spans="1:11" x14ac:dyDescent="0.2">
      <c r="A36" s="107" t="s">
        <v>43</v>
      </c>
      <c r="B36" s="73">
        <f>C8</f>
        <v>426.20000000000005</v>
      </c>
      <c r="C36" s="34">
        <v>2.0999999999999999E-3</v>
      </c>
      <c r="D36" s="22">
        <f>B36*C36</f>
        <v>0.89502000000000004</v>
      </c>
      <c r="E36" s="73">
        <f>B8</f>
        <v>426.68</v>
      </c>
      <c r="F36" s="34">
        <v>2.0999999999999999E-3</v>
      </c>
      <c r="G36" s="22">
        <f>E36*F36</f>
        <v>0.89602799999999994</v>
      </c>
      <c r="H36" s="22">
        <f>G36-D36</f>
        <v>1.0079999999998979E-3</v>
      </c>
      <c r="I36" s="23">
        <f t="shared" si="7"/>
        <v>1.1262318160486892E-3</v>
      </c>
      <c r="J36" s="23">
        <f t="shared" si="9"/>
        <v>9.6621963194885325E-3</v>
      </c>
      <c r="K36" s="108">
        <f t="shared" si="10"/>
        <v>9.367142932362009E-3</v>
      </c>
    </row>
    <row r="37" spans="1:11" x14ac:dyDescent="0.2">
      <c r="A37" s="107" t="s">
        <v>100</v>
      </c>
      <c r="B37" s="73">
        <f>C8</f>
        <v>426.20000000000005</v>
      </c>
      <c r="C37" s="34">
        <v>0</v>
      </c>
      <c r="D37" s="22">
        <f>B37*C37</f>
        <v>0</v>
      </c>
      <c r="E37" s="73">
        <f>B8</f>
        <v>426.68</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2.6958410673239377E-3</v>
      </c>
      <c r="K38" s="108">
        <f t="shared" si="10"/>
        <v>2.6135184760861293E-3</v>
      </c>
    </row>
    <row r="39" spans="1:11" s="1" customFormat="1" x14ac:dyDescent="0.2">
      <c r="A39" s="110" t="s">
        <v>45</v>
      </c>
      <c r="B39" s="74"/>
      <c r="C39" s="35"/>
      <c r="D39" s="35">
        <f>SUM(D35:D38)</f>
        <v>2.6793400000000003</v>
      </c>
      <c r="E39" s="73"/>
      <c r="F39" s="35"/>
      <c r="G39" s="35">
        <f>SUM(G35:G38)</f>
        <v>2.6820759999999999</v>
      </c>
      <c r="H39" s="35">
        <f t="shared" si="2"/>
        <v>2.7359999999996276E-3</v>
      </c>
      <c r="I39" s="36">
        <f t="shared" si="7"/>
        <v>1.0211469988876468E-3</v>
      </c>
      <c r="J39" s="36">
        <f t="shared" si="9"/>
        <v>2.8921802505935668E-2</v>
      </c>
      <c r="K39" s="111">
        <f t="shared" si="10"/>
        <v>2.8038620721068726E-2</v>
      </c>
    </row>
    <row r="40" spans="1:11" s="1" customFormat="1" ht="13.5" thickBot="1" x14ac:dyDescent="0.25">
      <c r="A40" s="112" t="s">
        <v>46</v>
      </c>
      <c r="B40" s="113">
        <f>C4</f>
        <v>400</v>
      </c>
      <c r="C40" s="193">
        <v>0</v>
      </c>
      <c r="D40" s="115">
        <f>B40*C40</f>
        <v>0</v>
      </c>
      <c r="E40" s="116">
        <f>B4</f>
        <v>400</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82.770971584766585</v>
      </c>
      <c r="E41" s="38"/>
      <c r="F41" s="39"/>
      <c r="G41" s="39">
        <f>SUM(G14,G24,G25,G26,G32,G39,G40)</f>
        <v>88.319463999999996</v>
      </c>
      <c r="H41" s="39">
        <f t="shared" si="2"/>
        <v>5.5484924152334116</v>
      </c>
      <c r="I41" s="40">
        <f t="shared" si="7"/>
        <v>6.7034279156082455E-2</v>
      </c>
      <c r="J41" s="40">
        <f t="shared" si="9"/>
        <v>0.95238095238095222</v>
      </c>
      <c r="K41" s="41"/>
    </row>
    <row r="42" spans="1:11" x14ac:dyDescent="0.2">
      <c r="A42" s="149" t="s">
        <v>138</v>
      </c>
      <c r="B42" s="43"/>
      <c r="C42" s="26">
        <v>0.13</v>
      </c>
      <c r="D42" s="26">
        <f>D41*C42</f>
        <v>10.760226306019657</v>
      </c>
      <c r="E42" s="26"/>
      <c r="F42" s="26">
        <f>C42</f>
        <v>0.13</v>
      </c>
      <c r="G42" s="26">
        <f>G41*F42</f>
        <v>11.481530319999999</v>
      </c>
      <c r="H42" s="26">
        <f t="shared" si="2"/>
        <v>0.72130401398034216</v>
      </c>
      <c r="I42" s="44">
        <f t="shared" si="7"/>
        <v>6.7034279156082316E-2</v>
      </c>
      <c r="J42" s="44">
        <f t="shared" si="9"/>
        <v>0.12380952380952379</v>
      </c>
      <c r="K42" s="45"/>
    </row>
    <row r="43" spans="1:11" s="1" customFormat="1" x14ac:dyDescent="0.2">
      <c r="A43" s="46" t="s">
        <v>139</v>
      </c>
      <c r="B43" s="24"/>
      <c r="C43" s="25"/>
      <c r="D43" s="25">
        <f>SUM(D41:D42)</f>
        <v>93.531197890786245</v>
      </c>
      <c r="E43" s="25"/>
      <c r="F43" s="25"/>
      <c r="G43" s="25">
        <f>SUM(G41:G42)</f>
        <v>99.800994320000001</v>
      </c>
      <c r="H43" s="25">
        <f t="shared" si="2"/>
        <v>6.2697964292137556</v>
      </c>
      <c r="I43" s="27">
        <f t="shared" si="7"/>
        <v>6.7034279156082455E-2</v>
      </c>
      <c r="J43" s="27">
        <f t="shared" si="9"/>
        <v>1.0761904761904761</v>
      </c>
      <c r="K43" s="47"/>
    </row>
    <row r="44" spans="1:11" x14ac:dyDescent="0.2">
      <c r="A44" s="42" t="s">
        <v>140</v>
      </c>
      <c r="B44" s="43"/>
      <c r="C44" s="26">
        <v>-0.08</v>
      </c>
      <c r="D44" s="26">
        <f>D41*C44</f>
        <v>-6.6216777267813267</v>
      </c>
      <c r="E44" s="26"/>
      <c r="F44" s="26">
        <f>C44</f>
        <v>-0.08</v>
      </c>
      <c r="G44" s="26">
        <f>G41*F44</f>
        <v>-7.0655571200000002</v>
      </c>
      <c r="H44" s="26">
        <f t="shared" si="2"/>
        <v>-0.44387939321867353</v>
      </c>
      <c r="I44" s="44">
        <f t="shared" si="7"/>
        <v>-6.7034279156082538E-2</v>
      </c>
      <c r="J44" s="44">
        <f t="shared" si="9"/>
        <v>-7.6190476190476183E-2</v>
      </c>
      <c r="K44" s="45"/>
    </row>
    <row r="45" spans="1:11" s="1" customFormat="1" ht="13.5" thickBot="1" x14ac:dyDescent="0.25">
      <c r="A45" s="48" t="s">
        <v>141</v>
      </c>
      <c r="B45" s="49"/>
      <c r="C45" s="50"/>
      <c r="D45" s="50">
        <f>SUM(D43:D44)</f>
        <v>86.909520164004917</v>
      </c>
      <c r="E45" s="50"/>
      <c r="F45" s="50"/>
      <c r="G45" s="50">
        <f>SUM(G43:G44)</f>
        <v>92.735437200000007</v>
      </c>
      <c r="H45" s="50">
        <f t="shared" si="2"/>
        <v>5.82591703599509</v>
      </c>
      <c r="I45" s="51">
        <f t="shared" si="7"/>
        <v>6.7034279156082538E-2</v>
      </c>
      <c r="J45" s="51">
        <f t="shared" si="9"/>
        <v>1</v>
      </c>
      <c r="K45" s="52"/>
    </row>
    <row r="46" spans="1:11" x14ac:dyDescent="0.2">
      <c r="A46" s="53" t="s">
        <v>142</v>
      </c>
      <c r="B46" s="54"/>
      <c r="C46" s="55"/>
      <c r="D46" s="55">
        <f>SUM(D18,D24,D25,D27,D32,D39,D40)</f>
        <v>85.549795584766585</v>
      </c>
      <c r="E46" s="55"/>
      <c r="F46" s="55"/>
      <c r="G46" s="55">
        <f>SUM(G18,G24,G25,G27,G32,G39,G40)</f>
        <v>91.101417600000005</v>
      </c>
      <c r="H46" s="55">
        <f>G46-D46</f>
        <v>5.5516220152334199</v>
      </c>
      <c r="I46" s="56">
        <f t="shared" si="7"/>
        <v>6.4893457398534901E-2</v>
      </c>
      <c r="J46" s="56"/>
      <c r="K46" s="57">
        <f>G46/$G$50</f>
        <v>0.95238095238095233</v>
      </c>
    </row>
    <row r="47" spans="1:11" x14ac:dyDescent="0.2">
      <c r="A47" s="58" t="s">
        <v>138</v>
      </c>
      <c r="B47" s="59"/>
      <c r="C47" s="31">
        <v>0.13</v>
      </c>
      <c r="D47" s="31">
        <f>D46*C47</f>
        <v>11.121473426019657</v>
      </c>
      <c r="E47" s="31"/>
      <c r="F47" s="31">
        <f>C47</f>
        <v>0.13</v>
      </c>
      <c r="G47" s="31">
        <f>G46*F47</f>
        <v>11.843184288000002</v>
      </c>
      <c r="H47" s="31">
        <f>G47-D47</f>
        <v>0.72171086198034473</v>
      </c>
      <c r="I47" s="32">
        <f t="shared" si="7"/>
        <v>6.4893457398534915E-2</v>
      </c>
      <c r="J47" s="32"/>
      <c r="K47" s="60">
        <f>G47/$G$50</f>
        <v>0.12380952380952381</v>
      </c>
    </row>
    <row r="48" spans="1:11" x14ac:dyDescent="0.2">
      <c r="A48" s="61" t="s">
        <v>143</v>
      </c>
      <c r="B48" s="29"/>
      <c r="C48" s="30"/>
      <c r="D48" s="30">
        <f>SUM(D46:D47)</f>
        <v>96.671269010786247</v>
      </c>
      <c r="E48" s="30"/>
      <c r="F48" s="30"/>
      <c r="G48" s="30">
        <f>SUM(G46:G47)</f>
        <v>102.94460188800001</v>
      </c>
      <c r="H48" s="30">
        <f>G48-D48</f>
        <v>6.2733328772137611</v>
      </c>
      <c r="I48" s="33">
        <f t="shared" si="7"/>
        <v>6.489345739853486E-2</v>
      </c>
      <c r="J48" s="33"/>
      <c r="K48" s="62">
        <f>G48/$G$50</f>
        <v>1.0761904761904761</v>
      </c>
    </row>
    <row r="49" spans="1:11" x14ac:dyDescent="0.2">
      <c r="A49" s="58" t="s">
        <v>140</v>
      </c>
      <c r="B49" s="59"/>
      <c r="C49" s="31">
        <v>-0.08</v>
      </c>
      <c r="D49" s="31">
        <f>D46*C49</f>
        <v>-6.8439836467813269</v>
      </c>
      <c r="E49" s="31"/>
      <c r="F49" s="31">
        <f>C49</f>
        <v>-0.08</v>
      </c>
      <c r="G49" s="31">
        <f>G46*F49</f>
        <v>-7.288113408000001</v>
      </c>
      <c r="H49" s="31">
        <f>G49-D49</f>
        <v>-0.44412976121867409</v>
      </c>
      <c r="I49" s="32">
        <f t="shared" si="7"/>
        <v>-6.4893457398534971E-2</v>
      </c>
      <c r="J49" s="32"/>
      <c r="K49" s="60">
        <f>G49/$G$50</f>
        <v>-7.6190476190476197E-2</v>
      </c>
    </row>
    <row r="50" spans="1:11" ht="13.5" thickBot="1" x14ac:dyDescent="0.25">
      <c r="A50" s="63" t="s">
        <v>144</v>
      </c>
      <c r="B50" s="64"/>
      <c r="C50" s="65"/>
      <c r="D50" s="65">
        <f>SUM(D48:D49)</f>
        <v>89.827285364004922</v>
      </c>
      <c r="E50" s="65"/>
      <c r="F50" s="65"/>
      <c r="G50" s="65">
        <f>SUM(G48:G49)</f>
        <v>95.656488480000007</v>
      </c>
      <c r="H50" s="65">
        <f>G50-D50</f>
        <v>5.8292031159950852</v>
      </c>
      <c r="I50" s="66">
        <f t="shared" si="7"/>
        <v>6.4893457398534832E-2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K67"/>
  <sheetViews>
    <sheetView tabSelected="1" topLeftCell="A4"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185</v>
      </c>
      <c r="C3" s="13" t="s">
        <v>119</v>
      </c>
    </row>
    <row r="4" spans="1:11" x14ac:dyDescent="0.2">
      <c r="A4" s="15" t="s">
        <v>62</v>
      </c>
      <c r="B4" s="79">
        <f>C4</f>
        <v>694.05105803452705</v>
      </c>
      <c r="C4" s="79">
        <f>'Data for Bill Impacts_HONI Avg '!E27</f>
        <v>694.05105803452705</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81">
        <f>B4*B6</f>
        <v>740.34426360543</v>
      </c>
      <c r="C8" s="181">
        <f>C4*C6</f>
        <v>739.5114023357886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G12/$G$45</f>
        <v>0.41644988548753792</v>
      </c>
      <c r="K12" s="106"/>
    </row>
    <row r="13" spans="1:11" x14ac:dyDescent="0.2">
      <c r="A13" s="107" t="s">
        <v>32</v>
      </c>
      <c r="B13" s="73">
        <f>IF(B4&gt;B7,(B4)-B7,0)</f>
        <v>94.051058034527045</v>
      </c>
      <c r="C13" s="21">
        <v>0.106</v>
      </c>
      <c r="D13" s="22">
        <f>B13*C13</f>
        <v>9.969412151659867</v>
      </c>
      <c r="E13" s="73">
        <f t="shared" ref="E13:E38" si="1">B13</f>
        <v>94.051058034527045</v>
      </c>
      <c r="F13" s="21">
        <f>C13</f>
        <v>0.106</v>
      </c>
      <c r="G13" s="22">
        <f>E13*F13</f>
        <v>9.969412151659867</v>
      </c>
      <c r="H13" s="22">
        <f t="shared" ref="H13:H45" si="2">G13-D13</f>
        <v>0</v>
      </c>
      <c r="I13" s="23">
        <f t="shared" si="0"/>
        <v>0</v>
      </c>
      <c r="J13" s="23">
        <f>G13/$G$45</f>
        <v>7.6039570493348363E-2</v>
      </c>
      <c r="K13" s="108"/>
    </row>
    <row r="14" spans="1:11" s="1" customFormat="1" x14ac:dyDescent="0.2">
      <c r="A14" s="46" t="s">
        <v>33</v>
      </c>
      <c r="B14" s="24"/>
      <c r="C14" s="25"/>
      <c r="D14" s="25">
        <f>SUM(D12:D13)</f>
        <v>64.569412151659861</v>
      </c>
      <c r="E14" s="76"/>
      <c r="F14" s="25"/>
      <c r="G14" s="25">
        <f>SUM(G12:G13)</f>
        <v>64.569412151659861</v>
      </c>
      <c r="H14" s="25">
        <f t="shared" si="2"/>
        <v>0</v>
      </c>
      <c r="I14" s="27">
        <f t="shared" si="0"/>
        <v>0</v>
      </c>
      <c r="J14" s="27">
        <f>G14/$G$45</f>
        <v>0.49248945598088623</v>
      </c>
      <c r="K14" s="108"/>
    </row>
    <row r="15" spans="1:11" s="1" customFormat="1" x14ac:dyDescent="0.2">
      <c r="A15" s="109" t="s">
        <v>34</v>
      </c>
      <c r="B15" s="75">
        <f>B4*0.65</f>
        <v>451.13318772244259</v>
      </c>
      <c r="C15" s="28">
        <v>7.6999999999999999E-2</v>
      </c>
      <c r="D15" s="22">
        <f>B15*C15</f>
        <v>34.737255454628077</v>
      </c>
      <c r="E15" s="73">
        <f t="shared" ref="E15:F17" si="3">B15</f>
        <v>451.13318772244259</v>
      </c>
      <c r="F15" s="28">
        <f t="shared" si="3"/>
        <v>7.6999999999999999E-2</v>
      </c>
      <c r="G15" s="22">
        <f>E15*F15</f>
        <v>34.737255454628077</v>
      </c>
      <c r="H15" s="22">
        <f t="shared" si="2"/>
        <v>0</v>
      </c>
      <c r="I15" s="23">
        <f t="shared" si="0"/>
        <v>0</v>
      </c>
      <c r="J15" s="23"/>
      <c r="K15" s="108">
        <f t="shared" ref="K15:K25" si="4">G15/$G$50</f>
        <v>0.25929868004594714</v>
      </c>
    </row>
    <row r="16" spans="1:11" s="1" customFormat="1" x14ac:dyDescent="0.2">
      <c r="A16" s="109" t="s">
        <v>35</v>
      </c>
      <c r="B16" s="75">
        <f>B4*0.17</f>
        <v>117.9886798658696</v>
      </c>
      <c r="C16" s="28">
        <v>0.113</v>
      </c>
      <c r="D16" s="22">
        <f>B16*C16</f>
        <v>13.332720824843266</v>
      </c>
      <c r="E16" s="73">
        <f t="shared" si="3"/>
        <v>117.9886798658696</v>
      </c>
      <c r="F16" s="28">
        <f t="shared" si="3"/>
        <v>0.113</v>
      </c>
      <c r="G16" s="22">
        <f>E16*F16</f>
        <v>13.332720824843266</v>
      </c>
      <c r="H16" s="22">
        <f t="shared" si="2"/>
        <v>0</v>
      </c>
      <c r="I16" s="23">
        <f t="shared" si="0"/>
        <v>0</v>
      </c>
      <c r="J16" s="23"/>
      <c r="K16" s="108">
        <f t="shared" si="4"/>
        <v>9.9523029843809091E-2</v>
      </c>
    </row>
    <row r="17" spans="1:11" s="1" customFormat="1" x14ac:dyDescent="0.2">
      <c r="A17" s="109" t="s">
        <v>36</v>
      </c>
      <c r="B17" s="75">
        <f>B4*0.18</f>
        <v>124.92919044621486</v>
      </c>
      <c r="C17" s="28">
        <v>0.157</v>
      </c>
      <c r="D17" s="22">
        <f>B17*C17</f>
        <v>19.613882900055732</v>
      </c>
      <c r="E17" s="73">
        <f t="shared" si="3"/>
        <v>124.92919044621486</v>
      </c>
      <c r="F17" s="28">
        <f t="shared" si="3"/>
        <v>0.157</v>
      </c>
      <c r="G17" s="22">
        <f>E17*F17</f>
        <v>19.613882900055732</v>
      </c>
      <c r="H17" s="22">
        <f t="shared" si="2"/>
        <v>0</v>
      </c>
      <c r="I17" s="23">
        <f t="shared" si="0"/>
        <v>0</v>
      </c>
      <c r="J17" s="23"/>
      <c r="K17" s="108">
        <f t="shared" si="4"/>
        <v>0.14640920475721209</v>
      </c>
    </row>
    <row r="18" spans="1:11" s="1" customFormat="1" x14ac:dyDescent="0.2">
      <c r="A18" s="61" t="s">
        <v>37</v>
      </c>
      <c r="B18" s="29"/>
      <c r="C18" s="30"/>
      <c r="D18" s="30">
        <f>SUM(D15:D17)</f>
        <v>67.683859179527076</v>
      </c>
      <c r="E18" s="77"/>
      <c r="F18" s="30"/>
      <c r="G18" s="30">
        <f>SUM(G15:G17)</f>
        <v>67.683859179527076</v>
      </c>
      <c r="H18" s="31">
        <f t="shared" si="2"/>
        <v>0</v>
      </c>
      <c r="I18" s="32">
        <f t="shared" si="0"/>
        <v>0</v>
      </c>
      <c r="J18" s="33">
        <f>G18/$G$45</f>
        <v>0.51624423818074527</v>
      </c>
      <c r="K18" s="62">
        <f t="shared" si="4"/>
        <v>0.50523091464696834</v>
      </c>
    </row>
    <row r="19" spans="1:11" x14ac:dyDescent="0.2">
      <c r="A19" s="107" t="s">
        <v>38</v>
      </c>
      <c r="B19" s="73">
        <v>1</v>
      </c>
      <c r="C19" s="121">
        <f>VLOOKUP($C$3,'Data for Bill Impacts'!$A$3:$Y$39,7,0)</f>
        <v>35.619999999999997</v>
      </c>
      <c r="D19" s="22">
        <f>B19*C19</f>
        <v>35.619999999999997</v>
      </c>
      <c r="E19" s="73">
        <f t="shared" si="1"/>
        <v>1</v>
      </c>
      <c r="F19" s="121">
        <f>VLOOKUP($B$3,'Data for Bill Impacts'!$A$3:$Y$39,17,0)</f>
        <v>40.43</v>
      </c>
      <c r="G19" s="22">
        <f>E19*F19</f>
        <v>40.43</v>
      </c>
      <c r="H19" s="22">
        <f t="shared" si="2"/>
        <v>4.8100000000000023</v>
      </c>
      <c r="I19" s="23">
        <f>IF(ISERROR(H19/ABS(D19)),"N/A",(H19/ABS(D19)))</f>
        <v>0.13503649635036505</v>
      </c>
      <c r="J19" s="23">
        <f>G19/$G$45</f>
        <v>0.30837122473005779</v>
      </c>
      <c r="K19" s="108">
        <f t="shared" si="4"/>
        <v>0.30179257103228985</v>
      </c>
    </row>
    <row r="20" spans="1:11" x14ac:dyDescent="0.2">
      <c r="A20" s="107" t="s">
        <v>193</v>
      </c>
      <c r="B20" s="73">
        <v>1</v>
      </c>
      <c r="C20" s="121">
        <f>'Data for Bill Impacts'!K28</f>
        <v>-0.36</v>
      </c>
      <c r="D20" s="22">
        <f>B20*C20</f>
        <v>-0.36</v>
      </c>
      <c r="E20" s="73">
        <f t="shared" si="1"/>
        <v>1</v>
      </c>
      <c r="F20" s="121">
        <v>0</v>
      </c>
      <c r="G20" s="22">
        <f t="shared" ref="G20" si="5">E20*F20</f>
        <v>0</v>
      </c>
      <c r="H20" s="22">
        <f t="shared" si="2"/>
        <v>0.36</v>
      </c>
      <c r="I20" s="23">
        <f t="shared" ref="I20:I21" si="6">IF(ISERROR(H20/D20),0,(H20/D20))</f>
        <v>-1</v>
      </c>
      <c r="J20" s="23">
        <f>G20/$G$45</f>
        <v>0</v>
      </c>
      <c r="K20" s="108">
        <f t="shared" si="4"/>
        <v>0</v>
      </c>
    </row>
    <row r="21" spans="1:11" x14ac:dyDescent="0.2">
      <c r="A21" s="107" t="s">
        <v>39</v>
      </c>
      <c r="B21" s="73">
        <f>IF($C$9="kWh",$C$4,$C$5)</f>
        <v>694.05105803452705</v>
      </c>
      <c r="C21" s="125">
        <f>VLOOKUP($C$3,'Data for Bill Impacts'!$A$3:$Y$39,10,0)</f>
        <v>0</v>
      </c>
      <c r="D21" s="22">
        <f>B21*C21</f>
        <v>0</v>
      </c>
      <c r="E21" s="73">
        <f t="shared" si="1"/>
        <v>694.05105803452705</v>
      </c>
      <c r="F21" s="125">
        <v>0</v>
      </c>
      <c r="G21" s="22">
        <f>E21*F21</f>
        <v>0</v>
      </c>
      <c r="H21" s="22">
        <f t="shared" si="2"/>
        <v>0</v>
      </c>
      <c r="I21" s="23">
        <f t="shared" si="6"/>
        <v>0</v>
      </c>
      <c r="J21" s="23">
        <f>G21/$G$45</f>
        <v>0</v>
      </c>
      <c r="K21" s="108">
        <f t="shared" si="4"/>
        <v>0</v>
      </c>
    </row>
    <row r="22" spans="1:11" x14ac:dyDescent="0.2">
      <c r="A22" s="107" t="s">
        <v>194</v>
      </c>
      <c r="B22" s="73">
        <f>IF($B$9="kWh",$B$4,$B$5)</f>
        <v>694.05105803452705</v>
      </c>
      <c r="C22" s="78">
        <f>'Data for Bill Impacts'!H28</f>
        <v>4.0000000000000002E-4</v>
      </c>
      <c r="D22" s="22">
        <f>B22*C22</f>
        <v>0.27762042321381081</v>
      </c>
      <c r="E22" s="73">
        <f t="shared" si="1"/>
        <v>694.05105803452705</v>
      </c>
      <c r="F22" s="125">
        <v>0</v>
      </c>
      <c r="G22" s="22">
        <f>E22*F22</f>
        <v>0</v>
      </c>
      <c r="H22" s="22">
        <f t="shared" si="2"/>
        <v>-0.27762042321381081</v>
      </c>
      <c r="I22" s="23">
        <f t="shared" ref="I22:I50" si="7">IF(ISERROR(H22/ABS(D22)),"N/A",(H22/ABS(D22)))</f>
        <v>-1</v>
      </c>
      <c r="J22" s="23">
        <f>G22/$G$45</f>
        <v>0</v>
      </c>
      <c r="K22" s="108">
        <f t="shared" si="4"/>
        <v>0</v>
      </c>
    </row>
    <row r="23" spans="1:11" x14ac:dyDescent="0.2">
      <c r="A23" s="107" t="s">
        <v>195</v>
      </c>
      <c r="B23" s="73">
        <f>IF($C$9="kWh",$C$4,$C$5)</f>
        <v>694.05105803452705</v>
      </c>
      <c r="C23" s="125">
        <f>'Data for Bill Impacts'!L28</f>
        <v>0</v>
      </c>
      <c r="D23" s="22">
        <f>B23*C23</f>
        <v>0</v>
      </c>
      <c r="E23" s="73">
        <f t="shared" si="1"/>
        <v>694.05105803452705</v>
      </c>
      <c r="F23" s="125">
        <v>0</v>
      </c>
      <c r="G23" s="22">
        <f>E23*F23</f>
        <v>0</v>
      </c>
      <c r="H23" s="22">
        <f t="shared" si="2"/>
        <v>0</v>
      </c>
      <c r="I23" s="23" t="str">
        <f t="shared" si="7"/>
        <v>N/A</v>
      </c>
      <c r="J23" s="23">
        <f t="shared" ref="J23" si="8">G23/$G$45</f>
        <v>0</v>
      </c>
      <c r="K23" s="108">
        <f t="shared" si="4"/>
        <v>0</v>
      </c>
    </row>
    <row r="24" spans="1:11" s="1" customFormat="1" x14ac:dyDescent="0.2">
      <c r="A24" s="110" t="s">
        <v>72</v>
      </c>
      <c r="B24" s="74"/>
      <c r="C24" s="35"/>
      <c r="D24" s="35">
        <f>SUM(D19:D23)</f>
        <v>35.537620423213809</v>
      </c>
      <c r="E24" s="73"/>
      <c r="F24" s="35"/>
      <c r="G24" s="35">
        <f>SUM(G19:G23)</f>
        <v>40.43</v>
      </c>
      <c r="H24" s="35">
        <f t="shared" si="2"/>
        <v>4.8923795767861904</v>
      </c>
      <c r="I24" s="36">
        <f t="shared" si="7"/>
        <v>0.13766761866786106</v>
      </c>
      <c r="J24" s="36">
        <f>G24/$G$45</f>
        <v>0.30837122473005779</v>
      </c>
      <c r="K24" s="111">
        <f t="shared" si="4"/>
        <v>0.30179257103228985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6.0255569511933138E-3</v>
      </c>
      <c r="K25" s="108">
        <f t="shared" si="4"/>
        <v>5.8970104159166209E-3</v>
      </c>
    </row>
    <row r="26" spans="1:11" s="1" customFormat="1" x14ac:dyDescent="0.2">
      <c r="A26" s="119" t="s">
        <v>75</v>
      </c>
      <c r="B26" s="120">
        <f>C8-C4</f>
        <v>45.460344301261557</v>
      </c>
      <c r="C26" s="257">
        <f>IF(C4&gt;C7,C13,C12)</f>
        <v>0.106</v>
      </c>
      <c r="D26" s="22">
        <f>B26*C26</f>
        <v>4.8187964959337251</v>
      </c>
      <c r="E26" s="73">
        <f>B8-B4</f>
        <v>46.293205570902956</v>
      </c>
      <c r="F26" s="257">
        <f>IF(B4&gt;C7,F13,F12)</f>
        <v>0.106</v>
      </c>
      <c r="G26" s="22">
        <f>E26*F26</f>
        <v>4.9070797905157129</v>
      </c>
      <c r="H26" s="22">
        <f t="shared" si="2"/>
        <v>8.8283294581987803E-2</v>
      </c>
      <c r="I26" s="23">
        <f t="shared" si="7"/>
        <v>1.8320610687022048E-2</v>
      </c>
      <c r="J26" s="23">
        <f t="shared" ref="J26:J45" si="9">G26/$G$45</f>
        <v>3.742770726810403E-2</v>
      </c>
      <c r="K26" s="108">
        <f t="shared" ref="K26:K40" si="10">G26/$G$50</f>
        <v>3.6629241311905203E-2</v>
      </c>
    </row>
    <row r="27" spans="1:11" s="1" customFormat="1" x14ac:dyDescent="0.2">
      <c r="A27" s="119" t="s">
        <v>74</v>
      </c>
      <c r="B27" s="120">
        <f>C8-C4</f>
        <v>45.460344301261557</v>
      </c>
      <c r="C27" s="257">
        <f>0.65*C15+0.17*C16+0.18*C17</f>
        <v>9.7519999999999996E-2</v>
      </c>
      <c r="D27" s="22">
        <f>B27*C27</f>
        <v>4.4332927762590266</v>
      </c>
      <c r="E27" s="73">
        <f>B8-B4</f>
        <v>46.293205570902956</v>
      </c>
      <c r="F27" s="257">
        <f>0.65*F15+0.17*F16+0.18*F17</f>
        <v>9.7519999999999996E-2</v>
      </c>
      <c r="G27" s="22">
        <f>E27*F27</f>
        <v>4.5145134072744559</v>
      </c>
      <c r="H27" s="22">
        <f t="shared" si="2"/>
        <v>8.1220631015429312E-2</v>
      </c>
      <c r="I27" s="23">
        <f t="shared" si="7"/>
        <v>1.8320610687022169E-2</v>
      </c>
      <c r="J27" s="23">
        <f t="shared" si="9"/>
        <v>3.4433490686655709E-2</v>
      </c>
      <c r="K27" s="108">
        <f t="shared" si="10"/>
        <v>3.3698902006952788E-2</v>
      </c>
    </row>
    <row r="28" spans="1:11" s="1" customFormat="1" x14ac:dyDescent="0.2">
      <c r="A28" s="110" t="s">
        <v>78</v>
      </c>
      <c r="B28" s="74"/>
      <c r="C28" s="35"/>
      <c r="D28" s="35">
        <f>SUM(D24,D25:D26)</f>
        <v>41.146416919147534</v>
      </c>
      <c r="E28" s="73"/>
      <c r="F28" s="35"/>
      <c r="G28" s="35">
        <f>SUM(G24,G25:G26)</f>
        <v>46.127079790515708</v>
      </c>
      <c r="H28" s="35">
        <f t="shared" si="2"/>
        <v>4.9806628713681746</v>
      </c>
      <c r="I28" s="36">
        <f t="shared" si="7"/>
        <v>0.12104730482742028</v>
      </c>
      <c r="J28" s="36">
        <f t="shared" si="9"/>
        <v>0.35182448894935514</v>
      </c>
      <c r="K28" s="111">
        <f t="shared" si="10"/>
        <v>0.34431882276011166</v>
      </c>
    </row>
    <row r="29" spans="1:11" s="1" customFormat="1" x14ac:dyDescent="0.2">
      <c r="A29" s="110" t="s">
        <v>77</v>
      </c>
      <c r="B29" s="74"/>
      <c r="C29" s="35"/>
      <c r="D29" s="35">
        <f>SUM(D24,D25,D27)</f>
        <v>40.760913199472839</v>
      </c>
      <c r="E29" s="73"/>
      <c r="F29" s="35"/>
      <c r="G29" s="35">
        <f>SUM(G24,G25,G27)</f>
        <v>45.734513407274456</v>
      </c>
      <c r="H29" s="35">
        <f t="shared" si="2"/>
        <v>4.973600207801617</v>
      </c>
      <c r="I29" s="36">
        <f t="shared" si="7"/>
        <v>0.12201886114430677</v>
      </c>
      <c r="J29" s="36">
        <f t="shared" si="9"/>
        <v>0.34883027236790687</v>
      </c>
      <c r="K29" s="111">
        <f t="shared" si="10"/>
        <v>0.34138848345515926</v>
      </c>
    </row>
    <row r="30" spans="1:11" x14ac:dyDescent="0.2">
      <c r="A30" s="107" t="s">
        <v>40</v>
      </c>
      <c r="B30" s="73">
        <f>C8</f>
        <v>739.5114023357886</v>
      </c>
      <c r="C30" s="125">
        <f>VLOOKUP($C$3,'Data for Bill Impacts'!$A$3:$Y$39,15,0)</f>
        <v>6.5444567943617011E-3</v>
      </c>
      <c r="D30" s="22">
        <f>B30*C30</f>
        <v>4.8397004215244017</v>
      </c>
      <c r="E30" s="73">
        <f>B8</f>
        <v>740.34426360543</v>
      </c>
      <c r="F30" s="78">
        <f>VLOOKUP($B$3,'Data for Bill Impacts'!$A$3:$Y$39,24,0)</f>
        <v>7.1000000000000004E-3</v>
      </c>
      <c r="G30" s="22">
        <f>E30*F30</f>
        <v>5.2564442715985535</v>
      </c>
      <c r="H30" s="22">
        <f t="shared" si="2"/>
        <v>0.41674385007415182</v>
      </c>
      <c r="I30" s="23">
        <f t="shared" si="7"/>
        <v>8.6109431116995969E-2</v>
      </c>
      <c r="J30" s="23">
        <f t="shared" si="9"/>
        <v>4.0092410530748024E-2</v>
      </c>
      <c r="K30" s="108">
        <f t="shared" si="10"/>
        <v>3.9237096987723957E-2</v>
      </c>
    </row>
    <row r="31" spans="1:11" x14ac:dyDescent="0.2">
      <c r="A31" s="107" t="s">
        <v>41</v>
      </c>
      <c r="B31" s="73">
        <f>C8</f>
        <v>739.5114023357886</v>
      </c>
      <c r="C31" s="125">
        <f>VLOOKUP($C$3,'Data for Bill Impacts'!$A$3:$Y$39,16,0)</f>
        <v>5.4157299366720292E-3</v>
      </c>
      <c r="D31" s="22">
        <f>B31*C31</f>
        <v>4.004994040140244</v>
      </c>
      <c r="E31" s="73">
        <f>B8</f>
        <v>740.34426360543</v>
      </c>
      <c r="F31" s="78">
        <f>VLOOKUP($B$3,'Data for Bill Impacts'!$A$3:$Y$39,25,0)</f>
        <v>6.0000000000000001E-3</v>
      </c>
      <c r="G31" s="22">
        <f>E31*F31</f>
        <v>4.4420655816325798</v>
      </c>
      <c r="H31" s="22">
        <f t="shared" si="2"/>
        <v>0.43707154149233585</v>
      </c>
      <c r="I31" s="23">
        <f t="shared" si="7"/>
        <v>0.10913163343359951</v>
      </c>
      <c r="J31" s="23">
        <f t="shared" si="9"/>
        <v>3.3880910307674379E-2</v>
      </c>
      <c r="K31" s="108">
        <f t="shared" si="10"/>
        <v>3.3158110130470944E-2</v>
      </c>
    </row>
    <row r="32" spans="1:11" s="1" customFormat="1" x14ac:dyDescent="0.2">
      <c r="A32" s="110" t="s">
        <v>76</v>
      </c>
      <c r="B32" s="74"/>
      <c r="C32" s="35"/>
      <c r="D32" s="35">
        <f>SUM(D30:D31)</f>
        <v>8.8446944616646448</v>
      </c>
      <c r="E32" s="73"/>
      <c r="F32" s="35"/>
      <c r="G32" s="35">
        <f>SUM(G30:G31)</f>
        <v>9.6985098532311333</v>
      </c>
      <c r="H32" s="35">
        <f t="shared" si="2"/>
        <v>0.85381539156648856</v>
      </c>
      <c r="I32" s="36">
        <f t="shared" si="7"/>
        <v>9.6534187276582695E-2</v>
      </c>
      <c r="J32" s="36">
        <f t="shared" si="9"/>
        <v>7.397332083842241E-2</v>
      </c>
      <c r="K32" s="111">
        <f t="shared" si="10"/>
        <v>7.2395207118194901E-2</v>
      </c>
    </row>
    <row r="33" spans="1:11" s="1" customFormat="1" x14ac:dyDescent="0.2">
      <c r="A33" s="110" t="s">
        <v>95</v>
      </c>
      <c r="B33" s="74"/>
      <c r="C33" s="35"/>
      <c r="D33" s="35">
        <f>D28+D32</f>
        <v>49.991111380812178</v>
      </c>
      <c r="E33" s="73"/>
      <c r="F33" s="35"/>
      <c r="G33" s="35">
        <f>G28+G32</f>
        <v>55.825589643746838</v>
      </c>
      <c r="H33" s="35">
        <f t="shared" si="2"/>
        <v>5.8344782629346597</v>
      </c>
      <c r="I33" s="36">
        <f t="shared" si="7"/>
        <v>0.11671031312926715</v>
      </c>
      <c r="J33" s="36">
        <f t="shared" si="9"/>
        <v>0.42579780978777748</v>
      </c>
      <c r="K33" s="111">
        <f t="shared" si="10"/>
        <v>0.41671402987830652</v>
      </c>
    </row>
    <row r="34" spans="1:11" s="1" customFormat="1" x14ac:dyDescent="0.2">
      <c r="A34" s="110" t="s">
        <v>96</v>
      </c>
      <c r="B34" s="74"/>
      <c r="C34" s="35"/>
      <c r="D34" s="35">
        <f>D29+D32</f>
        <v>49.605607661137483</v>
      </c>
      <c r="E34" s="73"/>
      <c r="F34" s="35"/>
      <c r="G34" s="35">
        <f>G29+G32</f>
        <v>55.433023260505593</v>
      </c>
      <c r="H34" s="35">
        <f t="shared" si="2"/>
        <v>5.8274155993681092</v>
      </c>
      <c r="I34" s="36">
        <f t="shared" si="7"/>
        <v>0.11747493628494507</v>
      </c>
      <c r="J34" s="36">
        <f t="shared" si="9"/>
        <v>0.42280359320632926</v>
      </c>
      <c r="K34" s="111">
        <f t="shared" si="10"/>
        <v>0.41378369057335418</v>
      </c>
    </row>
    <row r="35" spans="1:11" x14ac:dyDescent="0.2">
      <c r="A35" s="107" t="s">
        <v>42</v>
      </c>
      <c r="B35" s="73">
        <f>C8</f>
        <v>739.5114023357886</v>
      </c>
      <c r="C35" s="34">
        <v>3.5999999999999999E-3</v>
      </c>
      <c r="D35" s="22">
        <f>B35*C35</f>
        <v>2.662241048408839</v>
      </c>
      <c r="E35" s="73">
        <f>B8</f>
        <v>740.34426360543</v>
      </c>
      <c r="F35" s="34">
        <v>3.5999999999999999E-3</v>
      </c>
      <c r="G35" s="22">
        <f>E35*F35</f>
        <v>2.6652393489795481</v>
      </c>
      <c r="H35" s="22">
        <f t="shared" si="2"/>
        <v>2.9983005707090449E-3</v>
      </c>
      <c r="I35" s="23">
        <f t="shared" si="7"/>
        <v>1.1262318160487612E-3</v>
      </c>
      <c r="J35" s="23">
        <f t="shared" si="9"/>
        <v>2.032854618460463E-2</v>
      </c>
      <c r="K35" s="108">
        <f t="shared" si="10"/>
        <v>1.9894866078282569E-2</v>
      </c>
    </row>
    <row r="36" spans="1:11" x14ac:dyDescent="0.2">
      <c r="A36" s="107" t="s">
        <v>43</v>
      </c>
      <c r="B36" s="73">
        <f>C8</f>
        <v>739.5114023357886</v>
      </c>
      <c r="C36" s="34">
        <v>2.0999999999999999E-3</v>
      </c>
      <c r="D36" s="22">
        <f>B36*C36</f>
        <v>1.5529739449051561</v>
      </c>
      <c r="E36" s="73">
        <f>B8</f>
        <v>740.34426360543</v>
      </c>
      <c r="F36" s="34">
        <v>2.0999999999999999E-3</v>
      </c>
      <c r="G36" s="22">
        <f>E36*F36</f>
        <v>1.5547229535714029</v>
      </c>
      <c r="H36" s="22">
        <f>G36-D36</f>
        <v>1.7490086662468318E-3</v>
      </c>
      <c r="I36" s="23">
        <f t="shared" si="7"/>
        <v>1.1262318160486899E-3</v>
      </c>
      <c r="J36" s="23">
        <f t="shared" si="9"/>
        <v>1.1858318607686033E-2</v>
      </c>
      <c r="K36" s="108">
        <f t="shared" si="10"/>
        <v>1.1605338545664831E-2</v>
      </c>
    </row>
    <row r="37" spans="1:11" x14ac:dyDescent="0.2">
      <c r="A37" s="107" t="s">
        <v>100</v>
      </c>
      <c r="B37" s="73">
        <f>C8</f>
        <v>739.5114023357886</v>
      </c>
      <c r="C37" s="34">
        <v>0</v>
      </c>
      <c r="D37" s="22">
        <f>B37*C37</f>
        <v>0</v>
      </c>
      <c r="E37" s="73">
        <f>B8</f>
        <v>740.34426360543</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1.9068218199978842E-3</v>
      </c>
      <c r="K38" s="108">
        <f t="shared" si="10"/>
        <v>1.866142536682475E-3</v>
      </c>
    </row>
    <row r="39" spans="1:11" s="1" customFormat="1" x14ac:dyDescent="0.2">
      <c r="A39" s="110" t="s">
        <v>45</v>
      </c>
      <c r="B39" s="74"/>
      <c r="C39" s="35"/>
      <c r="D39" s="35">
        <f>SUM(D35:D38)</f>
        <v>4.4652149933139951</v>
      </c>
      <c r="E39" s="73"/>
      <c r="F39" s="35"/>
      <c r="G39" s="35">
        <f>SUM(G35:G38)</f>
        <v>4.4699623025509512</v>
      </c>
      <c r="H39" s="35">
        <f t="shared" si="2"/>
        <v>4.7473092369560987E-3</v>
      </c>
      <c r="I39" s="36">
        <f t="shared" si="7"/>
        <v>1.0631759599626217E-3</v>
      </c>
      <c r="J39" s="36">
        <f t="shared" si="9"/>
        <v>3.4093686612288551E-2</v>
      </c>
      <c r="K39" s="111">
        <f t="shared" si="10"/>
        <v>3.3366347160629875E-2</v>
      </c>
    </row>
    <row r="40" spans="1:11" s="1" customFormat="1" ht="13.5" thickBot="1" x14ac:dyDescent="0.25">
      <c r="A40" s="112" t="s">
        <v>46</v>
      </c>
      <c r="B40" s="113">
        <f>C4</f>
        <v>694.05105803452705</v>
      </c>
      <c r="C40" s="193">
        <v>0</v>
      </c>
      <c r="D40" s="115">
        <f>B40*C40</f>
        <v>0</v>
      </c>
      <c r="E40" s="116">
        <f>B4</f>
        <v>694.05105803452705</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119.02573852578604</v>
      </c>
      <c r="E41" s="38"/>
      <c r="F41" s="39"/>
      <c r="G41" s="39">
        <f>SUM(G14,G24,G25,G26,G32,G39,G40)</f>
        <v>124.86496409795767</v>
      </c>
      <c r="H41" s="39">
        <f t="shared" si="2"/>
        <v>5.8392255721716282</v>
      </c>
      <c r="I41" s="40">
        <f t="shared" si="7"/>
        <v>4.9058511583245527E-2</v>
      </c>
      <c r="J41" s="40">
        <f t="shared" si="9"/>
        <v>0.95238095238095244</v>
      </c>
      <c r="K41" s="41"/>
    </row>
    <row r="42" spans="1:11" x14ac:dyDescent="0.2">
      <c r="A42" s="149" t="s">
        <v>138</v>
      </c>
      <c r="B42" s="43"/>
      <c r="C42" s="26">
        <v>0.13</v>
      </c>
      <c r="D42" s="26">
        <f>D41*C42</f>
        <v>15.473346008352186</v>
      </c>
      <c r="E42" s="26"/>
      <c r="F42" s="26">
        <f>C42</f>
        <v>0.13</v>
      </c>
      <c r="G42" s="26">
        <f>G41*F42</f>
        <v>16.232445332734496</v>
      </c>
      <c r="H42" s="26">
        <f t="shared" si="2"/>
        <v>0.75909932438231031</v>
      </c>
      <c r="I42" s="44">
        <f t="shared" si="7"/>
        <v>4.9058511583245444E-2</v>
      </c>
      <c r="J42" s="44">
        <f t="shared" si="9"/>
        <v>0.12380952380952381</v>
      </c>
      <c r="K42" s="45"/>
    </row>
    <row r="43" spans="1:11" s="1" customFormat="1" x14ac:dyDescent="0.2">
      <c r="A43" s="46" t="s">
        <v>139</v>
      </c>
      <c r="B43" s="24"/>
      <c r="C43" s="25"/>
      <c r="D43" s="25">
        <f>SUM(D41:D42)</f>
        <v>134.49908453413823</v>
      </c>
      <c r="E43" s="25"/>
      <c r="F43" s="25"/>
      <c r="G43" s="25">
        <f>SUM(G41:G42)</f>
        <v>141.09740943069215</v>
      </c>
      <c r="H43" s="25">
        <f t="shared" si="2"/>
        <v>6.598324896553919</v>
      </c>
      <c r="I43" s="27">
        <f t="shared" si="7"/>
        <v>4.9058511583245375E-2</v>
      </c>
      <c r="J43" s="27">
        <f t="shared" si="9"/>
        <v>1.0761904761904761</v>
      </c>
      <c r="K43" s="47"/>
    </row>
    <row r="44" spans="1:11" x14ac:dyDescent="0.2">
      <c r="A44" s="42" t="s">
        <v>140</v>
      </c>
      <c r="B44" s="43"/>
      <c r="C44" s="26">
        <v>-0.08</v>
      </c>
      <c r="D44" s="26">
        <f>D41*C44</f>
        <v>-9.5220590820628832</v>
      </c>
      <c r="E44" s="26"/>
      <c r="F44" s="26">
        <f>C44</f>
        <v>-0.08</v>
      </c>
      <c r="G44" s="26">
        <f>G41*F44</f>
        <v>-9.9891971278366132</v>
      </c>
      <c r="H44" s="26">
        <f t="shared" si="2"/>
        <v>-0.46713804577372997</v>
      </c>
      <c r="I44" s="44">
        <f t="shared" si="7"/>
        <v>-4.90585115832455E-2</v>
      </c>
      <c r="J44" s="44">
        <f t="shared" si="9"/>
        <v>-7.6190476190476183E-2</v>
      </c>
      <c r="K44" s="45"/>
    </row>
    <row r="45" spans="1:11" s="1" customFormat="1" ht="13.5" thickBot="1" x14ac:dyDescent="0.25">
      <c r="A45" s="48" t="s">
        <v>141</v>
      </c>
      <c r="B45" s="49"/>
      <c r="C45" s="50"/>
      <c r="D45" s="50">
        <f>SUM(D43:D44)</f>
        <v>124.97702545207535</v>
      </c>
      <c r="E45" s="50"/>
      <c r="F45" s="50"/>
      <c r="G45" s="50">
        <f>SUM(G43:G44)</f>
        <v>131.10821230285555</v>
      </c>
      <c r="H45" s="50">
        <f t="shared" si="2"/>
        <v>6.1311868507801961</v>
      </c>
      <c r="I45" s="51">
        <f t="shared" si="7"/>
        <v>4.9058511583245416E-2</v>
      </c>
      <c r="J45" s="51">
        <f t="shared" si="9"/>
        <v>1</v>
      </c>
      <c r="K45" s="52"/>
    </row>
    <row r="46" spans="1:11" x14ac:dyDescent="0.2">
      <c r="A46" s="53" t="s">
        <v>142</v>
      </c>
      <c r="B46" s="54"/>
      <c r="C46" s="55"/>
      <c r="D46" s="55">
        <f>SUM(D18,D24,D25,D27,D32,D39,D40)</f>
        <v>121.75468183397855</v>
      </c>
      <c r="E46" s="55"/>
      <c r="F46" s="55"/>
      <c r="G46" s="55">
        <f>SUM(G18,G24,G25,G27,G32,G39,G40)</f>
        <v>127.58684474258362</v>
      </c>
      <c r="H46" s="55">
        <f>G46-D46</f>
        <v>5.8321629086050706</v>
      </c>
      <c r="I46" s="56">
        <f t="shared" si="7"/>
        <v>4.7900933424126171E-2</v>
      </c>
      <c r="J46" s="56"/>
      <c r="K46" s="57">
        <f>G46/$G$50</f>
        <v>0.95238095238095244</v>
      </c>
    </row>
    <row r="47" spans="1:11" x14ac:dyDescent="0.2">
      <c r="A47" s="58" t="s">
        <v>138</v>
      </c>
      <c r="B47" s="59"/>
      <c r="C47" s="31">
        <v>0.13</v>
      </c>
      <c r="D47" s="31">
        <f>D46*C47</f>
        <v>15.828108638417213</v>
      </c>
      <c r="E47" s="31"/>
      <c r="F47" s="31">
        <f>C47</f>
        <v>0.13</v>
      </c>
      <c r="G47" s="31">
        <f>G46*F47</f>
        <v>16.586289816535871</v>
      </c>
      <c r="H47" s="31">
        <f>G47-D47</f>
        <v>0.75818117811865804</v>
      </c>
      <c r="I47" s="32">
        <f t="shared" si="7"/>
        <v>4.7900933424126095E-2</v>
      </c>
      <c r="J47" s="32"/>
      <c r="K47" s="60">
        <f>G47/$G$50</f>
        <v>0.12380952380952381</v>
      </c>
    </row>
    <row r="48" spans="1:11" x14ac:dyDescent="0.2">
      <c r="A48" s="61" t="s">
        <v>143</v>
      </c>
      <c r="B48" s="29"/>
      <c r="C48" s="30"/>
      <c r="D48" s="30">
        <f>SUM(D46:D47)</f>
        <v>137.58279047239577</v>
      </c>
      <c r="E48" s="30"/>
      <c r="F48" s="30"/>
      <c r="G48" s="30">
        <f>SUM(G46:G47)</f>
        <v>144.17313455911949</v>
      </c>
      <c r="H48" s="30">
        <f>G48-D48</f>
        <v>6.590344086723718</v>
      </c>
      <c r="I48" s="33">
        <f t="shared" si="7"/>
        <v>4.7900933424126081E-2</v>
      </c>
      <c r="J48" s="33"/>
      <c r="K48" s="62">
        <f>G48/$G$50</f>
        <v>1.0761904761904761</v>
      </c>
    </row>
    <row r="49" spans="1:11" x14ac:dyDescent="0.2">
      <c r="A49" s="58" t="s">
        <v>140</v>
      </c>
      <c r="B49" s="59"/>
      <c r="C49" s="31">
        <v>-0.08</v>
      </c>
      <c r="D49" s="31">
        <f>D46*C49</f>
        <v>-9.7403745467182841</v>
      </c>
      <c r="E49" s="31"/>
      <c r="F49" s="31">
        <f>C49</f>
        <v>-0.08</v>
      </c>
      <c r="G49" s="31">
        <f>G46*F49</f>
        <v>-10.206947579406689</v>
      </c>
      <c r="H49" s="31">
        <f>G49-D49</f>
        <v>-0.46657303268840522</v>
      </c>
      <c r="I49" s="32">
        <f t="shared" si="7"/>
        <v>-4.790093342412613E-2</v>
      </c>
      <c r="J49" s="32"/>
      <c r="K49" s="60">
        <f>G49/$G$50</f>
        <v>-7.6190476190476183E-2</v>
      </c>
    </row>
    <row r="50" spans="1:11" ht="13.5" thickBot="1" x14ac:dyDescent="0.25">
      <c r="A50" s="63" t="s">
        <v>144</v>
      </c>
      <c r="B50" s="64"/>
      <c r="C50" s="65"/>
      <c r="D50" s="65">
        <f>SUM(D48:D49)</f>
        <v>127.84241592567749</v>
      </c>
      <c r="E50" s="65"/>
      <c r="F50" s="65"/>
      <c r="G50" s="65">
        <f>SUM(G48:G49)</f>
        <v>133.9661869797128</v>
      </c>
      <c r="H50" s="65">
        <f>G50-D50</f>
        <v>6.1237710540353163</v>
      </c>
      <c r="I50" s="66">
        <f t="shared" si="7"/>
        <v>4.7900933424126109E-2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185</v>
      </c>
      <c r="C3" s="13" t="s">
        <v>119</v>
      </c>
    </row>
    <row r="4" spans="1:11" x14ac:dyDescent="0.2">
      <c r="A4" s="15" t="s">
        <v>62</v>
      </c>
      <c r="B4" s="79">
        <v>750</v>
      </c>
      <c r="C4" s="79">
        <f>B4</f>
        <v>750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800.02499999999998</v>
      </c>
      <c r="C8" s="15">
        <f>C4*C6</f>
        <v>799.12500000000011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G12/$G$45</f>
        <v>0.393007133381784</v>
      </c>
      <c r="K12" s="106"/>
    </row>
    <row r="13" spans="1:11" x14ac:dyDescent="0.2">
      <c r="A13" s="107" t="s">
        <v>32</v>
      </c>
      <c r="B13" s="73">
        <f>IF(B4&gt;B7,(B4)-B7,0)</f>
        <v>150</v>
      </c>
      <c r="C13" s="21">
        <v>0.106</v>
      </c>
      <c r="D13" s="22">
        <f>B13*C13</f>
        <v>15.9</v>
      </c>
      <c r="E13" s="73">
        <f t="shared" ref="E13:E38" si="1">B13</f>
        <v>150</v>
      </c>
      <c r="F13" s="21">
        <f>C13</f>
        <v>0.106</v>
      </c>
      <c r="G13" s="22">
        <f>E13*F13</f>
        <v>15.9</v>
      </c>
      <c r="H13" s="22">
        <f t="shared" ref="H13:H45" si="2">G13-D13</f>
        <v>0</v>
      </c>
      <c r="I13" s="23">
        <f t="shared" si="0"/>
        <v>0</v>
      </c>
      <c r="J13" s="23">
        <f>G13/$G$45</f>
        <v>0.11444713224854149</v>
      </c>
      <c r="K13" s="108"/>
    </row>
    <row r="14" spans="1:11" s="1" customFormat="1" x14ac:dyDescent="0.2">
      <c r="A14" s="46" t="s">
        <v>33</v>
      </c>
      <c r="B14" s="24"/>
      <c r="C14" s="25"/>
      <c r="D14" s="25">
        <f>SUM(D12:D13)</f>
        <v>70.5</v>
      </c>
      <c r="E14" s="76"/>
      <c r="F14" s="25"/>
      <c r="G14" s="25">
        <f>SUM(G12:G13)</f>
        <v>70.5</v>
      </c>
      <c r="H14" s="25">
        <f t="shared" si="2"/>
        <v>0</v>
      </c>
      <c r="I14" s="27">
        <f t="shared" si="0"/>
        <v>0</v>
      </c>
      <c r="J14" s="27">
        <f>G14/$G$45</f>
        <v>0.50745426563032547</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5" si="4">G15/$G$50</f>
        <v>0.2657421407152134</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0.10199613432845654</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0.15004741052171688</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G18/$G$45</f>
        <v>0.52645680834329101</v>
      </c>
      <c r="K18" s="62">
        <f t="shared" si="4"/>
        <v>0.51778568556538684</v>
      </c>
    </row>
    <row r="19" spans="1:11" x14ac:dyDescent="0.2">
      <c r="A19" s="107" t="s">
        <v>38</v>
      </c>
      <c r="B19" s="73">
        <v>1</v>
      </c>
      <c r="C19" s="121">
        <f>VLOOKUP($C$3,'Data for Bill Impacts'!$A$3:$Y$39,7,0)</f>
        <v>35.619999999999997</v>
      </c>
      <c r="D19" s="22">
        <f>B19*C19</f>
        <v>35.619999999999997</v>
      </c>
      <c r="E19" s="73">
        <f t="shared" si="1"/>
        <v>1</v>
      </c>
      <c r="F19" s="121">
        <f>VLOOKUP($B$3,'Data for Bill Impacts'!$A$3:$Y$39,17,0)</f>
        <v>40.43</v>
      </c>
      <c r="G19" s="22">
        <f>E19*F19</f>
        <v>40.43</v>
      </c>
      <c r="H19" s="22">
        <f t="shared" si="2"/>
        <v>4.8100000000000023</v>
      </c>
      <c r="I19" s="23">
        <f>IF(ISERROR(H19/ABS(D19)),"N/A",(H19/ABS(D19)))</f>
        <v>0.13503649635036505</v>
      </c>
      <c r="J19" s="23">
        <f>G19/$G$45</f>
        <v>0.29101242495651147</v>
      </c>
      <c r="K19" s="108">
        <f t="shared" si="4"/>
        <v>0.28621924073569305</v>
      </c>
    </row>
    <row r="20" spans="1:11" x14ac:dyDescent="0.2">
      <c r="A20" s="107" t="s">
        <v>193</v>
      </c>
      <c r="B20" s="73">
        <v>1</v>
      </c>
      <c r="C20" s="121">
        <f>'Data for Bill Impacts'!K28</f>
        <v>-0.36</v>
      </c>
      <c r="D20" s="22">
        <f>B20*C20</f>
        <v>-0.36</v>
      </c>
      <c r="E20" s="73">
        <f t="shared" si="1"/>
        <v>1</v>
      </c>
      <c r="F20" s="121">
        <v>0</v>
      </c>
      <c r="G20" s="22">
        <f t="shared" ref="G20" si="5">E20*F20</f>
        <v>0</v>
      </c>
      <c r="H20" s="22">
        <f t="shared" si="2"/>
        <v>0.36</v>
      </c>
      <c r="I20" s="23">
        <f t="shared" ref="I20:I21" si="6">IF(ISERROR(H20/D20),0,(H20/D20))</f>
        <v>-1</v>
      </c>
      <c r="J20" s="23">
        <f>G20/$G$45</f>
        <v>0</v>
      </c>
      <c r="K20" s="108">
        <f t="shared" si="4"/>
        <v>0</v>
      </c>
    </row>
    <row r="21" spans="1:11" x14ac:dyDescent="0.2">
      <c r="A21" s="107" t="s">
        <v>39</v>
      </c>
      <c r="B21" s="73">
        <f>IF($C$9="kWh",$C$4,$C$5)</f>
        <v>750</v>
      </c>
      <c r="C21" s="125">
        <f>VLOOKUP($C$3,'Data for Bill Impacts'!$A$3:$Y$39,10,0)</f>
        <v>0</v>
      </c>
      <c r="D21" s="22">
        <f>B21*C21</f>
        <v>0</v>
      </c>
      <c r="E21" s="73">
        <f t="shared" si="1"/>
        <v>750</v>
      </c>
      <c r="F21" s="125">
        <v>0</v>
      </c>
      <c r="G21" s="22">
        <f>E21*F21</f>
        <v>0</v>
      </c>
      <c r="H21" s="22">
        <f t="shared" si="2"/>
        <v>0</v>
      </c>
      <c r="I21" s="23">
        <f t="shared" si="6"/>
        <v>0</v>
      </c>
      <c r="J21" s="23">
        <f>G21/$G$45</f>
        <v>0</v>
      </c>
      <c r="K21" s="108">
        <f t="shared" si="4"/>
        <v>0</v>
      </c>
    </row>
    <row r="22" spans="1:11" x14ac:dyDescent="0.2">
      <c r="A22" s="107" t="s">
        <v>194</v>
      </c>
      <c r="B22" s="73">
        <f>IF($B$9="kWh",$B$4,$B$5)</f>
        <v>750</v>
      </c>
      <c r="C22" s="78">
        <f>'Data for Bill Impacts'!H28</f>
        <v>4.0000000000000002E-4</v>
      </c>
      <c r="D22" s="22">
        <f>B22*C22</f>
        <v>0.3</v>
      </c>
      <c r="E22" s="73">
        <f t="shared" si="1"/>
        <v>750</v>
      </c>
      <c r="F22" s="125">
        <v>0</v>
      </c>
      <c r="G22" s="22">
        <f>E22*F22</f>
        <v>0</v>
      </c>
      <c r="H22" s="22">
        <f t="shared" si="2"/>
        <v>-0.3</v>
      </c>
      <c r="I22" s="23">
        <f t="shared" ref="I22:I50" si="7">IF(ISERROR(H22/ABS(D22)),"N/A",(H22/ABS(D22)))</f>
        <v>-1</v>
      </c>
      <c r="J22" s="23">
        <f>G22/$G$45</f>
        <v>0</v>
      </c>
      <c r="K22" s="108">
        <f t="shared" si="4"/>
        <v>0</v>
      </c>
    </row>
    <row r="23" spans="1:11" x14ac:dyDescent="0.2">
      <c r="A23" s="107" t="s">
        <v>195</v>
      </c>
      <c r="B23" s="73">
        <f>IF($C$9="kWh",$C$4,$C$5)</f>
        <v>750</v>
      </c>
      <c r="C23" s="125">
        <f>'Data for Bill Impacts'!L28</f>
        <v>0</v>
      </c>
      <c r="D23" s="22">
        <f>B23*C23</f>
        <v>0</v>
      </c>
      <c r="E23" s="73">
        <f t="shared" si="1"/>
        <v>750</v>
      </c>
      <c r="F23" s="125">
        <v>0</v>
      </c>
      <c r="G23" s="22">
        <f>E23*F23</f>
        <v>0</v>
      </c>
      <c r="H23" s="22">
        <f t="shared" si="2"/>
        <v>0</v>
      </c>
      <c r="I23" s="23" t="str">
        <f t="shared" si="7"/>
        <v>N/A</v>
      </c>
      <c r="J23" s="23">
        <f t="shared" ref="J23" si="8">G23/$G$45</f>
        <v>0</v>
      </c>
      <c r="K23" s="108">
        <f t="shared" si="4"/>
        <v>0</v>
      </c>
    </row>
    <row r="24" spans="1:11" s="1" customFormat="1" x14ac:dyDescent="0.2">
      <c r="A24" s="110" t="s">
        <v>72</v>
      </c>
      <c r="B24" s="74"/>
      <c r="C24" s="35"/>
      <c r="D24" s="35">
        <f>SUM(D19:D23)</f>
        <v>35.559999999999995</v>
      </c>
      <c r="E24" s="73"/>
      <c r="F24" s="35"/>
      <c r="G24" s="35">
        <f>SUM(G19:G23)</f>
        <v>40.43</v>
      </c>
      <c r="H24" s="35">
        <f t="shared" si="2"/>
        <v>4.8700000000000045</v>
      </c>
      <c r="I24" s="36">
        <f t="shared" si="7"/>
        <v>0.13695163104611938</v>
      </c>
      <c r="J24" s="36">
        <f>G24/$G$45</f>
        <v>0.29101242495651147</v>
      </c>
      <c r="K24" s="111">
        <f t="shared" si="4"/>
        <v>0.28621924073569305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5.6863669481979733E-3</v>
      </c>
      <c r="K25" s="108">
        <f t="shared" si="4"/>
        <v>5.5927083893444847E-3</v>
      </c>
    </row>
    <row r="26" spans="1:11" s="1" customFormat="1" x14ac:dyDescent="0.2">
      <c r="A26" s="119" t="s">
        <v>75</v>
      </c>
      <c r="B26" s="120">
        <f>C8-C4</f>
        <v>49.125000000000114</v>
      </c>
      <c r="C26" s="257">
        <f>IF(C4&gt;C7,C13,C12)</f>
        <v>0.106</v>
      </c>
      <c r="D26" s="22">
        <f>B26*C26</f>
        <v>5.2072500000000117</v>
      </c>
      <c r="E26" s="73">
        <f>B8-B4</f>
        <v>50.024999999999977</v>
      </c>
      <c r="F26" s="257">
        <f>IF(B4&gt;C7,F13,F12)</f>
        <v>0.106</v>
      </c>
      <c r="G26" s="22">
        <f>E26*F26</f>
        <v>5.3026499999999972</v>
      </c>
      <c r="H26" s="22">
        <f t="shared" si="2"/>
        <v>9.5399999999985496E-2</v>
      </c>
      <c r="I26" s="23">
        <f t="shared" si="7"/>
        <v>1.8320610687020074E-2</v>
      </c>
      <c r="J26" s="23">
        <f t="shared" ref="J26:J45" si="9">G26/$G$45</f>
        <v>3.8168118604888564E-2</v>
      </c>
      <c r="K26" s="108">
        <f t="shared" ref="K26:K40" si="10">G26/$G$50</f>
        <v>3.7539462203490526E-2</v>
      </c>
    </row>
    <row r="27" spans="1:11" s="1" customFormat="1" x14ac:dyDescent="0.2">
      <c r="A27" s="119" t="s">
        <v>74</v>
      </c>
      <c r="B27" s="120">
        <f>C8-C4</f>
        <v>49.125000000000114</v>
      </c>
      <c r="C27" s="257">
        <f>0.65*C15+0.17*C16+0.18*C17</f>
        <v>9.7519999999999996E-2</v>
      </c>
      <c r="D27" s="22">
        <f>B27*C27</f>
        <v>4.7906700000000111</v>
      </c>
      <c r="E27" s="73">
        <f>B8-B4</f>
        <v>50.024999999999977</v>
      </c>
      <c r="F27" s="257">
        <f>0.65*F15+0.17*F16+0.18*F17</f>
        <v>9.7519999999999996E-2</v>
      </c>
      <c r="G27" s="22">
        <f>E27*F27</f>
        <v>4.8784379999999974</v>
      </c>
      <c r="H27" s="22">
        <f t="shared" si="2"/>
        <v>8.7767999999986301E-2</v>
      </c>
      <c r="I27" s="23">
        <f t="shared" si="7"/>
        <v>1.8320610687019998E-2</v>
      </c>
      <c r="J27" s="23">
        <f t="shared" si="9"/>
        <v>3.5114669116497479E-2</v>
      </c>
      <c r="K27" s="108">
        <f t="shared" si="10"/>
        <v>3.4536305227211281E-2</v>
      </c>
    </row>
    <row r="28" spans="1:11" s="1" customFormat="1" x14ac:dyDescent="0.2">
      <c r="A28" s="110" t="s">
        <v>78</v>
      </c>
      <c r="B28" s="74"/>
      <c r="C28" s="35"/>
      <c r="D28" s="35">
        <f>SUM(D24,D25:D26)</f>
        <v>41.557250000000003</v>
      </c>
      <c r="E28" s="73"/>
      <c r="F28" s="35"/>
      <c r="G28" s="35">
        <f>SUM(G24,G25:G26)</f>
        <v>46.522649999999999</v>
      </c>
      <c r="H28" s="35">
        <f t="shared" si="2"/>
        <v>4.9653999999999954</v>
      </c>
      <c r="I28" s="36">
        <f t="shared" si="7"/>
        <v>0.11948336331205735</v>
      </c>
      <c r="J28" s="36">
        <f t="shared" si="9"/>
        <v>0.33486691050959805</v>
      </c>
      <c r="K28" s="111">
        <f t="shared" si="10"/>
        <v>0.32935141132852802</v>
      </c>
    </row>
    <row r="29" spans="1:11" s="1" customFormat="1" x14ac:dyDescent="0.2">
      <c r="A29" s="110" t="s">
        <v>77</v>
      </c>
      <c r="B29" s="74"/>
      <c r="C29" s="35"/>
      <c r="D29" s="35">
        <f>SUM(D24,D25,D27)</f>
        <v>41.140670000000007</v>
      </c>
      <c r="E29" s="73"/>
      <c r="F29" s="35"/>
      <c r="G29" s="35">
        <f>SUM(G24,G25,G27)</f>
        <v>46.098437999999994</v>
      </c>
      <c r="H29" s="35">
        <f t="shared" si="2"/>
        <v>4.9577679999999873</v>
      </c>
      <c r="I29" s="36">
        <f t="shared" si="7"/>
        <v>0.12050771171203548</v>
      </c>
      <c r="J29" s="36">
        <f t="shared" si="9"/>
        <v>0.3318134610212069</v>
      </c>
      <c r="K29" s="111">
        <f t="shared" si="10"/>
        <v>0.32634825435224879</v>
      </c>
    </row>
    <row r="30" spans="1:11" x14ac:dyDescent="0.2">
      <c r="A30" s="107" t="s">
        <v>40</v>
      </c>
      <c r="B30" s="73">
        <f>C8</f>
        <v>799.12500000000011</v>
      </c>
      <c r="C30" s="125">
        <f>VLOOKUP($C$3,'Data for Bill Impacts'!$A$3:$Y$39,15,0)</f>
        <v>6.5444567943617011E-3</v>
      </c>
      <c r="D30" s="22">
        <f>B30*C30</f>
        <v>5.2298390357942948</v>
      </c>
      <c r="E30" s="73">
        <f>B8</f>
        <v>800.02499999999998</v>
      </c>
      <c r="F30" s="78">
        <f>VLOOKUP($B$3,'Data for Bill Impacts'!$A$3:$Y$39,24,0)</f>
        <v>7.1000000000000004E-3</v>
      </c>
      <c r="G30" s="22">
        <f>E30*F30</f>
        <v>5.6801775000000001</v>
      </c>
      <c r="H30" s="22">
        <f t="shared" si="2"/>
        <v>0.45033846420570534</v>
      </c>
      <c r="I30" s="23">
        <f t="shared" si="7"/>
        <v>8.6109431116995955E-2</v>
      </c>
      <c r="J30" s="23">
        <f t="shared" si="9"/>
        <v>4.0885536197338979E-2</v>
      </c>
      <c r="K30" s="108">
        <f t="shared" si="10"/>
        <v>4.0212121971159212E-2</v>
      </c>
    </row>
    <row r="31" spans="1:11" x14ac:dyDescent="0.2">
      <c r="A31" s="107" t="s">
        <v>41</v>
      </c>
      <c r="B31" s="73">
        <f>C8</f>
        <v>799.12500000000011</v>
      </c>
      <c r="C31" s="125">
        <f>VLOOKUP($C$3,'Data for Bill Impacts'!$A$3:$Y$39,16,0)</f>
        <v>5.4157299366720292E-3</v>
      </c>
      <c r="D31" s="22">
        <f>B31*C31</f>
        <v>4.327845185643036</v>
      </c>
      <c r="E31" s="73">
        <f>B8</f>
        <v>800.02499999999998</v>
      </c>
      <c r="F31" s="78">
        <f>VLOOKUP($B$3,'Data for Bill Impacts'!$A$3:$Y$39,25,0)</f>
        <v>6.0000000000000001E-3</v>
      </c>
      <c r="G31" s="22">
        <f>E31*F31</f>
        <v>4.8001500000000004</v>
      </c>
      <c r="H31" s="22">
        <f t="shared" si="2"/>
        <v>0.47230481435696436</v>
      </c>
      <c r="I31" s="23">
        <f t="shared" si="7"/>
        <v>0.10913163343359954</v>
      </c>
      <c r="J31" s="23">
        <f t="shared" si="9"/>
        <v>3.4551157349863929E-2</v>
      </c>
      <c r="K31" s="108">
        <f t="shared" si="10"/>
        <v>3.3982074905204974E-2</v>
      </c>
    </row>
    <row r="32" spans="1:11" s="1" customFormat="1" x14ac:dyDescent="0.2">
      <c r="A32" s="110" t="s">
        <v>76</v>
      </c>
      <c r="B32" s="74"/>
      <c r="C32" s="35"/>
      <c r="D32" s="35">
        <f>SUM(D30:D31)</f>
        <v>9.5576842214373308</v>
      </c>
      <c r="E32" s="73"/>
      <c r="F32" s="35"/>
      <c r="G32" s="35">
        <f>SUM(G30:G31)</f>
        <v>10.480327500000001</v>
      </c>
      <c r="H32" s="35">
        <f t="shared" si="2"/>
        <v>0.92264327856267059</v>
      </c>
      <c r="I32" s="36">
        <f t="shared" si="7"/>
        <v>9.6534187276582681E-2</v>
      </c>
      <c r="J32" s="36">
        <f t="shared" si="9"/>
        <v>7.5436693547202921E-2</v>
      </c>
      <c r="K32" s="111">
        <f t="shared" si="10"/>
        <v>7.4194196876364193E-2</v>
      </c>
    </row>
    <row r="33" spans="1:11" s="1" customFormat="1" x14ac:dyDescent="0.2">
      <c r="A33" s="110" t="s">
        <v>95</v>
      </c>
      <c r="B33" s="74"/>
      <c r="C33" s="35"/>
      <c r="D33" s="35">
        <f>D28+D32</f>
        <v>51.114934221437338</v>
      </c>
      <c r="E33" s="73"/>
      <c r="F33" s="35"/>
      <c r="G33" s="35">
        <f>G28+G32</f>
        <v>57.0029775</v>
      </c>
      <c r="H33" s="35">
        <f t="shared" si="2"/>
        <v>5.8880432785626624</v>
      </c>
      <c r="I33" s="36">
        <f t="shared" si="7"/>
        <v>0.11519223037742359</v>
      </c>
      <c r="J33" s="36">
        <f t="shared" si="9"/>
        <v>0.41030360405680094</v>
      </c>
      <c r="K33" s="111">
        <f t="shared" si="10"/>
        <v>0.40354560820489221</v>
      </c>
    </row>
    <row r="34" spans="1:11" s="1" customFormat="1" x14ac:dyDescent="0.2">
      <c r="A34" s="110" t="s">
        <v>96</v>
      </c>
      <c r="B34" s="74"/>
      <c r="C34" s="35"/>
      <c r="D34" s="35">
        <f>D29+D32</f>
        <v>50.698354221437341</v>
      </c>
      <c r="E34" s="73"/>
      <c r="F34" s="35"/>
      <c r="G34" s="35">
        <f>G29+G32</f>
        <v>56.578765499999996</v>
      </c>
      <c r="H34" s="35">
        <f t="shared" si="2"/>
        <v>5.8804112785626543</v>
      </c>
      <c r="I34" s="36">
        <f t="shared" si="7"/>
        <v>0.11598820847080231</v>
      </c>
      <c r="J34" s="36">
        <f t="shared" si="9"/>
        <v>0.40725015456840979</v>
      </c>
      <c r="K34" s="111">
        <f t="shared" si="10"/>
        <v>0.40054245122861298</v>
      </c>
    </row>
    <row r="35" spans="1:11" x14ac:dyDescent="0.2">
      <c r="A35" s="107" t="s">
        <v>42</v>
      </c>
      <c r="B35" s="73">
        <f>C8</f>
        <v>799.12500000000011</v>
      </c>
      <c r="C35" s="34">
        <v>3.5999999999999999E-3</v>
      </c>
      <c r="D35" s="22">
        <f>B35*C35</f>
        <v>2.8768500000000001</v>
      </c>
      <c r="E35" s="73">
        <f>B8</f>
        <v>800.02499999999998</v>
      </c>
      <c r="F35" s="34">
        <v>3.5999999999999999E-3</v>
      </c>
      <c r="G35" s="22">
        <f>E35*F35</f>
        <v>2.88009</v>
      </c>
      <c r="H35" s="22">
        <f t="shared" si="2"/>
        <v>3.2399999999999096E-3</v>
      </c>
      <c r="I35" s="23">
        <f t="shared" si="7"/>
        <v>1.1262318160487718E-3</v>
      </c>
      <c r="J35" s="23">
        <f t="shared" si="9"/>
        <v>2.0730694409918357E-2</v>
      </c>
      <c r="K35" s="108">
        <f t="shared" si="10"/>
        <v>2.0389244943122983E-2</v>
      </c>
    </row>
    <row r="36" spans="1:11" x14ac:dyDescent="0.2">
      <c r="A36" s="107" t="s">
        <v>43</v>
      </c>
      <c r="B36" s="73">
        <f>C8</f>
        <v>799.12500000000011</v>
      </c>
      <c r="C36" s="34">
        <v>2.0999999999999999E-3</v>
      </c>
      <c r="D36" s="22">
        <f>B36*C36</f>
        <v>1.6781625000000002</v>
      </c>
      <c r="E36" s="73">
        <f>B8</f>
        <v>800.02499999999998</v>
      </c>
      <c r="F36" s="34">
        <v>2.0999999999999999E-3</v>
      </c>
      <c r="G36" s="22">
        <f>E36*F36</f>
        <v>1.6800524999999999</v>
      </c>
      <c r="H36" s="22">
        <f>G36-D36</f>
        <v>1.8899999999997252E-3</v>
      </c>
      <c r="I36" s="23">
        <f t="shared" si="7"/>
        <v>1.1262318160486396E-3</v>
      </c>
      <c r="J36" s="23">
        <f t="shared" si="9"/>
        <v>1.2092905072452373E-2</v>
      </c>
      <c r="K36" s="108">
        <f t="shared" si="10"/>
        <v>1.1893726216821738E-2</v>
      </c>
    </row>
    <row r="37" spans="1:11" x14ac:dyDescent="0.2">
      <c r="A37" s="107" t="s">
        <v>100</v>
      </c>
      <c r="B37" s="73">
        <f>C8</f>
        <v>799.12500000000011</v>
      </c>
      <c r="C37" s="34">
        <v>0</v>
      </c>
      <c r="D37" s="22">
        <f>B37*C37</f>
        <v>0</v>
      </c>
      <c r="E37" s="73">
        <f>B8</f>
        <v>800.02499999999998</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1.7994832114550548E-3</v>
      </c>
      <c r="K38" s="108">
        <f t="shared" si="10"/>
        <v>1.7698444270077482E-3</v>
      </c>
    </row>
    <row r="39" spans="1:11" s="1" customFormat="1" x14ac:dyDescent="0.2">
      <c r="A39" s="110" t="s">
        <v>45</v>
      </c>
      <c r="B39" s="74"/>
      <c r="C39" s="35"/>
      <c r="D39" s="35">
        <f>SUM(D35:D38)</f>
        <v>4.8050125000000001</v>
      </c>
      <c r="E39" s="73"/>
      <c r="F39" s="35"/>
      <c r="G39" s="35">
        <f>SUM(G35:G38)</f>
        <v>4.8101424999999995</v>
      </c>
      <c r="H39" s="35">
        <f t="shared" si="2"/>
        <v>5.1299999999994128E-3</v>
      </c>
      <c r="I39" s="36">
        <f t="shared" si="7"/>
        <v>1.0676350998045088E-3</v>
      </c>
      <c r="J39" s="36">
        <f t="shared" si="9"/>
        <v>3.4623082693825781E-2</v>
      </c>
      <c r="K39" s="111">
        <f t="shared" si="10"/>
        <v>3.4052815586952466E-2</v>
      </c>
    </row>
    <row r="40" spans="1:11" s="1" customFormat="1" ht="13.5" thickBot="1" x14ac:dyDescent="0.25">
      <c r="A40" s="112" t="s">
        <v>46</v>
      </c>
      <c r="B40" s="113">
        <f>C4</f>
        <v>750</v>
      </c>
      <c r="C40" s="193">
        <v>0</v>
      </c>
      <c r="D40" s="115">
        <f>B40*C40</f>
        <v>0</v>
      </c>
      <c r="E40" s="116">
        <f>B4</f>
        <v>750</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126.41994672143736</v>
      </c>
      <c r="E41" s="38"/>
      <c r="F41" s="39"/>
      <c r="G41" s="39">
        <f>SUM(G14,G24,G25,G26,G32,G39,G40)</f>
        <v>132.31312000000003</v>
      </c>
      <c r="H41" s="39">
        <f t="shared" si="2"/>
        <v>5.8931732785626707</v>
      </c>
      <c r="I41" s="40">
        <f t="shared" si="7"/>
        <v>4.6615850041039054E-2</v>
      </c>
      <c r="J41" s="40">
        <f t="shared" si="9"/>
        <v>0.95238095238095233</v>
      </c>
      <c r="K41" s="41"/>
    </row>
    <row r="42" spans="1:11" x14ac:dyDescent="0.2">
      <c r="A42" s="149" t="s">
        <v>138</v>
      </c>
      <c r="B42" s="43"/>
      <c r="C42" s="26">
        <v>0.13</v>
      </c>
      <c r="D42" s="26">
        <f>D41*C42</f>
        <v>16.434593073786857</v>
      </c>
      <c r="E42" s="26"/>
      <c r="F42" s="26">
        <f>C42</f>
        <v>0.13</v>
      </c>
      <c r="G42" s="26">
        <f>G41*F42</f>
        <v>17.200705600000003</v>
      </c>
      <c r="H42" s="26">
        <f t="shared" si="2"/>
        <v>0.76611252621314563</v>
      </c>
      <c r="I42" s="44">
        <f t="shared" si="7"/>
        <v>4.6615850041038957E-2</v>
      </c>
      <c r="J42" s="44">
        <f t="shared" si="9"/>
        <v>0.1238095238095238</v>
      </c>
      <c r="K42" s="45"/>
    </row>
    <row r="43" spans="1:11" s="1" customFormat="1" x14ac:dyDescent="0.2">
      <c r="A43" s="46" t="s">
        <v>139</v>
      </c>
      <c r="B43" s="24"/>
      <c r="C43" s="25"/>
      <c r="D43" s="25">
        <f>SUM(D41:D42)</f>
        <v>142.85453979522421</v>
      </c>
      <c r="E43" s="25"/>
      <c r="F43" s="25"/>
      <c r="G43" s="25">
        <f>SUM(G41:G42)</f>
        <v>149.51382560000002</v>
      </c>
      <c r="H43" s="25">
        <f t="shared" si="2"/>
        <v>6.6592858047758057</v>
      </c>
      <c r="I43" s="27">
        <f t="shared" si="7"/>
        <v>4.6615850041038971E-2</v>
      </c>
      <c r="J43" s="27">
        <f t="shared" si="9"/>
        <v>1.0761904761904761</v>
      </c>
      <c r="K43" s="47"/>
    </row>
    <row r="44" spans="1:11" x14ac:dyDescent="0.2">
      <c r="A44" s="42" t="s">
        <v>140</v>
      </c>
      <c r="B44" s="43"/>
      <c r="C44" s="26">
        <v>-0.08</v>
      </c>
      <c r="D44" s="26">
        <f>D41*C44</f>
        <v>-10.113595737714988</v>
      </c>
      <c r="E44" s="26"/>
      <c r="F44" s="26">
        <f>C44</f>
        <v>-0.08</v>
      </c>
      <c r="G44" s="26">
        <f>G41*F44</f>
        <v>-10.585049600000003</v>
      </c>
      <c r="H44" s="26">
        <f t="shared" si="2"/>
        <v>-0.47145386228501529</v>
      </c>
      <c r="I44" s="44">
        <f t="shared" si="7"/>
        <v>-4.6615850041039221E-2</v>
      </c>
      <c r="J44" s="44">
        <f t="shared" si="9"/>
        <v>-7.6190476190476197E-2</v>
      </c>
      <c r="K44" s="45"/>
    </row>
    <row r="45" spans="1:11" s="1" customFormat="1" ht="13.5" thickBot="1" x14ac:dyDescent="0.25">
      <c r="A45" s="48" t="s">
        <v>141</v>
      </c>
      <c r="B45" s="49"/>
      <c r="C45" s="50"/>
      <c r="D45" s="50">
        <f>SUM(D43:D44)</f>
        <v>132.74094405750924</v>
      </c>
      <c r="E45" s="50"/>
      <c r="F45" s="50"/>
      <c r="G45" s="50">
        <f>SUM(G43:G44)</f>
        <v>138.92877600000003</v>
      </c>
      <c r="H45" s="50">
        <f t="shared" si="2"/>
        <v>6.1878319424907886</v>
      </c>
      <c r="I45" s="51">
        <f t="shared" si="7"/>
        <v>4.661585004103893E-2</v>
      </c>
      <c r="J45" s="51">
        <f t="shared" si="9"/>
        <v>1</v>
      </c>
      <c r="K45" s="52"/>
    </row>
    <row r="46" spans="1:11" x14ac:dyDescent="0.2">
      <c r="A46" s="53" t="s">
        <v>142</v>
      </c>
      <c r="B46" s="54"/>
      <c r="C46" s="55"/>
      <c r="D46" s="55">
        <f>SUM(D18,D24,D25,D27,D32,D39,D40)</f>
        <v>128.64336672143736</v>
      </c>
      <c r="E46" s="55"/>
      <c r="F46" s="55"/>
      <c r="G46" s="55">
        <f>SUM(G18,G24,G25,G27,G32,G39,G40)</f>
        <v>134.52890800000003</v>
      </c>
      <c r="H46" s="55">
        <f>G46-D46</f>
        <v>5.8855412785626697</v>
      </c>
      <c r="I46" s="56">
        <f t="shared" si="7"/>
        <v>4.5750833708411431E-2</v>
      </c>
      <c r="J46" s="56"/>
      <c r="K46" s="57">
        <f>G46/$G$50</f>
        <v>0.95238095238095244</v>
      </c>
    </row>
    <row r="47" spans="1:11" x14ac:dyDescent="0.2">
      <c r="A47" s="58" t="s">
        <v>138</v>
      </c>
      <c r="B47" s="59"/>
      <c r="C47" s="31">
        <v>0.13</v>
      </c>
      <c r="D47" s="31">
        <f>D46*C47</f>
        <v>16.723637673786858</v>
      </c>
      <c r="E47" s="31"/>
      <c r="F47" s="31">
        <f>C47</f>
        <v>0.13</v>
      </c>
      <c r="G47" s="31">
        <f>G46*F47</f>
        <v>17.488758040000004</v>
      </c>
      <c r="H47" s="31">
        <f>G47-D47</f>
        <v>0.7651203662131465</v>
      </c>
      <c r="I47" s="32">
        <f t="shared" si="7"/>
        <v>4.5750833708411397E-2</v>
      </c>
      <c r="J47" s="32"/>
      <c r="K47" s="60">
        <f>G47/$G$50</f>
        <v>0.12380952380952383</v>
      </c>
    </row>
    <row r="48" spans="1:11" x14ac:dyDescent="0.2">
      <c r="A48" s="61" t="s">
        <v>143</v>
      </c>
      <c r="B48" s="29"/>
      <c r="C48" s="30"/>
      <c r="D48" s="30">
        <f>SUM(D46:D47)</f>
        <v>145.36700439522423</v>
      </c>
      <c r="E48" s="30"/>
      <c r="F48" s="30"/>
      <c r="G48" s="30">
        <f>SUM(G46:G47)</f>
        <v>152.01766604000002</v>
      </c>
      <c r="H48" s="30">
        <f>G48-D48</f>
        <v>6.6506616447757949</v>
      </c>
      <c r="I48" s="33">
        <f t="shared" si="7"/>
        <v>4.5750833708411279E-2</v>
      </c>
      <c r="J48" s="33"/>
      <c r="K48" s="62">
        <f>G48/$G$50</f>
        <v>1.0761904761904761</v>
      </c>
    </row>
    <row r="49" spans="1:11" x14ac:dyDescent="0.2">
      <c r="A49" s="58" t="s">
        <v>140</v>
      </c>
      <c r="B49" s="59"/>
      <c r="C49" s="31">
        <v>-0.08</v>
      </c>
      <c r="D49" s="31">
        <f>D46*C49</f>
        <v>-10.29146933771499</v>
      </c>
      <c r="E49" s="31"/>
      <c r="F49" s="31">
        <f>C49</f>
        <v>-0.08</v>
      </c>
      <c r="G49" s="31">
        <f>G46*F49</f>
        <v>-10.762312640000003</v>
      </c>
      <c r="H49" s="31">
        <f>G49-D49</f>
        <v>-0.47084330228501337</v>
      </c>
      <c r="I49" s="32">
        <f t="shared" si="7"/>
        <v>-4.5750833708411411E-2</v>
      </c>
      <c r="J49" s="32"/>
      <c r="K49" s="60">
        <f>G49/$G$50</f>
        <v>-7.6190476190476197E-2</v>
      </c>
    </row>
    <row r="50" spans="1:11" ht="13.5" thickBot="1" x14ac:dyDescent="0.25">
      <c r="A50" s="63" t="s">
        <v>144</v>
      </c>
      <c r="B50" s="64"/>
      <c r="C50" s="65"/>
      <c r="D50" s="65">
        <f>SUM(D48:D49)</f>
        <v>135.07553505750923</v>
      </c>
      <c r="E50" s="65"/>
      <c r="F50" s="65"/>
      <c r="G50" s="65">
        <f>SUM(G48:G49)</f>
        <v>141.25535340000002</v>
      </c>
      <c r="H50" s="65">
        <f>G50-D50</f>
        <v>6.1798183424907904</v>
      </c>
      <c r="I50" s="66">
        <f t="shared" si="7"/>
        <v>4.5750833708411334E-2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theme="1" tint="0.499984740745262"/>
    <pageSetUpPr fitToPage="1"/>
  </sheetPr>
  <dimension ref="A1:K68"/>
  <sheetViews>
    <sheetView tabSelected="1" topLeftCell="B1" zoomScale="110" zoomScaleNormal="110" workbookViewId="0">
      <selection activeCell="N7" sqref="N7"/>
    </sheetView>
  </sheetViews>
  <sheetFormatPr defaultRowHeight="12.75" x14ac:dyDescent="0.2"/>
  <cols>
    <col min="1" max="1" width="64.855468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0</v>
      </c>
    </row>
    <row r="4" spans="1:11" x14ac:dyDescent="0.2">
      <c r="A4" s="15" t="s">
        <v>62</v>
      </c>
      <c r="B4" s="79">
        <f>'Data for Bill Impacts_HONI Avg '!C3</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81">
        <f>B4*B6</f>
        <v>798.03499999999997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0.40293632251230932</v>
      </c>
      <c r="K12" s="106"/>
    </row>
    <row r="13" spans="1:11" x14ac:dyDescent="0.2">
      <c r="A13" s="107" t="s">
        <v>32</v>
      </c>
      <c r="B13" s="73">
        <f>IF(B4&gt;B7,(B4)-B7,0)</f>
        <v>155</v>
      </c>
      <c r="C13" s="21">
        <v>0.106</v>
      </c>
      <c r="D13" s="22">
        <f>B13*C13</f>
        <v>16.43</v>
      </c>
      <c r="E13" s="73">
        <f t="shared" ref="E13" si="1">B13</f>
        <v>155</v>
      </c>
      <c r="F13" s="21">
        <f>C13</f>
        <v>0.106</v>
      </c>
      <c r="G13" s="22">
        <f>E13*F13</f>
        <v>16.43</v>
      </c>
      <c r="H13" s="22">
        <f t="shared" ref="H13:H46" si="2">G13-D13</f>
        <v>0</v>
      </c>
      <c r="I13" s="23">
        <f t="shared" si="0"/>
        <v>0</v>
      </c>
      <c r="J13" s="23">
        <f>G13/$G$46</f>
        <v>0.12124988606002274</v>
      </c>
      <c r="K13" s="108"/>
    </row>
    <row r="14" spans="1:11" s="1" customFormat="1" x14ac:dyDescent="0.2">
      <c r="A14" s="46" t="s">
        <v>33</v>
      </c>
      <c r="B14" s="24"/>
      <c r="C14" s="25"/>
      <c r="D14" s="25">
        <f>SUM(D12:D13)</f>
        <v>71.03</v>
      </c>
      <c r="E14" s="76"/>
      <c r="F14" s="25"/>
      <c r="G14" s="25">
        <f>SUM(G12:G13)</f>
        <v>71.03</v>
      </c>
      <c r="H14" s="25">
        <f t="shared" si="2"/>
        <v>0</v>
      </c>
      <c r="I14" s="27">
        <f t="shared" si="0"/>
        <v>0</v>
      </c>
      <c r="J14" s="27">
        <f>G14/$G$46</f>
        <v>0.524186208572332</v>
      </c>
      <c r="K14" s="108"/>
    </row>
    <row r="15" spans="1:11" s="1" customFormat="1" x14ac:dyDescent="0.2">
      <c r="A15" s="109" t="s">
        <v>34</v>
      </c>
      <c r="B15" s="75">
        <f>B4*0.65</f>
        <v>490.75</v>
      </c>
      <c r="C15" s="28">
        <v>7.6999999999999999E-2</v>
      </c>
      <c r="D15" s="22">
        <f>B15*C15</f>
        <v>37.787750000000003</v>
      </c>
      <c r="E15" s="73">
        <f t="shared" ref="E15:F17" si="3">B15</f>
        <v>490.75</v>
      </c>
      <c r="F15" s="28">
        <f t="shared" si="3"/>
        <v>7.6999999999999999E-2</v>
      </c>
      <c r="G15" s="22">
        <f>E15*F15</f>
        <v>37.787750000000003</v>
      </c>
      <c r="H15" s="22">
        <f t="shared" si="2"/>
        <v>0</v>
      </c>
      <c r="I15" s="23">
        <f t="shared" si="0"/>
        <v>0</v>
      </c>
      <c r="J15" s="23"/>
      <c r="K15" s="108">
        <f t="shared" ref="K15:K26" si="4">G15/$G$51</f>
        <v>0.27412307281904613</v>
      </c>
    </row>
    <row r="16" spans="1:11" s="1" customFormat="1" x14ac:dyDescent="0.2">
      <c r="A16" s="109" t="s">
        <v>35</v>
      </c>
      <c r="B16" s="75">
        <f>B4*0.17</f>
        <v>128.35000000000002</v>
      </c>
      <c r="C16" s="28">
        <v>0.113</v>
      </c>
      <c r="D16" s="22">
        <f>B16*C16</f>
        <v>14.503550000000002</v>
      </c>
      <c r="E16" s="73">
        <f t="shared" si="3"/>
        <v>128.35000000000002</v>
      </c>
      <c r="F16" s="28">
        <f t="shared" si="3"/>
        <v>0.113</v>
      </c>
      <c r="G16" s="22">
        <f>E16*F16</f>
        <v>14.503550000000002</v>
      </c>
      <c r="H16" s="22">
        <f t="shared" si="2"/>
        <v>0</v>
      </c>
      <c r="I16" s="23">
        <f t="shared" si="0"/>
        <v>0</v>
      </c>
      <c r="J16" s="23"/>
      <c r="K16" s="108">
        <f t="shared" si="4"/>
        <v>0.10521287170537215</v>
      </c>
    </row>
    <row r="17" spans="1:11" s="1" customFormat="1" x14ac:dyDescent="0.2">
      <c r="A17" s="109" t="s">
        <v>36</v>
      </c>
      <c r="B17" s="75">
        <f>B4*0.18</f>
        <v>135.9</v>
      </c>
      <c r="C17" s="28">
        <v>0.157</v>
      </c>
      <c r="D17" s="22">
        <f>B17*C17</f>
        <v>21.336300000000001</v>
      </c>
      <c r="E17" s="73">
        <f t="shared" si="3"/>
        <v>135.9</v>
      </c>
      <c r="F17" s="28">
        <f t="shared" si="3"/>
        <v>0.157</v>
      </c>
      <c r="G17" s="22">
        <f>E17*F17</f>
        <v>21.336300000000001</v>
      </c>
      <c r="H17" s="22">
        <f t="shared" si="2"/>
        <v>0</v>
      </c>
      <c r="I17" s="23">
        <f t="shared" si="0"/>
        <v>0</v>
      </c>
      <c r="J17" s="23"/>
      <c r="K17" s="108">
        <f t="shared" si="4"/>
        <v>0.15477958117614871</v>
      </c>
    </row>
    <row r="18" spans="1:11" s="1" customFormat="1" x14ac:dyDescent="0.2">
      <c r="A18" s="61" t="s">
        <v>37</v>
      </c>
      <c r="B18" s="29"/>
      <c r="C18" s="30"/>
      <c r="D18" s="30">
        <f>SUM(D15:D17)</f>
        <v>73.627600000000001</v>
      </c>
      <c r="E18" s="77"/>
      <c r="F18" s="30"/>
      <c r="G18" s="30">
        <f>SUM(G15:G17)</f>
        <v>73.627600000000001</v>
      </c>
      <c r="H18" s="31">
        <f t="shared" si="2"/>
        <v>0</v>
      </c>
      <c r="I18" s="32">
        <f t="shared" si="0"/>
        <v>0</v>
      </c>
      <c r="J18" s="33">
        <f t="shared" ref="J18:J23" si="5">G18/$G$46</f>
        <v>0.54335594101478579</v>
      </c>
      <c r="K18" s="62">
        <f t="shared" si="4"/>
        <v>0.53411552570056697</v>
      </c>
    </row>
    <row r="19" spans="1:11" x14ac:dyDescent="0.2">
      <c r="A19" s="107" t="s">
        <v>38</v>
      </c>
      <c r="B19" s="73">
        <v>1</v>
      </c>
      <c r="C19" s="78">
        <f>VLOOKUP($B$3,'Data for Bill Impacts'!$A$3:$Y$15,7,0)</f>
        <v>35.85</v>
      </c>
      <c r="D19" s="22">
        <f>B19*C19</f>
        <v>35.85</v>
      </c>
      <c r="E19" s="73">
        <f t="shared" ref="E19:E41" si="6">B19</f>
        <v>1</v>
      </c>
      <c r="F19" s="78">
        <f>VLOOKUP($B$3,'Data for Bill Impacts'!$A$3:$Y$15,17,0)</f>
        <v>36.67</v>
      </c>
      <c r="G19" s="22">
        <f>E19*F19</f>
        <v>36.67</v>
      </c>
      <c r="H19" s="22">
        <f t="shared" si="2"/>
        <v>0.82000000000000028</v>
      </c>
      <c r="I19" s="23">
        <f>IF(ISERROR(H19/ABS(D19)),"N/A",(H19/ABS(D19)))</f>
        <v>2.2873082287308236E-2</v>
      </c>
      <c r="J19" s="23">
        <f t="shared" si="5"/>
        <v>0.27061675726238793</v>
      </c>
      <c r="K19" s="108">
        <f t="shared" si="4"/>
        <v>0.26601459680119671</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7.0000000000000001E-3</v>
      </c>
      <c r="D22" s="22">
        <f t="shared" si="9"/>
        <v>7.0000000000000001E-3</v>
      </c>
      <c r="E22" s="73">
        <f t="shared" si="6"/>
        <v>1</v>
      </c>
      <c r="F22" s="121">
        <f>VLOOKUP($B$3,'Data for Bill Impacts'!$A$3:$Y$15,22,0)</f>
        <v>7.0000000000000001E-3</v>
      </c>
      <c r="G22" s="22">
        <f t="shared" si="7"/>
        <v>7.0000000000000001E-3</v>
      </c>
      <c r="H22" s="22">
        <f t="shared" si="2"/>
        <v>0</v>
      </c>
      <c r="I22" s="23">
        <f t="shared" ref="I22:I51" si="10">IF(ISERROR(H22/ABS(D22)),"N/A",(H22/ABS(D22)))</f>
        <v>0</v>
      </c>
      <c r="J22" s="23">
        <f t="shared" si="5"/>
        <v>5.1658502886193502E-5</v>
      </c>
      <c r="K22" s="108">
        <f t="shared" si="4"/>
        <v>5.0779988481275615E-5</v>
      </c>
    </row>
    <row r="23" spans="1:11" x14ac:dyDescent="0.2">
      <c r="A23" s="107" t="s">
        <v>39</v>
      </c>
      <c r="B23" s="73">
        <f>IF($B$9="kWh",$B$4,$B$5)</f>
        <v>755</v>
      </c>
      <c r="C23" s="125">
        <f>VLOOKUP($B$3,'Data for Bill Impacts'!$A$3:$Y$15,10,0)</f>
        <v>0</v>
      </c>
      <c r="D23" s="22">
        <f>B23*C23</f>
        <v>0</v>
      </c>
      <c r="E23" s="73">
        <f t="shared" si="6"/>
        <v>755</v>
      </c>
      <c r="F23" s="125">
        <f>VLOOKUP($B$3,'Data for Bill Impacts'!$A$3:$Y$15,19,0)</f>
        <v>0</v>
      </c>
      <c r="G23" s="22">
        <f>E23*F23</f>
        <v>0</v>
      </c>
      <c r="H23" s="22">
        <f t="shared" si="2"/>
        <v>0</v>
      </c>
      <c r="I23" s="23" t="str">
        <f t="shared" si="10"/>
        <v>N/A</v>
      </c>
      <c r="J23" s="23">
        <f t="shared" si="5"/>
        <v>0</v>
      </c>
      <c r="K23" s="108">
        <f t="shared" si="4"/>
        <v>0</v>
      </c>
    </row>
    <row r="24" spans="1:11" x14ac:dyDescent="0.2">
      <c r="A24" s="107" t="s">
        <v>199</v>
      </c>
      <c r="B24" s="73">
        <f>IF($B$9="kWh",$B$4,$B$5)</f>
        <v>755</v>
      </c>
      <c r="C24" s="125">
        <f>VLOOKUP($B$3,'Data for Bill Impacts'!$A$3:$Y$15,14,0)</f>
        <v>3.0000000000000004E-5</v>
      </c>
      <c r="D24" s="22">
        <f>B24*C24</f>
        <v>2.2650000000000003E-2</v>
      </c>
      <c r="E24" s="73">
        <f t="shared" si="6"/>
        <v>755</v>
      </c>
      <c r="F24" s="125">
        <f>VLOOKUP($B$3,'Data for Bill Impacts'!$A$3:$Y$15,23,0)</f>
        <v>3.0000000000000004E-5</v>
      </c>
      <c r="G24" s="22">
        <f>E24*F24</f>
        <v>2.2650000000000003E-2</v>
      </c>
      <c r="H24" s="22">
        <f t="shared" si="2"/>
        <v>0</v>
      </c>
      <c r="I24" s="23">
        <f t="shared" si="10"/>
        <v>0</v>
      </c>
      <c r="J24" s="23">
        <f t="shared" ref="J24" si="11">G24/$G$46</f>
        <v>1.6715215576746899E-4</v>
      </c>
      <c r="K24" s="108">
        <f t="shared" si="4"/>
        <v>1.6430953415727041E-4</v>
      </c>
    </row>
    <row r="25" spans="1:11" s="1" customFormat="1" x14ac:dyDescent="0.2">
      <c r="A25" s="110" t="s">
        <v>72</v>
      </c>
      <c r="B25" s="74"/>
      <c r="C25" s="35"/>
      <c r="D25" s="35">
        <f>SUM(D19:D24)</f>
        <v>35.879649999999998</v>
      </c>
      <c r="E25" s="73"/>
      <c r="F25" s="35"/>
      <c r="G25" s="35">
        <f>SUM(G19:G24)</f>
        <v>36.699649999999998</v>
      </c>
      <c r="H25" s="35">
        <f t="shared" si="2"/>
        <v>0.82000000000000028</v>
      </c>
      <c r="I25" s="36">
        <f t="shared" si="10"/>
        <v>2.2854180573110394E-2</v>
      </c>
      <c r="J25" s="36">
        <f>G25/$G$46</f>
        <v>0.27083556792104158</v>
      </c>
      <c r="K25" s="111">
        <f t="shared" si="4"/>
        <v>0.2662296863238352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5.8300310400132664E-3</v>
      </c>
      <c r="K26" s="108">
        <f t="shared" si="4"/>
        <v>5.7308844143153913E-3</v>
      </c>
    </row>
    <row r="27" spans="1:11" s="1" customFormat="1" x14ac:dyDescent="0.2">
      <c r="A27" s="119" t="s">
        <v>75</v>
      </c>
      <c r="B27" s="120">
        <f>B8-B4</f>
        <v>43.034999999999968</v>
      </c>
      <c r="C27" s="257">
        <f>IF(B4&gt;B7,C13,C12)</f>
        <v>0.106</v>
      </c>
      <c r="D27" s="22">
        <f>B27*C27</f>
        <v>4.5617099999999962</v>
      </c>
      <c r="E27" s="73">
        <f>B27</f>
        <v>43.034999999999968</v>
      </c>
      <c r="F27" s="257">
        <f>C27</f>
        <v>0.106</v>
      </c>
      <c r="G27" s="22">
        <f>E27*F27</f>
        <v>4.5617099999999962</v>
      </c>
      <c r="H27" s="22">
        <f t="shared" si="2"/>
        <v>0</v>
      </c>
      <c r="I27" s="23">
        <f t="shared" si="10"/>
        <v>0</v>
      </c>
      <c r="J27" s="23">
        <f t="shared" ref="J27:J46" si="12">G27/$G$46</f>
        <v>3.366444417156822E-2</v>
      </c>
      <c r="K27" s="108">
        <f t="shared" ref="K27:K41" si="13">G27/$G$51</f>
        <v>3.3091940179274228E-2</v>
      </c>
    </row>
    <row r="28" spans="1:11" s="1" customFormat="1" x14ac:dyDescent="0.2">
      <c r="A28" s="119" t="s">
        <v>74</v>
      </c>
      <c r="B28" s="120">
        <f>B8-B4</f>
        <v>43.034999999999968</v>
      </c>
      <c r="C28" s="257">
        <f>0.65*C15+0.17*C16+0.18*C17</f>
        <v>9.7519999999999996E-2</v>
      </c>
      <c r="D28" s="22">
        <f>B28*C28</f>
        <v>4.1967731999999964</v>
      </c>
      <c r="E28" s="73">
        <f>B28</f>
        <v>43.034999999999968</v>
      </c>
      <c r="F28" s="257">
        <f>C28</f>
        <v>9.7519999999999996E-2</v>
      </c>
      <c r="G28" s="22">
        <f>E28*F28</f>
        <v>4.1967731999999964</v>
      </c>
      <c r="H28" s="22">
        <f t="shared" si="2"/>
        <v>0</v>
      </c>
      <c r="I28" s="23">
        <f t="shared" si="10"/>
        <v>0</v>
      </c>
      <c r="J28" s="23">
        <f t="shared" si="12"/>
        <v>3.0971288637842764E-2</v>
      </c>
      <c r="K28" s="108">
        <f t="shared" si="13"/>
        <v>3.0444584964932287E-2</v>
      </c>
    </row>
    <row r="29" spans="1:11" s="1" customFormat="1" x14ac:dyDescent="0.2">
      <c r="A29" s="110" t="s">
        <v>78</v>
      </c>
      <c r="B29" s="74"/>
      <c r="C29" s="35"/>
      <c r="D29" s="35">
        <f>SUM(D25,D26:D27)</f>
        <v>41.231359999999995</v>
      </c>
      <c r="E29" s="73"/>
      <c r="F29" s="35"/>
      <c r="G29" s="35">
        <f>SUM(G25,G26:G27)</f>
        <v>42.051359999999995</v>
      </c>
      <c r="H29" s="35">
        <f t="shared" si="2"/>
        <v>0.82000000000000028</v>
      </c>
      <c r="I29" s="36">
        <f t="shared" si="10"/>
        <v>1.9887774742332061E-2</v>
      </c>
      <c r="J29" s="36">
        <f t="shared" si="12"/>
        <v>0.31033004313262308</v>
      </c>
      <c r="K29" s="111">
        <f t="shared" si="13"/>
        <v>0.30505251091742486</v>
      </c>
    </row>
    <row r="30" spans="1:11" s="1" customFormat="1" x14ac:dyDescent="0.2">
      <c r="A30" s="110" t="s">
        <v>77</v>
      </c>
      <c r="B30" s="74"/>
      <c r="C30" s="35"/>
      <c r="D30" s="35">
        <f>SUM(D25,D26,D28)</f>
        <v>40.866423199999993</v>
      </c>
      <c r="E30" s="73"/>
      <c r="F30" s="35"/>
      <c r="G30" s="35">
        <f>SUM(G25,G26,G28)</f>
        <v>41.686423199999993</v>
      </c>
      <c r="H30" s="35">
        <f t="shared" si="2"/>
        <v>0.82000000000000028</v>
      </c>
      <c r="I30" s="36">
        <f t="shared" si="10"/>
        <v>2.0065372395986943E-2</v>
      </c>
      <c r="J30" s="36">
        <f t="shared" si="12"/>
        <v>0.30763688759889762</v>
      </c>
      <c r="K30" s="111">
        <f t="shared" si="13"/>
        <v>0.30240515570308291</v>
      </c>
    </row>
    <row r="31" spans="1:11" x14ac:dyDescent="0.2">
      <c r="A31" s="107" t="s">
        <v>40</v>
      </c>
      <c r="B31" s="73">
        <f>B8</f>
        <v>798.03499999999997</v>
      </c>
      <c r="C31" s="125">
        <f>VLOOKUP($B$3,'Data for Bill Impacts'!$A$3:$Y$15,15,0)</f>
        <v>7.8279999999999999E-3</v>
      </c>
      <c r="D31" s="22">
        <f>B31*C31</f>
        <v>6.2470179799999999</v>
      </c>
      <c r="E31" s="73">
        <f t="shared" si="6"/>
        <v>798.03499999999997</v>
      </c>
      <c r="F31" s="78">
        <f>VLOOKUP($B$3,'Data for Bill Impacts'!$A$3:$Y$15,24,0)</f>
        <v>7.7000000000000002E-3</v>
      </c>
      <c r="G31" s="22">
        <f>E31*F31</f>
        <v>6.1448694999999995</v>
      </c>
      <c r="H31" s="22">
        <f t="shared" si="2"/>
        <v>-0.10214848000000032</v>
      </c>
      <c r="I31" s="23">
        <f t="shared" si="10"/>
        <v>-1.6351558507920336E-2</v>
      </c>
      <c r="J31" s="23">
        <f t="shared" si="12"/>
        <v>4.5347822685861766E-2</v>
      </c>
      <c r="K31" s="108">
        <f t="shared" si="13"/>
        <v>4.4576628918420264E-2</v>
      </c>
    </row>
    <row r="32" spans="1:11" x14ac:dyDescent="0.2">
      <c r="A32" s="107" t="s">
        <v>41</v>
      </c>
      <c r="B32" s="73">
        <f>B8</f>
        <v>798.03499999999997</v>
      </c>
      <c r="C32" s="125">
        <f>VLOOKUP($B$3,'Data for Bill Impacts'!$A$3:$Y$15,16,0)</f>
        <v>6.4380000000000001E-3</v>
      </c>
      <c r="D32" s="22">
        <f>B32*C32</f>
        <v>5.1377493300000001</v>
      </c>
      <c r="E32" s="73">
        <f t="shared" si="6"/>
        <v>798.03499999999997</v>
      </c>
      <c r="F32" s="78">
        <f>VLOOKUP($B$3,'Data for Bill Impacts'!$A$3:$Y$15,25,0)</f>
        <v>6.3E-3</v>
      </c>
      <c r="G32" s="22">
        <f>E32*F32</f>
        <v>5.0276205000000003</v>
      </c>
      <c r="H32" s="22">
        <f t="shared" si="2"/>
        <v>-0.11012882999999984</v>
      </c>
      <c r="I32" s="23">
        <f t="shared" si="10"/>
        <v>-2.1435228331780024E-2</v>
      </c>
      <c r="J32" s="23">
        <f t="shared" si="12"/>
        <v>3.7102764015705086E-2</v>
      </c>
      <c r="K32" s="108">
        <f t="shared" si="13"/>
        <v>3.647178729688931E-2</v>
      </c>
    </row>
    <row r="33" spans="1:11" s="1" customFormat="1" x14ac:dyDescent="0.2">
      <c r="A33" s="110" t="s">
        <v>76</v>
      </c>
      <c r="B33" s="74"/>
      <c r="C33" s="35"/>
      <c r="D33" s="35">
        <f>SUM(D31:D32)</f>
        <v>11.384767310000001</v>
      </c>
      <c r="E33" s="73"/>
      <c r="F33" s="35"/>
      <c r="G33" s="35">
        <f>SUM(G31:G32)</f>
        <v>11.17249</v>
      </c>
      <c r="H33" s="35">
        <f t="shared" si="2"/>
        <v>-0.21227731000000105</v>
      </c>
      <c r="I33" s="36">
        <f t="shared" si="10"/>
        <v>-1.8645731108930415E-2</v>
      </c>
      <c r="J33" s="36">
        <f t="shared" si="12"/>
        <v>8.2450586701566853E-2</v>
      </c>
      <c r="K33" s="111">
        <f t="shared" si="13"/>
        <v>8.1048416215309574E-2</v>
      </c>
    </row>
    <row r="34" spans="1:11" s="1" customFormat="1" x14ac:dyDescent="0.2">
      <c r="A34" s="110" t="s">
        <v>95</v>
      </c>
      <c r="B34" s="74"/>
      <c r="C34" s="35"/>
      <c r="D34" s="35">
        <f>D29+D33</f>
        <v>52.616127309999996</v>
      </c>
      <c r="E34" s="73"/>
      <c r="F34" s="35"/>
      <c r="G34" s="35">
        <f>G29+G33</f>
        <v>53.223849999999999</v>
      </c>
      <c r="H34" s="35">
        <f t="shared" si="2"/>
        <v>0.60772269000000279</v>
      </c>
      <c r="I34" s="36">
        <f t="shared" si="10"/>
        <v>1.1550122007639692E-2</v>
      </c>
      <c r="J34" s="36">
        <f t="shared" si="12"/>
        <v>0.39278062983418999</v>
      </c>
      <c r="K34" s="111">
        <f t="shared" si="13"/>
        <v>0.38610092713273442</v>
      </c>
    </row>
    <row r="35" spans="1:11" s="1" customFormat="1" x14ac:dyDescent="0.2">
      <c r="A35" s="110" t="s">
        <v>96</v>
      </c>
      <c r="B35" s="74"/>
      <c r="C35" s="35"/>
      <c r="D35" s="35">
        <f>D30+D33</f>
        <v>52.251190509999994</v>
      </c>
      <c r="E35" s="73"/>
      <c r="F35" s="35"/>
      <c r="G35" s="35">
        <f>G30+G33</f>
        <v>52.858913199999989</v>
      </c>
      <c r="H35" s="35">
        <f t="shared" si="2"/>
        <v>0.60772268999999568</v>
      </c>
      <c r="I35" s="36">
        <f t="shared" si="10"/>
        <v>1.1630791261754847E-2</v>
      </c>
      <c r="J35" s="36">
        <f t="shared" si="12"/>
        <v>0.39008747430046442</v>
      </c>
      <c r="K35" s="111">
        <f t="shared" si="13"/>
        <v>0.38345357191839241</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2"/>
        <v>0</v>
      </c>
      <c r="I36" s="23">
        <f t="shared" si="10"/>
        <v>0</v>
      </c>
      <c r="J36" s="23">
        <f t="shared" si="12"/>
        <v>2.1201579437545762E-2</v>
      </c>
      <c r="K36" s="108">
        <f t="shared" si="13"/>
        <v>2.0841021312508173E-2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10"/>
        <v>0</v>
      </c>
      <c r="J37" s="23">
        <f t="shared" si="12"/>
        <v>1.2367588005235026E-2</v>
      </c>
      <c r="K37" s="108">
        <f t="shared" si="13"/>
        <v>1.2157262432296433E-2</v>
      </c>
    </row>
    <row r="38" spans="1:11" x14ac:dyDescent="0.2">
      <c r="A38" s="107" t="s">
        <v>100</v>
      </c>
      <c r="B38" s="73">
        <f>B8</f>
        <v>798.03499999999997</v>
      </c>
      <c r="C38" s="34">
        <v>0</v>
      </c>
      <c r="D38" s="22">
        <f>B38*C38</f>
        <v>0</v>
      </c>
      <c r="E38" s="73">
        <f t="shared" si="6"/>
        <v>798.03499999999997</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1.8449465316497677E-3</v>
      </c>
      <c r="K39" s="108">
        <f t="shared" si="13"/>
        <v>1.8135710171884149E-3</v>
      </c>
    </row>
    <row r="40" spans="1:11" s="1" customFormat="1" x14ac:dyDescent="0.2">
      <c r="A40" s="110" t="s">
        <v>45</v>
      </c>
      <c r="B40" s="74"/>
      <c r="C40" s="35"/>
      <c r="D40" s="35">
        <f>SUM(D36:D39)</f>
        <v>4.7987994999999994</v>
      </c>
      <c r="E40" s="73"/>
      <c r="F40" s="35"/>
      <c r="G40" s="35">
        <f>SUM(G36:G39)</f>
        <v>4.7987994999999994</v>
      </c>
      <c r="H40" s="35">
        <f t="shared" si="2"/>
        <v>0</v>
      </c>
      <c r="I40" s="36">
        <f t="shared" si="10"/>
        <v>0</v>
      </c>
      <c r="J40" s="36">
        <f t="shared" si="12"/>
        <v>3.5414113974430554E-2</v>
      </c>
      <c r="K40" s="111">
        <f t="shared" si="13"/>
        <v>3.481185476199302E-2</v>
      </c>
    </row>
    <row r="41" spans="1:11" s="1" customFormat="1" ht="13.5" thickBot="1" x14ac:dyDescent="0.25">
      <c r="A41" s="112" t="s">
        <v>46</v>
      </c>
      <c r="B41" s="113">
        <f>B4</f>
        <v>755</v>
      </c>
      <c r="C41" s="114">
        <v>0</v>
      </c>
      <c r="D41" s="115">
        <f>B41*C41</f>
        <v>0</v>
      </c>
      <c r="E41" s="116">
        <f t="shared" si="6"/>
        <v>755</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128.44492681</v>
      </c>
      <c r="E42" s="38"/>
      <c r="F42" s="39"/>
      <c r="G42" s="39">
        <f>SUM(G14,G25,G26,G27,G33,G40,G41)</f>
        <v>129.05264949999997</v>
      </c>
      <c r="H42" s="39">
        <f t="shared" si="2"/>
        <v>0.60772268999997436</v>
      </c>
      <c r="I42" s="40">
        <f t="shared" si="10"/>
        <v>4.7313872575048292E-3</v>
      </c>
      <c r="J42" s="40">
        <f t="shared" si="12"/>
        <v>0.95238095238095233</v>
      </c>
      <c r="K42" s="41"/>
    </row>
    <row r="43" spans="1:11" x14ac:dyDescent="0.2">
      <c r="A43" s="149" t="s">
        <v>138</v>
      </c>
      <c r="B43" s="43"/>
      <c r="C43" s="26">
        <v>0.13</v>
      </c>
      <c r="D43" s="26">
        <f>D42*C43</f>
        <v>16.697840485299999</v>
      </c>
      <c r="E43" s="26"/>
      <c r="F43" s="26">
        <f>C43</f>
        <v>0.13</v>
      </c>
      <c r="G43" s="26">
        <f>G42*F43</f>
        <v>16.776844434999997</v>
      </c>
      <c r="H43" s="26">
        <f t="shared" si="2"/>
        <v>7.9003949699998799E-2</v>
      </c>
      <c r="I43" s="44">
        <f t="shared" si="10"/>
        <v>4.7313872575049567E-3</v>
      </c>
      <c r="J43" s="44">
        <f t="shared" si="12"/>
        <v>0.12380952380952381</v>
      </c>
      <c r="K43" s="45"/>
    </row>
    <row r="44" spans="1:11" s="1" customFormat="1" x14ac:dyDescent="0.2">
      <c r="A44" s="46" t="s">
        <v>139</v>
      </c>
      <c r="B44" s="24"/>
      <c r="C44" s="25"/>
      <c r="D44" s="25">
        <f>SUM(D42:D43)</f>
        <v>145.14276729529999</v>
      </c>
      <c r="E44" s="25"/>
      <c r="F44" s="25"/>
      <c r="G44" s="25">
        <f>SUM(G42:G43)</f>
        <v>145.82949393499996</v>
      </c>
      <c r="H44" s="25">
        <f t="shared" si="2"/>
        <v>0.68672663969996961</v>
      </c>
      <c r="I44" s="27">
        <f t="shared" si="10"/>
        <v>4.7313872575048196E-3</v>
      </c>
      <c r="J44" s="27">
        <f t="shared" si="12"/>
        <v>1.0761904761904761</v>
      </c>
      <c r="K44" s="47"/>
    </row>
    <row r="45" spans="1:11" x14ac:dyDescent="0.2">
      <c r="A45" s="42" t="s">
        <v>140</v>
      </c>
      <c r="B45" s="43"/>
      <c r="C45" s="26">
        <v>-0.08</v>
      </c>
      <c r="D45" s="26">
        <f>D42*C45</f>
        <v>-10.275594144799999</v>
      </c>
      <c r="E45" s="26"/>
      <c r="F45" s="26">
        <f>C45</f>
        <v>-0.08</v>
      </c>
      <c r="G45" s="26">
        <f>G42*F45</f>
        <v>-10.324211959999998</v>
      </c>
      <c r="H45" s="26">
        <f t="shared" si="2"/>
        <v>-4.8617815199998304E-2</v>
      </c>
      <c r="I45" s="44">
        <f t="shared" si="10"/>
        <v>-4.7313872575048639E-3</v>
      </c>
      <c r="J45" s="44">
        <f t="shared" si="12"/>
        <v>-7.6190476190476183E-2</v>
      </c>
      <c r="K45" s="45"/>
    </row>
    <row r="46" spans="1:11" s="1" customFormat="1" ht="13.5" thickBot="1" x14ac:dyDescent="0.25">
      <c r="A46" s="48" t="s">
        <v>141</v>
      </c>
      <c r="B46" s="49"/>
      <c r="C46" s="50"/>
      <c r="D46" s="50">
        <f>SUM(D44:D45)</f>
        <v>134.86717315049998</v>
      </c>
      <c r="E46" s="50"/>
      <c r="F46" s="50"/>
      <c r="G46" s="50">
        <f>SUM(G44:G45)</f>
        <v>135.50528197499997</v>
      </c>
      <c r="H46" s="50">
        <f t="shared" si="2"/>
        <v>0.6381088244999944</v>
      </c>
      <c r="I46" s="51">
        <f t="shared" si="10"/>
        <v>4.7313872575049879E-3</v>
      </c>
      <c r="J46" s="51">
        <f t="shared" si="12"/>
        <v>1</v>
      </c>
      <c r="K46" s="52"/>
    </row>
    <row r="47" spans="1:11" x14ac:dyDescent="0.2">
      <c r="A47" s="53" t="s">
        <v>142</v>
      </c>
      <c r="B47" s="54"/>
      <c r="C47" s="55"/>
      <c r="D47" s="55">
        <f>SUM(D18,D25,D26,D28,D33,D40,D41)</f>
        <v>130.67759000999999</v>
      </c>
      <c r="E47" s="55"/>
      <c r="F47" s="55"/>
      <c r="G47" s="55">
        <f>SUM(G18,G25,G26,G28,G33,G40,G41)</f>
        <v>131.28531269999999</v>
      </c>
      <c r="H47" s="55">
        <f>G47-D47</f>
        <v>0.60772269000000279</v>
      </c>
      <c r="I47" s="56">
        <f t="shared" si="10"/>
        <v>4.650550181966911E-3</v>
      </c>
      <c r="J47" s="56"/>
      <c r="K47" s="57">
        <f>G47/$G$51</f>
        <v>0.95238095238095244</v>
      </c>
    </row>
    <row r="48" spans="1:11" x14ac:dyDescent="0.2">
      <c r="A48" s="58" t="s">
        <v>138</v>
      </c>
      <c r="B48" s="59"/>
      <c r="C48" s="31">
        <v>0.13</v>
      </c>
      <c r="D48" s="31">
        <f>D47*C48</f>
        <v>16.988086701299999</v>
      </c>
      <c r="E48" s="31"/>
      <c r="F48" s="31">
        <f>C48</f>
        <v>0.13</v>
      </c>
      <c r="G48" s="31">
        <f>G47*F48</f>
        <v>17.067090651000001</v>
      </c>
      <c r="H48" s="31">
        <f>G48-D48</f>
        <v>7.9003949700002352E-2</v>
      </c>
      <c r="I48" s="32">
        <f t="shared" si="10"/>
        <v>4.6505501819670281E-3</v>
      </c>
      <c r="J48" s="32"/>
      <c r="K48" s="60">
        <f>G48/$G$51</f>
        <v>0.12380952380952383</v>
      </c>
    </row>
    <row r="49" spans="1:11" x14ac:dyDescent="0.2">
      <c r="A49" s="61" t="s">
        <v>143</v>
      </c>
      <c r="B49" s="29"/>
      <c r="C49" s="30"/>
      <c r="D49" s="30">
        <f>SUM(D47:D48)</f>
        <v>147.66567671129999</v>
      </c>
      <c r="E49" s="30"/>
      <c r="F49" s="30"/>
      <c r="G49" s="30">
        <f>SUM(G47:G48)</f>
        <v>148.35240335099999</v>
      </c>
      <c r="H49" s="30">
        <f>G49-D49</f>
        <v>0.68672663969999803</v>
      </c>
      <c r="I49" s="33">
        <f t="shared" si="10"/>
        <v>4.6505501819668754E-3</v>
      </c>
      <c r="J49" s="33"/>
      <c r="K49" s="62">
        <f>G49/$G$51</f>
        <v>1.0761904761904761</v>
      </c>
    </row>
    <row r="50" spans="1:11" x14ac:dyDescent="0.2">
      <c r="A50" s="58" t="s">
        <v>140</v>
      </c>
      <c r="B50" s="59"/>
      <c r="C50" s="31">
        <v>-0.08</v>
      </c>
      <c r="D50" s="31">
        <f>D47*C50</f>
        <v>-10.454207200799999</v>
      </c>
      <c r="E50" s="31"/>
      <c r="F50" s="31">
        <f>C50</f>
        <v>-0.08</v>
      </c>
      <c r="G50" s="31">
        <f>G47*F50</f>
        <v>-10.502825015999999</v>
      </c>
      <c r="H50" s="31">
        <f>G50-D50</f>
        <v>-4.8617815200000081E-2</v>
      </c>
      <c r="I50" s="32">
        <f t="shared" si="10"/>
        <v>-4.6505501819668971E-3</v>
      </c>
      <c r="J50" s="32"/>
      <c r="K50" s="60">
        <f>G50/$G$51</f>
        <v>-7.6190476190476183E-2</v>
      </c>
    </row>
    <row r="51" spans="1:11" ht="13.5" thickBot="1" x14ac:dyDescent="0.25">
      <c r="A51" s="63" t="s">
        <v>144</v>
      </c>
      <c r="B51" s="64"/>
      <c r="C51" s="65"/>
      <c r="D51" s="65">
        <f>SUM(D49:D50)</f>
        <v>137.2114695105</v>
      </c>
      <c r="E51" s="65"/>
      <c r="F51" s="65"/>
      <c r="G51" s="65">
        <f>SUM(G49:G50)</f>
        <v>137.84957833499999</v>
      </c>
      <c r="H51" s="65">
        <f>G51-D51</f>
        <v>0.6381088244999944</v>
      </c>
      <c r="I51" s="66">
        <f t="shared" si="10"/>
        <v>4.6505501819668485E-3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K67"/>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185</v>
      </c>
      <c r="C3" s="13" t="s">
        <v>119</v>
      </c>
    </row>
    <row r="4" spans="1:11" x14ac:dyDescent="0.2">
      <c r="A4" s="15" t="s">
        <v>62</v>
      </c>
      <c r="B4" s="15">
        <v>1800</v>
      </c>
      <c r="C4" s="15">
        <f>B4</f>
        <v>1800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1920.06</v>
      </c>
      <c r="C8" s="15">
        <f>C4*C6</f>
        <v>1917.9</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G12/$G$45</f>
        <v>0.19111078468735718</v>
      </c>
      <c r="K12" s="106"/>
    </row>
    <row r="13" spans="1:11" x14ac:dyDescent="0.2">
      <c r="A13" s="107" t="s">
        <v>32</v>
      </c>
      <c r="B13" s="73">
        <f>IF(B4&gt;B7,(B4)-B7,0)</f>
        <v>1200</v>
      </c>
      <c r="C13" s="21">
        <v>0.106</v>
      </c>
      <c r="D13" s="22">
        <f>B13*C13</f>
        <v>127.2</v>
      </c>
      <c r="E13" s="73">
        <f t="shared" ref="E13:E38" si="1">B13</f>
        <v>1200</v>
      </c>
      <c r="F13" s="21">
        <f>C13</f>
        <v>0.106</v>
      </c>
      <c r="G13" s="22">
        <f>E13*F13</f>
        <v>127.2</v>
      </c>
      <c r="H13" s="22">
        <f t="shared" ref="H13:H45" si="2">G13-D13</f>
        <v>0</v>
      </c>
      <c r="I13" s="23">
        <f t="shared" si="0"/>
        <v>0</v>
      </c>
      <c r="J13" s="23">
        <f>G13/$G$45</f>
        <v>0.44522512476615078</v>
      </c>
      <c r="K13" s="108"/>
    </row>
    <row r="14" spans="1:11" s="1" customFormat="1" x14ac:dyDescent="0.2">
      <c r="A14" s="46" t="s">
        <v>33</v>
      </c>
      <c r="B14" s="24"/>
      <c r="C14" s="25"/>
      <c r="D14" s="25">
        <f>SUM(D12:D13)</f>
        <v>181.8</v>
      </c>
      <c r="E14" s="76"/>
      <c r="F14" s="25"/>
      <c r="G14" s="25">
        <f>SUM(G12:G13)</f>
        <v>181.8</v>
      </c>
      <c r="H14" s="25">
        <f t="shared" si="2"/>
        <v>0</v>
      </c>
      <c r="I14" s="27">
        <f t="shared" si="0"/>
        <v>0</v>
      </c>
      <c r="J14" s="27">
        <f>G14/$G$45</f>
        <v>0.63633590945350793</v>
      </c>
      <c r="K14" s="108"/>
    </row>
    <row r="15" spans="1:11" s="1" customFormat="1" x14ac:dyDescent="0.2">
      <c r="A15" s="109" t="s">
        <v>34</v>
      </c>
      <c r="B15" s="75">
        <f>B4*0.65</f>
        <v>1170</v>
      </c>
      <c r="C15" s="28">
        <v>7.6999999999999999E-2</v>
      </c>
      <c r="D15" s="22">
        <f>B15*C15</f>
        <v>90.09</v>
      </c>
      <c r="E15" s="73">
        <f t="shared" ref="E15:F17" si="3">B15</f>
        <v>1170</v>
      </c>
      <c r="F15" s="28">
        <f t="shared" si="3"/>
        <v>7.6999999999999999E-2</v>
      </c>
      <c r="G15" s="22">
        <f>E15*F15</f>
        <v>90.09</v>
      </c>
      <c r="H15" s="22">
        <f t="shared" si="2"/>
        <v>0</v>
      </c>
      <c r="I15" s="23">
        <f t="shared" si="0"/>
        <v>0</v>
      </c>
      <c r="J15" s="23"/>
      <c r="K15" s="108">
        <f t="shared" ref="K15:K25" si="4">G15/$G$50</f>
        <v>0.32400420351724829</v>
      </c>
    </row>
    <row r="16" spans="1:11" s="1" customFormat="1" x14ac:dyDescent="0.2">
      <c r="A16" s="109" t="s">
        <v>35</v>
      </c>
      <c r="B16" s="75">
        <f>B4*0.17</f>
        <v>306</v>
      </c>
      <c r="C16" s="28">
        <v>0.113</v>
      </c>
      <c r="D16" s="22">
        <f>B16*C16</f>
        <v>34.578000000000003</v>
      </c>
      <c r="E16" s="73">
        <f t="shared" si="3"/>
        <v>306</v>
      </c>
      <c r="F16" s="28">
        <f t="shared" si="3"/>
        <v>0.113</v>
      </c>
      <c r="G16" s="22">
        <f>E16*F16</f>
        <v>34.578000000000003</v>
      </c>
      <c r="H16" s="22">
        <f t="shared" si="2"/>
        <v>0</v>
      </c>
      <c r="I16" s="23">
        <f t="shared" si="0"/>
        <v>0</v>
      </c>
      <c r="J16" s="23"/>
      <c r="K16" s="108">
        <f t="shared" si="4"/>
        <v>0.12435805693439239</v>
      </c>
    </row>
    <row r="17" spans="1:11" s="1" customFormat="1" x14ac:dyDescent="0.2">
      <c r="A17" s="109" t="s">
        <v>36</v>
      </c>
      <c r="B17" s="75">
        <f>B4*0.18</f>
        <v>324</v>
      </c>
      <c r="C17" s="28">
        <v>0.157</v>
      </c>
      <c r="D17" s="22">
        <f>B17*C17</f>
        <v>50.868000000000002</v>
      </c>
      <c r="E17" s="73">
        <f t="shared" si="3"/>
        <v>324</v>
      </c>
      <c r="F17" s="28">
        <f t="shared" si="3"/>
        <v>0.157</v>
      </c>
      <c r="G17" s="22">
        <f>E17*F17</f>
        <v>50.868000000000002</v>
      </c>
      <c r="H17" s="22">
        <f t="shared" si="2"/>
        <v>0</v>
      </c>
      <c r="I17" s="23">
        <f t="shared" si="0"/>
        <v>0</v>
      </c>
      <c r="J17" s="23"/>
      <c r="K17" s="108">
        <f t="shared" si="4"/>
        <v>0.18294423159635237</v>
      </c>
    </row>
    <row r="18" spans="1:11" s="1" customFormat="1" x14ac:dyDescent="0.2">
      <c r="A18" s="61" t="s">
        <v>37</v>
      </c>
      <c r="B18" s="29"/>
      <c r="C18" s="30"/>
      <c r="D18" s="30">
        <f>SUM(D15:D17)</f>
        <v>175.536</v>
      </c>
      <c r="E18" s="77"/>
      <c r="F18" s="30"/>
      <c r="G18" s="30">
        <f>SUM(G15:G17)</f>
        <v>175.536</v>
      </c>
      <c r="H18" s="31">
        <f t="shared" si="2"/>
        <v>0</v>
      </c>
      <c r="I18" s="32">
        <f t="shared" si="0"/>
        <v>0</v>
      </c>
      <c r="J18" s="33">
        <f>G18/$G$45</f>
        <v>0.61441067217728806</v>
      </c>
      <c r="K18" s="62">
        <f t="shared" si="4"/>
        <v>0.63130649204799305</v>
      </c>
    </row>
    <row r="19" spans="1:11" x14ac:dyDescent="0.2">
      <c r="A19" s="107" t="s">
        <v>38</v>
      </c>
      <c r="B19" s="73">
        <v>1</v>
      </c>
      <c r="C19" s="121">
        <f>VLOOKUP($C$3,'Data for Bill Impacts'!$A$3:$Y$39,7,0)</f>
        <v>35.619999999999997</v>
      </c>
      <c r="D19" s="22">
        <f>B19*C19</f>
        <v>35.619999999999997</v>
      </c>
      <c r="E19" s="73">
        <f t="shared" si="1"/>
        <v>1</v>
      </c>
      <c r="F19" s="121">
        <f>VLOOKUP($B$3,'Data for Bill Impacts'!$A$3:$Y$39,17,0)</f>
        <v>40.43</v>
      </c>
      <c r="G19" s="22">
        <f>E19*F19</f>
        <v>40.43</v>
      </c>
      <c r="H19" s="22">
        <f t="shared" si="2"/>
        <v>4.8100000000000023</v>
      </c>
      <c r="I19" s="23">
        <f>IF(ISERROR(H19/ABS(D19)),"N/A",(H19/ABS(D19)))</f>
        <v>0.13503649635036505</v>
      </c>
      <c r="J19" s="23">
        <f>G19/$G$45</f>
        <v>0.14151298580420971</v>
      </c>
      <c r="K19" s="108">
        <f t="shared" si="4"/>
        <v>0.14540448382952989</v>
      </c>
    </row>
    <row r="20" spans="1:11" x14ac:dyDescent="0.2">
      <c r="A20" s="107" t="s">
        <v>193</v>
      </c>
      <c r="B20" s="73">
        <v>1</v>
      </c>
      <c r="C20" s="121">
        <f>'Data for Bill Impacts'!K28</f>
        <v>-0.36</v>
      </c>
      <c r="D20" s="22">
        <f>B20*C20</f>
        <v>-0.36</v>
      </c>
      <c r="E20" s="73">
        <f t="shared" si="1"/>
        <v>1</v>
      </c>
      <c r="F20" s="121">
        <v>0</v>
      </c>
      <c r="G20" s="22">
        <f t="shared" ref="G20" si="5">E20*F20</f>
        <v>0</v>
      </c>
      <c r="H20" s="22">
        <f t="shared" si="2"/>
        <v>0.36</v>
      </c>
      <c r="I20" s="23">
        <f t="shared" ref="I20:I21" si="6">IF(ISERROR(H20/D20),0,(H20/D20))</f>
        <v>-1</v>
      </c>
      <c r="J20" s="23">
        <f>G20/$G$45</f>
        <v>0</v>
      </c>
      <c r="K20" s="108">
        <f t="shared" si="4"/>
        <v>0</v>
      </c>
    </row>
    <row r="21" spans="1:11" x14ac:dyDescent="0.2">
      <c r="A21" s="107" t="s">
        <v>39</v>
      </c>
      <c r="B21" s="73">
        <f>IF($C$9="kWh",$C$4,$C$5)</f>
        <v>1800</v>
      </c>
      <c r="C21" s="125">
        <f>VLOOKUP($C$3,'Data for Bill Impacts'!$A$3:$Y$39,10,0)</f>
        <v>0</v>
      </c>
      <c r="D21" s="22">
        <f>B21*C21</f>
        <v>0</v>
      </c>
      <c r="E21" s="73">
        <f t="shared" si="1"/>
        <v>1800</v>
      </c>
      <c r="F21" s="125">
        <v>0</v>
      </c>
      <c r="G21" s="22">
        <f>E21*F21</f>
        <v>0</v>
      </c>
      <c r="H21" s="22">
        <f t="shared" si="2"/>
        <v>0</v>
      </c>
      <c r="I21" s="23">
        <f t="shared" si="6"/>
        <v>0</v>
      </c>
      <c r="J21" s="23">
        <f>G21/$G$45</f>
        <v>0</v>
      </c>
      <c r="K21" s="108">
        <f t="shared" si="4"/>
        <v>0</v>
      </c>
    </row>
    <row r="22" spans="1:11" x14ac:dyDescent="0.2">
      <c r="A22" s="107" t="s">
        <v>194</v>
      </c>
      <c r="B22" s="73">
        <f>IF($B$9="kWh",$B$4,$B$5)</f>
        <v>1800</v>
      </c>
      <c r="C22" s="78">
        <f>'Data for Bill Impacts'!H28</f>
        <v>4.0000000000000002E-4</v>
      </c>
      <c r="D22" s="22">
        <f>B22*C22</f>
        <v>0.72000000000000008</v>
      </c>
      <c r="E22" s="73">
        <f t="shared" si="1"/>
        <v>1800</v>
      </c>
      <c r="F22" s="125">
        <v>0</v>
      </c>
      <c r="G22" s="22">
        <f>E22*F22</f>
        <v>0</v>
      </c>
      <c r="H22" s="22">
        <f t="shared" si="2"/>
        <v>-0.72000000000000008</v>
      </c>
      <c r="I22" s="23">
        <f t="shared" ref="I22:I50" si="7">IF(ISERROR(H22/ABS(D22)),"N/A",(H22/ABS(D22)))</f>
        <v>-1</v>
      </c>
      <c r="J22" s="23">
        <f>G22/$G$45</f>
        <v>0</v>
      </c>
      <c r="K22" s="108">
        <f t="shared" si="4"/>
        <v>0</v>
      </c>
    </row>
    <row r="23" spans="1:11" x14ac:dyDescent="0.2">
      <c r="A23" s="107" t="s">
        <v>195</v>
      </c>
      <c r="B23" s="73">
        <f>IF($C$9="kWh",$C$4,$C$5)</f>
        <v>1800</v>
      </c>
      <c r="C23" s="125">
        <f>'Data for Bill Impacts'!L28</f>
        <v>0</v>
      </c>
      <c r="D23" s="22">
        <f>B23*C23</f>
        <v>0</v>
      </c>
      <c r="E23" s="73">
        <f t="shared" si="1"/>
        <v>1800</v>
      </c>
      <c r="F23" s="125">
        <v>0</v>
      </c>
      <c r="G23" s="22">
        <f>E23*F23</f>
        <v>0</v>
      </c>
      <c r="H23" s="22">
        <f t="shared" si="2"/>
        <v>0</v>
      </c>
      <c r="I23" s="23" t="str">
        <f t="shared" si="7"/>
        <v>N/A</v>
      </c>
      <c r="J23" s="23">
        <f t="shared" ref="J23" si="8">G23/$G$45</f>
        <v>0</v>
      </c>
      <c r="K23" s="108">
        <f t="shared" si="4"/>
        <v>0</v>
      </c>
    </row>
    <row r="24" spans="1:11" s="1" customFormat="1" x14ac:dyDescent="0.2">
      <c r="A24" s="110" t="s">
        <v>72</v>
      </c>
      <c r="B24" s="74"/>
      <c r="C24" s="35"/>
      <c r="D24" s="35">
        <f>SUM(D19:D23)</f>
        <v>35.979999999999997</v>
      </c>
      <c r="E24" s="73"/>
      <c r="F24" s="35"/>
      <c r="G24" s="35">
        <f>SUM(G19:G23)</f>
        <v>40.43</v>
      </c>
      <c r="H24" s="35">
        <f t="shared" si="2"/>
        <v>4.4500000000000028</v>
      </c>
      <c r="I24" s="36">
        <f t="shared" si="7"/>
        <v>0.12367982212340198</v>
      </c>
      <c r="J24" s="36">
        <f>G24/$G$45</f>
        <v>0.14151298580420971</v>
      </c>
      <c r="K24" s="111">
        <f t="shared" si="4"/>
        <v>0.14540448382952989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7"/>
        <v>0</v>
      </c>
      <c r="J25" s="23">
        <f>G25/$G$45</f>
        <v>2.7651560421797102E-3</v>
      </c>
      <c r="K25" s="108">
        <f t="shared" si="4"/>
        <v>2.8411957018384519E-3</v>
      </c>
    </row>
    <row r="26" spans="1:11" s="1" customFormat="1" x14ac:dyDescent="0.2">
      <c r="A26" s="119" t="s">
        <v>75</v>
      </c>
      <c r="B26" s="120">
        <f>C8-C4</f>
        <v>117.90000000000009</v>
      </c>
      <c r="C26" s="257">
        <f>IF(C4&gt;C7,C13,C12)</f>
        <v>0.106</v>
      </c>
      <c r="D26" s="22">
        <f>B26*C26</f>
        <v>12.49740000000001</v>
      </c>
      <c r="E26" s="73">
        <f>B8-B4</f>
        <v>120.05999999999995</v>
      </c>
      <c r="F26" s="257">
        <f>IF(B4&gt;C7,F13,F12)</f>
        <v>0.106</v>
      </c>
      <c r="G26" s="22">
        <f>E26*F26</f>
        <v>12.726359999999994</v>
      </c>
      <c r="H26" s="22">
        <f t="shared" si="2"/>
        <v>0.22895999999998473</v>
      </c>
      <c r="I26" s="23">
        <f t="shared" si="7"/>
        <v>1.8320610687021666E-2</v>
      </c>
      <c r="J26" s="23">
        <f t="shared" ref="J26:J45" si="9">G26/$G$45</f>
        <v>4.4544773732853364E-2</v>
      </c>
      <c r="K26" s="108">
        <f t="shared" ref="K26:K40" si="10">G26/$G$50</f>
        <v>4.5769720673479473E-2</v>
      </c>
    </row>
    <row r="27" spans="1:11" s="1" customFormat="1" x14ac:dyDescent="0.2">
      <c r="A27" s="119" t="s">
        <v>74</v>
      </c>
      <c r="B27" s="120">
        <f>C8-C4</f>
        <v>117.90000000000009</v>
      </c>
      <c r="C27" s="257">
        <f>0.65*C15+0.17*C16+0.18*C17</f>
        <v>9.7519999999999996E-2</v>
      </c>
      <c r="D27" s="22">
        <f>B27*C27</f>
        <v>11.497608000000008</v>
      </c>
      <c r="E27" s="73">
        <f>B8-B4</f>
        <v>120.05999999999995</v>
      </c>
      <c r="F27" s="257">
        <f>0.65*F15+0.17*F16+0.18*F17</f>
        <v>9.7519999999999996E-2</v>
      </c>
      <c r="G27" s="22">
        <f>E27*F27</f>
        <v>11.708251199999994</v>
      </c>
      <c r="H27" s="22">
        <f t="shared" si="2"/>
        <v>0.2106431999999856</v>
      </c>
      <c r="I27" s="23">
        <f t="shared" si="7"/>
        <v>1.8320610687021635E-2</v>
      </c>
      <c r="J27" s="23">
        <f t="shared" si="9"/>
        <v>4.0981191834225092E-2</v>
      </c>
      <c r="K27" s="108">
        <f t="shared" si="10"/>
        <v>4.2108143019601113E-2</v>
      </c>
    </row>
    <row r="28" spans="1:11" s="1" customFormat="1" x14ac:dyDescent="0.2">
      <c r="A28" s="110" t="s">
        <v>78</v>
      </c>
      <c r="B28" s="74"/>
      <c r="C28" s="35"/>
      <c r="D28" s="35">
        <f>SUM(D24,D25:D26)</f>
        <v>49.267400000000009</v>
      </c>
      <c r="E28" s="73"/>
      <c r="F28" s="35"/>
      <c r="G28" s="35">
        <f>SUM(G24,G25:G26)</f>
        <v>53.946359999999991</v>
      </c>
      <c r="H28" s="35">
        <f t="shared" si="2"/>
        <v>4.6789599999999822</v>
      </c>
      <c r="I28" s="36">
        <f t="shared" si="7"/>
        <v>9.4970710855453735E-2</v>
      </c>
      <c r="J28" s="36">
        <f t="shared" si="9"/>
        <v>0.18882291557924277</v>
      </c>
      <c r="K28" s="111">
        <f t="shared" si="10"/>
        <v>0.19401540020484778</v>
      </c>
    </row>
    <row r="29" spans="1:11" s="1" customFormat="1" x14ac:dyDescent="0.2">
      <c r="A29" s="110" t="s">
        <v>77</v>
      </c>
      <c r="B29" s="74"/>
      <c r="C29" s="35"/>
      <c r="D29" s="35">
        <f>SUM(D24,D25,D27)</f>
        <v>48.267608000000003</v>
      </c>
      <c r="E29" s="73"/>
      <c r="F29" s="35"/>
      <c r="G29" s="35">
        <f>SUM(G24,G25,G27)</f>
        <v>52.928251199999991</v>
      </c>
      <c r="H29" s="35">
        <f t="shared" si="2"/>
        <v>4.6606431999999884</v>
      </c>
      <c r="I29" s="36">
        <f t="shared" si="7"/>
        <v>9.6558404137200834E-2</v>
      </c>
      <c r="J29" s="36">
        <f t="shared" si="9"/>
        <v>0.18525933368061451</v>
      </c>
      <c r="K29" s="111">
        <f t="shared" si="10"/>
        <v>0.19035382255096944</v>
      </c>
    </row>
    <row r="30" spans="1:11" x14ac:dyDescent="0.2">
      <c r="A30" s="107" t="s">
        <v>40</v>
      </c>
      <c r="B30" s="73">
        <f>C8</f>
        <v>1917.9</v>
      </c>
      <c r="C30" s="125">
        <f>VLOOKUP($C$3,'Data for Bill Impacts'!$A$3:$Y$39,15,0)</f>
        <v>6.5444567943617011E-3</v>
      </c>
      <c r="D30" s="22">
        <f>B30*C30</f>
        <v>12.551613685906307</v>
      </c>
      <c r="E30" s="73">
        <f>B8</f>
        <v>1920.06</v>
      </c>
      <c r="F30" s="78">
        <f>VLOOKUP($B$3,'Data for Bill Impacts'!$A$3:$Y$39,24,0)</f>
        <v>7.1000000000000004E-3</v>
      </c>
      <c r="G30" s="22">
        <f>E30*F30</f>
        <v>13.632426000000001</v>
      </c>
      <c r="H30" s="22">
        <f t="shared" si="2"/>
        <v>1.0808123140936932</v>
      </c>
      <c r="I30" s="23">
        <f t="shared" si="7"/>
        <v>8.6109431116995983E-2</v>
      </c>
      <c r="J30" s="23">
        <f t="shared" si="9"/>
        <v>4.7716183700592121E-2</v>
      </c>
      <c r="K30" s="108">
        <f t="shared" si="10"/>
        <v>4.9028341970671845E-2</v>
      </c>
    </row>
    <row r="31" spans="1:11" x14ac:dyDescent="0.2">
      <c r="A31" s="107" t="s">
        <v>41</v>
      </c>
      <c r="B31" s="73">
        <f>C8</f>
        <v>1917.9</v>
      </c>
      <c r="C31" s="125">
        <f>VLOOKUP($C$3,'Data for Bill Impacts'!$A$3:$Y$39,16,0)</f>
        <v>5.4157299366720292E-3</v>
      </c>
      <c r="D31" s="22">
        <f>B31*C31</f>
        <v>10.386828445543285</v>
      </c>
      <c r="E31" s="73">
        <f>B8</f>
        <v>1920.06</v>
      </c>
      <c r="F31" s="78">
        <f>VLOOKUP($B$3,'Data for Bill Impacts'!$A$3:$Y$39,25,0)</f>
        <v>6.0000000000000001E-3</v>
      </c>
      <c r="G31" s="22">
        <f>E31*F31</f>
        <v>11.52036</v>
      </c>
      <c r="H31" s="22">
        <f t="shared" si="2"/>
        <v>1.1335315544567148</v>
      </c>
      <c r="I31" s="23">
        <f t="shared" si="7"/>
        <v>0.10913163343359959</v>
      </c>
      <c r="J31" s="23">
        <f t="shared" si="9"/>
        <v>4.0323535521627145E-2</v>
      </c>
      <c r="K31" s="108">
        <f t="shared" si="10"/>
        <v>4.1432401665356493E-2</v>
      </c>
    </row>
    <row r="32" spans="1:11" s="1" customFormat="1" x14ac:dyDescent="0.2">
      <c r="A32" s="110" t="s">
        <v>76</v>
      </c>
      <c r="B32" s="74"/>
      <c r="C32" s="35"/>
      <c r="D32" s="35">
        <f>SUM(D30:D31)</f>
        <v>22.938442131449591</v>
      </c>
      <c r="E32" s="73"/>
      <c r="F32" s="35"/>
      <c r="G32" s="35">
        <f>SUM(G30:G31)</f>
        <v>25.152785999999999</v>
      </c>
      <c r="H32" s="35">
        <f t="shared" si="2"/>
        <v>2.214343868550408</v>
      </c>
      <c r="I32" s="36">
        <f t="shared" si="7"/>
        <v>9.6534187276582625E-2</v>
      </c>
      <c r="J32" s="36">
        <f t="shared" si="9"/>
        <v>8.8039719222219259E-2</v>
      </c>
      <c r="K32" s="111">
        <f t="shared" si="10"/>
        <v>9.0460743636028337E-2</v>
      </c>
    </row>
    <row r="33" spans="1:11" s="1" customFormat="1" x14ac:dyDescent="0.2">
      <c r="A33" s="110" t="s">
        <v>95</v>
      </c>
      <c r="B33" s="74"/>
      <c r="C33" s="35"/>
      <c r="D33" s="35">
        <f>D28+D32</f>
        <v>72.2058421314496</v>
      </c>
      <c r="E33" s="73"/>
      <c r="F33" s="35"/>
      <c r="G33" s="35">
        <f>G28+G32</f>
        <v>79.09914599999999</v>
      </c>
      <c r="H33" s="35">
        <f t="shared" si="2"/>
        <v>6.8933038685503902</v>
      </c>
      <c r="I33" s="36">
        <f t="shared" si="7"/>
        <v>9.5467397998090495E-2</v>
      </c>
      <c r="J33" s="36">
        <f t="shared" si="9"/>
        <v>0.276862634801462</v>
      </c>
      <c r="K33" s="111">
        <f t="shared" si="10"/>
        <v>0.28447614384087611</v>
      </c>
    </row>
    <row r="34" spans="1:11" s="1" customFormat="1" x14ac:dyDescent="0.2">
      <c r="A34" s="110" t="s">
        <v>96</v>
      </c>
      <c r="B34" s="74"/>
      <c r="C34" s="35"/>
      <c r="D34" s="35">
        <f>D29+D32</f>
        <v>71.206050131449587</v>
      </c>
      <c r="E34" s="73"/>
      <c r="F34" s="35"/>
      <c r="G34" s="35">
        <f>G29+G32</f>
        <v>78.081037199999997</v>
      </c>
      <c r="H34" s="35">
        <f t="shared" si="2"/>
        <v>6.8749870685504106</v>
      </c>
      <c r="I34" s="36">
        <f t="shared" si="7"/>
        <v>9.6550602875161221E-2</v>
      </c>
      <c r="J34" s="36">
        <f t="shared" si="9"/>
        <v>0.27329905290283379</v>
      </c>
      <c r="K34" s="111">
        <f t="shared" si="10"/>
        <v>0.28081456618699779</v>
      </c>
    </row>
    <row r="35" spans="1:11" x14ac:dyDescent="0.2">
      <c r="A35" s="107" t="s">
        <v>42</v>
      </c>
      <c r="B35" s="73">
        <f>C8</f>
        <v>1917.9</v>
      </c>
      <c r="C35" s="34">
        <v>3.5999999999999999E-3</v>
      </c>
      <c r="D35" s="22">
        <f>B35*C35</f>
        <v>6.9044400000000001</v>
      </c>
      <c r="E35" s="73">
        <f>B8</f>
        <v>1920.06</v>
      </c>
      <c r="F35" s="34">
        <v>3.5999999999999999E-3</v>
      </c>
      <c r="G35" s="22">
        <f>E35*F35</f>
        <v>6.9122159999999999</v>
      </c>
      <c r="H35" s="22">
        <f t="shared" si="2"/>
        <v>7.7759999999997831E-3</v>
      </c>
      <c r="I35" s="23">
        <f t="shared" si="7"/>
        <v>1.1262318160487718E-3</v>
      </c>
      <c r="J35" s="23">
        <f t="shared" si="9"/>
        <v>2.4194121312976286E-2</v>
      </c>
      <c r="K35" s="108">
        <f t="shared" si="10"/>
        <v>2.4859440999213892E-2</v>
      </c>
    </row>
    <row r="36" spans="1:11" x14ac:dyDescent="0.2">
      <c r="A36" s="107" t="s">
        <v>43</v>
      </c>
      <c r="B36" s="73">
        <f>C8</f>
        <v>1917.9</v>
      </c>
      <c r="C36" s="34">
        <v>2.0999999999999999E-3</v>
      </c>
      <c r="D36" s="22">
        <f>B36*C36</f>
        <v>4.02759</v>
      </c>
      <c r="E36" s="73">
        <f>B8</f>
        <v>1920.06</v>
      </c>
      <c r="F36" s="34">
        <v>2.0999999999999999E-3</v>
      </c>
      <c r="G36" s="22">
        <f>E36*F36</f>
        <v>4.0321259999999999</v>
      </c>
      <c r="H36" s="22">
        <f>G36-D36</f>
        <v>4.5359999999998735E-3</v>
      </c>
      <c r="I36" s="23">
        <f t="shared" si="7"/>
        <v>1.1262318160487721E-3</v>
      </c>
      <c r="J36" s="23">
        <f t="shared" si="9"/>
        <v>1.41132374325695E-2</v>
      </c>
      <c r="K36" s="108">
        <f t="shared" si="10"/>
        <v>1.4501340582874771E-2</v>
      </c>
    </row>
    <row r="37" spans="1:11" x14ac:dyDescent="0.2">
      <c r="A37" s="107" t="s">
        <v>100</v>
      </c>
      <c r="B37" s="73">
        <f>C8</f>
        <v>1917.9</v>
      </c>
      <c r="C37" s="34">
        <v>0</v>
      </c>
      <c r="D37" s="22">
        <f>B37*C37</f>
        <v>0</v>
      </c>
      <c r="E37" s="73">
        <f>B8</f>
        <v>1920.06</v>
      </c>
      <c r="F37" s="34">
        <v>0</v>
      </c>
      <c r="G37" s="22">
        <f>E37*F37</f>
        <v>0</v>
      </c>
      <c r="H37" s="22">
        <f>G37-D37</f>
        <v>0</v>
      </c>
      <c r="I37" s="23" t="str">
        <f t="shared" si="7"/>
        <v>N/A</v>
      </c>
      <c r="J37" s="23">
        <f t="shared" si="9"/>
        <v>0</v>
      </c>
      <c r="K37" s="108">
        <f t="shared" si="10"/>
        <v>0</v>
      </c>
    </row>
    <row r="38" spans="1:11" x14ac:dyDescent="0.2">
      <c r="A38" s="107" t="s">
        <v>44</v>
      </c>
      <c r="B38" s="73">
        <v>1</v>
      </c>
      <c r="C38" s="22">
        <v>0.25</v>
      </c>
      <c r="D38" s="22">
        <f>B38*C38</f>
        <v>0.25</v>
      </c>
      <c r="E38" s="73">
        <f t="shared" si="1"/>
        <v>1</v>
      </c>
      <c r="F38" s="22">
        <f>C38</f>
        <v>0.25</v>
      </c>
      <c r="G38" s="22">
        <f>E38*F38</f>
        <v>0.25</v>
      </c>
      <c r="H38" s="22">
        <f t="shared" si="2"/>
        <v>0</v>
      </c>
      <c r="I38" s="23">
        <f t="shared" si="7"/>
        <v>0</v>
      </c>
      <c r="J38" s="23">
        <f t="shared" si="9"/>
        <v>8.7504938043661703E-4</v>
      </c>
      <c r="K38" s="108">
        <f t="shared" si="10"/>
        <v>8.9911256387292782E-4</v>
      </c>
    </row>
    <row r="39" spans="1:11" s="1" customFormat="1" x14ac:dyDescent="0.2">
      <c r="A39" s="110" t="s">
        <v>45</v>
      </c>
      <c r="B39" s="74"/>
      <c r="C39" s="35"/>
      <c r="D39" s="35">
        <f>SUM(D35:D38)</f>
        <v>11.182030000000001</v>
      </c>
      <c r="E39" s="73"/>
      <c r="F39" s="35"/>
      <c r="G39" s="35">
        <f>SUM(G35:G38)</f>
        <v>11.194341999999999</v>
      </c>
      <c r="H39" s="35">
        <f t="shared" si="2"/>
        <v>1.231199999999788E-2</v>
      </c>
      <c r="I39" s="36">
        <f t="shared" si="7"/>
        <v>1.1010523133990768E-3</v>
      </c>
      <c r="J39" s="36">
        <f t="shared" si="9"/>
        <v>3.91824081259824E-2</v>
      </c>
      <c r="K39" s="111">
        <f t="shared" si="10"/>
        <v>4.0259894145961587E-2</v>
      </c>
    </row>
    <row r="40" spans="1:11" s="1" customFormat="1" ht="13.5" thickBot="1" x14ac:dyDescent="0.25">
      <c r="A40" s="112" t="s">
        <v>46</v>
      </c>
      <c r="B40" s="113">
        <f>C4</f>
        <v>1800</v>
      </c>
      <c r="C40" s="193">
        <v>0</v>
      </c>
      <c r="D40" s="115">
        <f>B40*C40</f>
        <v>0</v>
      </c>
      <c r="E40" s="116">
        <f>B4</f>
        <v>1800</v>
      </c>
      <c r="F40" s="193">
        <f>C40</f>
        <v>0</v>
      </c>
      <c r="G40" s="115">
        <f>E40*F40</f>
        <v>0</v>
      </c>
      <c r="H40" s="115">
        <f t="shared" si="2"/>
        <v>0</v>
      </c>
      <c r="I40" s="117" t="str">
        <f t="shared" si="7"/>
        <v>N/A</v>
      </c>
      <c r="J40" s="117">
        <f t="shared" si="9"/>
        <v>0</v>
      </c>
      <c r="K40" s="118">
        <f t="shared" si="10"/>
        <v>0</v>
      </c>
    </row>
    <row r="41" spans="1:11" s="1" customFormat="1" x14ac:dyDescent="0.2">
      <c r="A41" s="37" t="s">
        <v>137</v>
      </c>
      <c r="B41" s="38"/>
      <c r="C41" s="39"/>
      <c r="D41" s="39">
        <f>SUM(D14,D24,D25,D26,D32,D39,D40)</f>
        <v>265.18787213144958</v>
      </c>
      <c r="E41" s="38"/>
      <c r="F41" s="39"/>
      <c r="G41" s="39">
        <f>SUM(G14,G24,G25,G26,G32,G39,G40)</f>
        <v>272.09348800000004</v>
      </c>
      <c r="H41" s="39">
        <f t="shared" si="2"/>
        <v>6.9056158685504556</v>
      </c>
      <c r="I41" s="40">
        <f t="shared" si="7"/>
        <v>2.6040466379727376E-2</v>
      </c>
      <c r="J41" s="40">
        <f t="shared" si="9"/>
        <v>0.95238095238095255</v>
      </c>
      <c r="K41" s="41"/>
    </row>
    <row r="42" spans="1:11" x14ac:dyDescent="0.2">
      <c r="A42" s="149" t="s">
        <v>138</v>
      </c>
      <c r="B42" s="43"/>
      <c r="C42" s="26">
        <v>0.13</v>
      </c>
      <c r="D42" s="26">
        <f>D41*C42</f>
        <v>34.474423377088449</v>
      </c>
      <c r="E42" s="26"/>
      <c r="F42" s="26">
        <f>C42</f>
        <v>0.13</v>
      </c>
      <c r="G42" s="26">
        <f>G41*F42</f>
        <v>35.372153440000005</v>
      </c>
      <c r="H42" s="26">
        <f t="shared" si="2"/>
        <v>0.8977300629115561</v>
      </c>
      <c r="I42" s="44">
        <f t="shared" si="7"/>
        <v>2.6040466379727283E-2</v>
      </c>
      <c r="J42" s="44">
        <f t="shared" si="9"/>
        <v>0.12380952380952383</v>
      </c>
      <c r="K42" s="45"/>
    </row>
    <row r="43" spans="1:11" s="1" customFormat="1" x14ac:dyDescent="0.2">
      <c r="A43" s="46" t="s">
        <v>139</v>
      </c>
      <c r="B43" s="24"/>
      <c r="C43" s="25"/>
      <c r="D43" s="25">
        <f>SUM(D41:D42)</f>
        <v>299.66229550853802</v>
      </c>
      <c r="E43" s="25"/>
      <c r="F43" s="25"/>
      <c r="G43" s="25">
        <f>SUM(G41:G42)</f>
        <v>307.46564144000001</v>
      </c>
      <c r="H43" s="25">
        <f t="shared" si="2"/>
        <v>7.8033459314619904</v>
      </c>
      <c r="I43" s="27">
        <f t="shared" si="7"/>
        <v>2.6040466379727296E-2</v>
      </c>
      <c r="J43" s="27">
        <f t="shared" si="9"/>
        <v>1.0761904761904761</v>
      </c>
      <c r="K43" s="47"/>
    </row>
    <row r="44" spans="1:11" x14ac:dyDescent="0.2">
      <c r="A44" s="42" t="s">
        <v>140</v>
      </c>
      <c r="B44" s="43"/>
      <c r="C44" s="26">
        <v>-0.08</v>
      </c>
      <c r="D44" s="26">
        <f>D41*C44</f>
        <v>-21.215029770515965</v>
      </c>
      <c r="E44" s="26"/>
      <c r="F44" s="26">
        <f>C44</f>
        <v>-0.08</v>
      </c>
      <c r="G44" s="26">
        <f>G41*F44</f>
        <v>-21.767479040000005</v>
      </c>
      <c r="H44" s="26">
        <f t="shared" si="2"/>
        <v>-0.55244926948403972</v>
      </c>
      <c r="I44" s="44">
        <f t="shared" si="7"/>
        <v>-2.6040466379727532E-2</v>
      </c>
      <c r="J44" s="44">
        <f t="shared" si="9"/>
        <v>-7.6190476190476211E-2</v>
      </c>
      <c r="K44" s="45"/>
    </row>
    <row r="45" spans="1:11" s="1" customFormat="1" ht="13.5" thickBot="1" x14ac:dyDescent="0.25">
      <c r="A45" s="48" t="s">
        <v>141</v>
      </c>
      <c r="B45" s="49"/>
      <c r="C45" s="50"/>
      <c r="D45" s="50">
        <f>SUM(D43:D44)</f>
        <v>278.44726573802205</v>
      </c>
      <c r="E45" s="50"/>
      <c r="F45" s="50"/>
      <c r="G45" s="50">
        <f>SUM(G43:G44)</f>
        <v>285.6981624</v>
      </c>
      <c r="H45" s="50">
        <f t="shared" si="2"/>
        <v>7.2508966619779471</v>
      </c>
      <c r="I45" s="51">
        <f t="shared" si="7"/>
        <v>2.6040466379727265E-2</v>
      </c>
      <c r="J45" s="51">
        <f t="shared" si="9"/>
        <v>1</v>
      </c>
      <c r="K45" s="52"/>
    </row>
    <row r="46" spans="1:11" x14ac:dyDescent="0.2">
      <c r="A46" s="53" t="s">
        <v>142</v>
      </c>
      <c r="B46" s="54"/>
      <c r="C46" s="55"/>
      <c r="D46" s="55">
        <f>SUM(D18,D24,D25,D27,D32,D39,D40)</f>
        <v>257.92408013144961</v>
      </c>
      <c r="E46" s="55"/>
      <c r="F46" s="55"/>
      <c r="G46" s="55">
        <f>SUM(G18,G24,G25,G27,G32,G39,G40)</f>
        <v>264.81137919999998</v>
      </c>
      <c r="H46" s="55">
        <f>G46-D46</f>
        <v>6.8872990685503623</v>
      </c>
      <c r="I46" s="56">
        <f t="shared" si="7"/>
        <v>2.6702815282079469E-2</v>
      </c>
      <c r="J46" s="56"/>
      <c r="K46" s="57">
        <f>G46/$G$50</f>
        <v>0.95238095238095233</v>
      </c>
    </row>
    <row r="47" spans="1:11" x14ac:dyDescent="0.2">
      <c r="A47" s="58" t="s">
        <v>138</v>
      </c>
      <c r="B47" s="59"/>
      <c r="C47" s="31">
        <v>0.13</v>
      </c>
      <c r="D47" s="31">
        <f>D46*C47</f>
        <v>33.530130417088451</v>
      </c>
      <c r="E47" s="31"/>
      <c r="F47" s="31">
        <f>C47</f>
        <v>0.13</v>
      </c>
      <c r="G47" s="31">
        <f>G46*F47</f>
        <v>34.425479295999999</v>
      </c>
      <c r="H47" s="31">
        <f>G47-D47</f>
        <v>0.89534887891154824</v>
      </c>
      <c r="I47" s="32">
        <f t="shared" si="7"/>
        <v>2.6702815282079503E-2</v>
      </c>
      <c r="J47" s="32"/>
      <c r="K47" s="60">
        <f>G47/$G$50</f>
        <v>0.12380952380952381</v>
      </c>
    </row>
    <row r="48" spans="1:11" x14ac:dyDescent="0.2">
      <c r="A48" s="61" t="s">
        <v>143</v>
      </c>
      <c r="B48" s="29"/>
      <c r="C48" s="30"/>
      <c r="D48" s="30">
        <f>SUM(D46:D47)</f>
        <v>291.45421054853807</v>
      </c>
      <c r="E48" s="30"/>
      <c r="F48" s="30"/>
      <c r="G48" s="30">
        <f>SUM(G46:G47)</f>
        <v>299.23685849599997</v>
      </c>
      <c r="H48" s="30">
        <f>G48-D48</f>
        <v>7.7826479474618964</v>
      </c>
      <c r="I48" s="33">
        <f t="shared" si="7"/>
        <v>2.6702815282079424E-2</v>
      </c>
      <c r="J48" s="33"/>
      <c r="K48" s="62">
        <f>G48/$G$50</f>
        <v>1.0761904761904761</v>
      </c>
    </row>
    <row r="49" spans="1:11" x14ac:dyDescent="0.2">
      <c r="A49" s="58" t="s">
        <v>140</v>
      </c>
      <c r="B49" s="59"/>
      <c r="C49" s="31">
        <v>-0.08</v>
      </c>
      <c r="D49" s="31">
        <f>D46*C49</f>
        <v>-20.633926410515969</v>
      </c>
      <c r="E49" s="31"/>
      <c r="F49" s="31">
        <f>C49</f>
        <v>-0.08</v>
      </c>
      <c r="G49" s="31">
        <f>G46*F49</f>
        <v>-21.184910335999998</v>
      </c>
      <c r="H49" s="31">
        <f>G49-D49</f>
        <v>-0.55098392548402941</v>
      </c>
      <c r="I49" s="32">
        <f t="shared" si="7"/>
        <v>-2.670281528207949E-2</v>
      </c>
      <c r="J49" s="32"/>
      <c r="K49" s="60">
        <f>G49/$G$50</f>
        <v>-7.6190476190476183E-2</v>
      </c>
    </row>
    <row r="50" spans="1:11" ht="13.5" thickBot="1" x14ac:dyDescent="0.25">
      <c r="A50" s="63" t="s">
        <v>144</v>
      </c>
      <c r="B50" s="64"/>
      <c r="C50" s="65"/>
      <c r="D50" s="65">
        <f>SUM(D48:D49)</f>
        <v>270.82028413802209</v>
      </c>
      <c r="E50" s="65"/>
      <c r="F50" s="65"/>
      <c r="G50" s="65">
        <f>SUM(G48:G49)</f>
        <v>278.05194815999999</v>
      </c>
      <c r="H50" s="65">
        <f>G50-D50</f>
        <v>7.231664021977906</v>
      </c>
      <c r="I50" s="66">
        <f t="shared" si="7"/>
        <v>2.6702815282079566E-2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K67"/>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186</v>
      </c>
      <c r="C3" s="13" t="s">
        <v>126</v>
      </c>
    </row>
    <row r="4" spans="1:11" x14ac:dyDescent="0.2">
      <c r="A4" s="15" t="s">
        <v>62</v>
      </c>
      <c r="B4" s="15">
        <v>1000</v>
      </c>
      <c r="C4" s="15">
        <f>B4</f>
        <v>1000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1066.7</v>
      </c>
      <c r="C8" s="15">
        <f>C4*C6</f>
        <v>1056.4000000000001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0.3494485003767055</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5" si="2">G13-D13</f>
        <v>0</v>
      </c>
      <c r="I13" s="23">
        <f t="shared" si="0"/>
        <v>0</v>
      </c>
      <c r="J13" s="23">
        <f>G13/$G$45</f>
        <v>0.13568330051256697</v>
      </c>
      <c r="K13" s="108"/>
    </row>
    <row r="14" spans="1:11" s="1" customFormat="1" x14ac:dyDescent="0.2">
      <c r="A14" s="46" t="s">
        <v>33</v>
      </c>
      <c r="B14" s="24"/>
      <c r="C14" s="25"/>
      <c r="D14" s="25">
        <f>SUM(D12:D13)</f>
        <v>94.75</v>
      </c>
      <c r="E14" s="76"/>
      <c r="F14" s="25"/>
      <c r="G14" s="25">
        <f>SUM(G12:G13)</f>
        <v>94.75</v>
      </c>
      <c r="H14" s="25">
        <f t="shared" si="2"/>
        <v>0</v>
      </c>
      <c r="I14" s="27">
        <f t="shared" si="0"/>
        <v>0</v>
      </c>
      <c r="J14" s="27">
        <f>G14/$G$45</f>
        <v>0.48513180088927244</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5" si="4">G15/$G$50</f>
        <v>0.25326082521954718</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9.7205603445904135E-2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0.1430000183956924</v>
      </c>
    </row>
    <row r="18" spans="1:11" s="1" customFormat="1" x14ac:dyDescent="0.2">
      <c r="A18" s="61" t="s">
        <v>37</v>
      </c>
      <c r="B18" s="29"/>
      <c r="C18" s="30"/>
      <c r="D18" s="30">
        <f>SUM(D15:D17)</f>
        <v>97.52</v>
      </c>
      <c r="E18" s="77"/>
      <c r="F18" s="30"/>
      <c r="G18" s="30">
        <f>SUM(G15:G17)</f>
        <v>97.52</v>
      </c>
      <c r="H18" s="31">
        <f t="shared" si="2"/>
        <v>0</v>
      </c>
      <c r="I18" s="32">
        <f t="shared" si="0"/>
        <v>0</v>
      </c>
      <c r="J18" s="33">
        <f>G18/$G$45</f>
        <v>0.49931454588624641</v>
      </c>
      <c r="K18" s="62">
        <f t="shared" si="4"/>
        <v>0.49346644706114373</v>
      </c>
    </row>
    <row r="19" spans="1:11" x14ac:dyDescent="0.2">
      <c r="A19" s="107" t="s">
        <v>38</v>
      </c>
      <c r="B19" s="73">
        <v>1</v>
      </c>
      <c r="C19" s="121">
        <f>VLOOKUP($C$3,'Data for Bill Impacts'!$A$3:$Y$39,7,0)</f>
        <v>49.98</v>
      </c>
      <c r="D19" s="22">
        <f>B19*C19</f>
        <v>49.98</v>
      </c>
      <c r="E19" s="73">
        <f t="shared" ref="E19:E40" si="5">B19</f>
        <v>1</v>
      </c>
      <c r="F19" s="78">
        <f>VLOOKUP($B$3,'Data for Bill Impacts'!$A$3:$Y$39,17,0)</f>
        <v>40.92</v>
      </c>
      <c r="G19" s="22">
        <f>E19*F19</f>
        <v>40.92</v>
      </c>
      <c r="H19" s="22">
        <f t="shared" si="2"/>
        <v>-9.0599999999999952</v>
      </c>
      <c r="I19" s="23">
        <f>IF(ISERROR(H19/ABS(D19)),"N/A",(H19/ABS(D19)))</f>
        <v>-0.18127250900360137</v>
      </c>
      <c r="J19" s="23">
        <f>G19/$G$45</f>
        <v>0.20951549648959397</v>
      </c>
      <c r="K19" s="108">
        <f t="shared" si="4"/>
        <v>0.20706159776191554</v>
      </c>
    </row>
    <row r="20" spans="1:11" x14ac:dyDescent="0.2">
      <c r="A20" s="107" t="s">
        <v>193</v>
      </c>
      <c r="B20" s="73">
        <v>1</v>
      </c>
      <c r="C20" s="121">
        <f>'Data for Bill Impacts'!K35</f>
        <v>-0.74</v>
      </c>
      <c r="D20" s="22">
        <f>B20*C20</f>
        <v>-0.74</v>
      </c>
      <c r="E20" s="73">
        <f t="shared" si="5"/>
        <v>1</v>
      </c>
      <c r="F20" s="121">
        <v>0</v>
      </c>
      <c r="G20" s="22">
        <f t="shared" ref="G20" si="6">E20*F20</f>
        <v>0</v>
      </c>
      <c r="H20" s="22">
        <f t="shared" si="2"/>
        <v>0.74</v>
      </c>
      <c r="I20" s="23">
        <f t="shared" ref="I20:I21" si="7">IF(ISERROR(H20/D20),0,(H20/D20))</f>
        <v>-1</v>
      </c>
      <c r="J20" s="23">
        <f>G20/$G$45</f>
        <v>0</v>
      </c>
      <c r="K20" s="108">
        <f t="shared" si="4"/>
        <v>0</v>
      </c>
    </row>
    <row r="21" spans="1:11" x14ac:dyDescent="0.2">
      <c r="A21" s="107" t="s">
        <v>39</v>
      </c>
      <c r="B21" s="73">
        <f>C4</f>
        <v>1000</v>
      </c>
      <c r="C21" s="78">
        <f>VLOOKUP($C$3,'Data for Bill Impacts'!$A$3:$Y$39,10,0)</f>
        <v>1.5599999999999999E-2</v>
      </c>
      <c r="D21" s="22">
        <f>B21*C21</f>
        <v>15.6</v>
      </c>
      <c r="E21" s="73">
        <f>B4</f>
        <v>1000</v>
      </c>
      <c r="F21" s="78">
        <f>VLOOKUP($B$3,'Data for Bill Impacts'!$A$3:$Y$39,19,0)</f>
        <v>1.8800000000000001E-2</v>
      </c>
      <c r="G21" s="22">
        <f>E21*F21</f>
        <v>18.8</v>
      </c>
      <c r="H21" s="22">
        <f t="shared" si="2"/>
        <v>3.2000000000000011</v>
      </c>
      <c r="I21" s="23">
        <f t="shared" si="7"/>
        <v>0.2051282051282052</v>
      </c>
      <c r="J21" s="23">
        <f>G21/$G$45</f>
        <v>9.6258341495707889E-2</v>
      </c>
      <c r="K21" s="108">
        <f t="shared" si="4"/>
        <v>9.5130939343206544E-2</v>
      </c>
    </row>
    <row r="22" spans="1:11" x14ac:dyDescent="0.2">
      <c r="A22" s="107" t="s">
        <v>194</v>
      </c>
      <c r="B22" s="73">
        <f>C4</f>
        <v>1000</v>
      </c>
      <c r="C22" s="78">
        <f>'Data for Bill Impacts'!H35</f>
        <v>8.0000000000000004E-4</v>
      </c>
      <c r="D22" s="22">
        <f>B22*C22</f>
        <v>0.8</v>
      </c>
      <c r="E22" s="73">
        <f>B4</f>
        <v>1000</v>
      </c>
      <c r="F22" s="125">
        <v>0</v>
      </c>
      <c r="G22" s="22">
        <f>E22*F22</f>
        <v>0</v>
      </c>
      <c r="H22" s="22">
        <f t="shared" ref="H22" si="8">G22-D22</f>
        <v>-0.8</v>
      </c>
      <c r="I22" s="23">
        <f t="shared" ref="I22:I50" si="9">IF(ISERROR(H22/ABS(D22)),"N/A",(H22/ABS(D22)))</f>
        <v>-1</v>
      </c>
      <c r="J22" s="23">
        <f>G22/$G$45</f>
        <v>0</v>
      </c>
      <c r="K22" s="108">
        <f t="shared" si="4"/>
        <v>0</v>
      </c>
    </row>
    <row r="23" spans="1:11" x14ac:dyDescent="0.2">
      <c r="A23" s="107" t="s">
        <v>195</v>
      </c>
      <c r="B23" s="73">
        <f>IF($B$9="kWh",$B$4,$B$5)</f>
        <v>1000</v>
      </c>
      <c r="C23" s="78">
        <f>'Data for Bill Impacts'!L35</f>
        <v>-2.9999999999999997E-4</v>
      </c>
      <c r="D23" s="22">
        <f>B23*C23</f>
        <v>-0.3</v>
      </c>
      <c r="E23" s="73">
        <f t="shared" si="5"/>
        <v>1000</v>
      </c>
      <c r="F23" s="125">
        <v>0</v>
      </c>
      <c r="G23" s="22">
        <f>E23*F23</f>
        <v>0</v>
      </c>
      <c r="H23" s="22">
        <f t="shared" si="2"/>
        <v>0.3</v>
      </c>
      <c r="I23" s="23">
        <f t="shared" si="9"/>
        <v>1</v>
      </c>
      <c r="J23" s="23">
        <f t="shared" ref="J23" si="10">G23/$G$45</f>
        <v>0</v>
      </c>
      <c r="K23" s="108">
        <f t="shared" si="4"/>
        <v>0</v>
      </c>
    </row>
    <row r="24" spans="1:11" s="1" customFormat="1" x14ac:dyDescent="0.2">
      <c r="A24" s="110" t="s">
        <v>72</v>
      </c>
      <c r="B24" s="74"/>
      <c r="C24" s="35"/>
      <c r="D24" s="35">
        <f>SUM(D19:D23)</f>
        <v>65.339999999999989</v>
      </c>
      <c r="E24" s="73"/>
      <c r="F24" s="35"/>
      <c r="G24" s="35">
        <f>SUM(G19:G23)</f>
        <v>59.72</v>
      </c>
      <c r="H24" s="35">
        <f t="shared" si="2"/>
        <v>-5.6199999999999903</v>
      </c>
      <c r="I24" s="36">
        <f t="shared" si="9"/>
        <v>-8.6011631466176783E-2</v>
      </c>
      <c r="J24" s="36">
        <f>G24/$G$45</f>
        <v>0.30577383798530183</v>
      </c>
      <c r="K24" s="111">
        <f t="shared" si="4"/>
        <v>0.30219253710512206</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4.0448983926387886E-3</v>
      </c>
      <c r="K25" s="108">
        <f t="shared" si="4"/>
        <v>3.9975235149538922E-3</v>
      </c>
    </row>
    <row r="26" spans="1:11" s="1" customFormat="1" x14ac:dyDescent="0.2">
      <c r="A26" s="119" t="s">
        <v>75</v>
      </c>
      <c r="B26" s="120">
        <f>C8-C4</f>
        <v>56.400000000000091</v>
      </c>
      <c r="C26" s="257">
        <f>IF(C4&gt;C7,C13,C12)</f>
        <v>0.106</v>
      </c>
      <c r="D26" s="22">
        <f>B26*C26</f>
        <v>5.9784000000000095</v>
      </c>
      <c r="E26" s="73">
        <f>B8-B4</f>
        <v>66.700000000000045</v>
      </c>
      <c r="F26" s="257">
        <f>IF(B4&gt;B7,C13,C12)</f>
        <v>0.106</v>
      </c>
      <c r="G26" s="22">
        <f>E26*F26</f>
        <v>7.0702000000000043</v>
      </c>
      <c r="H26" s="22">
        <f t="shared" si="2"/>
        <v>1.0917999999999948</v>
      </c>
      <c r="I26" s="23">
        <f t="shared" si="9"/>
        <v>0.18262411347517615</v>
      </c>
      <c r="J26" s="23">
        <f t="shared" ref="J26:J45" si="11">G26/$G$45</f>
        <v>3.6200304576752891E-2</v>
      </c>
      <c r="K26" s="108">
        <f t="shared" ref="K26:K40" si="12">G26/$G$50</f>
        <v>3.5776317411932941E-2</v>
      </c>
    </row>
    <row r="27" spans="1:11" s="1" customFormat="1" x14ac:dyDescent="0.2">
      <c r="A27" s="119" t="s">
        <v>74</v>
      </c>
      <c r="B27" s="120">
        <f>B8-B4</f>
        <v>66.700000000000045</v>
      </c>
      <c r="C27" s="257">
        <f>0.65*C15+0.17*C16+0.18*C17</f>
        <v>9.7519999999999996E-2</v>
      </c>
      <c r="D27" s="22">
        <f>B27*C27</f>
        <v>6.5045840000000039</v>
      </c>
      <c r="E27" s="73">
        <f>B27</f>
        <v>66.700000000000045</v>
      </c>
      <c r="F27" s="257">
        <f>C27</f>
        <v>9.7519999999999996E-2</v>
      </c>
      <c r="G27" s="22">
        <f>E27*F27</f>
        <v>6.5045840000000039</v>
      </c>
      <c r="H27" s="22">
        <f t="shared" si="2"/>
        <v>0</v>
      </c>
      <c r="I27" s="23">
        <f t="shared" si="9"/>
        <v>0</v>
      </c>
      <c r="J27" s="23">
        <f t="shared" si="11"/>
        <v>3.3304280210612658E-2</v>
      </c>
      <c r="K27" s="108">
        <f t="shared" si="12"/>
        <v>3.291421201897831E-2</v>
      </c>
    </row>
    <row r="28" spans="1:11" s="1" customFormat="1" x14ac:dyDescent="0.2">
      <c r="A28" s="110" t="s">
        <v>78</v>
      </c>
      <c r="B28" s="74"/>
      <c r="C28" s="35"/>
      <c r="D28" s="35">
        <f>SUM(D24,D25:D26)</f>
        <v>72.108400000000003</v>
      </c>
      <c r="E28" s="73"/>
      <c r="F28" s="35"/>
      <c r="G28" s="35">
        <f>SUM(G24,G25:G26)</f>
        <v>67.580200000000005</v>
      </c>
      <c r="H28" s="35">
        <f t="shared" si="2"/>
        <v>-4.5281999999999982</v>
      </c>
      <c r="I28" s="36">
        <f t="shared" si="9"/>
        <v>-6.2797122110600123E-2</v>
      </c>
      <c r="J28" s="36">
        <f t="shared" si="11"/>
        <v>0.34601904095469355</v>
      </c>
      <c r="K28" s="111">
        <f t="shared" si="12"/>
        <v>0.34196637803200891</v>
      </c>
    </row>
    <row r="29" spans="1:11" s="1" customFormat="1" x14ac:dyDescent="0.2">
      <c r="A29" s="110" t="s">
        <v>77</v>
      </c>
      <c r="B29" s="74"/>
      <c r="C29" s="35"/>
      <c r="D29" s="35">
        <f>SUM(D24,D25,D27)</f>
        <v>72.634584000000004</v>
      </c>
      <c r="E29" s="73"/>
      <c r="F29" s="35"/>
      <c r="G29" s="35">
        <f>SUM(G24,G25,G27)</f>
        <v>67.014583999999999</v>
      </c>
      <c r="H29" s="35">
        <f t="shared" si="2"/>
        <v>-5.6200000000000045</v>
      </c>
      <c r="I29" s="36">
        <f t="shared" si="9"/>
        <v>-7.7373610345176674E-2</v>
      </c>
      <c r="J29" s="36">
        <f t="shared" si="11"/>
        <v>0.34312301658855326</v>
      </c>
      <c r="K29" s="111">
        <f t="shared" si="12"/>
        <v>0.33910427263905424</v>
      </c>
    </row>
    <row r="30" spans="1:11" x14ac:dyDescent="0.2">
      <c r="A30" s="107" t="s">
        <v>40</v>
      </c>
      <c r="B30" s="73">
        <f>$C$8</f>
        <v>1056.4000000000001</v>
      </c>
      <c r="C30" s="78">
        <f>VLOOKUP($C$3,'Data for Bill Impacts'!$A$3:$Y$39,15,0)</f>
        <v>6.3E-3</v>
      </c>
      <c r="D30" s="22">
        <f>B30*C30</f>
        <v>6.6553200000000006</v>
      </c>
      <c r="E30" s="73">
        <f>$B$8</f>
        <v>1066.7</v>
      </c>
      <c r="F30" s="78">
        <f>VLOOKUP($B$3,'Data for Bill Impacts'!$A$3:$Y$39,24,0)</f>
        <v>5.3E-3</v>
      </c>
      <c r="G30" s="22">
        <f>E30*F30</f>
        <v>5.6535100000000007</v>
      </c>
      <c r="H30" s="22">
        <f t="shared" si="2"/>
        <v>-1.0018099999999999</v>
      </c>
      <c r="I30" s="23">
        <f t="shared" si="9"/>
        <v>-0.15052769814223807</v>
      </c>
      <c r="J30" s="23">
        <f t="shared" si="11"/>
        <v>2.8946675331351038E-2</v>
      </c>
      <c r="K30" s="108">
        <f t="shared" si="12"/>
        <v>2.8607644515224028E-2</v>
      </c>
    </row>
    <row r="31" spans="1:11" x14ac:dyDescent="0.2">
      <c r="A31" s="107" t="s">
        <v>41</v>
      </c>
      <c r="B31" s="73">
        <f>$C$8</f>
        <v>1056.4000000000001</v>
      </c>
      <c r="C31" s="78">
        <f>VLOOKUP($C$3,'Data for Bill Impacts'!$A$3:$Y$39,16,0)</f>
        <v>3.0999999999999999E-3</v>
      </c>
      <c r="D31" s="22">
        <f>B31*C31</f>
        <v>3.2748400000000002</v>
      </c>
      <c r="E31" s="73">
        <f>$B$8</f>
        <v>1066.7</v>
      </c>
      <c r="F31" s="78">
        <f>VLOOKUP($B$3,'Data for Bill Impacts'!$A$3:$Y$39,25,0)</f>
        <v>4.4000000000000003E-3</v>
      </c>
      <c r="G31" s="22">
        <f>E31*F31</f>
        <v>4.6934800000000001</v>
      </c>
      <c r="H31" s="22">
        <f t="shared" si="2"/>
        <v>1.4186399999999999</v>
      </c>
      <c r="I31" s="23">
        <f t="shared" si="9"/>
        <v>0.4331936827448058</v>
      </c>
      <c r="J31" s="23">
        <f t="shared" si="11"/>
        <v>2.4031202161876333E-2</v>
      </c>
      <c r="K31" s="108">
        <f t="shared" si="12"/>
        <v>2.3749742616412398E-2</v>
      </c>
    </row>
    <row r="32" spans="1:11" s="1" customFormat="1" x14ac:dyDescent="0.2">
      <c r="A32" s="110" t="s">
        <v>76</v>
      </c>
      <c r="B32" s="74"/>
      <c r="C32" s="35"/>
      <c r="D32" s="35">
        <f>SUM(D30:D31)</f>
        <v>9.9301600000000008</v>
      </c>
      <c r="E32" s="73"/>
      <c r="F32" s="35"/>
      <c r="G32" s="35">
        <f>SUM(G30:G31)</f>
        <v>10.346990000000002</v>
      </c>
      <c r="H32" s="35">
        <f t="shared" si="2"/>
        <v>0.41683000000000092</v>
      </c>
      <c r="I32" s="36">
        <f t="shared" si="9"/>
        <v>4.1976161511999899E-2</v>
      </c>
      <c r="J32" s="36">
        <f t="shared" si="11"/>
        <v>5.2977877493227375E-2</v>
      </c>
      <c r="K32" s="111">
        <f t="shared" si="12"/>
        <v>5.2357387131636429E-2</v>
      </c>
    </row>
    <row r="33" spans="1:11" s="1" customFormat="1" x14ac:dyDescent="0.2">
      <c r="A33" s="110" t="s">
        <v>95</v>
      </c>
      <c r="B33" s="74"/>
      <c r="C33" s="35"/>
      <c r="D33" s="35">
        <f>D28+D32</f>
        <v>82.038560000000004</v>
      </c>
      <c r="E33" s="73"/>
      <c r="F33" s="35"/>
      <c r="G33" s="35">
        <f>G28+G32</f>
        <v>77.92719000000001</v>
      </c>
      <c r="H33" s="35">
        <f t="shared" si="2"/>
        <v>-4.1113699999999938</v>
      </c>
      <c r="I33" s="36">
        <f t="shared" si="9"/>
        <v>-5.0115092220048639E-2</v>
      </c>
      <c r="J33" s="36">
        <f t="shared" si="11"/>
        <v>0.3989969184479209</v>
      </c>
      <c r="K33" s="111">
        <f t="shared" si="12"/>
        <v>0.39432376516364537</v>
      </c>
    </row>
    <row r="34" spans="1:11" s="1" customFormat="1" x14ac:dyDescent="0.2">
      <c r="A34" s="110" t="s">
        <v>96</v>
      </c>
      <c r="B34" s="74"/>
      <c r="C34" s="35"/>
      <c r="D34" s="35">
        <f>D29+D32</f>
        <v>82.564744000000005</v>
      </c>
      <c r="E34" s="73"/>
      <c r="F34" s="35"/>
      <c r="G34" s="35">
        <f>G29+G32</f>
        <v>77.361574000000005</v>
      </c>
      <c r="H34" s="35">
        <f t="shared" si="2"/>
        <v>-5.2031700000000001</v>
      </c>
      <c r="I34" s="36">
        <f t="shared" si="9"/>
        <v>-6.3019271276369485E-2</v>
      </c>
      <c r="J34" s="36">
        <f t="shared" si="11"/>
        <v>0.39610089408178067</v>
      </c>
      <c r="K34" s="111">
        <f t="shared" si="12"/>
        <v>0.3914616597706907</v>
      </c>
    </row>
    <row r="35" spans="1:11" x14ac:dyDescent="0.2">
      <c r="A35" s="107" t="s">
        <v>42</v>
      </c>
      <c r="B35" s="73">
        <f>$C$8</f>
        <v>1056.4000000000001</v>
      </c>
      <c r="C35" s="34">
        <v>3.5999999999999999E-3</v>
      </c>
      <c r="D35" s="22">
        <f>B35*C35</f>
        <v>3.8030400000000002</v>
      </c>
      <c r="E35" s="73">
        <f>$B$8</f>
        <v>1066.7</v>
      </c>
      <c r="F35" s="34">
        <v>3.5999999999999999E-3</v>
      </c>
      <c r="G35" s="22">
        <f>E35*F35</f>
        <v>3.8401200000000002</v>
      </c>
      <c r="H35" s="22">
        <f t="shared" si="2"/>
        <v>3.7080000000000002E-2</v>
      </c>
      <c r="I35" s="23">
        <f t="shared" si="9"/>
        <v>9.7500946611132153E-3</v>
      </c>
      <c r="J35" s="23">
        <f t="shared" si="11"/>
        <v>1.9661892677898817E-2</v>
      </c>
      <c r="K35" s="108">
        <f t="shared" si="12"/>
        <v>1.9431607595246508E-2</v>
      </c>
    </row>
    <row r="36" spans="1:11" x14ac:dyDescent="0.2">
      <c r="A36" s="107" t="s">
        <v>43</v>
      </c>
      <c r="B36" s="73">
        <f>$C$8</f>
        <v>1056.4000000000001</v>
      </c>
      <c r="C36" s="34">
        <v>2.0999999999999999E-3</v>
      </c>
      <c r="D36" s="22">
        <f>B36*C36</f>
        <v>2.2184400000000002</v>
      </c>
      <c r="E36" s="73">
        <f>$B$8</f>
        <v>1066.7</v>
      </c>
      <c r="F36" s="34">
        <v>2.0999999999999999E-3</v>
      </c>
      <c r="G36" s="22">
        <f>E36*F36</f>
        <v>2.2400699999999998</v>
      </c>
      <c r="H36" s="22">
        <f>G36-D36</f>
        <v>2.1629999999999594E-2</v>
      </c>
      <c r="I36" s="23">
        <f t="shared" si="9"/>
        <v>9.7500946611130315E-3</v>
      </c>
      <c r="J36" s="23">
        <f t="shared" si="11"/>
        <v>1.1469437395440976E-2</v>
      </c>
      <c r="K36" s="108">
        <f t="shared" si="12"/>
        <v>1.1335104430560461E-2</v>
      </c>
    </row>
    <row r="37" spans="1:11" x14ac:dyDescent="0.2">
      <c r="A37" s="107" t="s">
        <v>100</v>
      </c>
      <c r="B37" s="73">
        <f>$C$8</f>
        <v>1056.4000000000001</v>
      </c>
      <c r="C37" s="34">
        <v>0</v>
      </c>
      <c r="D37" s="22">
        <f>B37*C37</f>
        <v>0</v>
      </c>
      <c r="E37" s="73">
        <f>$B$8</f>
        <v>1066.7</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1.2800311369110091E-3</v>
      </c>
      <c r="K38" s="108">
        <f t="shared" si="12"/>
        <v>1.2650390870107254E-3</v>
      </c>
    </row>
    <row r="39" spans="1:11" s="1" customFormat="1" x14ac:dyDescent="0.2">
      <c r="A39" s="110" t="s">
        <v>45</v>
      </c>
      <c r="B39" s="74"/>
      <c r="C39" s="35"/>
      <c r="D39" s="35">
        <f>SUM(D35:D38)</f>
        <v>6.2714800000000004</v>
      </c>
      <c r="E39" s="73"/>
      <c r="F39" s="35"/>
      <c r="G39" s="35">
        <f>SUM(G35:G38)</f>
        <v>6.33019</v>
      </c>
      <c r="H39" s="35">
        <f t="shared" si="2"/>
        <v>5.8709999999999596E-2</v>
      </c>
      <c r="I39" s="36">
        <f t="shared" si="9"/>
        <v>9.36142664889302E-3</v>
      </c>
      <c r="J39" s="36">
        <f t="shared" si="11"/>
        <v>3.2411361210250803E-2</v>
      </c>
      <c r="K39" s="111">
        <f t="shared" si="12"/>
        <v>3.2031751112817697E-2</v>
      </c>
    </row>
    <row r="40" spans="1:11" s="1" customFormat="1" ht="13.5" thickBot="1" x14ac:dyDescent="0.25">
      <c r="A40" s="112" t="s">
        <v>46</v>
      </c>
      <c r="B40" s="113">
        <f>B4</f>
        <v>1000</v>
      </c>
      <c r="C40" s="114">
        <v>7.0000000000000001E-3</v>
      </c>
      <c r="D40" s="115">
        <f>B40*C40</f>
        <v>7</v>
      </c>
      <c r="E40" s="116">
        <f t="shared" si="5"/>
        <v>1000</v>
      </c>
      <c r="F40" s="114">
        <f>C40</f>
        <v>7.0000000000000001E-3</v>
      </c>
      <c r="G40" s="115">
        <f>E40*F40</f>
        <v>7</v>
      </c>
      <c r="H40" s="115">
        <f t="shared" si="2"/>
        <v>0</v>
      </c>
      <c r="I40" s="117">
        <f t="shared" si="9"/>
        <v>0</v>
      </c>
      <c r="J40" s="117">
        <f t="shared" si="11"/>
        <v>3.5840871833508252E-2</v>
      </c>
      <c r="K40" s="118">
        <f t="shared" si="12"/>
        <v>3.5421094436300309E-2</v>
      </c>
    </row>
    <row r="41" spans="1:11" s="1" customFormat="1" x14ac:dyDescent="0.2">
      <c r="A41" s="37" t="s">
        <v>137</v>
      </c>
      <c r="B41" s="38"/>
      <c r="C41" s="39"/>
      <c r="D41" s="39">
        <f>SUM(D14,D24,D25,D26,D32,D39,D40)</f>
        <v>190.06003999999999</v>
      </c>
      <c r="E41" s="38"/>
      <c r="F41" s="39"/>
      <c r="G41" s="39">
        <f>SUM(G14,G24,G25,G26,G32,G39,G40)</f>
        <v>186.00737999999998</v>
      </c>
      <c r="H41" s="39">
        <f t="shared" si="2"/>
        <v>-4.052660000000003</v>
      </c>
      <c r="I41" s="40">
        <f t="shared" si="9"/>
        <v>-2.1323051389445163E-2</v>
      </c>
      <c r="J41" s="40">
        <f t="shared" si="11"/>
        <v>0.95238095238095233</v>
      </c>
      <c r="K41" s="41"/>
    </row>
    <row r="42" spans="1:11" x14ac:dyDescent="0.2">
      <c r="A42" s="149" t="s">
        <v>138</v>
      </c>
      <c r="B42" s="43"/>
      <c r="C42" s="26">
        <v>0.13</v>
      </c>
      <c r="D42" s="26">
        <f>D41*C42</f>
        <v>24.707805199999999</v>
      </c>
      <c r="E42" s="26"/>
      <c r="F42" s="26">
        <f>C42</f>
        <v>0.13</v>
      </c>
      <c r="G42" s="26">
        <f>G41*F42</f>
        <v>24.180959399999999</v>
      </c>
      <c r="H42" s="26">
        <f t="shared" si="2"/>
        <v>-0.52684580000000025</v>
      </c>
      <c r="I42" s="44">
        <f t="shared" si="9"/>
        <v>-2.1323051389445156E-2</v>
      </c>
      <c r="J42" s="44">
        <f t="shared" si="11"/>
        <v>0.1238095238095238</v>
      </c>
      <c r="K42" s="45"/>
    </row>
    <row r="43" spans="1:11" s="1" customFormat="1" x14ac:dyDescent="0.2">
      <c r="A43" s="46" t="s">
        <v>139</v>
      </c>
      <c r="B43" s="24"/>
      <c r="C43" s="25"/>
      <c r="D43" s="25">
        <f>SUM(D41:D42)</f>
        <v>214.76784519999998</v>
      </c>
      <c r="E43" s="25"/>
      <c r="F43" s="25"/>
      <c r="G43" s="25">
        <f>SUM(G41:G42)</f>
        <v>210.18833939999999</v>
      </c>
      <c r="H43" s="25">
        <f t="shared" si="2"/>
        <v>-4.5795057999999926</v>
      </c>
      <c r="I43" s="27">
        <f t="shared" si="9"/>
        <v>-2.1323051389445114E-2</v>
      </c>
      <c r="J43" s="27">
        <f t="shared" si="11"/>
        <v>1.0761904761904761</v>
      </c>
      <c r="K43" s="47"/>
    </row>
    <row r="44" spans="1:11" x14ac:dyDescent="0.2">
      <c r="A44" s="42" t="s">
        <v>140</v>
      </c>
      <c r="B44" s="43"/>
      <c r="C44" s="26">
        <v>-0.08</v>
      </c>
      <c r="D44" s="26">
        <f>D41*C44</f>
        <v>-15.204803199999999</v>
      </c>
      <c r="E44" s="26"/>
      <c r="F44" s="26">
        <f>C44</f>
        <v>-0.08</v>
      </c>
      <c r="G44" s="26">
        <f>G41*F44</f>
        <v>-14.880590399999999</v>
      </c>
      <c r="H44" s="26">
        <f t="shared" si="2"/>
        <v>0.32421279999999975</v>
      </c>
      <c r="I44" s="44">
        <f t="shared" si="9"/>
        <v>2.1323051389445132E-2</v>
      </c>
      <c r="J44" s="44">
        <f t="shared" si="11"/>
        <v>-7.6190476190476183E-2</v>
      </c>
      <c r="K44" s="45"/>
    </row>
    <row r="45" spans="1:11" s="1" customFormat="1" ht="13.5" thickBot="1" x14ac:dyDescent="0.25">
      <c r="A45" s="48" t="s">
        <v>141</v>
      </c>
      <c r="B45" s="49"/>
      <c r="C45" s="50"/>
      <c r="D45" s="50">
        <f>SUM(D43:D44)</f>
        <v>199.563042</v>
      </c>
      <c r="E45" s="50"/>
      <c r="F45" s="50"/>
      <c r="G45" s="50">
        <f>SUM(G43:G44)</f>
        <v>195.307749</v>
      </c>
      <c r="H45" s="50">
        <f t="shared" si="2"/>
        <v>-4.2552929999999947</v>
      </c>
      <c r="I45" s="51">
        <f t="shared" si="9"/>
        <v>-2.1323051389445121E-2</v>
      </c>
      <c r="J45" s="51">
        <f t="shared" si="11"/>
        <v>1</v>
      </c>
      <c r="K45" s="52"/>
    </row>
    <row r="46" spans="1:11" x14ac:dyDescent="0.2">
      <c r="A46" s="53" t="s">
        <v>142</v>
      </c>
      <c r="B46" s="54"/>
      <c r="C46" s="55"/>
      <c r="D46" s="55">
        <f>SUM(D18,D24,D25,D27,D32,D39,D40)</f>
        <v>193.35622399999997</v>
      </c>
      <c r="E46" s="55"/>
      <c r="F46" s="55"/>
      <c r="G46" s="55">
        <f>SUM(G18,G24,G25,G27,G32,G39,G40)</f>
        <v>188.21176399999999</v>
      </c>
      <c r="H46" s="55">
        <f>G46-D46</f>
        <v>-5.1444599999999809</v>
      </c>
      <c r="I46" s="56">
        <f t="shared" si="9"/>
        <v>-2.6606125696786373E-2</v>
      </c>
      <c r="J46" s="56"/>
      <c r="K46" s="57">
        <f>G46/$G$50</f>
        <v>0.95238095238095233</v>
      </c>
    </row>
    <row r="47" spans="1:11" x14ac:dyDescent="0.2">
      <c r="A47" s="58" t="s">
        <v>138</v>
      </c>
      <c r="B47" s="59"/>
      <c r="C47" s="31">
        <v>0.13</v>
      </c>
      <c r="D47" s="31">
        <f>D46*C47</f>
        <v>25.136309119999996</v>
      </c>
      <c r="E47" s="31"/>
      <c r="F47" s="31">
        <f>C47</f>
        <v>0.13</v>
      </c>
      <c r="G47" s="31">
        <f>G46*F47</f>
        <v>24.467529320000001</v>
      </c>
      <c r="H47" s="31">
        <f>G47-D47</f>
        <v>-0.66877979999999582</v>
      </c>
      <c r="I47" s="32">
        <f t="shared" si="9"/>
        <v>-2.6606125696786304E-2</v>
      </c>
      <c r="J47" s="32"/>
      <c r="K47" s="60">
        <f>G47/$G$50</f>
        <v>0.12380952380952381</v>
      </c>
    </row>
    <row r="48" spans="1:11" x14ac:dyDescent="0.2">
      <c r="A48" s="140" t="s">
        <v>143</v>
      </c>
      <c r="B48" s="29"/>
      <c r="C48" s="30"/>
      <c r="D48" s="30">
        <f>SUM(D46:D47)</f>
        <v>218.49253311999996</v>
      </c>
      <c r="E48" s="30"/>
      <c r="F48" s="30"/>
      <c r="G48" s="30">
        <f>SUM(G46:G47)</f>
        <v>212.67929332</v>
      </c>
      <c r="H48" s="30">
        <f>G48-D48</f>
        <v>-5.8132397999999625</v>
      </c>
      <c r="I48" s="33">
        <f t="shared" si="9"/>
        <v>-2.66061256967863E-2</v>
      </c>
      <c r="J48" s="33"/>
      <c r="K48" s="62">
        <f>G48/$G$50</f>
        <v>1.0761904761904761</v>
      </c>
    </row>
    <row r="49" spans="1:11" x14ac:dyDescent="0.2">
      <c r="A49" s="58" t="s">
        <v>140</v>
      </c>
      <c r="B49" s="59"/>
      <c r="C49" s="31">
        <v>-0.08</v>
      </c>
      <c r="D49" s="31">
        <f>D46*C49</f>
        <v>-15.468497919999997</v>
      </c>
      <c r="E49" s="31"/>
      <c r="F49" s="31">
        <f>C49</f>
        <v>-0.08</v>
      </c>
      <c r="G49" s="31">
        <f>G46*F49</f>
        <v>-15.056941119999999</v>
      </c>
      <c r="H49" s="31">
        <f>G49-D49</f>
        <v>0.41155679999999784</v>
      </c>
      <c r="I49" s="32">
        <f t="shared" si="9"/>
        <v>2.6606125696786331E-2</v>
      </c>
      <c r="J49" s="32"/>
      <c r="K49" s="60">
        <f>G49/$G$50</f>
        <v>-7.6190476190476183E-2</v>
      </c>
    </row>
    <row r="50" spans="1:11" ht="13.5" thickBot="1" x14ac:dyDescent="0.25">
      <c r="A50" s="63" t="s">
        <v>144</v>
      </c>
      <c r="B50" s="64"/>
      <c r="C50" s="65"/>
      <c r="D50" s="65">
        <f>SUM(D48:D49)</f>
        <v>203.02403519999996</v>
      </c>
      <c r="E50" s="65"/>
      <c r="F50" s="65"/>
      <c r="G50" s="65">
        <f>SUM(G48:G49)</f>
        <v>197.62235219999999</v>
      </c>
      <c r="H50" s="65">
        <f>G50-D50</f>
        <v>-5.4016829999999629</v>
      </c>
      <c r="I50" s="66">
        <f t="shared" si="9"/>
        <v>-2.660612569678629E-2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186</v>
      </c>
      <c r="C3" s="13" t="s">
        <v>126</v>
      </c>
    </row>
    <row r="4" spans="1:11" x14ac:dyDescent="0.2">
      <c r="A4" s="15" t="s">
        <v>62</v>
      </c>
      <c r="B4" s="79">
        <f>C4</f>
        <v>2182.4738954619888</v>
      </c>
      <c r="C4" s="79">
        <f>'Data for Bill Impacts_HONI Avg '!E30</f>
        <v>2182.4738954619888</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81">
        <f>B4*B6</f>
        <v>2328.0449042893033</v>
      </c>
      <c r="C8" s="181">
        <f>C4*C6</f>
        <v>2305.5654231660451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0.17584559104828112</v>
      </c>
      <c r="K12" s="106"/>
    </row>
    <row r="13" spans="1:11" x14ac:dyDescent="0.2">
      <c r="A13" s="107" t="s">
        <v>32</v>
      </c>
      <c r="B13" s="73">
        <f>IF(B4&gt;B7,(B4)-B7,0)</f>
        <v>1432.4738954619888</v>
      </c>
      <c r="C13" s="21">
        <v>0.106</v>
      </c>
      <c r="D13" s="22">
        <f>B13*C13</f>
        <v>151.84223291897081</v>
      </c>
      <c r="E13" s="73">
        <f t="shared" ref="E13" si="1">B13</f>
        <v>1432.4738954619888</v>
      </c>
      <c r="F13" s="21">
        <f>C13</f>
        <v>0.106</v>
      </c>
      <c r="G13" s="22">
        <f>E13*F13</f>
        <v>151.84223291897081</v>
      </c>
      <c r="H13" s="22">
        <f t="shared" ref="H13:H45" si="2">G13-D13</f>
        <v>0</v>
      </c>
      <c r="I13" s="23">
        <f t="shared" si="0"/>
        <v>0</v>
      </c>
      <c r="J13" s="23">
        <f>G13/$G$45</f>
        <v>0.39122032518281602</v>
      </c>
      <c r="K13" s="108"/>
    </row>
    <row r="14" spans="1:11" s="1" customFormat="1" x14ac:dyDescent="0.2">
      <c r="A14" s="46" t="s">
        <v>33</v>
      </c>
      <c r="B14" s="24"/>
      <c r="C14" s="25"/>
      <c r="D14" s="25">
        <f>SUM(D12:D13)</f>
        <v>220.09223291897081</v>
      </c>
      <c r="E14" s="76"/>
      <c r="F14" s="25"/>
      <c r="G14" s="25">
        <f>SUM(G12:G13)</f>
        <v>220.09223291897081</v>
      </c>
      <c r="H14" s="25">
        <f t="shared" si="2"/>
        <v>0</v>
      </c>
      <c r="I14" s="27">
        <f t="shared" si="0"/>
        <v>0</v>
      </c>
      <c r="J14" s="27">
        <f>G14/$G$45</f>
        <v>0.56706591623109714</v>
      </c>
      <c r="K14" s="108"/>
    </row>
    <row r="15" spans="1:11" s="1" customFormat="1" x14ac:dyDescent="0.2">
      <c r="A15" s="109" t="s">
        <v>34</v>
      </c>
      <c r="B15" s="75">
        <f>B4*0.65</f>
        <v>1418.6080320502929</v>
      </c>
      <c r="C15" s="28">
        <v>7.6999999999999999E-2</v>
      </c>
      <c r="D15" s="22">
        <f>B15*C15</f>
        <v>109.23281846787255</v>
      </c>
      <c r="E15" s="73">
        <f t="shared" ref="E15:F17" si="3">B15</f>
        <v>1418.6080320502929</v>
      </c>
      <c r="F15" s="28">
        <f t="shared" si="3"/>
        <v>7.6999999999999999E-2</v>
      </c>
      <c r="G15" s="22">
        <f>E15*F15</f>
        <v>109.23281846787255</v>
      </c>
      <c r="H15" s="22">
        <f t="shared" si="2"/>
        <v>0</v>
      </c>
      <c r="I15" s="23">
        <f t="shared" si="0"/>
        <v>0</v>
      </c>
      <c r="J15" s="23"/>
      <c r="K15" s="108">
        <f t="shared" ref="K15:K25" si="4">G15/$G$50</f>
        <v>0.28805500873350448</v>
      </c>
    </row>
    <row r="16" spans="1:11" s="1" customFormat="1" x14ac:dyDescent="0.2">
      <c r="A16" s="109" t="s">
        <v>35</v>
      </c>
      <c r="B16" s="75">
        <f>B4*0.17</f>
        <v>371.02056222853815</v>
      </c>
      <c r="C16" s="28">
        <v>0.113</v>
      </c>
      <c r="D16" s="22">
        <f>B16*C16</f>
        <v>41.925323531824816</v>
      </c>
      <c r="E16" s="73">
        <f t="shared" si="3"/>
        <v>371.02056222853815</v>
      </c>
      <c r="F16" s="28">
        <f t="shared" si="3"/>
        <v>0.113</v>
      </c>
      <c r="G16" s="22">
        <f>E16*F16</f>
        <v>41.925323531824816</v>
      </c>
      <c r="H16" s="22">
        <f t="shared" si="2"/>
        <v>0</v>
      </c>
      <c r="I16" s="23">
        <f t="shared" si="0"/>
        <v>0</v>
      </c>
      <c r="J16" s="23"/>
      <c r="K16" s="108">
        <f t="shared" si="4"/>
        <v>0.11056017418123121</v>
      </c>
    </row>
    <row r="17" spans="1:11" s="1" customFormat="1" x14ac:dyDescent="0.2">
      <c r="A17" s="109" t="s">
        <v>36</v>
      </c>
      <c r="B17" s="75">
        <f>B4*0.18</f>
        <v>392.84530118315797</v>
      </c>
      <c r="C17" s="28">
        <v>0.157</v>
      </c>
      <c r="D17" s="22">
        <f>B17*C17</f>
        <v>61.676712285755805</v>
      </c>
      <c r="E17" s="73">
        <f t="shared" si="3"/>
        <v>392.84530118315797</v>
      </c>
      <c r="F17" s="28">
        <f t="shared" si="3"/>
        <v>0.157</v>
      </c>
      <c r="G17" s="22">
        <f>E17*F17</f>
        <v>61.676712285755805</v>
      </c>
      <c r="H17" s="22">
        <f t="shared" si="2"/>
        <v>0</v>
      </c>
      <c r="I17" s="23">
        <f t="shared" si="0"/>
        <v>0</v>
      </c>
      <c r="J17" s="23"/>
      <c r="K17" s="108">
        <f t="shared" si="4"/>
        <v>0.16264604489128542</v>
      </c>
    </row>
    <row r="18" spans="1:11" s="1" customFormat="1" x14ac:dyDescent="0.2">
      <c r="A18" s="61" t="s">
        <v>37</v>
      </c>
      <c r="B18" s="29"/>
      <c r="C18" s="30"/>
      <c r="D18" s="30">
        <f>SUM(D15:D17)</f>
        <v>212.83485428545316</v>
      </c>
      <c r="E18" s="77"/>
      <c r="F18" s="30"/>
      <c r="G18" s="30">
        <f>SUM(G15:G17)</f>
        <v>212.83485428545316</v>
      </c>
      <c r="H18" s="31">
        <f t="shared" si="2"/>
        <v>0</v>
      </c>
      <c r="I18" s="32">
        <f t="shared" si="0"/>
        <v>0</v>
      </c>
      <c r="J18" s="33">
        <f>G18/$G$45</f>
        <v>0.5483673369597114</v>
      </c>
      <c r="K18" s="62">
        <f t="shared" si="4"/>
        <v>0.56126122780602106</v>
      </c>
    </row>
    <row r="19" spans="1:11" x14ac:dyDescent="0.2">
      <c r="A19" s="107" t="s">
        <v>38</v>
      </c>
      <c r="B19" s="73">
        <v>1</v>
      </c>
      <c r="C19" s="121">
        <f>VLOOKUP($C$3,'Data for Bill Impacts'!$A$3:$Y$39,7,0)</f>
        <v>49.98</v>
      </c>
      <c r="D19" s="22">
        <f>B19*C19</f>
        <v>49.98</v>
      </c>
      <c r="E19" s="73">
        <f t="shared" ref="E19:E40" si="5">B19</f>
        <v>1</v>
      </c>
      <c r="F19" s="78">
        <f>VLOOKUP($B$3,'Data for Bill Impacts'!$A$3:$Y$39,17,0)</f>
        <v>40.92</v>
      </c>
      <c r="G19" s="22">
        <f>E19*F19</f>
        <v>40.92</v>
      </c>
      <c r="H19" s="22">
        <f t="shared" si="2"/>
        <v>-9.0599999999999952</v>
      </c>
      <c r="I19" s="23">
        <f>IF(ISERROR(H19/ABS(D19)),"N/A",(H19/ABS(D19)))</f>
        <v>-0.18127250900360137</v>
      </c>
      <c r="J19" s="23">
        <f>G19/$G$45</f>
        <v>0.10543005986367274</v>
      </c>
      <c r="K19" s="108">
        <f t="shared" si="4"/>
        <v>0.10790906178843904</v>
      </c>
    </row>
    <row r="20" spans="1:11" x14ac:dyDescent="0.2">
      <c r="A20" s="107" t="s">
        <v>193</v>
      </c>
      <c r="B20" s="73">
        <v>1</v>
      </c>
      <c r="C20" s="121">
        <f>'Data for Bill Impacts'!K35</f>
        <v>-0.74</v>
      </c>
      <c r="D20" s="22">
        <f>B20*C20</f>
        <v>-0.74</v>
      </c>
      <c r="E20" s="73">
        <f t="shared" si="5"/>
        <v>1</v>
      </c>
      <c r="F20" s="121">
        <v>0</v>
      </c>
      <c r="G20" s="22">
        <f t="shared" ref="G20" si="6">E20*F20</f>
        <v>0</v>
      </c>
      <c r="H20" s="22">
        <f t="shared" si="2"/>
        <v>0.74</v>
      </c>
      <c r="I20" s="23">
        <f t="shared" ref="I20:I21" si="7">IF(ISERROR(H20/D20),0,(H20/D20))</f>
        <v>-1</v>
      </c>
      <c r="J20" s="23">
        <f>G20/$G$45</f>
        <v>0</v>
      </c>
      <c r="K20" s="108">
        <f t="shared" si="4"/>
        <v>0</v>
      </c>
    </row>
    <row r="21" spans="1:11" x14ac:dyDescent="0.2">
      <c r="A21" s="107" t="s">
        <v>39</v>
      </c>
      <c r="B21" s="73">
        <f>C4</f>
        <v>2182.4738954619888</v>
      </c>
      <c r="C21" s="78">
        <f>VLOOKUP($C$3,'Data for Bill Impacts'!$A$3:$Y$39,10,0)</f>
        <v>1.5599999999999999E-2</v>
      </c>
      <c r="D21" s="22">
        <f>B21*C21</f>
        <v>34.046592769207024</v>
      </c>
      <c r="E21" s="73">
        <f>B4</f>
        <v>2182.4738954619888</v>
      </c>
      <c r="F21" s="78">
        <f>VLOOKUP($B$3,'Data for Bill Impacts'!$A$3:$Y$39,19,0)</f>
        <v>1.8800000000000001E-2</v>
      </c>
      <c r="G21" s="22">
        <f>E21*F21</f>
        <v>41.03050923468539</v>
      </c>
      <c r="H21" s="22">
        <f t="shared" si="2"/>
        <v>6.9839164654783659</v>
      </c>
      <c r="I21" s="23">
        <f t="shared" si="7"/>
        <v>0.20512820512820518</v>
      </c>
      <c r="J21" s="23">
        <f>G21/$G$45</f>
        <v>0.10571478604227413</v>
      </c>
      <c r="K21" s="108">
        <f t="shared" si="4"/>
        <v>0.10820048280099667</v>
      </c>
    </row>
    <row r="22" spans="1:11" x14ac:dyDescent="0.2">
      <c r="A22" s="107" t="s">
        <v>194</v>
      </c>
      <c r="B22" s="73">
        <f>C4</f>
        <v>2182.4738954619888</v>
      </c>
      <c r="C22" s="78">
        <f>'Data for Bill Impacts'!H35</f>
        <v>8.0000000000000004E-4</v>
      </c>
      <c r="D22" s="22">
        <f>B22*C22</f>
        <v>1.7459791163695912</v>
      </c>
      <c r="E22" s="73">
        <f>B4</f>
        <v>2182.4738954619888</v>
      </c>
      <c r="F22" s="125">
        <v>0</v>
      </c>
      <c r="G22" s="22">
        <f>E22*F22</f>
        <v>0</v>
      </c>
      <c r="H22" s="22">
        <f t="shared" ref="H22" si="8">G22-D22</f>
        <v>-1.7459791163695912</v>
      </c>
      <c r="I22" s="23">
        <f t="shared" ref="I22:I50" si="9">IF(ISERROR(H22/ABS(D22)),"N/A",(H22/ABS(D22)))</f>
        <v>-1</v>
      </c>
      <c r="J22" s="23">
        <f>G22/$G$45</f>
        <v>0</v>
      </c>
      <c r="K22" s="108">
        <f t="shared" si="4"/>
        <v>0</v>
      </c>
    </row>
    <row r="23" spans="1:11" x14ac:dyDescent="0.2">
      <c r="A23" s="107" t="s">
        <v>195</v>
      </c>
      <c r="B23" s="73">
        <f>IF($B$9="kWh",$B$4,$B$5)</f>
        <v>2182.4738954619888</v>
      </c>
      <c r="C23" s="78">
        <f>'Data for Bill Impacts'!L35</f>
        <v>-2.9999999999999997E-4</v>
      </c>
      <c r="D23" s="22">
        <f>B23*C23</f>
        <v>-0.65474216863859658</v>
      </c>
      <c r="E23" s="73">
        <f t="shared" si="5"/>
        <v>2182.4738954619888</v>
      </c>
      <c r="F23" s="125">
        <v>0</v>
      </c>
      <c r="G23" s="22">
        <f>E23*F23</f>
        <v>0</v>
      </c>
      <c r="H23" s="22">
        <f t="shared" si="2"/>
        <v>0.65474216863859658</v>
      </c>
      <c r="I23" s="23">
        <f t="shared" si="9"/>
        <v>1</v>
      </c>
      <c r="J23" s="23">
        <f t="shared" ref="J23" si="10">G23/$G$45</f>
        <v>0</v>
      </c>
      <c r="K23" s="108">
        <f t="shared" si="4"/>
        <v>0</v>
      </c>
    </row>
    <row r="24" spans="1:11" s="1" customFormat="1" x14ac:dyDescent="0.2">
      <c r="A24" s="110" t="s">
        <v>72</v>
      </c>
      <c r="B24" s="74"/>
      <c r="C24" s="35"/>
      <c r="D24" s="35">
        <f>SUM(D19:D23)</f>
        <v>84.377829716938024</v>
      </c>
      <c r="E24" s="73"/>
      <c r="F24" s="35"/>
      <c r="G24" s="35">
        <f>SUM(G19:G23)</f>
        <v>81.950509234685398</v>
      </c>
      <c r="H24" s="35">
        <f t="shared" si="2"/>
        <v>-2.4273204822526253</v>
      </c>
      <c r="I24" s="36">
        <f t="shared" si="9"/>
        <v>-2.8767277973320099E-2</v>
      </c>
      <c r="J24" s="36">
        <f>G24/$G$45</f>
        <v>0.2111448459059469</v>
      </c>
      <c r="K24" s="111">
        <f t="shared" si="4"/>
        <v>0.21610954458943571</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2.0354288194599575E-3</v>
      </c>
      <c r="K25" s="108">
        <f t="shared" si="4"/>
        <v>2.0832883385353577E-3</v>
      </c>
    </row>
    <row r="26" spans="1:11" s="1" customFormat="1" x14ac:dyDescent="0.2">
      <c r="A26" s="119" t="s">
        <v>75</v>
      </c>
      <c r="B26" s="120">
        <f>C8-C4</f>
        <v>123.09152770405626</v>
      </c>
      <c r="C26" s="257">
        <f>IF(C4&gt;C7,C13,C12)</f>
        <v>0.106</v>
      </c>
      <c r="D26" s="22">
        <f>B26*C26</f>
        <v>13.047701936629963</v>
      </c>
      <c r="E26" s="73">
        <f>B8-B4</f>
        <v>145.57100882731447</v>
      </c>
      <c r="F26" s="257">
        <f>IF(B4&gt;B7,C13,C12)</f>
        <v>0.106</v>
      </c>
      <c r="G26" s="22">
        <f>E26*F26</f>
        <v>15.430526935695333</v>
      </c>
      <c r="H26" s="22">
        <f t="shared" si="2"/>
        <v>2.3828249990653703</v>
      </c>
      <c r="I26" s="23">
        <f t="shared" si="9"/>
        <v>0.18262411347517496</v>
      </c>
      <c r="J26" s="23">
        <f t="shared" ref="J26:J45" si="11">G26/$G$45</f>
        <v>3.9756631929579019E-2</v>
      </c>
      <c r="K26" s="108">
        <f t="shared" ref="K26:K40" si="12">G26/$G$50</f>
        <v>4.069143901593647E-2</v>
      </c>
    </row>
    <row r="27" spans="1:11" s="1" customFormat="1" x14ac:dyDescent="0.2">
      <c r="A27" s="119" t="s">
        <v>74</v>
      </c>
      <c r="B27" s="120">
        <f>C8-C4</f>
        <v>123.09152770405626</v>
      </c>
      <c r="C27" s="257">
        <f>0.65*C15+0.17*C16+0.18*C17</f>
        <v>9.7519999999999996E-2</v>
      </c>
      <c r="D27" s="22">
        <f>B27*C27</f>
        <v>12.003885781699566</v>
      </c>
      <c r="E27" s="73">
        <f>B8-B4</f>
        <v>145.57100882731447</v>
      </c>
      <c r="F27" s="257">
        <f>C27</f>
        <v>9.7519999999999996E-2</v>
      </c>
      <c r="G27" s="22">
        <f>E27*F27</f>
        <v>14.196084780839707</v>
      </c>
      <c r="H27" s="22">
        <f t="shared" si="2"/>
        <v>2.1921989991401407</v>
      </c>
      <c r="I27" s="23">
        <f t="shared" si="9"/>
        <v>0.18262411347517496</v>
      </c>
      <c r="J27" s="23">
        <f t="shared" si="11"/>
        <v>3.6576101375212701E-2</v>
      </c>
      <c r="K27" s="108">
        <f t="shared" si="12"/>
        <v>3.7436123894661555E-2</v>
      </c>
    </row>
    <row r="28" spans="1:11" s="1" customFormat="1" x14ac:dyDescent="0.2">
      <c r="A28" s="110" t="s">
        <v>78</v>
      </c>
      <c r="B28" s="74"/>
      <c r="C28" s="35"/>
      <c r="D28" s="35">
        <f>SUM(D24,D25:D26)</f>
        <v>98.215531653567993</v>
      </c>
      <c r="E28" s="73"/>
      <c r="F28" s="35"/>
      <c r="G28" s="35">
        <f>SUM(G24,G25:G26)</f>
        <v>98.171036170380745</v>
      </c>
      <c r="H28" s="35">
        <f t="shared" si="2"/>
        <v>-4.4495483187247942E-2</v>
      </c>
      <c r="I28" s="36">
        <f t="shared" si="9"/>
        <v>-4.5303917250272811E-4</v>
      </c>
      <c r="J28" s="36">
        <f t="shared" si="11"/>
        <v>0.25293690665498592</v>
      </c>
      <c r="K28" s="111">
        <f t="shared" si="12"/>
        <v>0.25888427194390756</v>
      </c>
    </row>
    <row r="29" spans="1:11" s="1" customFormat="1" x14ac:dyDescent="0.2">
      <c r="A29" s="110" t="s">
        <v>77</v>
      </c>
      <c r="B29" s="74"/>
      <c r="C29" s="35"/>
      <c r="D29" s="35">
        <f>SUM(D24,D25,D27)</f>
        <v>97.171715498637596</v>
      </c>
      <c r="E29" s="73"/>
      <c r="F29" s="35"/>
      <c r="G29" s="35">
        <f>SUM(G24,G25,G27)</f>
        <v>96.936594015525117</v>
      </c>
      <c r="H29" s="35">
        <f t="shared" si="2"/>
        <v>-0.23512148311247927</v>
      </c>
      <c r="I29" s="36">
        <f t="shared" si="9"/>
        <v>-2.4196494000949878E-3</v>
      </c>
      <c r="J29" s="36">
        <f t="shared" si="11"/>
        <v>0.24975637610061957</v>
      </c>
      <c r="K29" s="111">
        <f t="shared" si="12"/>
        <v>0.25562895682263265</v>
      </c>
    </row>
    <row r="30" spans="1:11" x14ac:dyDescent="0.2">
      <c r="A30" s="107" t="s">
        <v>40</v>
      </c>
      <c r="B30" s="73">
        <f>$C$8</f>
        <v>2305.5654231660451</v>
      </c>
      <c r="C30" s="78">
        <f>VLOOKUP($C$3,'Data for Bill Impacts'!$A$3:$Y$39,15,0)</f>
        <v>6.3E-3</v>
      </c>
      <c r="D30" s="22">
        <f>B30*C30</f>
        <v>14.525062165946084</v>
      </c>
      <c r="E30" s="73">
        <f>$B$8</f>
        <v>2328.0449042893033</v>
      </c>
      <c r="F30" s="78">
        <f>VLOOKUP($B$3,'Data for Bill Impacts'!$A$3:$Y$39,24,0)</f>
        <v>5.3E-3</v>
      </c>
      <c r="G30" s="22">
        <f>E30*F30</f>
        <v>12.338637992733307</v>
      </c>
      <c r="H30" s="22">
        <f t="shared" si="2"/>
        <v>-2.1864241732127763</v>
      </c>
      <c r="I30" s="23">
        <f t="shared" si="9"/>
        <v>-0.15052769814223818</v>
      </c>
      <c r="J30" s="23">
        <f t="shared" si="11"/>
        <v>3.179040425733283E-2</v>
      </c>
      <c r="K30" s="108">
        <f t="shared" si="12"/>
        <v>3.2537899548950137E-2</v>
      </c>
    </row>
    <row r="31" spans="1:11" x14ac:dyDescent="0.2">
      <c r="A31" s="107" t="s">
        <v>41</v>
      </c>
      <c r="B31" s="73">
        <f>$C$8</f>
        <v>2305.5654231660451</v>
      </c>
      <c r="C31" s="78">
        <f>VLOOKUP($C$3,'Data for Bill Impacts'!$A$3:$Y$39,16,0)</f>
        <v>3.0999999999999999E-3</v>
      </c>
      <c r="D31" s="22">
        <f>B31*C31</f>
        <v>7.1472528118147398</v>
      </c>
      <c r="E31" s="73">
        <f>$B$8</f>
        <v>2328.0449042893033</v>
      </c>
      <c r="F31" s="78">
        <f>VLOOKUP($B$3,'Data for Bill Impacts'!$A$3:$Y$39,25,0)</f>
        <v>4.4000000000000003E-3</v>
      </c>
      <c r="G31" s="22">
        <f>E31*F31</f>
        <v>10.243397578872935</v>
      </c>
      <c r="H31" s="22">
        <f t="shared" si="2"/>
        <v>3.0961447670581954</v>
      </c>
      <c r="I31" s="23">
        <f t="shared" si="9"/>
        <v>0.4331936827448058</v>
      </c>
      <c r="J31" s="23">
        <f t="shared" si="11"/>
        <v>2.6392033723068767E-2</v>
      </c>
      <c r="K31" s="108">
        <f t="shared" si="12"/>
        <v>2.7012595851958608E-2</v>
      </c>
    </row>
    <row r="32" spans="1:11" s="1" customFormat="1" x14ac:dyDescent="0.2">
      <c r="A32" s="110" t="s">
        <v>76</v>
      </c>
      <c r="B32" s="74"/>
      <c r="C32" s="35"/>
      <c r="D32" s="35">
        <f>SUM(D30:D31)</f>
        <v>21.672314977760823</v>
      </c>
      <c r="E32" s="73"/>
      <c r="F32" s="35"/>
      <c r="G32" s="35">
        <f>SUM(G30:G31)</f>
        <v>22.582035571606241</v>
      </c>
      <c r="H32" s="35">
        <f t="shared" si="2"/>
        <v>0.90972059384541737</v>
      </c>
      <c r="I32" s="36">
        <f t="shared" si="9"/>
        <v>4.1976161511999649E-2</v>
      </c>
      <c r="J32" s="36">
        <f t="shared" si="11"/>
        <v>5.818243798040159E-2</v>
      </c>
      <c r="K32" s="111">
        <f t="shared" si="12"/>
        <v>5.9550495400908746E-2</v>
      </c>
    </row>
    <row r="33" spans="1:11" s="1" customFormat="1" x14ac:dyDescent="0.2">
      <c r="A33" s="110" t="s">
        <v>95</v>
      </c>
      <c r="B33" s="74"/>
      <c r="C33" s="35"/>
      <c r="D33" s="35">
        <f>D28+D32</f>
        <v>119.88784663132881</v>
      </c>
      <c r="E33" s="73"/>
      <c r="F33" s="35"/>
      <c r="G33" s="35">
        <f>G28+G32</f>
        <v>120.75307174198699</v>
      </c>
      <c r="H33" s="35">
        <f t="shared" si="2"/>
        <v>0.86522511065817298</v>
      </c>
      <c r="I33" s="36">
        <f t="shared" si="9"/>
        <v>7.2169543032902751E-3</v>
      </c>
      <c r="J33" s="36">
        <f t="shared" si="11"/>
        <v>0.31111934463538748</v>
      </c>
      <c r="K33" s="111">
        <f t="shared" si="12"/>
        <v>0.31843476734481635</v>
      </c>
    </row>
    <row r="34" spans="1:11" s="1" customFormat="1" x14ac:dyDescent="0.2">
      <c r="A34" s="110" t="s">
        <v>96</v>
      </c>
      <c r="B34" s="74"/>
      <c r="C34" s="35"/>
      <c r="D34" s="35">
        <f>D29+D32</f>
        <v>118.84403047639842</v>
      </c>
      <c r="E34" s="73"/>
      <c r="F34" s="35"/>
      <c r="G34" s="35">
        <f>G29+G32</f>
        <v>119.51862958713136</v>
      </c>
      <c r="H34" s="35">
        <f t="shared" si="2"/>
        <v>0.67459911073294165</v>
      </c>
      <c r="I34" s="36">
        <f t="shared" si="9"/>
        <v>5.6763398887495009E-3</v>
      </c>
      <c r="J34" s="36">
        <f t="shared" si="11"/>
        <v>0.30793881408102114</v>
      </c>
      <c r="K34" s="111">
        <f t="shared" si="12"/>
        <v>0.31517945222354143</v>
      </c>
    </row>
    <row r="35" spans="1:11" x14ac:dyDescent="0.2">
      <c r="A35" s="107" t="s">
        <v>42</v>
      </c>
      <c r="B35" s="73">
        <f>$C$8</f>
        <v>2305.5654231660451</v>
      </c>
      <c r="C35" s="34">
        <v>3.5999999999999999E-3</v>
      </c>
      <c r="D35" s="22">
        <f>B35*C35</f>
        <v>8.3000355233977618</v>
      </c>
      <c r="E35" s="73">
        <f>$B$8</f>
        <v>2328.0449042893033</v>
      </c>
      <c r="F35" s="34">
        <v>3.5999999999999999E-3</v>
      </c>
      <c r="G35" s="22">
        <f>E35*F35</f>
        <v>8.3809616554414923</v>
      </c>
      <c r="H35" s="22">
        <f t="shared" si="2"/>
        <v>8.0926132043730448E-2</v>
      </c>
      <c r="I35" s="23">
        <f t="shared" si="9"/>
        <v>9.7500946611132032E-3</v>
      </c>
      <c r="J35" s="23">
        <f t="shared" si="11"/>
        <v>2.1593482137056263E-2</v>
      </c>
      <c r="K35" s="108">
        <f t="shared" si="12"/>
        <v>2.2101214787966134E-2</v>
      </c>
    </row>
    <row r="36" spans="1:11" x14ac:dyDescent="0.2">
      <c r="A36" s="107" t="s">
        <v>43</v>
      </c>
      <c r="B36" s="73">
        <f>$C$8</f>
        <v>2305.5654231660451</v>
      </c>
      <c r="C36" s="34">
        <v>2.0999999999999999E-3</v>
      </c>
      <c r="D36" s="22">
        <f>B36*C36</f>
        <v>4.841687388648694</v>
      </c>
      <c r="E36" s="73">
        <f>$B$8</f>
        <v>2328.0449042893033</v>
      </c>
      <c r="F36" s="34">
        <v>2.0999999999999999E-3</v>
      </c>
      <c r="G36" s="22">
        <f>E36*F36</f>
        <v>4.8888942990075366</v>
      </c>
      <c r="H36" s="22">
        <f>G36-D36</f>
        <v>4.7206910358842613E-2</v>
      </c>
      <c r="I36" s="23">
        <f t="shared" si="9"/>
        <v>9.7500946611131737E-3</v>
      </c>
      <c r="J36" s="23">
        <f t="shared" si="11"/>
        <v>1.2596197913282817E-2</v>
      </c>
      <c r="K36" s="108">
        <f t="shared" si="12"/>
        <v>1.2892375292980244E-2</v>
      </c>
    </row>
    <row r="37" spans="1:11" x14ac:dyDescent="0.2">
      <c r="A37" s="107" t="s">
        <v>100</v>
      </c>
      <c r="B37" s="73">
        <f>$C$8</f>
        <v>2305.5654231660451</v>
      </c>
      <c r="C37" s="34">
        <v>0</v>
      </c>
      <c r="D37" s="22">
        <f>B37*C37</f>
        <v>0</v>
      </c>
      <c r="E37" s="73">
        <f>$B$8</f>
        <v>2328.0449042893033</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6.4412304413289788E-4</v>
      </c>
      <c r="K38" s="108">
        <f t="shared" si="12"/>
        <v>6.5926846156182204E-4</v>
      </c>
    </row>
    <row r="39" spans="1:11" s="1" customFormat="1" x14ac:dyDescent="0.2">
      <c r="A39" s="110" t="s">
        <v>45</v>
      </c>
      <c r="B39" s="74"/>
      <c r="C39" s="35"/>
      <c r="D39" s="35">
        <f>SUM(D35:D38)</f>
        <v>13.391722912046456</v>
      </c>
      <c r="E39" s="73"/>
      <c r="F39" s="35"/>
      <c r="G39" s="35">
        <f>SUM(G35:G38)</f>
        <v>13.519855954449028</v>
      </c>
      <c r="H39" s="35">
        <f t="shared" si="2"/>
        <v>0.12813304240257217</v>
      </c>
      <c r="I39" s="36">
        <f t="shared" si="9"/>
        <v>9.5680774792099941E-3</v>
      </c>
      <c r="J39" s="36">
        <f t="shared" si="11"/>
        <v>3.4833803094471975E-2</v>
      </c>
      <c r="K39" s="111">
        <f t="shared" si="12"/>
        <v>3.5652858542508201E-2</v>
      </c>
    </row>
    <row r="40" spans="1:11" s="1" customFormat="1" ht="13.5" thickBot="1" x14ac:dyDescent="0.25">
      <c r="A40" s="112" t="s">
        <v>46</v>
      </c>
      <c r="B40" s="113">
        <f>B4</f>
        <v>2182.4738954619888</v>
      </c>
      <c r="C40" s="114">
        <v>7.0000000000000001E-3</v>
      </c>
      <c r="D40" s="115">
        <f>B40*C40</f>
        <v>15.277317268233922</v>
      </c>
      <c r="E40" s="116">
        <f t="shared" si="5"/>
        <v>2182.4738954619888</v>
      </c>
      <c r="F40" s="114">
        <f>C40</f>
        <v>7.0000000000000001E-3</v>
      </c>
      <c r="G40" s="115">
        <f>E40*F40</f>
        <v>15.277317268233922</v>
      </c>
      <c r="H40" s="115">
        <f t="shared" si="2"/>
        <v>0</v>
      </c>
      <c r="I40" s="117">
        <f t="shared" si="9"/>
        <v>0</v>
      </c>
      <c r="J40" s="117">
        <f t="shared" si="11"/>
        <v>3.9361888419995689E-2</v>
      </c>
      <c r="K40" s="118">
        <f t="shared" si="12"/>
        <v>4.028741380888174E-2</v>
      </c>
    </row>
    <row r="41" spans="1:11" s="1" customFormat="1" x14ac:dyDescent="0.2">
      <c r="A41" s="37" t="s">
        <v>137</v>
      </c>
      <c r="B41" s="38"/>
      <c r="C41" s="39"/>
      <c r="D41" s="39">
        <f>SUM(D14,D24,D25,D26,D32,D39,D40)</f>
        <v>368.64911973058003</v>
      </c>
      <c r="E41" s="38"/>
      <c r="F41" s="39"/>
      <c r="G41" s="39">
        <f>SUM(G14,G24,G25,G26,G32,G39,G40)</f>
        <v>369.64247788364077</v>
      </c>
      <c r="H41" s="39">
        <f t="shared" si="2"/>
        <v>0.99335815306073982</v>
      </c>
      <c r="I41" s="40">
        <f t="shared" si="9"/>
        <v>2.6945897871306899E-3</v>
      </c>
      <c r="J41" s="40">
        <f t="shared" si="11"/>
        <v>0.95238095238095233</v>
      </c>
      <c r="K41" s="41"/>
    </row>
    <row r="42" spans="1:11" x14ac:dyDescent="0.2">
      <c r="A42" s="149" t="s">
        <v>138</v>
      </c>
      <c r="B42" s="43"/>
      <c r="C42" s="26">
        <v>0.13</v>
      </c>
      <c r="D42" s="26">
        <f>D41*C42</f>
        <v>47.924385564975402</v>
      </c>
      <c r="E42" s="26"/>
      <c r="F42" s="26">
        <f>C42</f>
        <v>0.13</v>
      </c>
      <c r="G42" s="26">
        <f>G41*F42</f>
        <v>48.053522124873304</v>
      </c>
      <c r="H42" s="26">
        <f t="shared" si="2"/>
        <v>0.12913655989790129</v>
      </c>
      <c r="I42" s="44">
        <f t="shared" si="9"/>
        <v>2.6945897871307966E-3</v>
      </c>
      <c r="J42" s="44">
        <f t="shared" si="11"/>
        <v>0.12380952380952381</v>
      </c>
      <c r="K42" s="45"/>
    </row>
    <row r="43" spans="1:11" s="1" customFormat="1" x14ac:dyDescent="0.2">
      <c r="A43" s="46" t="s">
        <v>139</v>
      </c>
      <c r="B43" s="24"/>
      <c r="C43" s="25"/>
      <c r="D43" s="25">
        <f>SUM(D41:D42)</f>
        <v>416.57350529555544</v>
      </c>
      <c r="E43" s="25"/>
      <c r="F43" s="25"/>
      <c r="G43" s="25">
        <f>SUM(G41:G42)</f>
        <v>417.69600000851409</v>
      </c>
      <c r="H43" s="25">
        <f t="shared" si="2"/>
        <v>1.1224947129586553</v>
      </c>
      <c r="I43" s="27">
        <f t="shared" si="9"/>
        <v>2.6945897871307363E-3</v>
      </c>
      <c r="J43" s="27">
        <f t="shared" si="11"/>
        <v>1.0761904761904761</v>
      </c>
      <c r="K43" s="47"/>
    </row>
    <row r="44" spans="1:11" x14ac:dyDescent="0.2">
      <c r="A44" s="42" t="s">
        <v>140</v>
      </c>
      <c r="B44" s="43"/>
      <c r="C44" s="26">
        <v>-0.08</v>
      </c>
      <c r="D44" s="26">
        <f>D41*C44</f>
        <v>-29.491929578446403</v>
      </c>
      <c r="E44" s="26"/>
      <c r="F44" s="26">
        <f>C44</f>
        <v>-0.08</v>
      </c>
      <c r="G44" s="26">
        <f>G41*F44</f>
        <v>-29.571398230691262</v>
      </c>
      <c r="H44" s="26">
        <f t="shared" si="2"/>
        <v>-7.9468652244859328E-2</v>
      </c>
      <c r="I44" s="44">
        <f t="shared" si="9"/>
        <v>-2.6945897871306947E-3</v>
      </c>
      <c r="J44" s="44">
        <f t="shared" si="11"/>
        <v>-7.6190476190476183E-2</v>
      </c>
      <c r="K44" s="45"/>
    </row>
    <row r="45" spans="1:11" s="1" customFormat="1" ht="13.5" thickBot="1" x14ac:dyDescent="0.25">
      <c r="A45" s="48" t="s">
        <v>141</v>
      </c>
      <c r="B45" s="49"/>
      <c r="C45" s="50"/>
      <c r="D45" s="50">
        <f>SUM(D43:D44)</f>
        <v>387.08157571710905</v>
      </c>
      <c r="E45" s="50"/>
      <c r="F45" s="50"/>
      <c r="G45" s="50">
        <f>SUM(G43:G44)</f>
        <v>388.12460177782282</v>
      </c>
      <c r="H45" s="50">
        <f t="shared" si="2"/>
        <v>1.0430260607137711</v>
      </c>
      <c r="I45" s="51">
        <f t="shared" si="9"/>
        <v>2.6945897871306751E-3</v>
      </c>
      <c r="J45" s="51">
        <f t="shared" si="11"/>
        <v>1</v>
      </c>
      <c r="K45" s="52"/>
    </row>
    <row r="46" spans="1:11" x14ac:dyDescent="0.2">
      <c r="A46" s="53" t="s">
        <v>142</v>
      </c>
      <c r="B46" s="54"/>
      <c r="C46" s="55"/>
      <c r="D46" s="55">
        <f>SUM(D18,D24,D25,D27,D32,D39,D40)</f>
        <v>360.34792494213201</v>
      </c>
      <c r="E46" s="55"/>
      <c r="F46" s="55"/>
      <c r="G46" s="55">
        <f>SUM(G18,G24,G25,G27,G32,G39,G40)</f>
        <v>361.15065709526749</v>
      </c>
      <c r="H46" s="55">
        <f>G46-D46</f>
        <v>0.80273215313548008</v>
      </c>
      <c r="I46" s="56">
        <f t="shared" si="9"/>
        <v>2.227658597630027E-3</v>
      </c>
      <c r="J46" s="56"/>
      <c r="K46" s="57">
        <f>G46/$G$50</f>
        <v>0.95238095238095244</v>
      </c>
    </row>
    <row r="47" spans="1:11" x14ac:dyDescent="0.2">
      <c r="A47" s="58" t="s">
        <v>138</v>
      </c>
      <c r="B47" s="59"/>
      <c r="C47" s="31">
        <v>0.13</v>
      </c>
      <c r="D47" s="31">
        <f>D46*C47</f>
        <v>46.845230242477164</v>
      </c>
      <c r="E47" s="31"/>
      <c r="F47" s="31">
        <f>C47</f>
        <v>0.13</v>
      </c>
      <c r="G47" s="31">
        <f>G46*F47</f>
        <v>46.949585422384779</v>
      </c>
      <c r="H47" s="31">
        <f>G47-D47</f>
        <v>0.10435517990761412</v>
      </c>
      <c r="I47" s="32">
        <f t="shared" si="9"/>
        <v>2.2276585976300635E-3</v>
      </c>
      <c r="J47" s="32"/>
      <c r="K47" s="60">
        <f>G47/$G$50</f>
        <v>0.12380952380952383</v>
      </c>
    </row>
    <row r="48" spans="1:11" x14ac:dyDescent="0.2">
      <c r="A48" s="140" t="s">
        <v>143</v>
      </c>
      <c r="B48" s="29"/>
      <c r="C48" s="30"/>
      <c r="D48" s="30">
        <f>SUM(D46:D47)</f>
        <v>407.19315518460917</v>
      </c>
      <c r="E48" s="30"/>
      <c r="F48" s="30"/>
      <c r="G48" s="30">
        <f>SUM(G46:G47)</f>
        <v>408.10024251765225</v>
      </c>
      <c r="H48" s="30">
        <f>G48-D48</f>
        <v>0.90708733304307998</v>
      </c>
      <c r="I48" s="33">
        <f t="shared" si="9"/>
        <v>2.2276585976299963E-3</v>
      </c>
      <c r="J48" s="33"/>
      <c r="K48" s="62">
        <f>G48/$G$50</f>
        <v>1.0761904761904761</v>
      </c>
    </row>
    <row r="49" spans="1:11" x14ac:dyDescent="0.2">
      <c r="A49" s="58" t="s">
        <v>140</v>
      </c>
      <c r="B49" s="59"/>
      <c r="C49" s="31">
        <v>-0.08</v>
      </c>
      <c r="D49" s="31">
        <f>D46*C49</f>
        <v>-28.827833995370561</v>
      </c>
      <c r="E49" s="31"/>
      <c r="F49" s="31">
        <f>C49</f>
        <v>-0.08</v>
      </c>
      <c r="G49" s="31">
        <f>G46*F49</f>
        <v>-28.892052567621398</v>
      </c>
      <c r="H49" s="31">
        <f>G49-D49</f>
        <v>-6.4218572250837269E-2</v>
      </c>
      <c r="I49" s="32">
        <f t="shared" si="9"/>
        <v>-2.2276585976299876E-3</v>
      </c>
      <c r="J49" s="32"/>
      <c r="K49" s="60">
        <f>G49/$G$50</f>
        <v>-7.6190476190476197E-2</v>
      </c>
    </row>
    <row r="50" spans="1:11" ht="13.5" thickBot="1" x14ac:dyDescent="0.25">
      <c r="A50" s="63" t="s">
        <v>144</v>
      </c>
      <c r="B50" s="64"/>
      <c r="C50" s="65"/>
      <c r="D50" s="65">
        <f>SUM(D48:D49)</f>
        <v>378.36532118923861</v>
      </c>
      <c r="E50" s="65"/>
      <c r="F50" s="65"/>
      <c r="G50" s="65">
        <f>SUM(G48:G49)</f>
        <v>379.20818995003083</v>
      </c>
      <c r="H50" s="65">
        <f>G50-D50</f>
        <v>0.84286876079221429</v>
      </c>
      <c r="I50" s="66">
        <f t="shared" si="9"/>
        <v>2.2276585976299221E-3</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pageSetUpPr fitToPage="1"/>
  </sheetPr>
  <dimension ref="A1:K67"/>
  <sheetViews>
    <sheetView tabSelected="1" topLeftCell="A1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186</v>
      </c>
      <c r="C3" s="13" t="s">
        <v>126</v>
      </c>
    </row>
    <row r="4" spans="1:11" x14ac:dyDescent="0.2">
      <c r="A4" s="15" t="s">
        <v>62</v>
      </c>
      <c r="B4" s="79">
        <v>2000</v>
      </c>
      <c r="C4" s="79">
        <f>B4</f>
        <v>2000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2133.4</v>
      </c>
      <c r="C8" s="15">
        <f>C4*C6</f>
        <v>2112.8000000000002</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0.19044562988222022</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5" si="2">G13-D13</f>
        <v>0</v>
      </c>
      <c r="I13" s="23">
        <f t="shared" si="0"/>
        <v>0</v>
      </c>
      <c r="J13" s="23">
        <f>G13/$G$45</f>
        <v>0.36972961112665464</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G14/$G$45</f>
        <v>0.56017524100887484</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5" si="4">G15/$G$50</f>
        <v>0.28503356973898014</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0.10940049699671946</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0.16094003358288869</v>
      </c>
    </row>
    <row r="18" spans="1:11" s="1" customFormat="1" x14ac:dyDescent="0.2">
      <c r="A18" s="61" t="s">
        <v>37</v>
      </c>
      <c r="B18" s="29"/>
      <c r="C18" s="30"/>
      <c r="D18" s="30">
        <f>SUM(D15:D17)</f>
        <v>195.04</v>
      </c>
      <c r="E18" s="77"/>
      <c r="F18" s="30"/>
      <c r="G18" s="30">
        <f>SUM(G15:G17)</f>
        <v>195.04</v>
      </c>
      <c r="H18" s="31">
        <f t="shared" si="2"/>
        <v>0</v>
      </c>
      <c r="I18" s="32">
        <f t="shared" si="0"/>
        <v>0</v>
      </c>
      <c r="J18" s="33">
        <f>G18/$G$45</f>
        <v>0.54424198757843556</v>
      </c>
      <c r="K18" s="62">
        <f t="shared" si="4"/>
        <v>0.55537410031858825</v>
      </c>
    </row>
    <row r="19" spans="1:11" x14ac:dyDescent="0.2">
      <c r="A19" s="107" t="s">
        <v>38</v>
      </c>
      <c r="B19" s="73">
        <v>1</v>
      </c>
      <c r="C19" s="121">
        <f>VLOOKUP($C$3,'Data for Bill Impacts'!$A$3:$Y$39,7,0)</f>
        <v>49.98</v>
      </c>
      <c r="D19" s="22">
        <f>B19*C19</f>
        <v>49.98</v>
      </c>
      <c r="E19" s="73">
        <f t="shared" ref="E19:E40" si="5">B19</f>
        <v>1</v>
      </c>
      <c r="F19" s="78">
        <f>VLOOKUP($B$3,'Data for Bill Impacts'!$A$3:$Y$39,17,0)</f>
        <v>40.92</v>
      </c>
      <c r="G19" s="22">
        <f>E19*F19</f>
        <v>40.92</v>
      </c>
      <c r="H19" s="22">
        <f t="shared" si="2"/>
        <v>-9.0599999999999952</v>
      </c>
      <c r="I19" s="23">
        <f>IF(ISERROR(H19/ABS(D19)),"N/A",(H19/ABS(D19)))</f>
        <v>-0.18127250900360137</v>
      </c>
      <c r="J19" s="23">
        <f>G19/$G$45</f>
        <v>0.11418366556454874</v>
      </c>
      <c r="K19" s="108">
        <f t="shared" si="4"/>
        <v>0.11651921751967101</v>
      </c>
    </row>
    <row r="20" spans="1:11" x14ac:dyDescent="0.2">
      <c r="A20" s="107" t="s">
        <v>193</v>
      </c>
      <c r="B20" s="73">
        <v>1</v>
      </c>
      <c r="C20" s="121">
        <f>'Data for Bill Impacts'!K35</f>
        <v>-0.74</v>
      </c>
      <c r="D20" s="22">
        <f>B20*C20</f>
        <v>-0.74</v>
      </c>
      <c r="E20" s="73">
        <f t="shared" si="5"/>
        <v>1</v>
      </c>
      <c r="F20" s="121">
        <v>0</v>
      </c>
      <c r="G20" s="22">
        <f t="shared" ref="G20" si="6">E20*F20</f>
        <v>0</v>
      </c>
      <c r="H20" s="22">
        <f t="shared" si="2"/>
        <v>0.74</v>
      </c>
      <c r="I20" s="23">
        <f t="shared" ref="I20:I21" si="7">IF(ISERROR(H20/D20),0,(H20/D20))</f>
        <v>-1</v>
      </c>
      <c r="J20" s="23">
        <f>G20/$G$45</f>
        <v>0</v>
      </c>
      <c r="K20" s="108">
        <f t="shared" si="4"/>
        <v>0</v>
      </c>
    </row>
    <row r="21" spans="1:11" x14ac:dyDescent="0.2">
      <c r="A21" s="107" t="s">
        <v>39</v>
      </c>
      <c r="B21" s="73">
        <f>C4</f>
        <v>2000</v>
      </c>
      <c r="C21" s="78">
        <f>VLOOKUP($C$3,'Data for Bill Impacts'!$A$3:$Y$39,10,0)</f>
        <v>1.5599999999999999E-2</v>
      </c>
      <c r="D21" s="22">
        <f>B21*C21</f>
        <v>31.2</v>
      </c>
      <c r="E21" s="73">
        <f>B4</f>
        <v>2000</v>
      </c>
      <c r="F21" s="78">
        <f>VLOOKUP($B$3,'Data for Bill Impacts'!$A$3:$Y$39,19,0)</f>
        <v>1.8800000000000001E-2</v>
      </c>
      <c r="G21" s="22">
        <f>E21*F21</f>
        <v>37.6</v>
      </c>
      <c r="H21" s="22">
        <f t="shared" si="2"/>
        <v>6.4000000000000021</v>
      </c>
      <c r="I21" s="23">
        <f t="shared" si="7"/>
        <v>0.2051282051282052</v>
      </c>
      <c r="J21" s="23">
        <f>G21/$G$45</f>
        <v>0.10491949719518652</v>
      </c>
      <c r="K21" s="108">
        <f t="shared" si="4"/>
        <v>0.10706555666519134</v>
      </c>
    </row>
    <row r="22" spans="1:11" x14ac:dyDescent="0.2">
      <c r="A22" s="107" t="s">
        <v>194</v>
      </c>
      <c r="B22" s="73">
        <f>C4</f>
        <v>2000</v>
      </c>
      <c r="C22" s="78">
        <f>'Data for Bill Impacts'!H35</f>
        <v>8.0000000000000004E-4</v>
      </c>
      <c r="D22" s="22">
        <f>B22*C22</f>
        <v>1.6</v>
      </c>
      <c r="E22" s="73">
        <f>B4</f>
        <v>2000</v>
      </c>
      <c r="F22" s="125">
        <v>0</v>
      </c>
      <c r="G22" s="22">
        <f>E22*F22</f>
        <v>0</v>
      </c>
      <c r="H22" s="22">
        <f t="shared" ref="H22" si="8">G22-D22</f>
        <v>-1.6</v>
      </c>
      <c r="I22" s="23">
        <f t="shared" ref="I22:I50" si="9">IF(ISERROR(H22/ABS(D22)),"N/A",(H22/ABS(D22)))</f>
        <v>-1</v>
      </c>
      <c r="J22" s="23">
        <f>G22/$G$45</f>
        <v>0</v>
      </c>
      <c r="K22" s="108">
        <f t="shared" si="4"/>
        <v>0</v>
      </c>
    </row>
    <row r="23" spans="1:11" x14ac:dyDescent="0.2">
      <c r="A23" s="107" t="s">
        <v>195</v>
      </c>
      <c r="B23" s="73">
        <f>IF($B$9="kWh",$B$4,$B$5)</f>
        <v>2000</v>
      </c>
      <c r="C23" s="78">
        <f>'Data for Bill Impacts'!L35</f>
        <v>-2.9999999999999997E-4</v>
      </c>
      <c r="D23" s="22">
        <f>B23*C23</f>
        <v>-0.6</v>
      </c>
      <c r="E23" s="73">
        <f t="shared" si="5"/>
        <v>2000</v>
      </c>
      <c r="F23" s="125">
        <v>0</v>
      </c>
      <c r="G23" s="22">
        <f>E23*F23</f>
        <v>0</v>
      </c>
      <c r="H23" s="22">
        <f t="shared" si="2"/>
        <v>0.6</v>
      </c>
      <c r="I23" s="23">
        <f t="shared" si="9"/>
        <v>1</v>
      </c>
      <c r="J23" s="23">
        <f t="shared" ref="J23" si="10">G23/$G$45</f>
        <v>0</v>
      </c>
      <c r="K23" s="108">
        <f t="shared" si="4"/>
        <v>0</v>
      </c>
    </row>
    <row r="24" spans="1:11" s="1" customFormat="1" x14ac:dyDescent="0.2">
      <c r="A24" s="110" t="s">
        <v>72</v>
      </c>
      <c r="B24" s="74"/>
      <c r="C24" s="35"/>
      <c r="D24" s="35">
        <f>SUM(D19:D23)</f>
        <v>81.44</v>
      </c>
      <c r="E24" s="73"/>
      <c r="F24" s="35"/>
      <c r="G24" s="35">
        <f>SUM(G19:G23)</f>
        <v>78.52000000000001</v>
      </c>
      <c r="H24" s="35">
        <f t="shared" si="2"/>
        <v>-2.9199999999999875</v>
      </c>
      <c r="I24" s="36">
        <f t="shared" si="9"/>
        <v>-3.585461689587411E-2</v>
      </c>
      <c r="J24" s="36">
        <f>G24/$G$45</f>
        <v>0.21910316275973529</v>
      </c>
      <c r="K24" s="111">
        <f t="shared" si="4"/>
        <v>0.22358477418486236</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2.2044256059626957E-3</v>
      </c>
      <c r="K25" s="108">
        <f t="shared" si="4"/>
        <v>2.2495156852526906E-3</v>
      </c>
    </row>
    <row r="26" spans="1:11" s="1" customFormat="1" x14ac:dyDescent="0.2">
      <c r="A26" s="119" t="s">
        <v>75</v>
      </c>
      <c r="B26" s="120">
        <f>C8-C4</f>
        <v>112.80000000000018</v>
      </c>
      <c r="C26" s="257">
        <f>IF(C4&gt;C7,C13,C12)</f>
        <v>0.106</v>
      </c>
      <c r="D26" s="22">
        <f>B26*C26</f>
        <v>11.956800000000019</v>
      </c>
      <c r="E26" s="73">
        <f>B8-B4</f>
        <v>133.40000000000009</v>
      </c>
      <c r="F26" s="257">
        <f>IF(B4&gt;B7,C13,C12)</f>
        <v>0.106</v>
      </c>
      <c r="G26" s="22">
        <f>E26*F26</f>
        <v>14.140400000000009</v>
      </c>
      <c r="H26" s="22">
        <f t="shared" si="2"/>
        <v>2.1835999999999895</v>
      </c>
      <c r="I26" s="23">
        <f t="shared" si="9"/>
        <v>0.18262411347517615</v>
      </c>
      <c r="J26" s="23">
        <f t="shared" ref="J26:J45" si="11">G26/$G$45</f>
        <v>3.9457544099436609E-2</v>
      </c>
      <c r="K26" s="108">
        <f t="shared" ref="K26:K40" si="12">G26/$G$50</f>
        <v>4.0264622273097676E-2</v>
      </c>
    </row>
    <row r="27" spans="1:11" s="1" customFormat="1" x14ac:dyDescent="0.2">
      <c r="A27" s="119" t="s">
        <v>74</v>
      </c>
      <c r="B27" s="120">
        <f>C8-C4</f>
        <v>112.80000000000018</v>
      </c>
      <c r="C27" s="257">
        <f>0.65*C15+0.17*C16+0.18*C17</f>
        <v>9.7519999999999996E-2</v>
      </c>
      <c r="D27" s="22">
        <f>B27*C27</f>
        <v>11.000256000000018</v>
      </c>
      <c r="E27" s="73">
        <f>B8-B4</f>
        <v>133.40000000000009</v>
      </c>
      <c r="F27" s="257">
        <f>C27</f>
        <v>9.7519999999999996E-2</v>
      </c>
      <c r="G27" s="22">
        <f>E27*F27</f>
        <v>13.009168000000008</v>
      </c>
      <c r="H27" s="22">
        <f t="shared" si="2"/>
        <v>2.0089119999999898</v>
      </c>
      <c r="I27" s="23">
        <f t="shared" si="9"/>
        <v>0.18262411347517607</v>
      </c>
      <c r="J27" s="23">
        <f t="shared" si="11"/>
        <v>3.6300940571481678E-2</v>
      </c>
      <c r="K27" s="108">
        <f t="shared" si="12"/>
        <v>3.7043452491249858E-2</v>
      </c>
    </row>
    <row r="28" spans="1:11" s="1" customFormat="1" x14ac:dyDescent="0.2">
      <c r="A28" s="110" t="s">
        <v>78</v>
      </c>
      <c r="B28" s="74"/>
      <c r="C28" s="35"/>
      <c r="D28" s="35">
        <f>SUM(D24,D25:D26)</f>
        <v>94.186800000000019</v>
      </c>
      <c r="E28" s="73"/>
      <c r="F28" s="35"/>
      <c r="G28" s="35">
        <f>SUM(G24,G25:G26)</f>
        <v>93.45040000000003</v>
      </c>
      <c r="H28" s="35">
        <f t="shared" si="2"/>
        <v>-0.73639999999998906</v>
      </c>
      <c r="I28" s="36">
        <f t="shared" si="9"/>
        <v>-7.8185053531916252E-3</v>
      </c>
      <c r="J28" s="36">
        <f t="shared" si="11"/>
        <v>0.26076513246513461</v>
      </c>
      <c r="K28" s="111">
        <f t="shared" si="12"/>
        <v>0.26609891214321274</v>
      </c>
    </row>
    <row r="29" spans="1:11" s="1" customFormat="1" x14ac:dyDescent="0.2">
      <c r="A29" s="110" t="s">
        <v>77</v>
      </c>
      <c r="B29" s="74"/>
      <c r="C29" s="35"/>
      <c r="D29" s="35">
        <f>SUM(D24,D25,D27)</f>
        <v>93.230256000000026</v>
      </c>
      <c r="E29" s="73"/>
      <c r="F29" s="35"/>
      <c r="G29" s="35">
        <f>SUM(G24,G25,G27)</f>
        <v>92.319168000000019</v>
      </c>
      <c r="H29" s="35">
        <f t="shared" si="2"/>
        <v>-0.91108800000000656</v>
      </c>
      <c r="I29" s="36">
        <f t="shared" si="9"/>
        <v>-9.772449836456594E-3</v>
      </c>
      <c r="J29" s="36">
        <f t="shared" si="11"/>
        <v>0.25760852893717967</v>
      </c>
      <c r="K29" s="111">
        <f t="shared" si="12"/>
        <v>0.26287774236136491</v>
      </c>
    </row>
    <row r="30" spans="1:11" x14ac:dyDescent="0.2">
      <c r="A30" s="107" t="s">
        <v>40</v>
      </c>
      <c r="B30" s="73">
        <f>$C$8</f>
        <v>2112.8000000000002</v>
      </c>
      <c r="C30" s="78">
        <f>VLOOKUP($C$3,'Data for Bill Impacts'!$A$3:$Y$39,15,0)</f>
        <v>6.3E-3</v>
      </c>
      <c r="D30" s="22">
        <f>B30*C30</f>
        <v>13.310640000000001</v>
      </c>
      <c r="E30" s="73">
        <f>$B$8</f>
        <v>2133.4</v>
      </c>
      <c r="F30" s="78">
        <f>VLOOKUP($B$3,'Data for Bill Impacts'!$A$3:$Y$39,24,0)</f>
        <v>5.3E-3</v>
      </c>
      <c r="G30" s="22">
        <f>E30*F30</f>
        <v>11.307020000000001</v>
      </c>
      <c r="H30" s="22">
        <f t="shared" si="2"/>
        <v>-2.0036199999999997</v>
      </c>
      <c r="I30" s="23">
        <f t="shared" si="9"/>
        <v>-0.15052769814223807</v>
      </c>
      <c r="J30" s="23">
        <f t="shared" si="11"/>
        <v>3.15512460951042E-2</v>
      </c>
      <c r="K30" s="108">
        <f t="shared" si="12"/>
        <v>3.2196606130969467E-2</v>
      </c>
    </row>
    <row r="31" spans="1:11" x14ac:dyDescent="0.2">
      <c r="A31" s="107" t="s">
        <v>41</v>
      </c>
      <c r="B31" s="73">
        <f>$C$8</f>
        <v>2112.8000000000002</v>
      </c>
      <c r="C31" s="78">
        <f>VLOOKUP($C$3,'Data for Bill Impacts'!$A$3:$Y$39,16,0)</f>
        <v>3.0999999999999999E-3</v>
      </c>
      <c r="D31" s="22">
        <f>B31*C31</f>
        <v>6.5496800000000004</v>
      </c>
      <c r="E31" s="73">
        <f>$B$8</f>
        <v>2133.4</v>
      </c>
      <c r="F31" s="78">
        <f>VLOOKUP($B$3,'Data for Bill Impacts'!$A$3:$Y$39,25,0)</f>
        <v>4.4000000000000003E-3</v>
      </c>
      <c r="G31" s="22">
        <f>E31*F31</f>
        <v>9.3869600000000002</v>
      </c>
      <c r="H31" s="22">
        <f t="shared" si="2"/>
        <v>2.8372799999999998</v>
      </c>
      <c r="I31" s="23">
        <f t="shared" si="9"/>
        <v>0.4331936827448058</v>
      </c>
      <c r="J31" s="23">
        <f t="shared" si="11"/>
        <v>2.6193487324237447E-2</v>
      </c>
      <c r="K31" s="108">
        <f t="shared" si="12"/>
        <v>2.6729257920050119E-2</v>
      </c>
    </row>
    <row r="32" spans="1:11" s="1" customFormat="1" x14ac:dyDescent="0.2">
      <c r="A32" s="110" t="s">
        <v>76</v>
      </c>
      <c r="B32" s="74"/>
      <c r="C32" s="35"/>
      <c r="D32" s="35">
        <f>SUM(D30:D31)</f>
        <v>19.860320000000002</v>
      </c>
      <c r="E32" s="73"/>
      <c r="F32" s="35"/>
      <c r="G32" s="35">
        <f>SUM(G30:G31)</f>
        <v>20.693980000000003</v>
      </c>
      <c r="H32" s="35">
        <f t="shared" si="2"/>
        <v>0.83366000000000184</v>
      </c>
      <c r="I32" s="36">
        <f t="shared" si="9"/>
        <v>4.1976161511999899E-2</v>
      </c>
      <c r="J32" s="36">
        <f t="shared" si="11"/>
        <v>5.7744733419341658E-2</v>
      </c>
      <c r="K32" s="111">
        <f t="shared" si="12"/>
        <v>5.8925864051019593E-2</v>
      </c>
    </row>
    <row r="33" spans="1:11" s="1" customFormat="1" x14ac:dyDescent="0.2">
      <c r="A33" s="110" t="s">
        <v>95</v>
      </c>
      <c r="B33" s="74"/>
      <c r="C33" s="35"/>
      <c r="D33" s="35">
        <f>D28+D32</f>
        <v>114.04712000000002</v>
      </c>
      <c r="E33" s="73"/>
      <c r="F33" s="35"/>
      <c r="G33" s="35">
        <f>G28+G32</f>
        <v>114.14438000000004</v>
      </c>
      <c r="H33" s="35">
        <f t="shared" si="2"/>
        <v>9.7260000000019886E-2</v>
      </c>
      <c r="I33" s="36">
        <f t="shared" si="9"/>
        <v>8.5280540183759021E-4</v>
      </c>
      <c r="J33" s="36">
        <f t="shared" si="11"/>
        <v>0.31850986588447627</v>
      </c>
      <c r="K33" s="111">
        <f t="shared" si="12"/>
        <v>0.32502477619423237</v>
      </c>
    </row>
    <row r="34" spans="1:11" s="1" customFormat="1" x14ac:dyDescent="0.2">
      <c r="A34" s="110" t="s">
        <v>96</v>
      </c>
      <c r="B34" s="74"/>
      <c r="C34" s="35"/>
      <c r="D34" s="35">
        <f>D29+D32</f>
        <v>113.09057600000003</v>
      </c>
      <c r="E34" s="73"/>
      <c r="F34" s="35"/>
      <c r="G34" s="35">
        <f>G29+G32</f>
        <v>113.01314800000003</v>
      </c>
      <c r="H34" s="35">
        <f t="shared" si="2"/>
        <v>-7.742799999999761E-2</v>
      </c>
      <c r="I34" s="36">
        <f t="shared" si="9"/>
        <v>-6.8465474965834108E-4</v>
      </c>
      <c r="J34" s="36">
        <f t="shared" si="11"/>
        <v>0.31535326235652134</v>
      </c>
      <c r="K34" s="111">
        <f t="shared" si="12"/>
        <v>0.32180360641238454</v>
      </c>
    </row>
    <row r="35" spans="1:11" x14ac:dyDescent="0.2">
      <c r="A35" s="107" t="s">
        <v>42</v>
      </c>
      <c r="B35" s="73">
        <f>$C$8</f>
        <v>2112.8000000000002</v>
      </c>
      <c r="C35" s="34">
        <v>3.5999999999999999E-3</v>
      </c>
      <c r="D35" s="22">
        <f>B35*C35</f>
        <v>7.6060800000000004</v>
      </c>
      <c r="E35" s="73">
        <f>$B$8</f>
        <v>2133.4</v>
      </c>
      <c r="F35" s="34">
        <v>3.5999999999999999E-3</v>
      </c>
      <c r="G35" s="22">
        <f>E35*F35</f>
        <v>7.6802400000000004</v>
      </c>
      <c r="H35" s="22">
        <f t="shared" si="2"/>
        <v>7.4160000000000004E-2</v>
      </c>
      <c r="I35" s="23">
        <f t="shared" si="9"/>
        <v>9.7500946611132153E-3</v>
      </c>
      <c r="J35" s="23">
        <f t="shared" si="11"/>
        <v>2.1431035083467005E-2</v>
      </c>
      <c r="K35" s="108">
        <f t="shared" si="12"/>
        <v>2.1869392843677372E-2</v>
      </c>
    </row>
    <row r="36" spans="1:11" x14ac:dyDescent="0.2">
      <c r="A36" s="107" t="s">
        <v>43</v>
      </c>
      <c r="B36" s="73">
        <f>$C$8</f>
        <v>2112.8000000000002</v>
      </c>
      <c r="C36" s="34">
        <v>2.0999999999999999E-3</v>
      </c>
      <c r="D36" s="22">
        <f>B36*C36</f>
        <v>4.4368800000000004</v>
      </c>
      <c r="E36" s="73">
        <f>$B$8</f>
        <v>2133.4</v>
      </c>
      <c r="F36" s="34">
        <v>2.0999999999999999E-3</v>
      </c>
      <c r="G36" s="22">
        <f>E36*F36</f>
        <v>4.4801399999999996</v>
      </c>
      <c r="H36" s="22">
        <f>G36-D36</f>
        <v>4.3259999999999188E-2</v>
      </c>
      <c r="I36" s="23">
        <f t="shared" si="9"/>
        <v>9.7500946611130315E-3</v>
      </c>
      <c r="J36" s="23">
        <f t="shared" si="11"/>
        <v>1.2501437132022418E-2</v>
      </c>
      <c r="K36" s="108">
        <f t="shared" si="12"/>
        <v>1.2757145825478464E-2</v>
      </c>
    </row>
    <row r="37" spans="1:11" x14ac:dyDescent="0.2">
      <c r="A37" s="107" t="s">
        <v>100</v>
      </c>
      <c r="B37" s="73">
        <f>$C$8</f>
        <v>2112.8000000000002</v>
      </c>
      <c r="C37" s="34">
        <v>0</v>
      </c>
      <c r="D37" s="22">
        <f>B37*C37</f>
        <v>0</v>
      </c>
      <c r="E37" s="73">
        <f>$B$8</f>
        <v>2133.4</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6.9760303986161247E-4</v>
      </c>
      <c r="K38" s="108">
        <f t="shared" si="12"/>
        <v>7.1187205229515519E-4</v>
      </c>
    </row>
    <row r="39" spans="1:11" s="1" customFormat="1" x14ac:dyDescent="0.2">
      <c r="A39" s="110" t="s">
        <v>45</v>
      </c>
      <c r="B39" s="74"/>
      <c r="C39" s="35"/>
      <c r="D39" s="35">
        <f>SUM(D35:D38)</f>
        <v>12.292960000000001</v>
      </c>
      <c r="E39" s="73"/>
      <c r="F39" s="35"/>
      <c r="G39" s="35">
        <f>SUM(G35:G38)</f>
        <v>12.41038</v>
      </c>
      <c r="H39" s="35">
        <f t="shared" si="2"/>
        <v>0.11741999999999919</v>
      </c>
      <c r="I39" s="36">
        <f t="shared" si="9"/>
        <v>9.5518085147921396E-3</v>
      </c>
      <c r="J39" s="36">
        <f t="shared" si="11"/>
        <v>3.4630075255351035E-2</v>
      </c>
      <c r="K39" s="111">
        <f t="shared" si="12"/>
        <v>3.533841072145099E-2</v>
      </c>
    </row>
    <row r="40" spans="1:11" s="1" customFormat="1" ht="13.5" thickBot="1" x14ac:dyDescent="0.25">
      <c r="A40" s="112" t="s">
        <v>46</v>
      </c>
      <c r="B40" s="113">
        <f>B4</f>
        <v>2000</v>
      </c>
      <c r="C40" s="114">
        <v>7.0000000000000001E-3</v>
      </c>
      <c r="D40" s="115">
        <f>B40*C40</f>
        <v>14</v>
      </c>
      <c r="E40" s="116">
        <f t="shared" si="5"/>
        <v>2000</v>
      </c>
      <c r="F40" s="114">
        <f>C40</f>
        <v>7.0000000000000001E-3</v>
      </c>
      <c r="G40" s="115">
        <f>E40*F40</f>
        <v>14</v>
      </c>
      <c r="H40" s="115">
        <f t="shared" si="2"/>
        <v>0</v>
      </c>
      <c r="I40" s="117">
        <f t="shared" si="9"/>
        <v>0</v>
      </c>
      <c r="J40" s="117">
        <f t="shared" si="11"/>
        <v>3.9065770232250302E-2</v>
      </c>
      <c r="K40" s="118">
        <f t="shared" si="12"/>
        <v>3.9864834928528693E-2</v>
      </c>
    </row>
    <row r="41" spans="1:11" s="1" customFormat="1" x14ac:dyDescent="0.2">
      <c r="A41" s="37" t="s">
        <v>137</v>
      </c>
      <c r="B41" s="38"/>
      <c r="C41" s="39"/>
      <c r="D41" s="39">
        <f>SUM(D14,D24,D25,D26,D32,D39,D40)</f>
        <v>341.09008000000006</v>
      </c>
      <c r="E41" s="38"/>
      <c r="F41" s="39"/>
      <c r="G41" s="39">
        <f>SUM(G14,G24,G25,G26,G32,G39,G40)</f>
        <v>341.30475999999999</v>
      </c>
      <c r="H41" s="39">
        <f t="shared" si="2"/>
        <v>0.21467999999993026</v>
      </c>
      <c r="I41" s="40">
        <f t="shared" si="9"/>
        <v>6.2939385396353423E-4</v>
      </c>
      <c r="J41" s="40">
        <f t="shared" si="11"/>
        <v>0.95238095238095233</v>
      </c>
      <c r="K41" s="41"/>
    </row>
    <row r="42" spans="1:11" x14ac:dyDescent="0.2">
      <c r="A42" s="149" t="s">
        <v>138</v>
      </c>
      <c r="B42" s="43"/>
      <c r="C42" s="26">
        <v>0.13</v>
      </c>
      <c r="D42" s="26">
        <f>D41*C42</f>
        <v>44.341710400000011</v>
      </c>
      <c r="E42" s="26"/>
      <c r="F42" s="26">
        <f>C42</f>
        <v>0.13</v>
      </c>
      <c r="G42" s="26">
        <f>G41*F42</f>
        <v>44.369618799999998</v>
      </c>
      <c r="H42" s="26">
        <f t="shared" si="2"/>
        <v>2.7908399999986955E-2</v>
      </c>
      <c r="I42" s="44">
        <f t="shared" si="9"/>
        <v>6.2939385396344446E-4</v>
      </c>
      <c r="J42" s="44">
        <f t="shared" si="11"/>
        <v>0.1238095238095238</v>
      </c>
      <c r="K42" s="45"/>
    </row>
    <row r="43" spans="1:11" s="1" customFormat="1" x14ac:dyDescent="0.2">
      <c r="A43" s="46" t="s">
        <v>139</v>
      </c>
      <c r="B43" s="24"/>
      <c r="C43" s="25"/>
      <c r="D43" s="25">
        <f>SUM(D41:D42)</f>
        <v>385.43179040000007</v>
      </c>
      <c r="E43" s="25"/>
      <c r="F43" s="25"/>
      <c r="G43" s="25">
        <f>SUM(G41:G42)</f>
        <v>385.6743788</v>
      </c>
      <c r="H43" s="25">
        <f t="shared" si="2"/>
        <v>0.24258839999993143</v>
      </c>
      <c r="I43" s="27">
        <f t="shared" si="9"/>
        <v>6.2939385396356079E-4</v>
      </c>
      <c r="J43" s="27">
        <f t="shared" si="11"/>
        <v>1.0761904761904761</v>
      </c>
      <c r="K43" s="47"/>
    </row>
    <row r="44" spans="1:11" x14ac:dyDescent="0.2">
      <c r="A44" s="42" t="s">
        <v>140</v>
      </c>
      <c r="B44" s="43"/>
      <c r="C44" s="26">
        <v>-0.08</v>
      </c>
      <c r="D44" s="26">
        <f>D41*C44</f>
        <v>-27.287206400000006</v>
      </c>
      <c r="E44" s="26"/>
      <c r="F44" s="26">
        <f>C44</f>
        <v>-0.08</v>
      </c>
      <c r="G44" s="26">
        <f>G41*F44</f>
        <v>-27.304380800000001</v>
      </c>
      <c r="H44" s="26">
        <f t="shared" si="2"/>
        <v>-1.7174399999994705E-2</v>
      </c>
      <c r="I44" s="44">
        <f t="shared" si="9"/>
        <v>-6.2939385396354464E-4</v>
      </c>
      <c r="J44" s="44">
        <f t="shared" si="11"/>
        <v>-7.6190476190476183E-2</v>
      </c>
      <c r="K44" s="45"/>
    </row>
    <row r="45" spans="1:11" s="1" customFormat="1" ht="13.5" thickBot="1" x14ac:dyDescent="0.25">
      <c r="A45" s="48" t="s">
        <v>141</v>
      </c>
      <c r="B45" s="49"/>
      <c r="C45" s="50"/>
      <c r="D45" s="50">
        <f>SUM(D43:D44)</f>
        <v>358.14458400000007</v>
      </c>
      <c r="E45" s="50"/>
      <c r="F45" s="50"/>
      <c r="G45" s="50">
        <f>SUM(G43:G44)</f>
        <v>358.36999800000001</v>
      </c>
      <c r="H45" s="50">
        <f t="shared" si="2"/>
        <v>0.22541399999994383</v>
      </c>
      <c r="I45" s="51">
        <f t="shared" si="9"/>
        <v>6.2939385396358193E-4</v>
      </c>
      <c r="J45" s="51">
        <f t="shared" si="11"/>
        <v>1</v>
      </c>
      <c r="K45" s="52"/>
    </row>
    <row r="46" spans="1:11" x14ac:dyDescent="0.2">
      <c r="A46" s="53" t="s">
        <v>142</v>
      </c>
      <c r="B46" s="54"/>
      <c r="C46" s="55"/>
      <c r="D46" s="55">
        <f>SUM(D18,D24,D25,D27,D32,D39,D40)</f>
        <v>334.42353600000007</v>
      </c>
      <c r="E46" s="55"/>
      <c r="F46" s="55"/>
      <c r="G46" s="55">
        <f>SUM(G18,G24,G25,G27,G32,G39,G40)</f>
        <v>334.463528</v>
      </c>
      <c r="H46" s="55">
        <f>G46-D46</f>
        <v>3.9991999999926975E-2</v>
      </c>
      <c r="I46" s="56">
        <f t="shared" si="9"/>
        <v>1.1958488471913941E-4</v>
      </c>
      <c r="J46" s="56"/>
      <c r="K46" s="57">
        <f>G46/$G$50</f>
        <v>0.95238095238095233</v>
      </c>
    </row>
    <row r="47" spans="1:11" x14ac:dyDescent="0.2">
      <c r="A47" s="58" t="s">
        <v>138</v>
      </c>
      <c r="B47" s="59"/>
      <c r="C47" s="31">
        <v>0.13</v>
      </c>
      <c r="D47" s="31">
        <f>D46*C47</f>
        <v>43.475059680000008</v>
      </c>
      <c r="E47" s="31"/>
      <c r="F47" s="31">
        <f>C47</f>
        <v>0.13</v>
      </c>
      <c r="G47" s="31">
        <f>G46*F47</f>
        <v>43.480258640000002</v>
      </c>
      <c r="H47" s="31">
        <f>G47-D47</f>
        <v>5.1989599999942016E-3</v>
      </c>
      <c r="I47" s="32">
        <f t="shared" si="9"/>
        <v>1.1958488471922439E-4</v>
      </c>
      <c r="J47" s="32"/>
      <c r="K47" s="60">
        <f>G47/$G$50</f>
        <v>0.12380952380952381</v>
      </c>
    </row>
    <row r="48" spans="1:11" x14ac:dyDescent="0.2">
      <c r="A48" s="140" t="s">
        <v>143</v>
      </c>
      <c r="B48" s="29"/>
      <c r="C48" s="30"/>
      <c r="D48" s="30">
        <f>SUM(D46:D47)</f>
        <v>377.89859568000008</v>
      </c>
      <c r="E48" s="30"/>
      <c r="F48" s="30"/>
      <c r="G48" s="30">
        <f>SUM(G46:G47)</f>
        <v>377.94378663999998</v>
      </c>
      <c r="H48" s="30">
        <f>G48-D48</f>
        <v>4.519095999989986E-2</v>
      </c>
      <c r="I48" s="33">
        <f t="shared" si="9"/>
        <v>1.1958488471909277E-4</v>
      </c>
      <c r="J48" s="33"/>
      <c r="K48" s="62">
        <f>G48/$G$50</f>
        <v>1.0761904761904761</v>
      </c>
    </row>
    <row r="49" spans="1:11" x14ac:dyDescent="0.2">
      <c r="A49" s="58" t="s">
        <v>140</v>
      </c>
      <c r="B49" s="59"/>
      <c r="C49" s="31">
        <v>-0.08</v>
      </c>
      <c r="D49" s="31">
        <f>D46*C49</f>
        <v>-26.753882880000006</v>
      </c>
      <c r="E49" s="31"/>
      <c r="F49" s="31">
        <f>C49</f>
        <v>-0.08</v>
      </c>
      <c r="G49" s="31">
        <f>G46*F49</f>
        <v>-26.757082239999999</v>
      </c>
      <c r="H49" s="31">
        <f>G49-D49</f>
        <v>-3.199359999992879E-3</v>
      </c>
      <c r="I49" s="32">
        <f t="shared" si="9"/>
        <v>-1.1958488471909159E-4</v>
      </c>
      <c r="J49" s="32"/>
      <c r="K49" s="60">
        <f>G49/$G$50</f>
        <v>-7.6190476190476183E-2</v>
      </c>
    </row>
    <row r="50" spans="1:11" ht="13.5" thickBot="1" x14ac:dyDescent="0.25">
      <c r="A50" s="63" t="s">
        <v>144</v>
      </c>
      <c r="B50" s="64"/>
      <c r="C50" s="65"/>
      <c r="D50" s="65">
        <f>SUM(D48:D49)</f>
        <v>351.14471280000009</v>
      </c>
      <c r="E50" s="65"/>
      <c r="F50" s="65"/>
      <c r="G50" s="65">
        <f>SUM(G48:G49)</f>
        <v>351.1867044</v>
      </c>
      <c r="H50" s="65">
        <f>G50-D50</f>
        <v>4.1991599999903428E-2</v>
      </c>
      <c r="I50" s="66">
        <f t="shared" si="9"/>
        <v>1.1958488471908274E-4</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K67"/>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186</v>
      </c>
      <c r="C3" s="13" t="s">
        <v>126</v>
      </c>
    </row>
    <row r="4" spans="1:11" x14ac:dyDescent="0.2">
      <c r="A4" s="15" t="s">
        <v>62</v>
      </c>
      <c r="B4" s="79">
        <v>15000</v>
      </c>
      <c r="C4" s="79">
        <f>B4</f>
        <v>15000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16000.5</v>
      </c>
      <c r="C8" s="15">
        <f>C4*C6</f>
        <v>15846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2.75403808716039E-2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5" si="2">G13-D13</f>
        <v>0</v>
      </c>
      <c r="I13" s="23">
        <f t="shared" si="0"/>
        <v>0</v>
      </c>
      <c r="J13" s="23">
        <f>G13/$G$45</f>
        <v>0.60952007775176109</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G14/$G$45</f>
        <v>0.63706045862336491</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5" si="4">G15/$G$50</f>
        <v>0.31980513481450301</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0.12274638640932276</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0.18057328890824884</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G18/$G$45</f>
        <v>0.59027207529644232</v>
      </c>
      <c r="K18" s="62">
        <f t="shared" si="4"/>
        <v>0.62312481013207466</v>
      </c>
    </row>
    <row r="19" spans="1:11" x14ac:dyDescent="0.2">
      <c r="A19" s="107" t="s">
        <v>38</v>
      </c>
      <c r="B19" s="73">
        <v>1</v>
      </c>
      <c r="C19" s="121">
        <f>VLOOKUP($C$3,'Data for Bill Impacts'!$A$3:$Y$39,7,0)</f>
        <v>49.98</v>
      </c>
      <c r="D19" s="22">
        <f>B19*C19</f>
        <v>49.98</v>
      </c>
      <c r="E19" s="73">
        <f t="shared" ref="E19:E40" si="5">B19</f>
        <v>1</v>
      </c>
      <c r="F19" s="78">
        <f>VLOOKUP($B$3,'Data for Bill Impacts'!$A$3:$Y$39,17,0)</f>
        <v>40.92</v>
      </c>
      <c r="G19" s="22">
        <f>E19*F19</f>
        <v>40.92</v>
      </c>
      <c r="H19" s="22">
        <f t="shared" si="2"/>
        <v>-9.0599999999999952</v>
      </c>
      <c r="I19" s="23">
        <f>IF(ISERROR(H19/ABS(D19)),"N/A",(H19/ABS(D19)))</f>
        <v>-0.18127250900360137</v>
      </c>
      <c r="J19" s="23">
        <f>G19/$G$45</f>
        <v>1.6512122861040757E-2</v>
      </c>
      <c r="K19" s="108">
        <f t="shared" si="4"/>
        <v>1.7431137018460826E-2</v>
      </c>
    </row>
    <row r="20" spans="1:11" x14ac:dyDescent="0.2">
      <c r="A20" s="107" t="s">
        <v>193</v>
      </c>
      <c r="B20" s="73">
        <v>1</v>
      </c>
      <c r="C20" s="121">
        <f>'Data for Bill Impacts'!K35</f>
        <v>-0.74</v>
      </c>
      <c r="D20" s="22">
        <f>B20*C20</f>
        <v>-0.74</v>
      </c>
      <c r="E20" s="73">
        <f t="shared" si="5"/>
        <v>1</v>
      </c>
      <c r="F20" s="121">
        <v>0</v>
      </c>
      <c r="G20" s="22">
        <f t="shared" ref="G20" si="6">E20*F20</f>
        <v>0</v>
      </c>
      <c r="H20" s="22">
        <f t="shared" si="2"/>
        <v>0.74</v>
      </c>
      <c r="I20" s="23">
        <f t="shared" ref="I20:I21" si="7">IF(ISERROR(H20/D20),0,(H20/D20))</f>
        <v>-1</v>
      </c>
      <c r="J20" s="23">
        <f>G20/$G$45</f>
        <v>0</v>
      </c>
      <c r="K20" s="108">
        <f t="shared" si="4"/>
        <v>0</v>
      </c>
    </row>
    <row r="21" spans="1:11" x14ac:dyDescent="0.2">
      <c r="A21" s="107" t="s">
        <v>39</v>
      </c>
      <c r="B21" s="73">
        <f>C4</f>
        <v>15000</v>
      </c>
      <c r="C21" s="78">
        <f>VLOOKUP($C$3,'Data for Bill Impacts'!$A$3:$Y$39,10,0)</f>
        <v>1.5599999999999999E-2</v>
      </c>
      <c r="D21" s="22">
        <f>B21*C21</f>
        <v>234</v>
      </c>
      <c r="E21" s="73">
        <f>B4</f>
        <v>15000</v>
      </c>
      <c r="F21" s="78">
        <f>VLOOKUP($B$3,'Data for Bill Impacts'!$A$3:$Y$39,19,0)</f>
        <v>1.8800000000000001E-2</v>
      </c>
      <c r="G21" s="22">
        <f>E21*F21</f>
        <v>282</v>
      </c>
      <c r="H21" s="22">
        <f t="shared" si="2"/>
        <v>48</v>
      </c>
      <c r="I21" s="23">
        <f t="shared" si="7"/>
        <v>0.20512820512820512</v>
      </c>
      <c r="J21" s="23">
        <f>G21/$G$45</f>
        <v>0.11379322206289084</v>
      </c>
      <c r="K21" s="108">
        <f t="shared" si="4"/>
        <v>0.12012660408616696</v>
      </c>
    </row>
    <row r="22" spans="1:11" x14ac:dyDescent="0.2">
      <c r="A22" s="107" t="s">
        <v>194</v>
      </c>
      <c r="B22" s="73">
        <f>C4</f>
        <v>15000</v>
      </c>
      <c r="C22" s="78">
        <f>'Data for Bill Impacts'!H35</f>
        <v>8.0000000000000004E-4</v>
      </c>
      <c r="D22" s="22">
        <f>B22*C22</f>
        <v>12</v>
      </c>
      <c r="E22" s="73">
        <f>B4</f>
        <v>15000</v>
      </c>
      <c r="F22" s="125">
        <v>0</v>
      </c>
      <c r="G22" s="22">
        <f>E22*F22</f>
        <v>0</v>
      </c>
      <c r="H22" s="22">
        <f t="shared" ref="H22" si="8">G22-D22</f>
        <v>-12</v>
      </c>
      <c r="I22" s="23">
        <f t="shared" ref="I22:I50" si="9">IF(ISERROR(H22/ABS(D22)),"N/A",(H22/ABS(D22)))</f>
        <v>-1</v>
      </c>
      <c r="J22" s="23">
        <f>G22/$G$45</f>
        <v>0</v>
      </c>
      <c r="K22" s="108">
        <f t="shared" si="4"/>
        <v>0</v>
      </c>
    </row>
    <row r="23" spans="1:11" x14ac:dyDescent="0.2">
      <c r="A23" s="107" t="s">
        <v>195</v>
      </c>
      <c r="B23" s="73">
        <f>IF($B$9="kWh",$B$4,$B$5)</f>
        <v>15000</v>
      </c>
      <c r="C23" s="78">
        <f>'Data for Bill Impacts'!L35</f>
        <v>-2.9999999999999997E-4</v>
      </c>
      <c r="D23" s="22">
        <f>B23*C23</f>
        <v>-4.5</v>
      </c>
      <c r="E23" s="73">
        <f t="shared" si="5"/>
        <v>15000</v>
      </c>
      <c r="F23" s="125">
        <v>0</v>
      </c>
      <c r="G23" s="22">
        <f>E23*F23</f>
        <v>0</v>
      </c>
      <c r="H23" s="22">
        <f t="shared" si="2"/>
        <v>4.5</v>
      </c>
      <c r="I23" s="23">
        <f t="shared" si="9"/>
        <v>1</v>
      </c>
      <c r="J23" s="23">
        <f t="shared" ref="J23" si="10">G23/$G$45</f>
        <v>0</v>
      </c>
      <c r="K23" s="108">
        <f t="shared" si="4"/>
        <v>0</v>
      </c>
    </row>
    <row r="24" spans="1:11" s="1" customFormat="1" x14ac:dyDescent="0.2">
      <c r="A24" s="110" t="s">
        <v>72</v>
      </c>
      <c r="B24" s="74"/>
      <c r="C24" s="35"/>
      <c r="D24" s="35">
        <f>SUM(D19:D23)</f>
        <v>290.74</v>
      </c>
      <c r="E24" s="73"/>
      <c r="F24" s="35"/>
      <c r="G24" s="35">
        <f>SUM(G19:G23)</f>
        <v>322.92</v>
      </c>
      <c r="H24" s="35">
        <f t="shared" si="2"/>
        <v>32.180000000000007</v>
      </c>
      <c r="I24" s="36">
        <f t="shared" si="9"/>
        <v>0.11068308454289058</v>
      </c>
      <c r="J24" s="36">
        <f>G24/$G$45</f>
        <v>0.13030534492393159</v>
      </c>
      <c r="K24" s="111">
        <f t="shared" si="4"/>
        <v>0.13755774110462779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3.1878243060171551E-4</v>
      </c>
      <c r="K25" s="108">
        <f t="shared" si="4"/>
        <v>3.3652488378748904E-4</v>
      </c>
    </row>
    <row r="26" spans="1:11" s="1" customFormat="1" x14ac:dyDescent="0.2">
      <c r="A26" s="119" t="s">
        <v>75</v>
      </c>
      <c r="B26" s="120">
        <f>C8-C4</f>
        <v>846</v>
      </c>
      <c r="C26" s="257">
        <f>IF(C4&gt;C7,C13,C12)</f>
        <v>0.106</v>
      </c>
      <c r="D26" s="22">
        <f>B26*C26</f>
        <v>89.676000000000002</v>
      </c>
      <c r="E26" s="73">
        <f>B8-B4</f>
        <v>1000.5</v>
      </c>
      <c r="F26" s="257">
        <f>IF(B4&gt;B7,C13,C12)</f>
        <v>0.106</v>
      </c>
      <c r="G26" s="22">
        <f>E26*F26</f>
        <v>106.053</v>
      </c>
      <c r="H26" s="22">
        <f t="shared" si="2"/>
        <v>16.376999999999995</v>
      </c>
      <c r="I26" s="23">
        <f t="shared" si="9"/>
        <v>0.18262411347517724</v>
      </c>
      <c r="J26" s="23">
        <f t="shared" ref="J26:J45" si="11">G26/$G$45</f>
        <v>4.2794725458992065E-2</v>
      </c>
      <c r="K26" s="108">
        <f t="shared" ref="K26:K40" si="12">G26/$G$50</f>
        <v>4.5176548734575404E-2</v>
      </c>
    </row>
    <row r="27" spans="1:11" s="1" customFormat="1" x14ac:dyDescent="0.2">
      <c r="A27" s="119" t="s">
        <v>74</v>
      </c>
      <c r="B27" s="120">
        <f>C8-C4</f>
        <v>846</v>
      </c>
      <c r="C27" s="257">
        <f>0.65*C15+0.17*C16+0.18*C17</f>
        <v>9.7519999999999996E-2</v>
      </c>
      <c r="D27" s="22">
        <f>B27*C27</f>
        <v>82.501919999999998</v>
      </c>
      <c r="E27" s="73">
        <f>B8-B4</f>
        <v>1000.5</v>
      </c>
      <c r="F27" s="257">
        <f>C27</f>
        <v>9.7519999999999996E-2</v>
      </c>
      <c r="G27" s="22">
        <f>E27*F27</f>
        <v>97.568759999999997</v>
      </c>
      <c r="H27" s="22">
        <f t="shared" si="2"/>
        <v>15.066839999999999</v>
      </c>
      <c r="I27" s="23">
        <f t="shared" si="9"/>
        <v>0.18262411347517729</v>
      </c>
      <c r="J27" s="23">
        <f t="shared" si="11"/>
        <v>3.9371147422272698E-2</v>
      </c>
      <c r="K27" s="108">
        <f t="shared" si="12"/>
        <v>4.1562424835809374E-2</v>
      </c>
    </row>
    <row r="28" spans="1:11" s="1" customFormat="1" x14ac:dyDescent="0.2">
      <c r="A28" s="110" t="s">
        <v>78</v>
      </c>
      <c r="B28" s="74"/>
      <c r="C28" s="35"/>
      <c r="D28" s="35">
        <f>SUM(D24,D25:D26)</f>
        <v>381.20600000000002</v>
      </c>
      <c r="E28" s="73"/>
      <c r="F28" s="35"/>
      <c r="G28" s="35">
        <f>SUM(G24,G25:G26)</f>
        <v>429.76300000000003</v>
      </c>
      <c r="H28" s="35">
        <f t="shared" si="2"/>
        <v>48.557000000000016</v>
      </c>
      <c r="I28" s="36">
        <f t="shared" si="9"/>
        <v>0.12737732354684872</v>
      </c>
      <c r="J28" s="36">
        <f t="shared" si="11"/>
        <v>0.1734188528135254</v>
      </c>
      <c r="K28" s="111">
        <f t="shared" si="12"/>
        <v>0.18307081472299069</v>
      </c>
    </row>
    <row r="29" spans="1:11" s="1" customFormat="1" x14ac:dyDescent="0.2">
      <c r="A29" s="110" t="s">
        <v>77</v>
      </c>
      <c r="B29" s="74"/>
      <c r="C29" s="35"/>
      <c r="D29" s="35">
        <f>SUM(D24,D25,D27)</f>
        <v>374.03192000000001</v>
      </c>
      <c r="E29" s="73"/>
      <c r="F29" s="35"/>
      <c r="G29" s="35">
        <f>SUM(G24,G25,G27)</f>
        <v>421.27876000000003</v>
      </c>
      <c r="H29" s="35">
        <f t="shared" si="2"/>
        <v>47.24684000000002</v>
      </c>
      <c r="I29" s="36">
        <f t="shared" si="9"/>
        <v>0.12631766828884555</v>
      </c>
      <c r="J29" s="36">
        <f t="shared" si="11"/>
        <v>0.16999527477680601</v>
      </c>
      <c r="K29" s="111">
        <f t="shared" si="12"/>
        <v>0.17945669082422466</v>
      </c>
    </row>
    <row r="30" spans="1:11" x14ac:dyDescent="0.2">
      <c r="A30" s="107" t="s">
        <v>40</v>
      </c>
      <c r="B30" s="73">
        <f>$C$8</f>
        <v>15846</v>
      </c>
      <c r="C30" s="78">
        <f>VLOOKUP($C$3,'Data for Bill Impacts'!$A$3:$Y$39,15,0)</f>
        <v>6.3E-3</v>
      </c>
      <c r="D30" s="22">
        <f>B30*C30</f>
        <v>99.829800000000006</v>
      </c>
      <c r="E30" s="73">
        <f>$B$8</f>
        <v>16000.5</v>
      </c>
      <c r="F30" s="78">
        <f>VLOOKUP($B$3,'Data for Bill Impacts'!$A$3:$Y$39,24,0)</f>
        <v>5.3E-3</v>
      </c>
      <c r="G30" s="22">
        <f>E30*F30</f>
        <v>84.80265</v>
      </c>
      <c r="H30" s="22">
        <f t="shared" si="2"/>
        <v>-15.027150000000006</v>
      </c>
      <c r="I30" s="23">
        <f t="shared" si="9"/>
        <v>-0.15052769814223815</v>
      </c>
      <c r="J30" s="23">
        <f t="shared" si="11"/>
        <v>3.421974036514755E-2</v>
      </c>
      <c r="K30" s="108">
        <f t="shared" si="12"/>
        <v>3.6124306248254565E-2</v>
      </c>
    </row>
    <row r="31" spans="1:11" x14ac:dyDescent="0.2">
      <c r="A31" s="107" t="s">
        <v>41</v>
      </c>
      <c r="B31" s="73">
        <f>$C$8</f>
        <v>15846</v>
      </c>
      <c r="C31" s="78">
        <f>VLOOKUP($C$3,'Data for Bill Impacts'!$A$3:$Y$39,16,0)</f>
        <v>3.0999999999999999E-3</v>
      </c>
      <c r="D31" s="22">
        <f>B31*C31</f>
        <v>49.122599999999998</v>
      </c>
      <c r="E31" s="73">
        <f>$B$8</f>
        <v>16000.5</v>
      </c>
      <c r="F31" s="78">
        <f>VLOOKUP($B$3,'Data for Bill Impacts'!$A$3:$Y$39,25,0)</f>
        <v>4.4000000000000003E-3</v>
      </c>
      <c r="G31" s="22">
        <f>E31*F31</f>
        <v>70.402200000000008</v>
      </c>
      <c r="H31" s="22">
        <f t="shared" si="2"/>
        <v>21.279600000000009</v>
      </c>
      <c r="I31" s="23">
        <f t="shared" si="9"/>
        <v>0.43319368274480607</v>
      </c>
      <c r="J31" s="23">
        <f t="shared" si="11"/>
        <v>2.8408841057858347E-2</v>
      </c>
      <c r="K31" s="108">
        <f t="shared" si="12"/>
        <v>2.9989990092890585E-2</v>
      </c>
    </row>
    <row r="32" spans="1:11" s="1" customFormat="1" x14ac:dyDescent="0.2">
      <c r="A32" s="110" t="s">
        <v>76</v>
      </c>
      <c r="B32" s="74"/>
      <c r="C32" s="35"/>
      <c r="D32" s="35">
        <f>SUM(D30:D31)</f>
        <v>148.95240000000001</v>
      </c>
      <c r="E32" s="73"/>
      <c r="F32" s="35"/>
      <c r="G32" s="35">
        <f>SUM(G30:G31)</f>
        <v>155.20485000000002</v>
      </c>
      <c r="H32" s="35">
        <f t="shared" si="2"/>
        <v>6.2524500000000103</v>
      </c>
      <c r="I32" s="36">
        <f t="shared" si="9"/>
        <v>4.1976161511999871E-2</v>
      </c>
      <c r="J32" s="36">
        <f t="shared" si="11"/>
        <v>6.2628581423005911E-2</v>
      </c>
      <c r="K32" s="111">
        <f t="shared" si="12"/>
        <v>6.6114296341145157E-2</v>
      </c>
    </row>
    <row r="33" spans="1:11" s="1" customFormat="1" x14ac:dyDescent="0.2">
      <c r="A33" s="110" t="s">
        <v>95</v>
      </c>
      <c r="B33" s="74"/>
      <c r="C33" s="35"/>
      <c r="D33" s="35">
        <f>D28+D32</f>
        <v>530.15840000000003</v>
      </c>
      <c r="E33" s="73"/>
      <c r="F33" s="35"/>
      <c r="G33" s="35">
        <f>G28+G32</f>
        <v>584.96785</v>
      </c>
      <c r="H33" s="35">
        <f t="shared" si="2"/>
        <v>54.80944999999997</v>
      </c>
      <c r="I33" s="36">
        <f t="shared" si="9"/>
        <v>0.10338315869370356</v>
      </c>
      <c r="J33" s="36">
        <f t="shared" si="11"/>
        <v>0.23604743423653127</v>
      </c>
      <c r="K33" s="111">
        <f t="shared" si="12"/>
        <v>0.24918511106413582</v>
      </c>
    </row>
    <row r="34" spans="1:11" s="1" customFormat="1" x14ac:dyDescent="0.2">
      <c r="A34" s="110" t="s">
        <v>96</v>
      </c>
      <c r="B34" s="74"/>
      <c r="C34" s="35"/>
      <c r="D34" s="35">
        <f>D29+D32</f>
        <v>522.98432000000003</v>
      </c>
      <c r="E34" s="73"/>
      <c r="F34" s="35"/>
      <c r="G34" s="35">
        <f>G29+G32</f>
        <v>576.48361</v>
      </c>
      <c r="H34" s="35">
        <f t="shared" si="2"/>
        <v>53.499289999999974</v>
      </c>
      <c r="I34" s="36">
        <f t="shared" si="9"/>
        <v>0.10229616444332398</v>
      </c>
      <c r="J34" s="36">
        <f t="shared" si="11"/>
        <v>0.23262385619981191</v>
      </c>
      <c r="K34" s="111">
        <f t="shared" si="12"/>
        <v>0.24557098716536979</v>
      </c>
    </row>
    <row r="35" spans="1:11" x14ac:dyDescent="0.2">
      <c r="A35" s="107" t="s">
        <v>42</v>
      </c>
      <c r="B35" s="73">
        <f>$C$8</f>
        <v>15846</v>
      </c>
      <c r="C35" s="34">
        <v>3.5999999999999999E-3</v>
      </c>
      <c r="D35" s="22">
        <f>B35*C35</f>
        <v>57.0456</v>
      </c>
      <c r="E35" s="73">
        <f>$B$8</f>
        <v>16000.5</v>
      </c>
      <c r="F35" s="34">
        <v>3.5999999999999999E-3</v>
      </c>
      <c r="G35" s="22">
        <f>E35*F35</f>
        <v>57.601799999999997</v>
      </c>
      <c r="H35" s="22">
        <f t="shared" si="2"/>
        <v>0.55619999999999692</v>
      </c>
      <c r="I35" s="23">
        <f t="shared" si="9"/>
        <v>9.7500946611131598E-3</v>
      </c>
      <c r="J35" s="23">
        <f t="shared" si="11"/>
        <v>2.3243597229156827E-2</v>
      </c>
      <c r="K35" s="108">
        <f t="shared" si="12"/>
        <v>2.4537264621455928E-2</v>
      </c>
    </row>
    <row r="36" spans="1:11" x14ac:dyDescent="0.2">
      <c r="A36" s="107" t="s">
        <v>43</v>
      </c>
      <c r="B36" s="73">
        <f>$C$8</f>
        <v>15846</v>
      </c>
      <c r="C36" s="34">
        <v>2.0999999999999999E-3</v>
      </c>
      <c r="D36" s="22">
        <f>B36*C36</f>
        <v>33.276599999999995</v>
      </c>
      <c r="E36" s="73">
        <f>$B$8</f>
        <v>16000.5</v>
      </c>
      <c r="F36" s="34">
        <v>2.0999999999999999E-3</v>
      </c>
      <c r="G36" s="22">
        <f>E36*F36</f>
        <v>33.601050000000001</v>
      </c>
      <c r="H36" s="22">
        <f>G36-D36</f>
        <v>0.3244500000000059</v>
      </c>
      <c r="I36" s="23">
        <f t="shared" si="9"/>
        <v>9.750094661113394E-3</v>
      </c>
      <c r="J36" s="23">
        <f t="shared" si="11"/>
        <v>1.3558765050341483E-2</v>
      </c>
      <c r="K36" s="108">
        <f t="shared" si="12"/>
        <v>1.431340436251596E-2</v>
      </c>
    </row>
    <row r="37" spans="1:11" x14ac:dyDescent="0.2">
      <c r="A37" s="107" t="s">
        <v>100</v>
      </c>
      <c r="B37" s="73">
        <f>$C$8</f>
        <v>15846</v>
      </c>
      <c r="C37" s="34">
        <v>0</v>
      </c>
      <c r="D37" s="22">
        <f>B37*C37</f>
        <v>0</v>
      </c>
      <c r="E37" s="73">
        <f>$B$8</f>
        <v>16000.5</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1.008805160132011E-4</v>
      </c>
      <c r="K38" s="108">
        <f t="shared" si="12"/>
        <v>1.0649521638844589E-4</v>
      </c>
    </row>
    <row r="39" spans="1:11" s="1" customFormat="1" x14ac:dyDescent="0.2">
      <c r="A39" s="110" t="s">
        <v>45</v>
      </c>
      <c r="B39" s="74"/>
      <c r="C39" s="35"/>
      <c r="D39" s="35">
        <f>SUM(D35:D38)</f>
        <v>90.572199999999995</v>
      </c>
      <c r="E39" s="73"/>
      <c r="F39" s="35"/>
      <c r="G39" s="35">
        <f>SUM(G35:G38)</f>
        <v>91.452849999999998</v>
      </c>
      <c r="H39" s="35">
        <f t="shared" si="2"/>
        <v>0.88065000000000282</v>
      </c>
      <c r="I39" s="36">
        <f t="shared" si="9"/>
        <v>9.7231821684799855E-3</v>
      </c>
      <c r="J39" s="36">
        <f t="shared" si="11"/>
        <v>3.6903242795511514E-2</v>
      </c>
      <c r="K39" s="111">
        <f t="shared" si="12"/>
        <v>3.8957164200360335E-2</v>
      </c>
    </row>
    <row r="40" spans="1:11" s="1" customFormat="1" ht="13.5" thickBot="1" x14ac:dyDescent="0.25">
      <c r="A40" s="112" t="s">
        <v>46</v>
      </c>
      <c r="B40" s="113">
        <f>B4</f>
        <v>15000</v>
      </c>
      <c r="C40" s="114">
        <v>7.0000000000000001E-3</v>
      </c>
      <c r="D40" s="115">
        <f>B40*C40</f>
        <v>105</v>
      </c>
      <c r="E40" s="116">
        <f t="shared" si="5"/>
        <v>15000</v>
      </c>
      <c r="F40" s="114">
        <f>C40</f>
        <v>7.0000000000000001E-3</v>
      </c>
      <c r="G40" s="115">
        <f>E40*F40</f>
        <v>105</v>
      </c>
      <c r="H40" s="115">
        <f t="shared" si="2"/>
        <v>0</v>
      </c>
      <c r="I40" s="117">
        <f t="shared" si="9"/>
        <v>0</v>
      </c>
      <c r="J40" s="117">
        <f t="shared" si="11"/>
        <v>4.2369816725544462E-2</v>
      </c>
      <c r="K40" s="118">
        <f t="shared" si="12"/>
        <v>4.4727990883147273E-2</v>
      </c>
    </row>
    <row r="41" spans="1:11" s="1" customFormat="1" x14ac:dyDescent="0.2">
      <c r="A41" s="37" t="s">
        <v>137</v>
      </c>
      <c r="B41" s="38"/>
      <c r="C41" s="39"/>
      <c r="D41" s="39">
        <f>SUM(D14,D24,D25,D26,D32,D39,D40)</f>
        <v>2304.4805999999999</v>
      </c>
      <c r="E41" s="38"/>
      <c r="F41" s="39"/>
      <c r="G41" s="39">
        <f>SUM(G14,G24,G25,G26,G32,G39,G40)</f>
        <v>2360.1707000000001</v>
      </c>
      <c r="H41" s="39">
        <f t="shared" si="2"/>
        <v>55.690100000000257</v>
      </c>
      <c r="I41" s="40">
        <f t="shared" si="9"/>
        <v>2.4166009468684725E-2</v>
      </c>
      <c r="J41" s="40">
        <f t="shared" si="11"/>
        <v>0.95238095238095222</v>
      </c>
      <c r="K41" s="41"/>
    </row>
    <row r="42" spans="1:11" x14ac:dyDescent="0.2">
      <c r="A42" s="149" t="s">
        <v>138</v>
      </c>
      <c r="B42" s="43"/>
      <c r="C42" s="26">
        <v>0.13</v>
      </c>
      <c r="D42" s="26">
        <f>D41*C42</f>
        <v>299.58247799999998</v>
      </c>
      <c r="E42" s="26"/>
      <c r="F42" s="26">
        <f>C42</f>
        <v>0.13</v>
      </c>
      <c r="G42" s="26">
        <f>G41*F42</f>
        <v>306.82219100000003</v>
      </c>
      <c r="H42" s="26">
        <f t="shared" si="2"/>
        <v>7.2397130000000516</v>
      </c>
      <c r="I42" s="44">
        <f t="shared" si="9"/>
        <v>2.4166009468684788E-2</v>
      </c>
      <c r="J42" s="44">
        <f t="shared" si="11"/>
        <v>0.1238095238095238</v>
      </c>
      <c r="K42" s="45"/>
    </row>
    <row r="43" spans="1:11" s="1" customFormat="1" x14ac:dyDescent="0.2">
      <c r="A43" s="46" t="s">
        <v>139</v>
      </c>
      <c r="B43" s="24"/>
      <c r="C43" s="25"/>
      <c r="D43" s="25">
        <f>SUM(D41:D42)</f>
        <v>2604.0630779999997</v>
      </c>
      <c r="E43" s="25"/>
      <c r="F43" s="25"/>
      <c r="G43" s="25">
        <f>SUM(G41:G42)</f>
        <v>2666.9928910000003</v>
      </c>
      <c r="H43" s="25">
        <f t="shared" si="2"/>
        <v>62.929813000000649</v>
      </c>
      <c r="I43" s="27">
        <f t="shared" si="9"/>
        <v>2.4166009468684867E-2</v>
      </c>
      <c r="J43" s="27">
        <f t="shared" si="11"/>
        <v>1.0761904761904761</v>
      </c>
      <c r="K43" s="47"/>
    </row>
    <row r="44" spans="1:11" x14ac:dyDescent="0.2">
      <c r="A44" s="42" t="s">
        <v>140</v>
      </c>
      <c r="B44" s="43"/>
      <c r="C44" s="26">
        <v>-0.08</v>
      </c>
      <c r="D44" s="26">
        <f>D41*C44</f>
        <v>-184.35844799999998</v>
      </c>
      <c r="E44" s="26"/>
      <c r="F44" s="26">
        <f>C44</f>
        <v>-0.08</v>
      </c>
      <c r="G44" s="26">
        <f>G41*F44</f>
        <v>-188.81365600000001</v>
      </c>
      <c r="H44" s="26">
        <f t="shared" si="2"/>
        <v>-4.4552080000000274</v>
      </c>
      <c r="I44" s="44">
        <f t="shared" si="9"/>
        <v>-2.4166009468684763E-2</v>
      </c>
      <c r="J44" s="44">
        <f t="shared" si="11"/>
        <v>-7.6190476190476183E-2</v>
      </c>
      <c r="K44" s="45"/>
    </row>
    <row r="45" spans="1:11" s="1" customFormat="1" ht="13.5" thickBot="1" x14ac:dyDescent="0.25">
      <c r="A45" s="48" t="s">
        <v>141</v>
      </c>
      <c r="B45" s="49"/>
      <c r="C45" s="50"/>
      <c r="D45" s="50">
        <f>SUM(D43:D44)</f>
        <v>2419.7046299999997</v>
      </c>
      <c r="E45" s="50"/>
      <c r="F45" s="50"/>
      <c r="G45" s="50">
        <f>SUM(G43:G44)</f>
        <v>2478.1792350000005</v>
      </c>
      <c r="H45" s="50">
        <f t="shared" si="2"/>
        <v>58.474605000000793</v>
      </c>
      <c r="I45" s="51">
        <f t="shared" si="9"/>
        <v>2.4166009468684944E-2</v>
      </c>
      <c r="J45" s="51">
        <f t="shared" si="11"/>
        <v>1</v>
      </c>
      <c r="K45" s="52"/>
    </row>
    <row r="46" spans="1:11" x14ac:dyDescent="0.2">
      <c r="A46" s="53" t="s">
        <v>142</v>
      </c>
      <c r="B46" s="54"/>
      <c r="C46" s="55"/>
      <c r="D46" s="55">
        <f>SUM(D18,D24,D25,D27,D32,D39,D40)</f>
        <v>2181.3565200000003</v>
      </c>
      <c r="E46" s="55"/>
      <c r="F46" s="55"/>
      <c r="G46" s="55">
        <f>SUM(G18,G24,G25,G27,G32,G39,G40)</f>
        <v>2235.7364600000005</v>
      </c>
      <c r="H46" s="55">
        <f>G46-D46</f>
        <v>54.379940000000261</v>
      </c>
      <c r="I46" s="56">
        <f t="shared" si="9"/>
        <v>2.4929414106044552E-2</v>
      </c>
      <c r="J46" s="56"/>
      <c r="K46" s="57">
        <f>G46/$G$50</f>
        <v>0.95238095238095222</v>
      </c>
    </row>
    <row r="47" spans="1:11" x14ac:dyDescent="0.2">
      <c r="A47" s="58" t="s">
        <v>138</v>
      </c>
      <c r="B47" s="59"/>
      <c r="C47" s="31">
        <v>0.13</v>
      </c>
      <c r="D47" s="31">
        <f>D46*C47</f>
        <v>283.57634760000002</v>
      </c>
      <c r="E47" s="31"/>
      <c r="F47" s="31">
        <f>C47</f>
        <v>0.13</v>
      </c>
      <c r="G47" s="31">
        <f>G46*F47</f>
        <v>290.64573980000006</v>
      </c>
      <c r="H47" s="31">
        <f>G47-D47</f>
        <v>7.0693922000000384</v>
      </c>
      <c r="I47" s="32">
        <f t="shared" si="9"/>
        <v>2.4929414106044569E-2</v>
      </c>
      <c r="J47" s="32"/>
      <c r="K47" s="60">
        <f>G47/$G$50</f>
        <v>0.12380952380952379</v>
      </c>
    </row>
    <row r="48" spans="1:11" x14ac:dyDescent="0.2">
      <c r="A48" s="140" t="s">
        <v>143</v>
      </c>
      <c r="B48" s="29"/>
      <c r="C48" s="30"/>
      <c r="D48" s="30">
        <f>SUM(D46:D47)</f>
        <v>2464.9328676000005</v>
      </c>
      <c r="E48" s="30"/>
      <c r="F48" s="30"/>
      <c r="G48" s="30">
        <f>SUM(G46:G47)</f>
        <v>2526.3821998000008</v>
      </c>
      <c r="H48" s="30">
        <f>G48-D48</f>
        <v>61.449332200000299</v>
      </c>
      <c r="I48" s="33">
        <f t="shared" si="9"/>
        <v>2.4929414106044552E-2</v>
      </c>
      <c r="J48" s="33"/>
      <c r="K48" s="62">
        <f>G48/$G$50</f>
        <v>1.0761904761904761</v>
      </c>
    </row>
    <row r="49" spans="1:11" x14ac:dyDescent="0.2">
      <c r="A49" s="58" t="s">
        <v>140</v>
      </c>
      <c r="B49" s="59"/>
      <c r="C49" s="31">
        <v>-0.08</v>
      </c>
      <c r="D49" s="31">
        <f>D46*C49</f>
        <v>-174.50852160000002</v>
      </c>
      <c r="E49" s="31"/>
      <c r="F49" s="31">
        <f>C49</f>
        <v>-0.08</v>
      </c>
      <c r="G49" s="31">
        <f>G46*F49</f>
        <v>-178.85891680000006</v>
      </c>
      <c r="H49" s="31">
        <f>G49-D49</f>
        <v>-4.3503952000000368</v>
      </c>
      <c r="I49" s="32">
        <f t="shared" si="9"/>
        <v>-2.4929414106044642E-2</v>
      </c>
      <c r="J49" s="32"/>
      <c r="K49" s="60">
        <f>G49/$G$50</f>
        <v>-7.6190476190476183E-2</v>
      </c>
    </row>
    <row r="50" spans="1:11" ht="13.5" thickBot="1" x14ac:dyDescent="0.25">
      <c r="A50" s="63" t="s">
        <v>144</v>
      </c>
      <c r="B50" s="64"/>
      <c r="C50" s="65"/>
      <c r="D50" s="65">
        <f>SUM(D48:D49)</f>
        <v>2290.4243460000002</v>
      </c>
      <c r="E50" s="65"/>
      <c r="F50" s="65"/>
      <c r="G50" s="65">
        <f>SUM(G48:G49)</f>
        <v>2347.5232830000009</v>
      </c>
      <c r="H50" s="65">
        <f>G50-D50</f>
        <v>57.09893700000066</v>
      </c>
      <c r="I50" s="66">
        <f t="shared" si="9"/>
        <v>2.4929414106044722E-2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K67"/>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186</v>
      </c>
      <c r="C3" s="13" t="s">
        <v>120</v>
      </c>
    </row>
    <row r="4" spans="1:11" x14ac:dyDescent="0.2">
      <c r="A4" s="15" t="s">
        <v>62</v>
      </c>
      <c r="B4" s="15">
        <v>1000</v>
      </c>
      <c r="C4" s="15">
        <f>B4</f>
        <v>1000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1066.7</v>
      </c>
      <c r="C8" s="15">
        <f>C4*C6</f>
        <v>1065.5</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0.3494485003767055</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5" si="2">G13-D13</f>
        <v>0</v>
      </c>
      <c r="I13" s="23">
        <f t="shared" si="0"/>
        <v>0</v>
      </c>
      <c r="J13" s="23">
        <f>G13/$G$45</f>
        <v>0.13568330051256697</v>
      </c>
      <c r="K13" s="108"/>
    </row>
    <row r="14" spans="1:11" s="1" customFormat="1" x14ac:dyDescent="0.2">
      <c r="A14" s="46" t="s">
        <v>33</v>
      </c>
      <c r="B14" s="24"/>
      <c r="C14" s="25"/>
      <c r="D14" s="25">
        <f>SUM(D12:D13)</f>
        <v>94.75</v>
      </c>
      <c r="E14" s="76"/>
      <c r="F14" s="25"/>
      <c r="G14" s="25">
        <f>SUM(G12:G13)</f>
        <v>94.75</v>
      </c>
      <c r="H14" s="25">
        <f t="shared" si="2"/>
        <v>0</v>
      </c>
      <c r="I14" s="27">
        <f t="shared" si="0"/>
        <v>0</v>
      </c>
      <c r="J14" s="27">
        <f>G14/$G$45</f>
        <v>0.48513180088927244</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5" si="4">G15/$G$50</f>
        <v>0.25326082521954718</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9.7205603445904135E-2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0.1430000183956924</v>
      </c>
    </row>
    <row r="18" spans="1:11" s="1" customFormat="1" x14ac:dyDescent="0.2">
      <c r="A18" s="61" t="s">
        <v>37</v>
      </c>
      <c r="B18" s="29"/>
      <c r="C18" s="30"/>
      <c r="D18" s="30">
        <f>SUM(D15:D17)</f>
        <v>97.52</v>
      </c>
      <c r="E18" s="77"/>
      <c r="F18" s="30"/>
      <c r="G18" s="30">
        <f>SUM(G15:G17)</f>
        <v>97.52</v>
      </c>
      <c r="H18" s="31">
        <f t="shared" si="2"/>
        <v>0</v>
      </c>
      <c r="I18" s="32">
        <f t="shared" si="0"/>
        <v>0</v>
      </c>
      <c r="J18" s="33">
        <f>G18/$G$45</f>
        <v>0.49931454588624641</v>
      </c>
      <c r="K18" s="62">
        <f t="shared" si="4"/>
        <v>0.49346644706114373</v>
      </c>
    </row>
    <row r="19" spans="1:11" x14ac:dyDescent="0.2">
      <c r="A19" s="107" t="s">
        <v>38</v>
      </c>
      <c r="B19" s="73">
        <v>1</v>
      </c>
      <c r="C19" s="121">
        <f>VLOOKUP($C$3,'Data for Bill Impacts'!$A$3:$Y$39,7,0)</f>
        <v>26.94</v>
      </c>
      <c r="D19" s="22">
        <f>B19*C19</f>
        <v>26.94</v>
      </c>
      <c r="E19" s="73">
        <f t="shared" ref="E19:E40" si="5">B19</f>
        <v>1</v>
      </c>
      <c r="F19" s="78">
        <f>VLOOKUP($B$3,'Data for Bill Impacts'!$A$3:$Y$39,17,0)</f>
        <v>40.92</v>
      </c>
      <c r="G19" s="22">
        <f>E19*F19</f>
        <v>40.92</v>
      </c>
      <c r="H19" s="22">
        <f t="shared" si="2"/>
        <v>13.98</v>
      </c>
      <c r="I19" s="23">
        <f>IF(ISERROR(H19/ABS(D19)),"N/A",(H19/ABS(D19)))</f>
        <v>0.51893095768374164</v>
      </c>
      <c r="J19" s="23">
        <f>G19/$G$45</f>
        <v>0.20951549648959397</v>
      </c>
      <c r="K19" s="108">
        <f t="shared" si="4"/>
        <v>0.20706159776191554</v>
      </c>
    </row>
    <row r="20" spans="1:11" x14ac:dyDescent="0.2">
      <c r="A20" s="107" t="s">
        <v>193</v>
      </c>
      <c r="B20" s="73">
        <v>1</v>
      </c>
      <c r="C20" s="121">
        <f>'Data for Bill Impacts'!K29</f>
        <v>-0.27</v>
      </c>
      <c r="D20" s="22">
        <f>B20*C20</f>
        <v>-0.27</v>
      </c>
      <c r="E20" s="73">
        <f t="shared" si="5"/>
        <v>1</v>
      </c>
      <c r="F20" s="121">
        <v>0</v>
      </c>
      <c r="G20" s="22">
        <f t="shared" ref="G20" si="6">E20*F20</f>
        <v>0</v>
      </c>
      <c r="H20" s="22">
        <f t="shared" si="2"/>
        <v>0.27</v>
      </c>
      <c r="I20" s="23">
        <f t="shared" ref="I20:I21" si="7">IF(ISERROR(H20/D20),0,(H20/D20))</f>
        <v>-1</v>
      </c>
      <c r="J20" s="23">
        <f>G20/$G$45</f>
        <v>0</v>
      </c>
      <c r="K20" s="108">
        <f t="shared" si="4"/>
        <v>0</v>
      </c>
    </row>
    <row r="21" spans="1:11" x14ac:dyDescent="0.2">
      <c r="A21" s="107" t="s">
        <v>39</v>
      </c>
      <c r="B21" s="73">
        <f>C4</f>
        <v>1000</v>
      </c>
      <c r="C21" s="125">
        <f>VLOOKUP($C$3,'Data for Bill Impacts'!$A$3:$Y$39,10,0)</f>
        <v>1.9E-2</v>
      </c>
      <c r="D21" s="22">
        <f>B21*C21</f>
        <v>19</v>
      </c>
      <c r="E21" s="73">
        <f>B4</f>
        <v>1000</v>
      </c>
      <c r="F21" s="78">
        <f>VLOOKUP($B$3,'Data for Bill Impacts'!$A$3:$Y$39,19,0)</f>
        <v>1.8800000000000001E-2</v>
      </c>
      <c r="G21" s="22">
        <f>E21*F21</f>
        <v>18.8</v>
      </c>
      <c r="H21" s="22">
        <f t="shared" si="2"/>
        <v>-0.19999999999999929</v>
      </c>
      <c r="I21" s="23">
        <f t="shared" si="7"/>
        <v>-1.0526315789473648E-2</v>
      </c>
      <c r="J21" s="23">
        <f>G21/$G$45</f>
        <v>9.6258341495707889E-2</v>
      </c>
      <c r="K21" s="108">
        <f t="shared" si="4"/>
        <v>9.5130939343206544E-2</v>
      </c>
    </row>
    <row r="22" spans="1:11" x14ac:dyDescent="0.2">
      <c r="A22" s="107" t="s">
        <v>194</v>
      </c>
      <c r="B22" s="73">
        <f>C4</f>
        <v>1000</v>
      </c>
      <c r="C22" s="78">
        <f>'Data for Bill Impacts'!H29</f>
        <v>4.0000000000000002E-4</v>
      </c>
      <c r="D22" s="22">
        <f>B22*C22</f>
        <v>0.4</v>
      </c>
      <c r="E22" s="73">
        <f>C4</f>
        <v>1000</v>
      </c>
      <c r="F22" s="125">
        <v>0</v>
      </c>
      <c r="G22" s="22">
        <f>E22*F22</f>
        <v>0</v>
      </c>
      <c r="H22" s="22">
        <f t="shared" ref="H22" si="8">G22-D22</f>
        <v>-0.4</v>
      </c>
      <c r="I22" s="23">
        <f t="shared" ref="I22:I50" si="9">IF(ISERROR(H22/ABS(D22)),"N/A",(H22/ABS(D22)))</f>
        <v>-1</v>
      </c>
      <c r="J22" s="23">
        <f>G22/$G$45</f>
        <v>0</v>
      </c>
      <c r="K22" s="108">
        <f t="shared" si="4"/>
        <v>0</v>
      </c>
    </row>
    <row r="23" spans="1:11" x14ac:dyDescent="0.2">
      <c r="A23" s="107" t="s">
        <v>199</v>
      </c>
      <c r="B23" s="73">
        <f>IF($B$9="kWh",$B$4,$B$5)</f>
        <v>1000</v>
      </c>
      <c r="C23" s="78">
        <f>'Data for Bill Impacts'!L29</f>
        <v>-2.0000000000000001E-4</v>
      </c>
      <c r="D23" s="22">
        <f>B23*C23</f>
        <v>-0.2</v>
      </c>
      <c r="E23" s="73">
        <f t="shared" si="5"/>
        <v>1000</v>
      </c>
      <c r="F23" s="125">
        <v>0</v>
      </c>
      <c r="G23" s="22">
        <f>E23*F23</f>
        <v>0</v>
      </c>
      <c r="H23" s="22">
        <f t="shared" si="2"/>
        <v>0.2</v>
      </c>
      <c r="I23" s="23">
        <f t="shared" si="9"/>
        <v>1</v>
      </c>
      <c r="J23" s="23">
        <f t="shared" ref="J23" si="10">G23/$G$45</f>
        <v>0</v>
      </c>
      <c r="K23" s="108">
        <f t="shared" si="4"/>
        <v>0</v>
      </c>
    </row>
    <row r="24" spans="1:11" s="1" customFormat="1" x14ac:dyDescent="0.2">
      <c r="A24" s="110" t="s">
        <v>72</v>
      </c>
      <c r="B24" s="74"/>
      <c r="C24" s="35"/>
      <c r="D24" s="35">
        <f>SUM(D19:D23)</f>
        <v>45.87</v>
      </c>
      <c r="E24" s="73"/>
      <c r="F24" s="35"/>
      <c r="G24" s="35">
        <f>SUM(G19:G23)</f>
        <v>59.72</v>
      </c>
      <c r="H24" s="35">
        <f t="shared" si="2"/>
        <v>13.850000000000001</v>
      </c>
      <c r="I24" s="36">
        <f t="shared" si="9"/>
        <v>0.301940265969043</v>
      </c>
      <c r="J24" s="36">
        <f>G24/$G$45</f>
        <v>0.30577383798530183</v>
      </c>
      <c r="K24" s="111">
        <f t="shared" si="4"/>
        <v>0.30219253710512206</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4.0448983926387886E-3</v>
      </c>
      <c r="K25" s="108">
        <f t="shared" si="4"/>
        <v>3.9975235149538922E-3</v>
      </c>
    </row>
    <row r="26" spans="1:11" s="1" customFormat="1" x14ac:dyDescent="0.2">
      <c r="A26" s="119" t="s">
        <v>75</v>
      </c>
      <c r="B26" s="120">
        <f>C8-C4</f>
        <v>65.5</v>
      </c>
      <c r="C26" s="257">
        <f>IF(C4&gt;C7,C13,C12)</f>
        <v>0.106</v>
      </c>
      <c r="D26" s="22">
        <f>B26*C26</f>
        <v>6.9429999999999996</v>
      </c>
      <c r="E26" s="73">
        <f>B8-B4</f>
        <v>66.700000000000045</v>
      </c>
      <c r="F26" s="257">
        <f>IF(B4&gt;B7,C13,C12)</f>
        <v>0.106</v>
      </c>
      <c r="G26" s="22">
        <f>E26*F26</f>
        <v>7.0702000000000043</v>
      </c>
      <c r="H26" s="22">
        <f t="shared" si="2"/>
        <v>0.12720000000000464</v>
      </c>
      <c r="I26" s="23">
        <f t="shared" si="9"/>
        <v>1.8320610687023571E-2</v>
      </c>
      <c r="J26" s="23">
        <f t="shared" ref="J26:J45" si="11">G26/$G$45</f>
        <v>3.6200304576752891E-2</v>
      </c>
      <c r="K26" s="108">
        <f t="shared" ref="K26:K40" si="12">G26/$G$50</f>
        <v>3.5776317411932941E-2</v>
      </c>
    </row>
    <row r="27" spans="1:11" s="1" customFormat="1" x14ac:dyDescent="0.2">
      <c r="A27" s="119" t="s">
        <v>74</v>
      </c>
      <c r="B27" s="120">
        <f>C8-C4</f>
        <v>65.5</v>
      </c>
      <c r="C27" s="257">
        <f>0.65*C15+0.17*C16+0.18*C17</f>
        <v>9.7519999999999996E-2</v>
      </c>
      <c r="D27" s="22">
        <f>B27*C27</f>
        <v>6.3875599999999997</v>
      </c>
      <c r="E27" s="73">
        <f>B8-B4</f>
        <v>66.700000000000045</v>
      </c>
      <c r="F27" s="257">
        <f>C27</f>
        <v>9.7519999999999996E-2</v>
      </c>
      <c r="G27" s="22">
        <f>E27*F27</f>
        <v>6.5045840000000039</v>
      </c>
      <c r="H27" s="22">
        <f t="shared" si="2"/>
        <v>0.11702400000000424</v>
      </c>
      <c r="I27" s="23">
        <f t="shared" si="9"/>
        <v>1.8320610687023564E-2</v>
      </c>
      <c r="J27" s="23">
        <f t="shared" si="11"/>
        <v>3.3304280210612658E-2</v>
      </c>
      <c r="K27" s="108">
        <f t="shared" si="12"/>
        <v>3.291421201897831E-2</v>
      </c>
    </row>
    <row r="28" spans="1:11" s="1" customFormat="1" x14ac:dyDescent="0.2">
      <c r="A28" s="110" t="s">
        <v>78</v>
      </c>
      <c r="B28" s="74"/>
      <c r="C28" s="35"/>
      <c r="D28" s="35">
        <f>SUM(D24,D25:D26)</f>
        <v>53.602999999999994</v>
      </c>
      <c r="E28" s="73"/>
      <c r="F28" s="35"/>
      <c r="G28" s="35">
        <f>SUM(G24,G25:G26)</f>
        <v>67.580200000000005</v>
      </c>
      <c r="H28" s="35">
        <f t="shared" si="2"/>
        <v>13.977200000000011</v>
      </c>
      <c r="I28" s="36">
        <f t="shared" si="9"/>
        <v>0.2607540622726342</v>
      </c>
      <c r="J28" s="36">
        <f t="shared" si="11"/>
        <v>0.34601904095469355</v>
      </c>
      <c r="K28" s="111">
        <f t="shared" si="12"/>
        <v>0.34196637803200891</v>
      </c>
    </row>
    <row r="29" spans="1:11" s="1" customFormat="1" x14ac:dyDescent="0.2">
      <c r="A29" s="110" t="s">
        <v>77</v>
      </c>
      <c r="B29" s="74"/>
      <c r="C29" s="35"/>
      <c r="D29" s="35">
        <f>SUM(D24,D25,D27)</f>
        <v>53.047559999999997</v>
      </c>
      <c r="E29" s="73"/>
      <c r="F29" s="35"/>
      <c r="G29" s="35">
        <f>SUM(G24,G25,G27)</f>
        <v>67.014583999999999</v>
      </c>
      <c r="H29" s="35">
        <f t="shared" si="2"/>
        <v>13.967024000000002</v>
      </c>
      <c r="I29" s="36">
        <f t="shared" si="9"/>
        <v>0.26329248696829793</v>
      </c>
      <c r="J29" s="36">
        <f t="shared" si="11"/>
        <v>0.34312301658855326</v>
      </c>
      <c r="K29" s="111">
        <f t="shared" si="12"/>
        <v>0.33910427263905424</v>
      </c>
    </row>
    <row r="30" spans="1:11" x14ac:dyDescent="0.2">
      <c r="A30" s="107" t="s">
        <v>40</v>
      </c>
      <c r="B30" s="73">
        <f>$C$8</f>
        <v>1065.5</v>
      </c>
      <c r="C30" s="125">
        <f>VLOOKUP($C$3,'Data for Bill Impacts'!$A$3:$Y$39,15,0)</f>
        <v>5.8707628331982429E-3</v>
      </c>
      <c r="D30" s="22">
        <f>B30*C30</f>
        <v>6.2552977987727276</v>
      </c>
      <c r="E30" s="73">
        <f>$B$8</f>
        <v>1066.7</v>
      </c>
      <c r="F30" s="78">
        <f>VLOOKUP($B$3,'Data for Bill Impacts'!$A$3:$Y$39,24,0)</f>
        <v>5.3E-3</v>
      </c>
      <c r="G30" s="22">
        <f>E30*F30</f>
        <v>5.6535100000000007</v>
      </c>
      <c r="H30" s="22">
        <f t="shared" si="2"/>
        <v>-0.60178779877272692</v>
      </c>
      <c r="I30" s="23">
        <f t="shared" si="9"/>
        <v>-9.6204500270282267E-2</v>
      </c>
      <c r="J30" s="23">
        <f t="shared" si="11"/>
        <v>2.8946675331351038E-2</v>
      </c>
      <c r="K30" s="108">
        <f t="shared" si="12"/>
        <v>2.8607644515224028E-2</v>
      </c>
    </row>
    <row r="31" spans="1:11" x14ac:dyDescent="0.2">
      <c r="A31" s="107" t="s">
        <v>41</v>
      </c>
      <c r="B31" s="73">
        <f>$C$8</f>
        <v>1065.5</v>
      </c>
      <c r="C31" s="125">
        <f>VLOOKUP($C$3,'Data for Bill Impacts'!$A$3:$Y$39,16,0)</f>
        <v>4.9991353519971207E-3</v>
      </c>
      <c r="D31" s="22">
        <f>B31*C31</f>
        <v>5.3265787175529322</v>
      </c>
      <c r="E31" s="73">
        <f>$B$8</f>
        <v>1066.7</v>
      </c>
      <c r="F31" s="78">
        <f>VLOOKUP($B$3,'Data for Bill Impacts'!$A$3:$Y$39,25,0)</f>
        <v>4.4000000000000003E-3</v>
      </c>
      <c r="G31" s="22">
        <f>E31*F31</f>
        <v>4.6934800000000001</v>
      </c>
      <c r="H31" s="22">
        <f t="shared" si="2"/>
        <v>-0.63309871755293212</v>
      </c>
      <c r="I31" s="23">
        <f t="shared" si="9"/>
        <v>-0.11885654021532646</v>
      </c>
      <c r="J31" s="23">
        <f t="shared" si="11"/>
        <v>2.4031202161876333E-2</v>
      </c>
      <c r="K31" s="108">
        <f t="shared" si="12"/>
        <v>2.3749742616412398E-2</v>
      </c>
    </row>
    <row r="32" spans="1:11" s="1" customFormat="1" x14ac:dyDescent="0.2">
      <c r="A32" s="110" t="s">
        <v>76</v>
      </c>
      <c r="B32" s="74"/>
      <c r="C32" s="35"/>
      <c r="D32" s="35">
        <f>SUM(D30:D31)</f>
        <v>11.581876516325661</v>
      </c>
      <c r="E32" s="73"/>
      <c r="F32" s="35"/>
      <c r="G32" s="35">
        <f>SUM(G30:G31)</f>
        <v>10.346990000000002</v>
      </c>
      <c r="H32" s="35">
        <f t="shared" si="2"/>
        <v>-1.234886516325659</v>
      </c>
      <c r="I32" s="36">
        <f t="shared" si="9"/>
        <v>-0.10662231759982756</v>
      </c>
      <c r="J32" s="36">
        <f t="shared" si="11"/>
        <v>5.2977877493227375E-2</v>
      </c>
      <c r="K32" s="111">
        <f t="shared" si="12"/>
        <v>5.2357387131636429E-2</v>
      </c>
    </row>
    <row r="33" spans="1:11" s="1" customFormat="1" x14ac:dyDescent="0.2">
      <c r="A33" s="110" t="s">
        <v>95</v>
      </c>
      <c r="B33" s="74"/>
      <c r="C33" s="35"/>
      <c r="D33" s="35">
        <f>D28+D32</f>
        <v>65.184876516325659</v>
      </c>
      <c r="E33" s="73"/>
      <c r="F33" s="35"/>
      <c r="G33" s="35">
        <f>G28+G32</f>
        <v>77.92719000000001</v>
      </c>
      <c r="H33" s="35">
        <f t="shared" si="2"/>
        <v>12.742313483674351</v>
      </c>
      <c r="I33" s="36">
        <f t="shared" si="9"/>
        <v>0.19547959840781501</v>
      </c>
      <c r="J33" s="36">
        <f t="shared" si="11"/>
        <v>0.3989969184479209</v>
      </c>
      <c r="K33" s="111">
        <f t="shared" si="12"/>
        <v>0.39432376516364537</v>
      </c>
    </row>
    <row r="34" spans="1:11" s="1" customFormat="1" x14ac:dyDescent="0.2">
      <c r="A34" s="110" t="s">
        <v>96</v>
      </c>
      <c r="B34" s="74"/>
      <c r="C34" s="35"/>
      <c r="D34" s="35">
        <f>D29+D32</f>
        <v>64.629436516325654</v>
      </c>
      <c r="E34" s="73"/>
      <c r="F34" s="35"/>
      <c r="G34" s="35">
        <f>G29+G32</f>
        <v>77.361574000000005</v>
      </c>
      <c r="H34" s="35">
        <f t="shared" si="2"/>
        <v>12.73213748367435</v>
      </c>
      <c r="I34" s="36">
        <f t="shared" si="9"/>
        <v>0.19700214283097087</v>
      </c>
      <c r="J34" s="36">
        <f t="shared" si="11"/>
        <v>0.39610089408178067</v>
      </c>
      <c r="K34" s="111">
        <f t="shared" si="12"/>
        <v>0.3914616597706907</v>
      </c>
    </row>
    <row r="35" spans="1:11" x14ac:dyDescent="0.2">
      <c r="A35" s="107" t="s">
        <v>42</v>
      </c>
      <c r="B35" s="73">
        <f>$C$8</f>
        <v>1065.5</v>
      </c>
      <c r="C35" s="34">
        <v>3.5999999999999999E-3</v>
      </c>
      <c r="D35" s="22">
        <f>B35*C35</f>
        <v>3.8357999999999999</v>
      </c>
      <c r="E35" s="73">
        <f>$B$8</f>
        <v>1066.7</v>
      </c>
      <c r="F35" s="34">
        <v>3.5999999999999999E-3</v>
      </c>
      <c r="G35" s="22">
        <f>E35*F35</f>
        <v>3.8401200000000002</v>
      </c>
      <c r="H35" s="22">
        <f t="shared" si="2"/>
        <v>4.3200000000003236E-3</v>
      </c>
      <c r="I35" s="23">
        <f t="shared" si="9"/>
        <v>1.1262318160488879E-3</v>
      </c>
      <c r="J35" s="23">
        <f t="shared" si="11"/>
        <v>1.9661892677898817E-2</v>
      </c>
      <c r="K35" s="108">
        <f t="shared" si="12"/>
        <v>1.9431607595246508E-2</v>
      </c>
    </row>
    <row r="36" spans="1:11" x14ac:dyDescent="0.2">
      <c r="A36" s="107" t="s">
        <v>43</v>
      </c>
      <c r="B36" s="73">
        <f>$C$8</f>
        <v>1065.5</v>
      </c>
      <c r="C36" s="34">
        <v>2.0999999999999999E-3</v>
      </c>
      <c r="D36" s="22">
        <f>B36*C36</f>
        <v>2.2375499999999997</v>
      </c>
      <c r="E36" s="73">
        <f>$B$8</f>
        <v>1066.7</v>
      </c>
      <c r="F36" s="34">
        <v>2.0999999999999999E-3</v>
      </c>
      <c r="G36" s="22">
        <f>E36*F36</f>
        <v>2.2400699999999998</v>
      </c>
      <c r="H36" s="22">
        <f>G36-D36</f>
        <v>2.5200000000000777E-3</v>
      </c>
      <c r="I36" s="23">
        <f t="shared" si="9"/>
        <v>1.1262318160488382E-3</v>
      </c>
      <c r="J36" s="23">
        <f t="shared" si="11"/>
        <v>1.1469437395440976E-2</v>
      </c>
      <c r="K36" s="108">
        <f t="shared" si="12"/>
        <v>1.1335104430560461E-2</v>
      </c>
    </row>
    <row r="37" spans="1:11" x14ac:dyDescent="0.2">
      <c r="A37" s="107" t="s">
        <v>100</v>
      </c>
      <c r="B37" s="73">
        <f>$C$8</f>
        <v>1065.5</v>
      </c>
      <c r="C37" s="34">
        <v>0</v>
      </c>
      <c r="D37" s="22">
        <f>B37*C37</f>
        <v>0</v>
      </c>
      <c r="E37" s="73">
        <f>$B$8</f>
        <v>1066.7</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1.2800311369110091E-3</v>
      </c>
      <c r="K38" s="108">
        <f t="shared" si="12"/>
        <v>1.2650390870107254E-3</v>
      </c>
    </row>
    <row r="39" spans="1:11" s="1" customFormat="1" x14ac:dyDescent="0.2">
      <c r="A39" s="110" t="s">
        <v>45</v>
      </c>
      <c r="B39" s="74"/>
      <c r="C39" s="35"/>
      <c r="D39" s="35">
        <f>SUM(D35:D38)</f>
        <v>6.3233499999999996</v>
      </c>
      <c r="E39" s="73"/>
      <c r="F39" s="35"/>
      <c r="G39" s="35">
        <f>SUM(G35:G38)</f>
        <v>6.33019</v>
      </c>
      <c r="H39" s="35">
        <f t="shared" si="2"/>
        <v>6.8400000000004013E-3</v>
      </c>
      <c r="I39" s="36">
        <f t="shared" si="9"/>
        <v>1.0817051088426865E-3</v>
      </c>
      <c r="J39" s="36">
        <f t="shared" si="11"/>
        <v>3.2411361210250803E-2</v>
      </c>
      <c r="K39" s="111">
        <f t="shared" si="12"/>
        <v>3.2031751112817697E-2</v>
      </c>
    </row>
    <row r="40" spans="1:11" s="1" customFormat="1" ht="13.5" thickBot="1" x14ac:dyDescent="0.25">
      <c r="A40" s="112" t="s">
        <v>46</v>
      </c>
      <c r="B40" s="113">
        <f>B4</f>
        <v>1000</v>
      </c>
      <c r="C40" s="114">
        <v>7.0000000000000001E-3</v>
      </c>
      <c r="D40" s="115">
        <f>B40*C40</f>
        <v>7</v>
      </c>
      <c r="E40" s="116">
        <f t="shared" si="5"/>
        <v>1000</v>
      </c>
      <c r="F40" s="114">
        <f>C40</f>
        <v>7.0000000000000001E-3</v>
      </c>
      <c r="G40" s="115">
        <f>E40*F40</f>
        <v>7</v>
      </c>
      <c r="H40" s="115">
        <f t="shared" si="2"/>
        <v>0</v>
      </c>
      <c r="I40" s="117">
        <f t="shared" si="9"/>
        <v>0</v>
      </c>
      <c r="J40" s="117">
        <f t="shared" si="11"/>
        <v>3.5840871833508252E-2</v>
      </c>
      <c r="K40" s="118">
        <f t="shared" si="12"/>
        <v>3.5421094436300309E-2</v>
      </c>
    </row>
    <row r="41" spans="1:11" s="1" customFormat="1" x14ac:dyDescent="0.2">
      <c r="A41" s="37" t="s">
        <v>137</v>
      </c>
      <c r="B41" s="38"/>
      <c r="C41" s="39"/>
      <c r="D41" s="39">
        <f>SUM(D14,D24,D25,D26,D32,D39,D40)</f>
        <v>173.25822651632566</v>
      </c>
      <c r="E41" s="38"/>
      <c r="F41" s="39"/>
      <c r="G41" s="39">
        <f>SUM(G14,G24,G25,G26,G32,G39,G40)</f>
        <v>186.00737999999998</v>
      </c>
      <c r="H41" s="39">
        <f t="shared" si="2"/>
        <v>12.74915348367432</v>
      </c>
      <c r="I41" s="40">
        <f t="shared" si="9"/>
        <v>7.3584693437185794E-2</v>
      </c>
      <c r="J41" s="40">
        <f t="shared" si="11"/>
        <v>0.95238095238095233</v>
      </c>
      <c r="K41" s="41"/>
    </row>
    <row r="42" spans="1:11" x14ac:dyDescent="0.2">
      <c r="A42" s="149" t="s">
        <v>138</v>
      </c>
      <c r="B42" s="43"/>
      <c r="C42" s="26">
        <v>0.13</v>
      </c>
      <c r="D42" s="26">
        <f>D41*C42</f>
        <v>22.523569447122338</v>
      </c>
      <c r="E42" s="26"/>
      <c r="F42" s="26">
        <f>C42</f>
        <v>0.13</v>
      </c>
      <c r="G42" s="26">
        <f>G41*F42</f>
        <v>24.180959399999999</v>
      </c>
      <c r="H42" s="26">
        <f t="shared" si="2"/>
        <v>1.6573899528776614</v>
      </c>
      <c r="I42" s="44">
        <f t="shared" si="9"/>
        <v>7.3584693437185794E-2</v>
      </c>
      <c r="J42" s="44">
        <f t="shared" si="11"/>
        <v>0.1238095238095238</v>
      </c>
      <c r="K42" s="45"/>
    </row>
    <row r="43" spans="1:11" s="1" customFormat="1" x14ac:dyDescent="0.2">
      <c r="A43" s="46" t="s">
        <v>139</v>
      </c>
      <c r="B43" s="24"/>
      <c r="C43" s="25"/>
      <c r="D43" s="25">
        <f>SUM(D41:D42)</f>
        <v>195.78179596344799</v>
      </c>
      <c r="E43" s="25"/>
      <c r="F43" s="25"/>
      <c r="G43" s="25">
        <f>SUM(G41:G42)</f>
        <v>210.18833939999999</v>
      </c>
      <c r="H43" s="25">
        <f t="shared" si="2"/>
        <v>14.406543436551999</v>
      </c>
      <c r="I43" s="27">
        <f t="shared" si="9"/>
        <v>7.3584693437185891E-2</v>
      </c>
      <c r="J43" s="27">
        <f t="shared" si="11"/>
        <v>1.0761904761904761</v>
      </c>
      <c r="K43" s="47"/>
    </row>
    <row r="44" spans="1:11" x14ac:dyDescent="0.2">
      <c r="A44" s="42" t="s">
        <v>140</v>
      </c>
      <c r="B44" s="43"/>
      <c r="C44" s="26">
        <v>-0.08</v>
      </c>
      <c r="D44" s="26">
        <f>D41*C44</f>
        <v>-13.860658121306054</v>
      </c>
      <c r="E44" s="26"/>
      <c r="F44" s="26">
        <f>C44</f>
        <v>-0.08</v>
      </c>
      <c r="G44" s="26">
        <f>G41*F44</f>
        <v>-14.880590399999999</v>
      </c>
      <c r="H44" s="26">
        <f t="shared" si="2"/>
        <v>-1.0199322786939451</v>
      </c>
      <c r="I44" s="44">
        <f t="shared" si="9"/>
        <v>-7.3584693437185766E-2</v>
      </c>
      <c r="J44" s="44">
        <f t="shared" si="11"/>
        <v>-7.6190476190476183E-2</v>
      </c>
      <c r="K44" s="45"/>
    </row>
    <row r="45" spans="1:11" s="1" customFormat="1" ht="13.5" thickBot="1" x14ac:dyDescent="0.25">
      <c r="A45" s="48" t="s">
        <v>141</v>
      </c>
      <c r="B45" s="49"/>
      <c r="C45" s="50"/>
      <c r="D45" s="50">
        <f>SUM(D43:D44)</f>
        <v>181.92113784214195</v>
      </c>
      <c r="E45" s="50"/>
      <c r="F45" s="50"/>
      <c r="G45" s="50">
        <f>SUM(G43:G44)</f>
        <v>195.307749</v>
      </c>
      <c r="H45" s="50">
        <f t="shared" si="2"/>
        <v>13.386611157858056</v>
      </c>
      <c r="I45" s="51">
        <f t="shared" si="9"/>
        <v>7.3584693437185905E-2</v>
      </c>
      <c r="J45" s="51">
        <f t="shared" si="11"/>
        <v>1</v>
      </c>
      <c r="K45" s="52"/>
    </row>
    <row r="46" spans="1:11" x14ac:dyDescent="0.2">
      <c r="A46" s="53" t="s">
        <v>142</v>
      </c>
      <c r="B46" s="54"/>
      <c r="C46" s="55"/>
      <c r="D46" s="55">
        <f>SUM(D18,D24,D25,D27,D32,D39,D40)</f>
        <v>175.47278651632564</v>
      </c>
      <c r="E46" s="55"/>
      <c r="F46" s="55"/>
      <c r="G46" s="55">
        <f>SUM(G18,G24,G25,G27,G32,G39,G40)</f>
        <v>188.21176399999999</v>
      </c>
      <c r="H46" s="55">
        <f>G46-D46</f>
        <v>12.738977483674347</v>
      </c>
      <c r="I46" s="56">
        <f t="shared" si="9"/>
        <v>7.2598023525939373E-2</v>
      </c>
      <c r="J46" s="56"/>
      <c r="K46" s="57">
        <f>G46/$G$50</f>
        <v>0.95238095238095233</v>
      </c>
    </row>
    <row r="47" spans="1:11" x14ac:dyDescent="0.2">
      <c r="A47" s="58" t="s">
        <v>138</v>
      </c>
      <c r="B47" s="59"/>
      <c r="C47" s="31">
        <v>0.13</v>
      </c>
      <c r="D47" s="31">
        <f>D46*C47</f>
        <v>22.811462247122336</v>
      </c>
      <c r="E47" s="31"/>
      <c r="F47" s="31">
        <f>C47</f>
        <v>0.13</v>
      </c>
      <c r="G47" s="31">
        <f>G46*F47</f>
        <v>24.467529320000001</v>
      </c>
      <c r="H47" s="31">
        <f>G47-D47</f>
        <v>1.656067072877665</v>
      </c>
      <c r="I47" s="32">
        <f t="shared" si="9"/>
        <v>7.2598023525939359E-2</v>
      </c>
      <c r="J47" s="32"/>
      <c r="K47" s="60">
        <f>G47/$G$50</f>
        <v>0.12380952380952381</v>
      </c>
    </row>
    <row r="48" spans="1:11" x14ac:dyDescent="0.2">
      <c r="A48" s="140" t="s">
        <v>143</v>
      </c>
      <c r="B48" s="29"/>
      <c r="C48" s="30"/>
      <c r="D48" s="30">
        <f>SUM(D46:D47)</f>
        <v>198.28424876344798</v>
      </c>
      <c r="E48" s="30"/>
      <c r="F48" s="30"/>
      <c r="G48" s="30">
        <f>SUM(G46:G47)</f>
        <v>212.67929332</v>
      </c>
      <c r="H48" s="30">
        <f>G48-D48</f>
        <v>14.395044556552023</v>
      </c>
      <c r="I48" s="33">
        <f t="shared" si="9"/>
        <v>7.2598023525939429E-2</v>
      </c>
      <c r="J48" s="33"/>
      <c r="K48" s="62">
        <f>G48/$G$50</f>
        <v>1.0761904761904761</v>
      </c>
    </row>
    <row r="49" spans="1:11" x14ac:dyDescent="0.2">
      <c r="A49" s="58" t="s">
        <v>140</v>
      </c>
      <c r="B49" s="59"/>
      <c r="C49" s="31">
        <v>-0.08</v>
      </c>
      <c r="D49" s="31">
        <f>D46*C49</f>
        <v>-14.037822921306052</v>
      </c>
      <c r="E49" s="31"/>
      <c r="F49" s="31">
        <f>C49</f>
        <v>-0.08</v>
      </c>
      <c r="G49" s="31">
        <f>G46*F49</f>
        <v>-15.056941119999999</v>
      </c>
      <c r="H49" s="31">
        <f>G49-D49</f>
        <v>-1.0191181986939473</v>
      </c>
      <c r="I49" s="32">
        <f t="shared" si="9"/>
        <v>-7.2598023525939345E-2</v>
      </c>
      <c r="J49" s="32"/>
      <c r="K49" s="60">
        <f>G49/$G$50</f>
        <v>-7.6190476190476183E-2</v>
      </c>
    </row>
    <row r="50" spans="1:11" ht="13.5" thickBot="1" x14ac:dyDescent="0.25">
      <c r="A50" s="63" t="s">
        <v>144</v>
      </c>
      <c r="B50" s="64"/>
      <c r="C50" s="65"/>
      <c r="D50" s="65">
        <f>SUM(D48:D49)</f>
        <v>184.24642584214192</v>
      </c>
      <c r="E50" s="65"/>
      <c r="F50" s="65"/>
      <c r="G50" s="65">
        <f>SUM(G48:G49)</f>
        <v>197.62235219999999</v>
      </c>
      <c r="H50" s="65">
        <f>G50-D50</f>
        <v>13.375926357858077</v>
      </c>
      <c r="I50" s="66">
        <f t="shared" si="9"/>
        <v>7.2598023525939456E-2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pageSetUpPr fitToPage="1"/>
  </sheetPr>
  <dimension ref="A1:K67"/>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112</v>
      </c>
      <c r="B1" s="338"/>
      <c r="C1" s="338"/>
      <c r="D1" s="338"/>
      <c r="E1" s="338"/>
      <c r="F1" s="338"/>
      <c r="G1" s="338"/>
      <c r="H1" s="338"/>
      <c r="I1" s="338"/>
      <c r="J1" s="338"/>
      <c r="K1" s="339"/>
    </row>
    <row r="3" spans="1:11" x14ac:dyDescent="0.2">
      <c r="A3" s="13" t="s">
        <v>13</v>
      </c>
      <c r="B3" s="13" t="s">
        <v>186</v>
      </c>
      <c r="C3" s="13" t="s">
        <v>120</v>
      </c>
    </row>
    <row r="4" spans="1:11" x14ac:dyDescent="0.2">
      <c r="A4" s="15" t="s">
        <v>62</v>
      </c>
      <c r="B4" s="79">
        <f>C4</f>
        <v>1819.4414974238871</v>
      </c>
      <c r="C4" s="79">
        <f>'Data for Bill Impacts_HONI Avg '!E29</f>
        <v>1819.4414974238871</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63">
        <f>B4*B6</f>
        <v>1940.7982453020604</v>
      </c>
      <c r="C8" s="163">
        <f>C4*C6</f>
        <v>1938.6149155051514</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0.20749239219650328</v>
      </c>
      <c r="K12" s="106"/>
    </row>
    <row r="13" spans="1:11" x14ac:dyDescent="0.2">
      <c r="A13" s="107" t="s">
        <v>32</v>
      </c>
      <c r="B13" s="73">
        <f>IF(B4&gt;B7,(B4)-B7,0)</f>
        <v>1069.4414974238871</v>
      </c>
      <c r="C13" s="21">
        <v>0.106</v>
      </c>
      <c r="D13" s="22">
        <f>B13*C13</f>
        <v>113.36079872693203</v>
      </c>
      <c r="E13" s="73">
        <f t="shared" ref="E13" si="1">B13</f>
        <v>1069.4414974238871</v>
      </c>
      <c r="F13" s="21">
        <f>C13</f>
        <v>0.106</v>
      </c>
      <c r="G13" s="22">
        <f>E13*F13</f>
        <v>113.36079872693203</v>
      </c>
      <c r="H13" s="22">
        <f t="shared" ref="H13:H45" si="2">G13-D13</f>
        <v>0</v>
      </c>
      <c r="I13" s="23">
        <f t="shared" si="0"/>
        <v>0</v>
      </c>
      <c r="J13" s="23">
        <f>G13/$G$45</f>
        <v>0.34463741112318608</v>
      </c>
      <c r="K13" s="108"/>
    </row>
    <row r="14" spans="1:11" s="1" customFormat="1" x14ac:dyDescent="0.2">
      <c r="A14" s="46" t="s">
        <v>33</v>
      </c>
      <c r="B14" s="24"/>
      <c r="C14" s="25"/>
      <c r="D14" s="25">
        <f>SUM(D12:D13)</f>
        <v>181.61079872693205</v>
      </c>
      <c r="E14" s="76"/>
      <c r="F14" s="25"/>
      <c r="G14" s="25">
        <f>SUM(G12:G13)</f>
        <v>181.61079872693205</v>
      </c>
      <c r="H14" s="25">
        <f t="shared" si="2"/>
        <v>0</v>
      </c>
      <c r="I14" s="27">
        <f t="shared" si="0"/>
        <v>0</v>
      </c>
      <c r="J14" s="27">
        <f>G14/$G$45</f>
        <v>0.55212980331968942</v>
      </c>
      <c r="K14" s="108"/>
    </row>
    <row r="15" spans="1:11" s="1" customFormat="1" x14ac:dyDescent="0.2">
      <c r="A15" s="109" t="s">
        <v>34</v>
      </c>
      <c r="B15" s="75">
        <f>B4*0.65</f>
        <v>1182.6369733255267</v>
      </c>
      <c r="C15" s="28">
        <v>7.6999999999999999E-2</v>
      </c>
      <c r="D15" s="22">
        <f>B15*C15</f>
        <v>91.063046946065555</v>
      </c>
      <c r="E15" s="73">
        <f t="shared" ref="E15:F17" si="3">B15</f>
        <v>1182.6369733255267</v>
      </c>
      <c r="F15" s="28">
        <f t="shared" si="3"/>
        <v>7.6999999999999999E-2</v>
      </c>
      <c r="G15" s="22">
        <f>E15*F15</f>
        <v>91.063046946065555</v>
      </c>
      <c r="H15" s="22">
        <f t="shared" si="2"/>
        <v>0</v>
      </c>
      <c r="I15" s="23">
        <f t="shared" si="0"/>
        <v>0</v>
      </c>
      <c r="J15" s="23"/>
      <c r="K15" s="108">
        <f t="shared" ref="K15:K25" si="4">G15/$G$50</f>
        <v>0.28152856166190071</v>
      </c>
    </row>
    <row r="16" spans="1:11" s="1" customFormat="1" x14ac:dyDescent="0.2">
      <c r="A16" s="109" t="s">
        <v>35</v>
      </c>
      <c r="B16" s="75">
        <f>B4*0.17</f>
        <v>309.30505456206083</v>
      </c>
      <c r="C16" s="28">
        <v>0.113</v>
      </c>
      <c r="D16" s="22">
        <f>B16*C16</f>
        <v>34.951471165512878</v>
      </c>
      <c r="E16" s="73">
        <f t="shared" si="3"/>
        <v>309.30505456206083</v>
      </c>
      <c r="F16" s="28">
        <f t="shared" si="3"/>
        <v>0.113</v>
      </c>
      <c r="G16" s="22">
        <f>E16*F16</f>
        <v>34.951471165512878</v>
      </c>
      <c r="H16" s="22">
        <f t="shared" si="2"/>
        <v>0</v>
      </c>
      <c r="I16" s="23">
        <f t="shared" si="0"/>
        <v>0</v>
      </c>
      <c r="J16" s="23"/>
      <c r="K16" s="108">
        <f t="shared" si="4"/>
        <v>0.10805521817232994</v>
      </c>
    </row>
    <row r="17" spans="1:11" s="1" customFormat="1" x14ac:dyDescent="0.2">
      <c r="A17" s="109" t="s">
        <v>36</v>
      </c>
      <c r="B17" s="75">
        <f>B4*0.18</f>
        <v>327.49946953629967</v>
      </c>
      <c r="C17" s="28">
        <v>0.157</v>
      </c>
      <c r="D17" s="22">
        <f>B17*C17</f>
        <v>51.417416717199046</v>
      </c>
      <c r="E17" s="73">
        <f t="shared" si="3"/>
        <v>327.49946953629967</v>
      </c>
      <c r="F17" s="28">
        <f t="shared" si="3"/>
        <v>0.157</v>
      </c>
      <c r="G17" s="22">
        <f>E17*F17</f>
        <v>51.417416717199046</v>
      </c>
      <c r="H17" s="22">
        <f t="shared" si="2"/>
        <v>0</v>
      </c>
      <c r="I17" s="23">
        <f t="shared" si="0"/>
        <v>0</v>
      </c>
      <c r="J17" s="23"/>
      <c r="K17" s="108">
        <f t="shared" si="4"/>
        <v>0.15896098206923703</v>
      </c>
    </row>
    <row r="18" spans="1:11" s="1" customFormat="1" x14ac:dyDescent="0.2">
      <c r="A18" s="61" t="s">
        <v>37</v>
      </c>
      <c r="B18" s="29"/>
      <c r="C18" s="30"/>
      <c r="D18" s="30">
        <f>SUM(D15:D17)</f>
        <v>177.43193482877749</v>
      </c>
      <c r="E18" s="77"/>
      <c r="F18" s="30"/>
      <c r="G18" s="30">
        <f>SUM(G15:G17)</f>
        <v>177.43193482877749</v>
      </c>
      <c r="H18" s="31">
        <f t="shared" si="2"/>
        <v>0</v>
      </c>
      <c r="I18" s="32">
        <f t="shared" si="0"/>
        <v>0</v>
      </c>
      <c r="J18" s="33">
        <f>G18/$G$45</f>
        <v>0.53942529831028729</v>
      </c>
      <c r="K18" s="62">
        <f t="shared" si="4"/>
        <v>0.54854476190346768</v>
      </c>
    </row>
    <row r="19" spans="1:11" x14ac:dyDescent="0.2">
      <c r="A19" s="107" t="s">
        <v>38</v>
      </c>
      <c r="B19" s="73">
        <v>1</v>
      </c>
      <c r="C19" s="121">
        <f>VLOOKUP($C$3,'Data for Bill Impacts'!$A$3:$Y$39,7,0)</f>
        <v>26.94</v>
      </c>
      <c r="D19" s="22">
        <f>B19*C19</f>
        <v>26.94</v>
      </c>
      <c r="E19" s="73">
        <f t="shared" ref="E19:E40" si="5">B19</f>
        <v>1</v>
      </c>
      <c r="F19" s="78">
        <f>VLOOKUP($B$3,'Data for Bill Impacts'!$A$3:$Y$39,17,0)</f>
        <v>40.92</v>
      </c>
      <c r="G19" s="22">
        <f>E19*F19</f>
        <v>40.92</v>
      </c>
      <c r="H19" s="22">
        <f t="shared" si="2"/>
        <v>13.98</v>
      </c>
      <c r="I19" s="23">
        <f>IF(ISERROR(H19/ABS(D19)),"N/A",(H19/ABS(D19)))</f>
        <v>0.51893095768374164</v>
      </c>
      <c r="J19" s="23">
        <f>G19/$G$45</f>
        <v>0.12440422987078263</v>
      </c>
      <c r="K19" s="108">
        <f t="shared" si="4"/>
        <v>0.12650739382823512</v>
      </c>
    </row>
    <row r="20" spans="1:11" x14ac:dyDescent="0.2">
      <c r="A20" s="107" t="s">
        <v>193</v>
      </c>
      <c r="B20" s="73">
        <v>1</v>
      </c>
      <c r="C20" s="121">
        <f>'Data for Bill Impacts'!K29</f>
        <v>-0.27</v>
      </c>
      <c r="D20" s="22">
        <f>B20*C20</f>
        <v>-0.27</v>
      </c>
      <c r="E20" s="73">
        <f t="shared" si="5"/>
        <v>1</v>
      </c>
      <c r="F20" s="121">
        <v>0</v>
      </c>
      <c r="G20" s="22">
        <f t="shared" ref="G20" si="6">E20*F20</f>
        <v>0</v>
      </c>
      <c r="H20" s="22">
        <f t="shared" si="2"/>
        <v>0.27</v>
      </c>
      <c r="I20" s="23">
        <f t="shared" ref="I20:I21" si="7">IF(ISERROR(H20/D20),0,(H20/D20))</f>
        <v>-1</v>
      </c>
      <c r="J20" s="23">
        <f>G20/$G$45</f>
        <v>0</v>
      </c>
      <c r="K20" s="108">
        <f t="shared" si="4"/>
        <v>0</v>
      </c>
    </row>
    <row r="21" spans="1:11" x14ac:dyDescent="0.2">
      <c r="A21" s="107" t="s">
        <v>39</v>
      </c>
      <c r="B21" s="73">
        <f>C4</f>
        <v>1819.4414974238871</v>
      </c>
      <c r="C21" s="125">
        <f>VLOOKUP($C$3,'Data for Bill Impacts'!$A$3:$Y$39,10,0)</f>
        <v>1.9E-2</v>
      </c>
      <c r="D21" s="22">
        <f>B21*C21</f>
        <v>34.569388451053854</v>
      </c>
      <c r="E21" s="73">
        <f>B4</f>
        <v>1819.4414974238871</v>
      </c>
      <c r="F21" s="78">
        <f>VLOOKUP($B$3,'Data for Bill Impacts'!$A$3:$Y$39,19,0)</f>
        <v>1.8800000000000001E-2</v>
      </c>
      <c r="G21" s="22">
        <f>E21*F21</f>
        <v>34.205500151569076</v>
      </c>
      <c r="H21" s="22">
        <f t="shared" si="2"/>
        <v>-0.36388829948477763</v>
      </c>
      <c r="I21" s="23">
        <f t="shared" si="7"/>
        <v>-1.0526315789473691E-2</v>
      </c>
      <c r="J21" s="23">
        <f>G21/$G$45</f>
        <v>0.10399093117548605</v>
      </c>
      <c r="K21" s="108">
        <f t="shared" si="4"/>
        <v>0.10574899019467998</v>
      </c>
    </row>
    <row r="22" spans="1:11" x14ac:dyDescent="0.2">
      <c r="A22" s="107" t="s">
        <v>194</v>
      </c>
      <c r="B22" s="73">
        <f>C4</f>
        <v>1819.4414974238871</v>
      </c>
      <c r="C22" s="78">
        <f>'Data for Bill Impacts'!H29</f>
        <v>4.0000000000000002E-4</v>
      </c>
      <c r="D22" s="22">
        <f>B22*C22</f>
        <v>0.72777659896955482</v>
      </c>
      <c r="E22" s="73">
        <f>C4</f>
        <v>1819.4414974238871</v>
      </c>
      <c r="F22" s="125">
        <v>0</v>
      </c>
      <c r="G22" s="22">
        <f>E22*F22</f>
        <v>0</v>
      </c>
      <c r="H22" s="22">
        <f t="shared" ref="H22" si="8">G22-D22</f>
        <v>-0.72777659896955482</v>
      </c>
      <c r="I22" s="23">
        <f t="shared" ref="I22:I50" si="9">IF(ISERROR(H22/ABS(D22)),"N/A",(H22/ABS(D22)))</f>
        <v>-1</v>
      </c>
      <c r="J22" s="23">
        <f>G22/$G$45</f>
        <v>0</v>
      </c>
      <c r="K22" s="108">
        <f t="shared" si="4"/>
        <v>0</v>
      </c>
    </row>
    <row r="23" spans="1:11" x14ac:dyDescent="0.2">
      <c r="A23" s="107" t="s">
        <v>199</v>
      </c>
      <c r="B23" s="73">
        <f>IF($B$9="kWh",$B$4,$B$5)</f>
        <v>1819.4414974238871</v>
      </c>
      <c r="C23" s="78">
        <f>'Data for Bill Impacts'!L29</f>
        <v>-2.0000000000000001E-4</v>
      </c>
      <c r="D23" s="22">
        <f>B23*C23</f>
        <v>-0.36388829948477741</v>
      </c>
      <c r="E23" s="73">
        <f t="shared" si="5"/>
        <v>1819.4414974238871</v>
      </c>
      <c r="F23" s="125">
        <v>0</v>
      </c>
      <c r="G23" s="22">
        <f>E23*F23</f>
        <v>0</v>
      </c>
      <c r="H23" s="22">
        <f t="shared" si="2"/>
        <v>0.36388829948477741</v>
      </c>
      <c r="I23" s="23">
        <f t="shared" si="9"/>
        <v>1</v>
      </c>
      <c r="J23" s="23">
        <f t="shared" ref="J23" si="10">G23/$G$45</f>
        <v>0</v>
      </c>
      <c r="K23" s="108">
        <f t="shared" si="4"/>
        <v>0</v>
      </c>
    </row>
    <row r="24" spans="1:11" s="1" customFormat="1" x14ac:dyDescent="0.2">
      <c r="A24" s="110" t="s">
        <v>72</v>
      </c>
      <c r="B24" s="74"/>
      <c r="C24" s="35"/>
      <c r="D24" s="35">
        <f>SUM(D19:D23)</f>
        <v>61.603276750538633</v>
      </c>
      <c r="E24" s="73"/>
      <c r="F24" s="35"/>
      <c r="G24" s="35">
        <f>SUM(G19:G23)</f>
        <v>75.125500151569071</v>
      </c>
      <c r="H24" s="35">
        <f t="shared" si="2"/>
        <v>13.522223401030438</v>
      </c>
      <c r="I24" s="36">
        <f t="shared" si="9"/>
        <v>0.21950493730696241</v>
      </c>
      <c r="J24" s="36">
        <f>G24/$G$45</f>
        <v>0.22839516104626867</v>
      </c>
      <c r="K24" s="111">
        <f t="shared" si="4"/>
        <v>0.23225638402291507</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2.4017434408093422E-3</v>
      </c>
      <c r="K25" s="108">
        <f t="shared" si="4"/>
        <v>2.4423470460485275E-3</v>
      </c>
    </row>
    <row r="26" spans="1:11" s="1" customFormat="1" x14ac:dyDescent="0.2">
      <c r="A26" s="119" t="s">
        <v>75</v>
      </c>
      <c r="B26" s="120">
        <f>C8-C4</f>
        <v>119.17341808126434</v>
      </c>
      <c r="C26" s="257">
        <f>IF(C4&gt;C7,C13,C12)</f>
        <v>0.106</v>
      </c>
      <c r="D26" s="22">
        <f>B26*C26</f>
        <v>12.63238231661402</v>
      </c>
      <c r="E26" s="73">
        <f>B8-B4</f>
        <v>121.35674787817334</v>
      </c>
      <c r="F26" s="257">
        <f>IF(B4&gt;B7,C13,C12)</f>
        <v>0.106</v>
      </c>
      <c r="G26" s="22">
        <f>E26*F26</f>
        <v>12.863815275086374</v>
      </c>
      <c r="H26" s="22">
        <f t="shared" si="2"/>
        <v>0.23143295847235379</v>
      </c>
      <c r="I26" s="23">
        <f t="shared" si="9"/>
        <v>1.8320610687025739E-2</v>
      </c>
      <c r="J26" s="23">
        <f t="shared" ref="J26:J45" si="11">G26/$G$45</f>
        <v>3.9108334127495849E-2</v>
      </c>
      <c r="K26" s="108">
        <f t="shared" ref="K26:K40" si="12">G26/$G$50</f>
        <v>3.9769495238001426E-2</v>
      </c>
    </row>
    <row r="27" spans="1:11" s="1" customFormat="1" x14ac:dyDescent="0.2">
      <c r="A27" s="119" t="s">
        <v>74</v>
      </c>
      <c r="B27" s="120">
        <f>C8-C4</f>
        <v>119.17341808126434</v>
      </c>
      <c r="C27" s="257">
        <f>0.65*C15+0.17*C16+0.18*C17</f>
        <v>9.7519999999999996E-2</v>
      </c>
      <c r="D27" s="22">
        <f>B27*C27</f>
        <v>11.621791731284898</v>
      </c>
      <c r="E27" s="73">
        <f>B8-B4</f>
        <v>121.35674787817334</v>
      </c>
      <c r="F27" s="257">
        <f>C27</f>
        <v>9.7519999999999996E-2</v>
      </c>
      <c r="G27" s="22">
        <f>E27*F27</f>
        <v>11.834710053079464</v>
      </c>
      <c r="H27" s="22">
        <f t="shared" si="2"/>
        <v>0.21291832179456627</v>
      </c>
      <c r="I27" s="23">
        <f t="shared" si="9"/>
        <v>1.8320610687025809E-2</v>
      </c>
      <c r="J27" s="23">
        <f t="shared" si="11"/>
        <v>3.5979667397296182E-2</v>
      </c>
      <c r="K27" s="108">
        <f t="shared" si="12"/>
        <v>3.6587935618961315E-2</v>
      </c>
    </row>
    <row r="28" spans="1:11" s="1" customFormat="1" x14ac:dyDescent="0.2">
      <c r="A28" s="110" t="s">
        <v>78</v>
      </c>
      <c r="B28" s="74"/>
      <c r="C28" s="35"/>
      <c r="D28" s="35">
        <f>SUM(D24,D25:D26)</f>
        <v>75.025659067152645</v>
      </c>
      <c r="E28" s="73"/>
      <c r="F28" s="35"/>
      <c r="G28" s="35">
        <f>SUM(G24,G25:G26)</f>
        <v>88.779315426655444</v>
      </c>
      <c r="H28" s="35">
        <f t="shared" si="2"/>
        <v>13.753656359502799</v>
      </c>
      <c r="I28" s="36">
        <f t="shared" si="9"/>
        <v>0.18331936740725488</v>
      </c>
      <c r="J28" s="36">
        <f t="shared" si="11"/>
        <v>0.26990523861457383</v>
      </c>
      <c r="K28" s="111">
        <f t="shared" si="12"/>
        <v>0.27446822630696505</v>
      </c>
    </row>
    <row r="29" spans="1:11" s="1" customFormat="1" x14ac:dyDescent="0.2">
      <c r="A29" s="110" t="s">
        <v>77</v>
      </c>
      <c r="B29" s="74"/>
      <c r="C29" s="35"/>
      <c r="D29" s="35">
        <f>SUM(D24,D25,D27)</f>
        <v>74.015068481823533</v>
      </c>
      <c r="E29" s="73"/>
      <c r="F29" s="35"/>
      <c r="G29" s="35">
        <f>SUM(G24,G25,G27)</f>
        <v>87.750210204648539</v>
      </c>
      <c r="H29" s="35">
        <f t="shared" si="2"/>
        <v>13.735141722825006</v>
      </c>
      <c r="I29" s="36">
        <f t="shared" si="9"/>
        <v>0.18557223555360289</v>
      </c>
      <c r="J29" s="36">
        <f t="shared" si="11"/>
        <v>0.2667765718843742</v>
      </c>
      <c r="K29" s="111">
        <f t="shared" si="12"/>
        <v>0.27128666668792495</v>
      </c>
    </row>
    <row r="30" spans="1:11" x14ac:dyDescent="0.2">
      <c r="A30" s="107" t="s">
        <v>40</v>
      </c>
      <c r="B30" s="73">
        <f>$C$8</f>
        <v>1938.6149155051514</v>
      </c>
      <c r="C30" s="125">
        <f>VLOOKUP($C$3,'Data for Bill Impacts'!$A$3:$Y$39,15,0)</f>
        <v>5.8707628331982429E-3</v>
      </c>
      <c r="D30" s="22">
        <f>B30*C30</f>
        <v>11.381148393831396</v>
      </c>
      <c r="E30" s="73">
        <f>$B$8</f>
        <v>1940.7982453020604</v>
      </c>
      <c r="F30" s="78">
        <f>VLOOKUP($B$3,'Data for Bill Impacts'!$A$3:$Y$39,24,0)</f>
        <v>5.3E-3</v>
      </c>
      <c r="G30" s="22">
        <f>E30*F30</f>
        <v>10.286230700100921</v>
      </c>
      <c r="H30" s="22">
        <f t="shared" si="2"/>
        <v>-1.0949176937304745</v>
      </c>
      <c r="I30" s="23">
        <f t="shared" si="9"/>
        <v>-9.6204500270282226E-2</v>
      </c>
      <c r="J30" s="23">
        <f t="shared" si="11"/>
        <v>3.127200900584693E-2</v>
      </c>
      <c r="K30" s="108">
        <f t="shared" si="12"/>
        <v>3.180069008274071E-2</v>
      </c>
    </row>
    <row r="31" spans="1:11" x14ac:dyDescent="0.2">
      <c r="A31" s="107" t="s">
        <v>41</v>
      </c>
      <c r="B31" s="73">
        <f>$C$8</f>
        <v>1938.6149155051514</v>
      </c>
      <c r="C31" s="125">
        <f>VLOOKUP($C$3,'Data for Bill Impacts'!$A$3:$Y$39,16,0)</f>
        <v>4.9991353519971207E-3</v>
      </c>
      <c r="D31" s="22">
        <f>B31*C31</f>
        <v>9.6913983580107139</v>
      </c>
      <c r="E31" s="73">
        <f>$B$8</f>
        <v>1940.7982453020604</v>
      </c>
      <c r="F31" s="78">
        <f>VLOOKUP($B$3,'Data for Bill Impacts'!$A$3:$Y$39,25,0)</f>
        <v>4.4000000000000003E-3</v>
      </c>
      <c r="G31" s="22">
        <f>E31*F31</f>
        <v>8.5395122793290668</v>
      </c>
      <c r="H31" s="22">
        <f t="shared" si="2"/>
        <v>-1.1518860786816472</v>
      </c>
      <c r="I31" s="23">
        <f t="shared" si="9"/>
        <v>-0.11885654021532624</v>
      </c>
      <c r="J31" s="23">
        <f t="shared" si="11"/>
        <v>2.5961667853910658E-2</v>
      </c>
      <c r="K31" s="108">
        <f t="shared" si="12"/>
        <v>2.6400572898879079E-2</v>
      </c>
    </row>
    <row r="32" spans="1:11" s="1" customFormat="1" x14ac:dyDescent="0.2">
      <c r="A32" s="110" t="s">
        <v>76</v>
      </c>
      <c r="B32" s="74"/>
      <c r="C32" s="35"/>
      <c r="D32" s="35">
        <f>SUM(D30:D31)</f>
        <v>21.072546751842111</v>
      </c>
      <c r="E32" s="73"/>
      <c r="F32" s="35"/>
      <c r="G32" s="35">
        <f>SUM(G30:G31)</f>
        <v>18.82574297942999</v>
      </c>
      <c r="H32" s="35">
        <f t="shared" si="2"/>
        <v>-2.2468037724121217</v>
      </c>
      <c r="I32" s="36">
        <f t="shared" si="9"/>
        <v>-0.10662231759982745</v>
      </c>
      <c r="J32" s="36">
        <f t="shared" si="11"/>
        <v>5.7233676859757589E-2</v>
      </c>
      <c r="K32" s="111">
        <f t="shared" si="12"/>
        <v>5.8201262981619789E-2</v>
      </c>
    </row>
    <row r="33" spans="1:11" s="1" customFormat="1" x14ac:dyDescent="0.2">
      <c r="A33" s="110" t="s">
        <v>95</v>
      </c>
      <c r="B33" s="74"/>
      <c r="C33" s="35"/>
      <c r="D33" s="35">
        <f>D28+D32</f>
        <v>96.098205818994757</v>
      </c>
      <c r="E33" s="73"/>
      <c r="F33" s="35"/>
      <c r="G33" s="35">
        <f>G28+G32</f>
        <v>107.60505840608543</v>
      </c>
      <c r="H33" s="35">
        <f t="shared" si="2"/>
        <v>11.506852587090677</v>
      </c>
      <c r="I33" s="36">
        <f t="shared" si="9"/>
        <v>0.11974055591385697</v>
      </c>
      <c r="J33" s="36">
        <f t="shared" si="11"/>
        <v>0.32713891547433144</v>
      </c>
      <c r="K33" s="111">
        <f t="shared" si="12"/>
        <v>0.33266948928858481</v>
      </c>
    </row>
    <row r="34" spans="1:11" s="1" customFormat="1" x14ac:dyDescent="0.2">
      <c r="A34" s="110" t="s">
        <v>96</v>
      </c>
      <c r="B34" s="74"/>
      <c r="C34" s="35"/>
      <c r="D34" s="35">
        <f>D29+D32</f>
        <v>95.087615233665645</v>
      </c>
      <c r="E34" s="73"/>
      <c r="F34" s="35"/>
      <c r="G34" s="35">
        <f>G29+G32</f>
        <v>106.57595318407853</v>
      </c>
      <c r="H34" s="35">
        <f t="shared" si="2"/>
        <v>11.488337950412884</v>
      </c>
      <c r="I34" s="36">
        <f t="shared" si="9"/>
        <v>0.1208184464631042</v>
      </c>
      <c r="J34" s="36">
        <f t="shared" si="11"/>
        <v>0.32401024874413181</v>
      </c>
      <c r="K34" s="111">
        <f t="shared" si="12"/>
        <v>0.32948792966954471</v>
      </c>
    </row>
    <row r="35" spans="1:11" x14ac:dyDescent="0.2">
      <c r="A35" s="107" t="s">
        <v>42</v>
      </c>
      <c r="B35" s="73">
        <f>$C$8</f>
        <v>1938.6149155051514</v>
      </c>
      <c r="C35" s="34">
        <v>3.5999999999999999E-3</v>
      </c>
      <c r="D35" s="22">
        <f>B35*C35</f>
        <v>6.9790136958185451</v>
      </c>
      <c r="E35" s="73">
        <f>$B$8</f>
        <v>1940.7982453020604</v>
      </c>
      <c r="F35" s="34">
        <v>3.5999999999999999E-3</v>
      </c>
      <c r="G35" s="22">
        <f>E35*F35</f>
        <v>6.986873683087417</v>
      </c>
      <c r="H35" s="22">
        <f t="shared" si="2"/>
        <v>7.8599872688718264E-3</v>
      </c>
      <c r="I35" s="23">
        <f t="shared" si="9"/>
        <v>1.1262318160488944E-3</v>
      </c>
      <c r="J35" s="23">
        <f t="shared" si="11"/>
        <v>2.1241364607745079E-2</v>
      </c>
      <c r="K35" s="108">
        <f t="shared" si="12"/>
        <v>2.1600468735446514E-2</v>
      </c>
    </row>
    <row r="36" spans="1:11" x14ac:dyDescent="0.2">
      <c r="A36" s="107" t="s">
        <v>43</v>
      </c>
      <c r="B36" s="73">
        <f>$C$8</f>
        <v>1938.6149155051514</v>
      </c>
      <c r="C36" s="34">
        <v>2.0999999999999999E-3</v>
      </c>
      <c r="D36" s="22">
        <f>B36*C36</f>
        <v>4.0710913225608181</v>
      </c>
      <c r="E36" s="73">
        <f>$B$8</f>
        <v>1940.7982453020604</v>
      </c>
      <c r="F36" s="34">
        <v>2.0999999999999999E-3</v>
      </c>
      <c r="G36" s="22">
        <f>E36*F36</f>
        <v>4.0756763151343263</v>
      </c>
      <c r="H36" s="22">
        <f>G36-D36</f>
        <v>4.5849925735081953E-3</v>
      </c>
      <c r="I36" s="23">
        <f t="shared" si="9"/>
        <v>1.1262318160488035E-3</v>
      </c>
      <c r="J36" s="23">
        <f t="shared" si="11"/>
        <v>1.2390796021184629E-2</v>
      </c>
      <c r="K36" s="108">
        <f t="shared" si="12"/>
        <v>1.2600273429010466E-2</v>
      </c>
    </row>
    <row r="37" spans="1:11" x14ac:dyDescent="0.2">
      <c r="A37" s="107" t="s">
        <v>100</v>
      </c>
      <c r="B37" s="73">
        <f>$C$8</f>
        <v>1938.6149155051514</v>
      </c>
      <c r="C37" s="34">
        <v>0</v>
      </c>
      <c r="D37" s="22">
        <f>B37*C37</f>
        <v>0</v>
      </c>
      <c r="E37" s="73">
        <f>$B$8</f>
        <v>1940.7982453020604</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7.6004539266118416E-4</v>
      </c>
      <c r="K38" s="108">
        <f t="shared" si="12"/>
        <v>7.728946348254833E-4</v>
      </c>
    </row>
    <row r="39" spans="1:11" s="1" customFormat="1" x14ac:dyDescent="0.2">
      <c r="A39" s="110" t="s">
        <v>45</v>
      </c>
      <c r="B39" s="74"/>
      <c r="C39" s="35"/>
      <c r="D39" s="35">
        <f>SUM(D35:D38)</f>
        <v>11.300105018379362</v>
      </c>
      <c r="E39" s="73"/>
      <c r="F39" s="35"/>
      <c r="G39" s="35">
        <f>SUM(G35:G38)</f>
        <v>11.312549998221744</v>
      </c>
      <c r="H39" s="35">
        <f t="shared" si="2"/>
        <v>1.2444979842381798E-2</v>
      </c>
      <c r="I39" s="36">
        <f t="shared" si="9"/>
        <v>1.1013154145152035E-3</v>
      </c>
      <c r="J39" s="36">
        <f t="shared" si="11"/>
        <v>3.4392206021590897E-2</v>
      </c>
      <c r="K39" s="111">
        <f t="shared" si="12"/>
        <v>3.4973636799282469E-2</v>
      </c>
    </row>
    <row r="40" spans="1:11" s="1" customFormat="1" ht="13.5" thickBot="1" x14ac:dyDescent="0.25">
      <c r="A40" s="112" t="s">
        <v>46</v>
      </c>
      <c r="B40" s="113">
        <f>B4</f>
        <v>1819.4414974238871</v>
      </c>
      <c r="C40" s="114">
        <v>7.0000000000000001E-3</v>
      </c>
      <c r="D40" s="115">
        <f>B40*C40</f>
        <v>12.73609048196721</v>
      </c>
      <c r="E40" s="116">
        <f t="shared" si="5"/>
        <v>1819.4414974238871</v>
      </c>
      <c r="F40" s="114">
        <f>C40</f>
        <v>7.0000000000000001E-3</v>
      </c>
      <c r="G40" s="115">
        <f>E40*F40</f>
        <v>12.73609048196721</v>
      </c>
      <c r="H40" s="115">
        <f t="shared" si="2"/>
        <v>0</v>
      </c>
      <c r="I40" s="117">
        <f t="shared" si="9"/>
        <v>0</v>
      </c>
      <c r="J40" s="117">
        <f t="shared" si="11"/>
        <v>3.8720027565340556E-2</v>
      </c>
      <c r="K40" s="118">
        <f t="shared" si="12"/>
        <v>3.937462400865744E-2</v>
      </c>
    </row>
    <row r="41" spans="1:11" s="1" customFormat="1" x14ac:dyDescent="0.2">
      <c r="A41" s="37" t="s">
        <v>137</v>
      </c>
      <c r="B41" s="38"/>
      <c r="C41" s="39"/>
      <c r="D41" s="39">
        <f>SUM(D14,D24,D25,D26,D32,D39,D40)</f>
        <v>301.74520004627345</v>
      </c>
      <c r="E41" s="38"/>
      <c r="F41" s="39"/>
      <c r="G41" s="39">
        <f>SUM(G14,G24,G25,G26,G32,G39,G40)</f>
        <v>313.26449761320646</v>
      </c>
      <c r="H41" s="39">
        <f t="shared" si="2"/>
        <v>11.519297566933005</v>
      </c>
      <c r="I41" s="40">
        <f t="shared" si="9"/>
        <v>3.8175578485313069E-2</v>
      </c>
      <c r="J41" s="40">
        <f t="shared" si="11"/>
        <v>0.95238095238095233</v>
      </c>
      <c r="K41" s="41"/>
    </row>
    <row r="42" spans="1:11" x14ac:dyDescent="0.2">
      <c r="A42" s="149" t="s">
        <v>138</v>
      </c>
      <c r="B42" s="43"/>
      <c r="C42" s="26">
        <v>0.13</v>
      </c>
      <c r="D42" s="26">
        <f>D41*C42</f>
        <v>39.226876006015551</v>
      </c>
      <c r="E42" s="26"/>
      <c r="F42" s="26">
        <f>C42</f>
        <v>0.13</v>
      </c>
      <c r="G42" s="26">
        <f>G41*F42</f>
        <v>40.724384689716842</v>
      </c>
      <c r="H42" s="26">
        <f t="shared" si="2"/>
        <v>1.497508683701291</v>
      </c>
      <c r="I42" s="44">
        <f t="shared" si="9"/>
        <v>3.8175578485313076E-2</v>
      </c>
      <c r="J42" s="44">
        <f t="shared" si="11"/>
        <v>0.12380952380952381</v>
      </c>
      <c r="K42" s="45"/>
    </row>
    <row r="43" spans="1:11" s="1" customFormat="1" x14ac:dyDescent="0.2">
      <c r="A43" s="46" t="s">
        <v>139</v>
      </c>
      <c r="B43" s="24"/>
      <c r="C43" s="25"/>
      <c r="D43" s="25">
        <f>SUM(D41:D42)</f>
        <v>340.97207605228903</v>
      </c>
      <c r="E43" s="25"/>
      <c r="F43" s="25"/>
      <c r="G43" s="25">
        <f>SUM(G41:G42)</f>
        <v>353.98888230292329</v>
      </c>
      <c r="H43" s="25">
        <f t="shared" si="2"/>
        <v>13.016806250634261</v>
      </c>
      <c r="I43" s="27">
        <f t="shared" si="9"/>
        <v>3.8175578485312965E-2</v>
      </c>
      <c r="J43" s="27">
        <f t="shared" si="11"/>
        <v>1.0761904761904761</v>
      </c>
      <c r="K43" s="47"/>
    </row>
    <row r="44" spans="1:11" x14ac:dyDescent="0.2">
      <c r="A44" s="42" t="s">
        <v>140</v>
      </c>
      <c r="B44" s="43"/>
      <c r="C44" s="26">
        <v>-0.08</v>
      </c>
      <c r="D44" s="26">
        <f>D41*C44</f>
        <v>-24.139616003701878</v>
      </c>
      <c r="E44" s="26"/>
      <c r="F44" s="26">
        <f>C44</f>
        <v>-0.08</v>
      </c>
      <c r="G44" s="26">
        <f>G41*F44</f>
        <v>-25.061159809056516</v>
      </c>
      <c r="H44" s="26">
        <f t="shared" si="2"/>
        <v>-0.92154380535463787</v>
      </c>
      <c r="I44" s="44">
        <f t="shared" si="9"/>
        <v>-3.8175578485312958E-2</v>
      </c>
      <c r="J44" s="44">
        <f t="shared" si="11"/>
        <v>-7.6190476190476183E-2</v>
      </c>
      <c r="K44" s="45"/>
    </row>
    <row r="45" spans="1:11" s="1" customFormat="1" ht="13.5" thickBot="1" x14ac:dyDescent="0.25">
      <c r="A45" s="48" t="s">
        <v>141</v>
      </c>
      <c r="B45" s="49"/>
      <c r="C45" s="50"/>
      <c r="D45" s="50">
        <f>SUM(D43:D44)</f>
        <v>316.83246004858717</v>
      </c>
      <c r="E45" s="50"/>
      <c r="F45" s="50"/>
      <c r="G45" s="50">
        <f>SUM(G43:G44)</f>
        <v>328.92772249386678</v>
      </c>
      <c r="H45" s="50">
        <f t="shared" si="2"/>
        <v>12.095262445279616</v>
      </c>
      <c r="I45" s="51">
        <f t="shared" si="9"/>
        <v>3.8175578485312937E-2</v>
      </c>
      <c r="J45" s="51">
        <f t="shared" si="11"/>
        <v>1</v>
      </c>
      <c r="K45" s="52"/>
    </row>
    <row r="46" spans="1:11" x14ac:dyDescent="0.2">
      <c r="A46" s="53" t="s">
        <v>142</v>
      </c>
      <c r="B46" s="54"/>
      <c r="C46" s="55"/>
      <c r="D46" s="55">
        <f>SUM(D18,D24,D25,D27,D32,D39,D40)</f>
        <v>296.55574556278975</v>
      </c>
      <c r="E46" s="55"/>
      <c r="F46" s="55"/>
      <c r="G46" s="55">
        <f>SUM(G18,G24,G25,G27,G32,G39,G40)</f>
        <v>308.05652849304499</v>
      </c>
      <c r="H46" s="55">
        <f>G46-D46</f>
        <v>11.500782930255241</v>
      </c>
      <c r="I46" s="56">
        <f t="shared" si="9"/>
        <v>3.8781183984244134E-2</v>
      </c>
      <c r="J46" s="56"/>
      <c r="K46" s="57">
        <f>G46/$G$50</f>
        <v>0.95238095238095244</v>
      </c>
    </row>
    <row r="47" spans="1:11" x14ac:dyDescent="0.2">
      <c r="A47" s="58" t="s">
        <v>138</v>
      </c>
      <c r="B47" s="59"/>
      <c r="C47" s="31">
        <v>0.13</v>
      </c>
      <c r="D47" s="31">
        <f>D46*C47</f>
        <v>38.55224692316267</v>
      </c>
      <c r="E47" s="31"/>
      <c r="F47" s="31">
        <f>C47</f>
        <v>0.13</v>
      </c>
      <c r="G47" s="31">
        <f>G46*F47</f>
        <v>40.047348704095853</v>
      </c>
      <c r="H47" s="31">
        <f>G47-D47</f>
        <v>1.495101780933183</v>
      </c>
      <c r="I47" s="32">
        <f t="shared" si="9"/>
        <v>3.8781183984244176E-2</v>
      </c>
      <c r="J47" s="32"/>
      <c r="K47" s="60">
        <f>G47/$G$50</f>
        <v>0.12380952380952383</v>
      </c>
    </row>
    <row r="48" spans="1:11" x14ac:dyDescent="0.2">
      <c r="A48" s="140" t="s">
        <v>143</v>
      </c>
      <c r="B48" s="29"/>
      <c r="C48" s="30"/>
      <c r="D48" s="30">
        <f>SUM(D46:D47)</f>
        <v>335.10799248595242</v>
      </c>
      <c r="E48" s="30"/>
      <c r="F48" s="30"/>
      <c r="G48" s="30">
        <f>SUM(G46:G47)</f>
        <v>348.10387719714083</v>
      </c>
      <c r="H48" s="30">
        <f>G48-D48</f>
        <v>12.99588471118841</v>
      </c>
      <c r="I48" s="33">
        <f t="shared" si="9"/>
        <v>3.87811839842441E-2</v>
      </c>
      <c r="J48" s="33"/>
      <c r="K48" s="62">
        <f>G48/$G$50</f>
        <v>1.0761904761904761</v>
      </c>
    </row>
    <row r="49" spans="1:11" x14ac:dyDescent="0.2">
      <c r="A49" s="58" t="s">
        <v>140</v>
      </c>
      <c r="B49" s="59"/>
      <c r="C49" s="31">
        <v>-0.08</v>
      </c>
      <c r="D49" s="31">
        <f>D46*C49</f>
        <v>-23.724459645023181</v>
      </c>
      <c r="E49" s="31"/>
      <c r="F49" s="31">
        <f>C49</f>
        <v>-0.08</v>
      </c>
      <c r="G49" s="31">
        <f>G46*F49</f>
        <v>-24.644522279443599</v>
      </c>
      <c r="H49" s="31">
        <f>G49-D49</f>
        <v>-0.92006263442041814</v>
      </c>
      <c r="I49" s="32">
        <f t="shared" si="9"/>
        <v>-3.8781183984244086E-2</v>
      </c>
      <c r="J49" s="32"/>
      <c r="K49" s="60">
        <f>G49/$G$50</f>
        <v>-7.6190476190476197E-2</v>
      </c>
    </row>
    <row r="50" spans="1:11" ht="13.5" thickBot="1" x14ac:dyDescent="0.25">
      <c r="A50" s="63" t="s">
        <v>144</v>
      </c>
      <c r="B50" s="64"/>
      <c r="C50" s="65"/>
      <c r="D50" s="65">
        <f>SUM(D48:D49)</f>
        <v>311.38353284092926</v>
      </c>
      <c r="E50" s="65"/>
      <c r="F50" s="65"/>
      <c r="G50" s="65">
        <f>SUM(G48:G49)</f>
        <v>323.45935491769723</v>
      </c>
      <c r="H50" s="65">
        <f>G50-D50</f>
        <v>12.075822076767963</v>
      </c>
      <c r="I50" s="66">
        <f t="shared" si="9"/>
        <v>3.8781183984244003E-2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fitToPage="1"/>
  </sheetPr>
  <dimension ref="A1:K67"/>
  <sheetViews>
    <sheetView tabSelected="1" topLeftCell="A4" zoomScaleNormal="10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110</v>
      </c>
      <c r="B1" s="338"/>
      <c r="C1" s="338"/>
      <c r="D1" s="338"/>
      <c r="E1" s="338"/>
      <c r="F1" s="338"/>
      <c r="G1" s="338"/>
      <c r="H1" s="338"/>
      <c r="I1" s="338"/>
      <c r="J1" s="338"/>
      <c r="K1" s="339"/>
    </row>
    <row r="3" spans="1:11" x14ac:dyDescent="0.2">
      <c r="A3" s="13" t="s">
        <v>13</v>
      </c>
      <c r="B3" s="13" t="s">
        <v>186</v>
      </c>
      <c r="C3" s="13" t="s">
        <v>120</v>
      </c>
    </row>
    <row r="4" spans="1:11" x14ac:dyDescent="0.2">
      <c r="A4" s="15" t="s">
        <v>62</v>
      </c>
      <c r="B4" s="79">
        <v>2000</v>
      </c>
      <c r="C4" s="79">
        <f>B4</f>
        <v>2000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2133.4</v>
      </c>
      <c r="C8" s="15">
        <f>C4*C6</f>
        <v>2131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0.19044562988222022</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5" si="2">G13-D13</f>
        <v>0</v>
      </c>
      <c r="I13" s="23">
        <f t="shared" si="0"/>
        <v>0</v>
      </c>
      <c r="J13" s="23">
        <f>G13/$G$45</f>
        <v>0.36972961112665464</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G14/$G$45</f>
        <v>0.56017524100887484</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5" si="4">G15/$G$50</f>
        <v>0.28503356973898014</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0.10940049699671946</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0.16094003358288869</v>
      </c>
    </row>
    <row r="18" spans="1:11" s="1" customFormat="1" x14ac:dyDescent="0.2">
      <c r="A18" s="61" t="s">
        <v>37</v>
      </c>
      <c r="B18" s="29"/>
      <c r="C18" s="30"/>
      <c r="D18" s="30">
        <f>SUM(D15:D17)</f>
        <v>195.04</v>
      </c>
      <c r="E18" s="77"/>
      <c r="F18" s="30"/>
      <c r="G18" s="30">
        <f>SUM(G15:G17)</f>
        <v>195.04</v>
      </c>
      <c r="H18" s="31">
        <f t="shared" si="2"/>
        <v>0</v>
      </c>
      <c r="I18" s="32">
        <f t="shared" si="0"/>
        <v>0</v>
      </c>
      <c r="J18" s="33">
        <f>G18/$G$45</f>
        <v>0.54424198757843556</v>
      </c>
      <c r="K18" s="62">
        <f t="shared" si="4"/>
        <v>0.55537410031858825</v>
      </c>
    </row>
    <row r="19" spans="1:11" x14ac:dyDescent="0.2">
      <c r="A19" s="107" t="s">
        <v>38</v>
      </c>
      <c r="B19" s="73">
        <v>1</v>
      </c>
      <c r="C19" s="121">
        <f>VLOOKUP($C$3,'Data for Bill Impacts'!$A$3:$Y$39,7,0)</f>
        <v>26.94</v>
      </c>
      <c r="D19" s="22">
        <f>B19*C19</f>
        <v>26.94</v>
      </c>
      <c r="E19" s="73">
        <f t="shared" ref="E19:E40" si="5">B19</f>
        <v>1</v>
      </c>
      <c r="F19" s="78">
        <f>VLOOKUP($B$3,'Data for Bill Impacts'!$A$3:$Y$39,17,0)</f>
        <v>40.92</v>
      </c>
      <c r="G19" s="22">
        <f>E19*F19</f>
        <v>40.92</v>
      </c>
      <c r="H19" s="22">
        <f t="shared" si="2"/>
        <v>13.98</v>
      </c>
      <c r="I19" s="23">
        <f>IF(ISERROR(H19/ABS(D19)),"N/A",(H19/ABS(D19)))</f>
        <v>0.51893095768374164</v>
      </c>
      <c r="J19" s="23">
        <f>G19/$G$45</f>
        <v>0.11418366556454874</v>
      </c>
      <c r="K19" s="108">
        <f t="shared" si="4"/>
        <v>0.11651921751967101</v>
      </c>
    </row>
    <row r="20" spans="1:11" x14ac:dyDescent="0.2">
      <c r="A20" s="107" t="s">
        <v>193</v>
      </c>
      <c r="B20" s="73">
        <v>1</v>
      </c>
      <c r="C20" s="121">
        <f>'Data for Bill Impacts'!K29</f>
        <v>-0.27</v>
      </c>
      <c r="D20" s="22">
        <f>B20*C20</f>
        <v>-0.27</v>
      </c>
      <c r="E20" s="73">
        <f t="shared" si="5"/>
        <v>1</v>
      </c>
      <c r="F20" s="121">
        <v>0</v>
      </c>
      <c r="G20" s="22">
        <f t="shared" ref="G20" si="6">E20*F20</f>
        <v>0</v>
      </c>
      <c r="H20" s="22">
        <f t="shared" si="2"/>
        <v>0.27</v>
      </c>
      <c r="I20" s="23">
        <f t="shared" ref="I20:I21" si="7">IF(ISERROR(H20/D20),0,(H20/D20))</f>
        <v>-1</v>
      </c>
      <c r="J20" s="23">
        <f>G20/$G$45</f>
        <v>0</v>
      </c>
      <c r="K20" s="108">
        <f t="shared" si="4"/>
        <v>0</v>
      </c>
    </row>
    <row r="21" spans="1:11" x14ac:dyDescent="0.2">
      <c r="A21" s="107" t="s">
        <v>39</v>
      </c>
      <c r="B21" s="73">
        <f>C4</f>
        <v>2000</v>
      </c>
      <c r="C21" s="125">
        <f>VLOOKUP($C$3,'Data for Bill Impacts'!$A$3:$Y$39,10,0)</f>
        <v>1.9E-2</v>
      </c>
      <c r="D21" s="22">
        <f>B21*C21</f>
        <v>38</v>
      </c>
      <c r="E21" s="73">
        <f>B4</f>
        <v>2000</v>
      </c>
      <c r="F21" s="78">
        <f>VLOOKUP($B$3,'Data for Bill Impacts'!$A$3:$Y$39,19,0)</f>
        <v>1.8800000000000001E-2</v>
      </c>
      <c r="G21" s="22">
        <f>E21*F21</f>
        <v>37.6</v>
      </c>
      <c r="H21" s="22">
        <f t="shared" si="2"/>
        <v>-0.39999999999999858</v>
      </c>
      <c r="I21" s="23">
        <f t="shared" si="7"/>
        <v>-1.0526315789473648E-2</v>
      </c>
      <c r="J21" s="23">
        <f>G21/$G$45</f>
        <v>0.10491949719518652</v>
      </c>
      <c r="K21" s="108">
        <f t="shared" si="4"/>
        <v>0.10706555666519134</v>
      </c>
    </row>
    <row r="22" spans="1:11" x14ac:dyDescent="0.2">
      <c r="A22" s="107" t="s">
        <v>194</v>
      </c>
      <c r="B22" s="73">
        <f>C4</f>
        <v>2000</v>
      </c>
      <c r="C22" s="78">
        <f>'Data for Bill Impacts'!H29</f>
        <v>4.0000000000000002E-4</v>
      </c>
      <c r="D22" s="22">
        <f>B22*C22</f>
        <v>0.8</v>
      </c>
      <c r="E22" s="73">
        <f>C4</f>
        <v>2000</v>
      </c>
      <c r="F22" s="125">
        <v>0</v>
      </c>
      <c r="G22" s="22">
        <f>E22*F22</f>
        <v>0</v>
      </c>
      <c r="H22" s="22">
        <f t="shared" ref="H22" si="8">G22-D22</f>
        <v>-0.8</v>
      </c>
      <c r="I22" s="23">
        <f t="shared" ref="I22:I50" si="9">IF(ISERROR(H22/ABS(D22)),"N/A",(H22/ABS(D22)))</f>
        <v>-1</v>
      </c>
      <c r="J22" s="23">
        <f>G22/$G$45</f>
        <v>0</v>
      </c>
      <c r="K22" s="108">
        <f t="shared" si="4"/>
        <v>0</v>
      </c>
    </row>
    <row r="23" spans="1:11" x14ac:dyDescent="0.2">
      <c r="A23" s="107" t="s">
        <v>199</v>
      </c>
      <c r="B23" s="73">
        <f>IF($B$9="kWh",$B$4,$B$5)</f>
        <v>2000</v>
      </c>
      <c r="C23" s="78">
        <f>'Data for Bill Impacts'!L29</f>
        <v>-2.0000000000000001E-4</v>
      </c>
      <c r="D23" s="22">
        <f>B23*C23</f>
        <v>-0.4</v>
      </c>
      <c r="E23" s="73">
        <f t="shared" si="5"/>
        <v>2000</v>
      </c>
      <c r="F23" s="125">
        <v>0</v>
      </c>
      <c r="G23" s="22">
        <f>E23*F23</f>
        <v>0</v>
      </c>
      <c r="H23" s="22">
        <f t="shared" si="2"/>
        <v>0.4</v>
      </c>
      <c r="I23" s="23">
        <f t="shared" si="9"/>
        <v>1</v>
      </c>
      <c r="J23" s="23">
        <f t="shared" ref="J23" si="10">G23/$G$45</f>
        <v>0</v>
      </c>
      <c r="K23" s="108">
        <f t="shared" si="4"/>
        <v>0</v>
      </c>
    </row>
    <row r="24" spans="1:11" s="1" customFormat="1" x14ac:dyDescent="0.2">
      <c r="A24" s="110" t="s">
        <v>72</v>
      </c>
      <c r="B24" s="74"/>
      <c r="C24" s="35"/>
      <c r="D24" s="35">
        <f>SUM(D19:D23)</f>
        <v>65.069999999999993</v>
      </c>
      <c r="E24" s="73"/>
      <c r="F24" s="35"/>
      <c r="G24" s="35">
        <f>SUM(G19:G23)</f>
        <v>78.52000000000001</v>
      </c>
      <c r="H24" s="35">
        <f t="shared" si="2"/>
        <v>13.450000000000017</v>
      </c>
      <c r="I24" s="36">
        <f t="shared" si="9"/>
        <v>0.20670047641002026</v>
      </c>
      <c r="J24" s="36">
        <f>G24/$G$45</f>
        <v>0.21910316275973529</v>
      </c>
      <c r="K24" s="111">
        <f t="shared" si="4"/>
        <v>0.22358477418486236</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2.2044256059626957E-3</v>
      </c>
      <c r="K25" s="108">
        <f t="shared" si="4"/>
        <v>2.2495156852526906E-3</v>
      </c>
    </row>
    <row r="26" spans="1:11" s="1" customFormat="1" x14ac:dyDescent="0.2">
      <c r="A26" s="119" t="s">
        <v>75</v>
      </c>
      <c r="B26" s="120">
        <f>C8-C4</f>
        <v>131</v>
      </c>
      <c r="C26" s="257">
        <f>IF(C4&gt;C7,C13,C12)</f>
        <v>0.106</v>
      </c>
      <c r="D26" s="22">
        <f>B26*C26</f>
        <v>13.885999999999999</v>
      </c>
      <c r="E26" s="73">
        <f>B8-B4</f>
        <v>133.40000000000009</v>
      </c>
      <c r="F26" s="257">
        <f>IF(B4&gt;B7,C13,C12)</f>
        <v>0.106</v>
      </c>
      <c r="G26" s="22">
        <f>E26*F26</f>
        <v>14.140400000000009</v>
      </c>
      <c r="H26" s="22">
        <f t="shared" si="2"/>
        <v>0.25440000000000929</v>
      </c>
      <c r="I26" s="23">
        <f t="shared" si="9"/>
        <v>1.8320610687023571E-2</v>
      </c>
      <c r="J26" s="23">
        <f t="shared" ref="J26:J45" si="11">G26/$G$45</f>
        <v>3.9457544099436609E-2</v>
      </c>
      <c r="K26" s="108">
        <f t="shared" ref="K26:K40" si="12">G26/$G$50</f>
        <v>4.0264622273097676E-2</v>
      </c>
    </row>
    <row r="27" spans="1:11" s="1" customFormat="1" x14ac:dyDescent="0.2">
      <c r="A27" s="119" t="s">
        <v>74</v>
      </c>
      <c r="B27" s="120">
        <f>C8-C4</f>
        <v>131</v>
      </c>
      <c r="C27" s="257">
        <f>0.65*C15+0.17*C16+0.18*C17</f>
        <v>9.7519999999999996E-2</v>
      </c>
      <c r="D27" s="22">
        <f>B27*C27</f>
        <v>12.775119999999999</v>
      </c>
      <c r="E27" s="73">
        <f>B8-B4</f>
        <v>133.40000000000009</v>
      </c>
      <c r="F27" s="257">
        <f>C27</f>
        <v>9.7519999999999996E-2</v>
      </c>
      <c r="G27" s="22">
        <f>E27*F27</f>
        <v>13.009168000000008</v>
      </c>
      <c r="H27" s="22">
        <f t="shared" si="2"/>
        <v>0.23404800000000847</v>
      </c>
      <c r="I27" s="23">
        <f t="shared" si="9"/>
        <v>1.8320610687023564E-2</v>
      </c>
      <c r="J27" s="23">
        <f t="shared" si="11"/>
        <v>3.6300940571481678E-2</v>
      </c>
      <c r="K27" s="108">
        <f t="shared" si="12"/>
        <v>3.7043452491249858E-2</v>
      </c>
    </row>
    <row r="28" spans="1:11" s="1" customFormat="1" x14ac:dyDescent="0.2">
      <c r="A28" s="110" t="s">
        <v>78</v>
      </c>
      <c r="B28" s="74"/>
      <c r="C28" s="35"/>
      <c r="D28" s="35">
        <f>SUM(D24,D25:D26)</f>
        <v>79.745999999999995</v>
      </c>
      <c r="E28" s="73"/>
      <c r="F28" s="35"/>
      <c r="G28" s="35">
        <f>SUM(G24,G25:G26)</f>
        <v>93.45040000000003</v>
      </c>
      <c r="H28" s="35">
        <f t="shared" si="2"/>
        <v>13.704400000000035</v>
      </c>
      <c r="I28" s="36">
        <f t="shared" si="9"/>
        <v>0.17185062573671453</v>
      </c>
      <c r="J28" s="36">
        <f t="shared" si="11"/>
        <v>0.26076513246513461</v>
      </c>
      <c r="K28" s="111">
        <f t="shared" si="12"/>
        <v>0.26609891214321274</v>
      </c>
    </row>
    <row r="29" spans="1:11" s="1" customFormat="1" x14ac:dyDescent="0.2">
      <c r="A29" s="110" t="s">
        <v>77</v>
      </c>
      <c r="B29" s="74"/>
      <c r="C29" s="35"/>
      <c r="D29" s="35">
        <f>SUM(D24,D25,D27)</f>
        <v>78.635120000000001</v>
      </c>
      <c r="E29" s="73"/>
      <c r="F29" s="35"/>
      <c r="G29" s="35">
        <f>SUM(G24,G25,G27)</f>
        <v>92.319168000000019</v>
      </c>
      <c r="H29" s="35">
        <f t="shared" si="2"/>
        <v>13.684048000000018</v>
      </c>
      <c r="I29" s="36">
        <f t="shared" si="9"/>
        <v>0.17401954749989595</v>
      </c>
      <c r="J29" s="36">
        <f t="shared" si="11"/>
        <v>0.25760852893717967</v>
      </c>
      <c r="K29" s="111">
        <f t="shared" si="12"/>
        <v>0.26287774236136491</v>
      </c>
    </row>
    <row r="30" spans="1:11" x14ac:dyDescent="0.2">
      <c r="A30" s="107" t="s">
        <v>40</v>
      </c>
      <c r="B30" s="73">
        <f>$C$8</f>
        <v>2131</v>
      </c>
      <c r="C30" s="125">
        <f>VLOOKUP($C$3,'Data for Bill Impacts'!$A$3:$Y$39,15,0)</f>
        <v>5.8707628331982429E-3</v>
      </c>
      <c r="D30" s="22">
        <f>B30*C30</f>
        <v>12.510595597545455</v>
      </c>
      <c r="E30" s="73">
        <f>$B$8</f>
        <v>2133.4</v>
      </c>
      <c r="F30" s="78">
        <f>VLOOKUP($B$3,'Data for Bill Impacts'!$A$3:$Y$39,24,0)</f>
        <v>5.3E-3</v>
      </c>
      <c r="G30" s="22">
        <f>E30*F30</f>
        <v>11.307020000000001</v>
      </c>
      <c r="H30" s="22">
        <f t="shared" si="2"/>
        <v>-1.2035755975454538</v>
      </c>
      <c r="I30" s="23">
        <f t="shared" si="9"/>
        <v>-9.6204500270282267E-2</v>
      </c>
      <c r="J30" s="23">
        <f t="shared" si="11"/>
        <v>3.15512460951042E-2</v>
      </c>
      <c r="K30" s="108">
        <f t="shared" si="12"/>
        <v>3.2196606130969467E-2</v>
      </c>
    </row>
    <row r="31" spans="1:11" x14ac:dyDescent="0.2">
      <c r="A31" s="107" t="s">
        <v>41</v>
      </c>
      <c r="B31" s="73">
        <f>$C$8</f>
        <v>2131</v>
      </c>
      <c r="C31" s="125">
        <f>VLOOKUP($C$3,'Data for Bill Impacts'!$A$3:$Y$39,16,0)</f>
        <v>4.9991353519971207E-3</v>
      </c>
      <c r="D31" s="22">
        <f>B31*C31</f>
        <v>10.653157435105864</v>
      </c>
      <c r="E31" s="73">
        <f>$B$8</f>
        <v>2133.4</v>
      </c>
      <c r="F31" s="78">
        <f>VLOOKUP($B$3,'Data for Bill Impacts'!$A$3:$Y$39,25,0)</f>
        <v>4.4000000000000003E-3</v>
      </c>
      <c r="G31" s="22">
        <f>E31*F31</f>
        <v>9.3869600000000002</v>
      </c>
      <c r="H31" s="22">
        <f t="shared" si="2"/>
        <v>-1.2661974351058642</v>
      </c>
      <c r="I31" s="23">
        <f t="shared" si="9"/>
        <v>-0.11885654021532646</v>
      </c>
      <c r="J31" s="23">
        <f t="shared" si="11"/>
        <v>2.6193487324237447E-2</v>
      </c>
      <c r="K31" s="108">
        <f t="shared" si="12"/>
        <v>2.6729257920050119E-2</v>
      </c>
    </row>
    <row r="32" spans="1:11" s="1" customFormat="1" x14ac:dyDescent="0.2">
      <c r="A32" s="110" t="s">
        <v>76</v>
      </c>
      <c r="B32" s="74"/>
      <c r="C32" s="35"/>
      <c r="D32" s="35">
        <f>SUM(D30:D31)</f>
        <v>23.163753032651321</v>
      </c>
      <c r="E32" s="73"/>
      <c r="F32" s="35"/>
      <c r="G32" s="35">
        <f>SUM(G30:G31)</f>
        <v>20.693980000000003</v>
      </c>
      <c r="H32" s="35">
        <f t="shared" si="2"/>
        <v>-2.4697730326513181</v>
      </c>
      <c r="I32" s="36">
        <f t="shared" si="9"/>
        <v>-0.10662231759982756</v>
      </c>
      <c r="J32" s="36">
        <f t="shared" si="11"/>
        <v>5.7744733419341658E-2</v>
      </c>
      <c r="K32" s="111">
        <f t="shared" si="12"/>
        <v>5.8925864051019593E-2</v>
      </c>
    </row>
    <row r="33" spans="1:11" s="1" customFormat="1" x14ac:dyDescent="0.2">
      <c r="A33" s="110" t="s">
        <v>95</v>
      </c>
      <c r="B33" s="74"/>
      <c r="C33" s="35"/>
      <c r="D33" s="35">
        <f>D28+D32</f>
        <v>102.90975303265131</v>
      </c>
      <c r="E33" s="73"/>
      <c r="F33" s="35"/>
      <c r="G33" s="35">
        <f>G28+G32</f>
        <v>114.14438000000004</v>
      </c>
      <c r="H33" s="35">
        <f t="shared" si="2"/>
        <v>11.234626967348731</v>
      </c>
      <c r="I33" s="36">
        <f t="shared" si="9"/>
        <v>0.10916970098824548</v>
      </c>
      <c r="J33" s="36">
        <f t="shared" si="11"/>
        <v>0.31850986588447627</v>
      </c>
      <c r="K33" s="111">
        <f t="shared" si="12"/>
        <v>0.32502477619423237</v>
      </c>
    </row>
    <row r="34" spans="1:11" s="1" customFormat="1" x14ac:dyDescent="0.2">
      <c r="A34" s="110" t="s">
        <v>96</v>
      </c>
      <c r="B34" s="74"/>
      <c r="C34" s="35"/>
      <c r="D34" s="35">
        <f>D29+D32</f>
        <v>101.79887303265133</v>
      </c>
      <c r="E34" s="73"/>
      <c r="F34" s="35"/>
      <c r="G34" s="35">
        <f>G29+G32</f>
        <v>113.01314800000003</v>
      </c>
      <c r="H34" s="35">
        <f t="shared" si="2"/>
        <v>11.2142749673487</v>
      </c>
      <c r="I34" s="36">
        <f t="shared" si="9"/>
        <v>0.11016109150591279</v>
      </c>
      <c r="J34" s="36">
        <f t="shared" si="11"/>
        <v>0.31535326235652134</v>
      </c>
      <c r="K34" s="111">
        <f t="shared" si="12"/>
        <v>0.32180360641238454</v>
      </c>
    </row>
    <row r="35" spans="1:11" x14ac:dyDescent="0.2">
      <c r="A35" s="107" t="s">
        <v>42</v>
      </c>
      <c r="B35" s="73">
        <f>$C$8</f>
        <v>2131</v>
      </c>
      <c r="C35" s="34">
        <v>3.5999999999999999E-3</v>
      </c>
      <c r="D35" s="22">
        <f>B35*C35</f>
        <v>7.6715999999999998</v>
      </c>
      <c r="E35" s="73">
        <f>$B$8</f>
        <v>2133.4</v>
      </c>
      <c r="F35" s="34">
        <v>3.5999999999999999E-3</v>
      </c>
      <c r="G35" s="22">
        <f>E35*F35</f>
        <v>7.6802400000000004</v>
      </c>
      <c r="H35" s="22">
        <f t="shared" si="2"/>
        <v>8.6400000000006472E-3</v>
      </c>
      <c r="I35" s="23">
        <f t="shared" si="9"/>
        <v>1.1262318160488879E-3</v>
      </c>
      <c r="J35" s="23">
        <f t="shared" si="11"/>
        <v>2.1431035083467005E-2</v>
      </c>
      <c r="K35" s="108">
        <f t="shared" si="12"/>
        <v>2.1869392843677372E-2</v>
      </c>
    </row>
    <row r="36" spans="1:11" x14ac:dyDescent="0.2">
      <c r="A36" s="107" t="s">
        <v>43</v>
      </c>
      <c r="B36" s="73">
        <f>$C$8</f>
        <v>2131</v>
      </c>
      <c r="C36" s="34">
        <v>2.0999999999999999E-3</v>
      </c>
      <c r="D36" s="22">
        <f>B36*C36</f>
        <v>4.4750999999999994</v>
      </c>
      <c r="E36" s="73">
        <f>$B$8</f>
        <v>2133.4</v>
      </c>
      <c r="F36" s="34">
        <v>2.0999999999999999E-3</v>
      </c>
      <c r="G36" s="22">
        <f>E36*F36</f>
        <v>4.4801399999999996</v>
      </c>
      <c r="H36" s="22">
        <f>G36-D36</f>
        <v>5.0400000000001555E-3</v>
      </c>
      <c r="I36" s="23">
        <f t="shared" si="9"/>
        <v>1.1262318160488382E-3</v>
      </c>
      <c r="J36" s="23">
        <f t="shared" si="11"/>
        <v>1.2501437132022418E-2</v>
      </c>
      <c r="K36" s="108">
        <f t="shared" si="12"/>
        <v>1.2757145825478464E-2</v>
      </c>
    </row>
    <row r="37" spans="1:11" x14ac:dyDescent="0.2">
      <c r="A37" s="107" t="s">
        <v>100</v>
      </c>
      <c r="B37" s="73">
        <f>$C$8</f>
        <v>2131</v>
      </c>
      <c r="C37" s="34">
        <v>0</v>
      </c>
      <c r="D37" s="22">
        <f>B37*C37</f>
        <v>0</v>
      </c>
      <c r="E37" s="73">
        <f>$B$8</f>
        <v>2133.4</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6.9760303986161247E-4</v>
      </c>
      <c r="K38" s="108">
        <f t="shared" si="12"/>
        <v>7.1187205229515519E-4</v>
      </c>
    </row>
    <row r="39" spans="1:11" s="1" customFormat="1" x14ac:dyDescent="0.2">
      <c r="A39" s="110" t="s">
        <v>45</v>
      </c>
      <c r="B39" s="74"/>
      <c r="C39" s="35"/>
      <c r="D39" s="35">
        <f>SUM(D35:D38)</f>
        <v>12.396699999999999</v>
      </c>
      <c r="E39" s="73"/>
      <c r="F39" s="35"/>
      <c r="G39" s="35">
        <f>SUM(G35:G38)</f>
        <v>12.41038</v>
      </c>
      <c r="H39" s="35">
        <f t="shared" si="2"/>
        <v>1.3680000000000803E-2</v>
      </c>
      <c r="I39" s="36">
        <f t="shared" si="9"/>
        <v>1.1035194850243051E-3</v>
      </c>
      <c r="J39" s="36">
        <f t="shared" si="11"/>
        <v>3.4630075255351035E-2</v>
      </c>
      <c r="K39" s="111">
        <f t="shared" si="12"/>
        <v>3.533841072145099E-2</v>
      </c>
    </row>
    <row r="40" spans="1:11" s="1" customFormat="1" ht="13.5" thickBot="1" x14ac:dyDescent="0.25">
      <c r="A40" s="112" t="s">
        <v>46</v>
      </c>
      <c r="B40" s="113">
        <f>B4</f>
        <v>2000</v>
      </c>
      <c r="C40" s="114">
        <v>7.0000000000000001E-3</v>
      </c>
      <c r="D40" s="115">
        <f>B40*C40</f>
        <v>14</v>
      </c>
      <c r="E40" s="116">
        <f t="shared" si="5"/>
        <v>2000</v>
      </c>
      <c r="F40" s="114">
        <f>C40</f>
        <v>7.0000000000000001E-3</v>
      </c>
      <c r="G40" s="115">
        <f>E40*F40</f>
        <v>14</v>
      </c>
      <c r="H40" s="115">
        <f t="shared" si="2"/>
        <v>0</v>
      </c>
      <c r="I40" s="117">
        <f t="shared" si="9"/>
        <v>0</v>
      </c>
      <c r="J40" s="117">
        <f t="shared" si="11"/>
        <v>3.9065770232250302E-2</v>
      </c>
      <c r="K40" s="118">
        <f t="shared" si="12"/>
        <v>3.9864834928528693E-2</v>
      </c>
    </row>
    <row r="41" spans="1:11" s="1" customFormat="1" x14ac:dyDescent="0.2">
      <c r="A41" s="37" t="s">
        <v>137</v>
      </c>
      <c r="B41" s="38"/>
      <c r="C41" s="39"/>
      <c r="D41" s="39">
        <f>SUM(D14,D24,D25,D26,D32,D39,D40)</f>
        <v>330.05645303265135</v>
      </c>
      <c r="E41" s="38"/>
      <c r="F41" s="39"/>
      <c r="G41" s="39">
        <f>SUM(G14,G24,G25,G26,G32,G39,G40)</f>
        <v>341.30475999999999</v>
      </c>
      <c r="H41" s="39">
        <f t="shared" si="2"/>
        <v>11.24830696734864</v>
      </c>
      <c r="I41" s="40">
        <f t="shared" si="9"/>
        <v>3.4079948639076853E-2</v>
      </c>
      <c r="J41" s="40">
        <f t="shared" si="11"/>
        <v>0.95238095238095233</v>
      </c>
      <c r="K41" s="41"/>
    </row>
    <row r="42" spans="1:11" x14ac:dyDescent="0.2">
      <c r="A42" s="149" t="s">
        <v>138</v>
      </c>
      <c r="B42" s="43"/>
      <c r="C42" s="26">
        <v>0.13</v>
      </c>
      <c r="D42" s="26">
        <f>D41*C42</f>
        <v>42.907338894244674</v>
      </c>
      <c r="E42" s="26"/>
      <c r="F42" s="26">
        <f>C42</f>
        <v>0.13</v>
      </c>
      <c r="G42" s="26">
        <f>G41*F42</f>
        <v>44.369618799999998</v>
      </c>
      <c r="H42" s="26">
        <f t="shared" si="2"/>
        <v>1.4622799057553237</v>
      </c>
      <c r="I42" s="44">
        <f t="shared" si="9"/>
        <v>3.4079948639076867E-2</v>
      </c>
      <c r="J42" s="44">
        <f t="shared" si="11"/>
        <v>0.1238095238095238</v>
      </c>
      <c r="K42" s="45"/>
    </row>
    <row r="43" spans="1:11" s="1" customFormat="1" x14ac:dyDescent="0.2">
      <c r="A43" s="46" t="s">
        <v>139</v>
      </c>
      <c r="B43" s="24"/>
      <c r="C43" s="25"/>
      <c r="D43" s="25">
        <f>SUM(D41:D42)</f>
        <v>372.96379192689602</v>
      </c>
      <c r="E43" s="25"/>
      <c r="F43" s="25"/>
      <c r="G43" s="25">
        <f>SUM(G41:G42)</f>
        <v>385.6743788</v>
      </c>
      <c r="H43" s="25">
        <f t="shared" si="2"/>
        <v>12.710586873103978</v>
      </c>
      <c r="I43" s="27">
        <f t="shared" si="9"/>
        <v>3.4079948639076894E-2</v>
      </c>
      <c r="J43" s="27">
        <f t="shared" si="11"/>
        <v>1.0761904761904761</v>
      </c>
      <c r="K43" s="47"/>
    </row>
    <row r="44" spans="1:11" x14ac:dyDescent="0.2">
      <c r="A44" s="42" t="s">
        <v>140</v>
      </c>
      <c r="B44" s="43"/>
      <c r="C44" s="26">
        <v>-0.08</v>
      </c>
      <c r="D44" s="26">
        <f>D41*C44</f>
        <v>-26.404516242612107</v>
      </c>
      <c r="E44" s="26"/>
      <c r="F44" s="26">
        <f>C44</f>
        <v>-0.08</v>
      </c>
      <c r="G44" s="26">
        <f>G41*F44</f>
        <v>-27.304380800000001</v>
      </c>
      <c r="H44" s="26">
        <f t="shared" si="2"/>
        <v>-0.89986455738789317</v>
      </c>
      <c r="I44" s="44">
        <f t="shared" si="9"/>
        <v>-3.4079948639076929E-2</v>
      </c>
      <c r="J44" s="44">
        <f t="shared" si="11"/>
        <v>-7.6190476190476183E-2</v>
      </c>
      <c r="K44" s="45"/>
    </row>
    <row r="45" spans="1:11" s="1" customFormat="1" ht="13.5" thickBot="1" x14ac:dyDescent="0.25">
      <c r="A45" s="48" t="s">
        <v>141</v>
      </c>
      <c r="B45" s="49"/>
      <c r="C45" s="50"/>
      <c r="D45" s="50">
        <f>SUM(D43:D44)</f>
        <v>346.55927568428393</v>
      </c>
      <c r="E45" s="50"/>
      <c r="F45" s="50"/>
      <c r="G45" s="50">
        <f>SUM(G43:G44)</f>
        <v>358.36999800000001</v>
      </c>
      <c r="H45" s="50">
        <f t="shared" si="2"/>
        <v>11.810722315716077</v>
      </c>
      <c r="I45" s="51">
        <f t="shared" si="9"/>
        <v>3.4079948639076867E-2</v>
      </c>
      <c r="J45" s="51">
        <f t="shared" si="11"/>
        <v>1</v>
      </c>
      <c r="K45" s="52"/>
    </row>
    <row r="46" spans="1:11" x14ac:dyDescent="0.2">
      <c r="A46" s="53" t="s">
        <v>142</v>
      </c>
      <c r="B46" s="54"/>
      <c r="C46" s="55"/>
      <c r="D46" s="55">
        <f>SUM(D18,D24,D25,D27,D32,D39,D40)</f>
        <v>323.23557303265136</v>
      </c>
      <c r="E46" s="55"/>
      <c r="F46" s="55"/>
      <c r="G46" s="55">
        <f>SUM(G18,G24,G25,G27,G32,G39,G40)</f>
        <v>334.463528</v>
      </c>
      <c r="H46" s="55">
        <f>G46-D46</f>
        <v>11.227954967348637</v>
      </c>
      <c r="I46" s="56">
        <f t="shared" si="9"/>
        <v>3.4736136440695703E-2</v>
      </c>
      <c r="J46" s="56"/>
      <c r="K46" s="57">
        <f>G46/$G$50</f>
        <v>0.95238095238095233</v>
      </c>
    </row>
    <row r="47" spans="1:11" x14ac:dyDescent="0.2">
      <c r="A47" s="58" t="s">
        <v>138</v>
      </c>
      <c r="B47" s="59"/>
      <c r="C47" s="31">
        <v>0.13</v>
      </c>
      <c r="D47" s="31">
        <f>D46*C47</f>
        <v>42.020624494244679</v>
      </c>
      <c r="E47" s="31"/>
      <c r="F47" s="31">
        <f>C47</f>
        <v>0.13</v>
      </c>
      <c r="G47" s="31">
        <f>G46*F47</f>
        <v>43.480258640000002</v>
      </c>
      <c r="H47" s="31">
        <f>G47-D47</f>
        <v>1.4596341457553237</v>
      </c>
      <c r="I47" s="32">
        <f t="shared" si="9"/>
        <v>3.4736136440695717E-2</v>
      </c>
      <c r="J47" s="32"/>
      <c r="K47" s="60">
        <f>G47/$G$50</f>
        <v>0.12380952380952381</v>
      </c>
    </row>
    <row r="48" spans="1:11" x14ac:dyDescent="0.2">
      <c r="A48" s="140" t="s">
        <v>143</v>
      </c>
      <c r="B48" s="29"/>
      <c r="C48" s="30"/>
      <c r="D48" s="30">
        <f>SUM(D46:D47)</f>
        <v>365.25619752689602</v>
      </c>
      <c r="E48" s="30"/>
      <c r="F48" s="30"/>
      <c r="G48" s="30">
        <f>SUM(G46:G47)</f>
        <v>377.94378663999998</v>
      </c>
      <c r="H48" s="30">
        <f>G48-D48</f>
        <v>12.687589113103968</v>
      </c>
      <c r="I48" s="33">
        <f t="shared" si="9"/>
        <v>3.4736136440695724E-2</v>
      </c>
      <c r="J48" s="33"/>
      <c r="K48" s="62">
        <f>G48/$G$50</f>
        <v>1.0761904761904761</v>
      </c>
    </row>
    <row r="49" spans="1:11" x14ac:dyDescent="0.2">
      <c r="A49" s="58" t="s">
        <v>140</v>
      </c>
      <c r="B49" s="59"/>
      <c r="C49" s="31">
        <v>-0.08</v>
      </c>
      <c r="D49" s="31">
        <f>D46*C49</f>
        <v>-25.858845842612109</v>
      </c>
      <c r="E49" s="31"/>
      <c r="F49" s="31">
        <f>C49</f>
        <v>-0.08</v>
      </c>
      <c r="G49" s="31">
        <f>G46*F49</f>
        <v>-26.757082239999999</v>
      </c>
      <c r="H49" s="31">
        <f>G49-D49</f>
        <v>-0.89823639738789041</v>
      </c>
      <c r="I49" s="32">
        <f t="shared" si="9"/>
        <v>-3.4736136440695675E-2</v>
      </c>
      <c r="J49" s="32"/>
      <c r="K49" s="60">
        <f>G49/$G$50</f>
        <v>-7.6190476190476183E-2</v>
      </c>
    </row>
    <row r="50" spans="1:11" ht="13.5" thickBot="1" x14ac:dyDescent="0.25">
      <c r="A50" s="63" t="s">
        <v>144</v>
      </c>
      <c r="B50" s="64"/>
      <c r="C50" s="65"/>
      <c r="D50" s="65">
        <f>SUM(D48:D49)</f>
        <v>339.39735168428393</v>
      </c>
      <c r="E50" s="65"/>
      <c r="F50" s="65"/>
      <c r="G50" s="65">
        <f>SUM(G48:G49)</f>
        <v>351.1867044</v>
      </c>
      <c r="H50" s="65">
        <f>G50-D50</f>
        <v>11.789352715716063</v>
      </c>
      <c r="I50" s="66">
        <f t="shared" si="9"/>
        <v>3.4736136440695682E-2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pageSetUpPr fitToPage="1"/>
  </sheetPr>
  <dimension ref="A1:K67"/>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x14ac:dyDescent="0.2">
      <c r="A3" s="13" t="s">
        <v>13</v>
      </c>
      <c r="B3" s="13" t="s">
        <v>186</v>
      </c>
      <c r="C3" s="13" t="s">
        <v>120</v>
      </c>
    </row>
    <row r="4" spans="1:11" x14ac:dyDescent="0.2">
      <c r="A4" s="15" t="s">
        <v>62</v>
      </c>
      <c r="B4" s="79">
        <v>15000</v>
      </c>
      <c r="C4" s="79">
        <f>B4</f>
        <v>15000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16000.5</v>
      </c>
      <c r="C8" s="15">
        <f>C4*C6</f>
        <v>15982.499999999998</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G12/$G$45</f>
        <v>2.75403808716039E-2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5" si="2">G13-D13</f>
        <v>0</v>
      </c>
      <c r="I13" s="23">
        <f t="shared" si="0"/>
        <v>0</v>
      </c>
      <c r="J13" s="23">
        <f>G13/$G$45</f>
        <v>0.60952007775176109</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G14/$G$45</f>
        <v>0.63706045862336491</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5" si="4">G15/$G$50</f>
        <v>0.31980513481450301</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0.12274638640932276</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0.18057328890824884</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G18/$G$45</f>
        <v>0.59027207529644232</v>
      </c>
      <c r="K18" s="62">
        <f t="shared" si="4"/>
        <v>0.62312481013207466</v>
      </c>
    </row>
    <row r="19" spans="1:11" x14ac:dyDescent="0.2">
      <c r="A19" s="107" t="s">
        <v>38</v>
      </c>
      <c r="B19" s="73">
        <v>1</v>
      </c>
      <c r="C19" s="121">
        <f>VLOOKUP($C$3,'Data for Bill Impacts'!$A$3:$Y$39,7,0)</f>
        <v>26.94</v>
      </c>
      <c r="D19" s="22">
        <f>B19*C19</f>
        <v>26.94</v>
      </c>
      <c r="E19" s="73">
        <f t="shared" ref="E19:E40" si="5">B19</f>
        <v>1</v>
      </c>
      <c r="F19" s="78">
        <f>VLOOKUP($B$3,'Data for Bill Impacts'!$A$3:$Y$39,17,0)</f>
        <v>40.92</v>
      </c>
      <c r="G19" s="22">
        <f>E19*F19</f>
        <v>40.92</v>
      </c>
      <c r="H19" s="22">
        <f t="shared" si="2"/>
        <v>13.98</v>
      </c>
      <c r="I19" s="23">
        <f>IF(ISERROR(H19/ABS(D19)),"N/A",(H19/ABS(D19)))</f>
        <v>0.51893095768374164</v>
      </c>
      <c r="J19" s="23">
        <f>G19/$G$45</f>
        <v>1.6512122861040757E-2</v>
      </c>
      <c r="K19" s="108">
        <f t="shared" si="4"/>
        <v>1.7431137018460826E-2</v>
      </c>
    </row>
    <row r="20" spans="1:11" x14ac:dyDescent="0.2">
      <c r="A20" s="107" t="s">
        <v>193</v>
      </c>
      <c r="B20" s="73">
        <v>1</v>
      </c>
      <c r="C20" s="121">
        <f>'Data for Bill Impacts'!K29</f>
        <v>-0.27</v>
      </c>
      <c r="D20" s="22">
        <f>B20*C20</f>
        <v>-0.27</v>
      </c>
      <c r="E20" s="73">
        <f t="shared" si="5"/>
        <v>1</v>
      </c>
      <c r="F20" s="121">
        <v>0</v>
      </c>
      <c r="G20" s="22">
        <f t="shared" ref="G20" si="6">E20*F20</f>
        <v>0</v>
      </c>
      <c r="H20" s="22">
        <f t="shared" si="2"/>
        <v>0.27</v>
      </c>
      <c r="I20" s="23">
        <f t="shared" ref="I20:I21" si="7">IF(ISERROR(H20/D20),0,(H20/D20))</f>
        <v>-1</v>
      </c>
      <c r="J20" s="23">
        <f>G20/$G$45</f>
        <v>0</v>
      </c>
      <c r="K20" s="108">
        <f t="shared" si="4"/>
        <v>0</v>
      </c>
    </row>
    <row r="21" spans="1:11" x14ac:dyDescent="0.2">
      <c r="A21" s="107" t="s">
        <v>39</v>
      </c>
      <c r="B21" s="73">
        <f>C4</f>
        <v>15000</v>
      </c>
      <c r="C21" s="125">
        <f>VLOOKUP($C$3,'Data for Bill Impacts'!$A$3:$Y$39,10,0)</f>
        <v>1.9E-2</v>
      </c>
      <c r="D21" s="22">
        <f>B21*C21</f>
        <v>285</v>
      </c>
      <c r="E21" s="73">
        <f>B4</f>
        <v>15000</v>
      </c>
      <c r="F21" s="78">
        <f>VLOOKUP($B$3,'Data for Bill Impacts'!$A$3:$Y$39,19,0)</f>
        <v>1.8800000000000001E-2</v>
      </c>
      <c r="G21" s="22">
        <f>E21*F21</f>
        <v>282</v>
      </c>
      <c r="H21" s="22">
        <f t="shared" si="2"/>
        <v>-3</v>
      </c>
      <c r="I21" s="23">
        <f t="shared" si="7"/>
        <v>-1.0526315789473684E-2</v>
      </c>
      <c r="J21" s="23">
        <f>G21/$G$45</f>
        <v>0.11379322206289084</v>
      </c>
      <c r="K21" s="108">
        <f t="shared" si="4"/>
        <v>0.12012660408616696</v>
      </c>
    </row>
    <row r="22" spans="1:11" x14ac:dyDescent="0.2">
      <c r="A22" s="107" t="s">
        <v>194</v>
      </c>
      <c r="B22" s="73">
        <f>C4</f>
        <v>15000</v>
      </c>
      <c r="C22" s="78">
        <f>'Data for Bill Impacts'!H29</f>
        <v>4.0000000000000002E-4</v>
      </c>
      <c r="D22" s="22">
        <f>B22*C22</f>
        <v>6</v>
      </c>
      <c r="E22" s="73">
        <f>C4</f>
        <v>15000</v>
      </c>
      <c r="F22" s="125">
        <v>0</v>
      </c>
      <c r="G22" s="22">
        <f>E22*F22</f>
        <v>0</v>
      </c>
      <c r="H22" s="22">
        <f t="shared" ref="H22" si="8">G22-D22</f>
        <v>-6</v>
      </c>
      <c r="I22" s="23">
        <f t="shared" ref="I22:I50" si="9">IF(ISERROR(H22/ABS(D22)),"N/A",(H22/ABS(D22)))</f>
        <v>-1</v>
      </c>
      <c r="J22" s="23">
        <f>G22/$G$45</f>
        <v>0</v>
      </c>
      <c r="K22" s="108">
        <f t="shared" si="4"/>
        <v>0</v>
      </c>
    </row>
    <row r="23" spans="1:11" x14ac:dyDescent="0.2">
      <c r="A23" s="107" t="s">
        <v>199</v>
      </c>
      <c r="B23" s="73">
        <f>IF($B$9="kWh",$B$4,$B$5)</f>
        <v>15000</v>
      </c>
      <c r="C23" s="78">
        <f>'Data for Bill Impacts'!L29</f>
        <v>-2.0000000000000001E-4</v>
      </c>
      <c r="D23" s="22">
        <f>B23*C23</f>
        <v>-3</v>
      </c>
      <c r="E23" s="73">
        <f t="shared" si="5"/>
        <v>15000</v>
      </c>
      <c r="F23" s="125">
        <v>0</v>
      </c>
      <c r="G23" s="22">
        <f>E23*F23</f>
        <v>0</v>
      </c>
      <c r="H23" s="22">
        <f t="shared" si="2"/>
        <v>3</v>
      </c>
      <c r="I23" s="23">
        <f t="shared" si="9"/>
        <v>1</v>
      </c>
      <c r="J23" s="23">
        <f t="shared" ref="J23" si="10">G23/$G$45</f>
        <v>0</v>
      </c>
      <c r="K23" s="108">
        <f t="shared" si="4"/>
        <v>0</v>
      </c>
    </row>
    <row r="24" spans="1:11" s="1" customFormat="1" x14ac:dyDescent="0.2">
      <c r="A24" s="110" t="s">
        <v>72</v>
      </c>
      <c r="B24" s="74"/>
      <c r="C24" s="35"/>
      <c r="D24" s="35">
        <f>SUM(D19:D23)</f>
        <v>314.67</v>
      </c>
      <c r="E24" s="73"/>
      <c r="F24" s="35"/>
      <c r="G24" s="35">
        <f>SUM(G19:G23)</f>
        <v>322.92</v>
      </c>
      <c r="H24" s="35">
        <f t="shared" si="2"/>
        <v>8.25</v>
      </c>
      <c r="I24" s="36">
        <f t="shared" si="9"/>
        <v>2.6217942606540184E-2</v>
      </c>
      <c r="J24" s="36">
        <f>G24/$G$45</f>
        <v>0.13030534492393159</v>
      </c>
      <c r="K24" s="111">
        <f t="shared" si="4"/>
        <v>0.13755774110462779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2"/>
        <v>0</v>
      </c>
      <c r="I25" s="23">
        <f t="shared" si="9"/>
        <v>0</v>
      </c>
      <c r="J25" s="23">
        <f>G25/$G$45</f>
        <v>3.1878243060171551E-4</v>
      </c>
      <c r="K25" s="108">
        <f t="shared" si="4"/>
        <v>3.3652488378748904E-4</v>
      </c>
    </row>
    <row r="26" spans="1:11" s="1" customFormat="1" x14ac:dyDescent="0.2">
      <c r="A26" s="119" t="s">
        <v>75</v>
      </c>
      <c r="B26" s="120">
        <f>C8-C4</f>
        <v>982.49999999999818</v>
      </c>
      <c r="C26" s="257">
        <f>IF(C4&gt;C7,C13,C12)</f>
        <v>0.106</v>
      </c>
      <c r="D26" s="22">
        <f>B26*C26</f>
        <v>104.14499999999981</v>
      </c>
      <c r="E26" s="73">
        <f>B8-B4</f>
        <v>1000.5</v>
      </c>
      <c r="F26" s="257">
        <f>IF(B4&gt;B7,C13,C12)</f>
        <v>0.106</v>
      </c>
      <c r="G26" s="22">
        <f>E26*F26</f>
        <v>106.053</v>
      </c>
      <c r="H26" s="22">
        <f t="shared" si="2"/>
        <v>1.908000000000186</v>
      </c>
      <c r="I26" s="23">
        <f t="shared" si="9"/>
        <v>1.8320610687024719E-2</v>
      </c>
      <c r="J26" s="23">
        <f t="shared" ref="J26:J45" si="11">G26/$G$45</f>
        <v>4.2794725458992065E-2</v>
      </c>
      <c r="K26" s="108">
        <f t="shared" ref="K26:K40" si="12">G26/$G$50</f>
        <v>4.5176548734575404E-2</v>
      </c>
    </row>
    <row r="27" spans="1:11" s="1" customFormat="1" x14ac:dyDescent="0.2">
      <c r="A27" s="119" t="s">
        <v>74</v>
      </c>
      <c r="B27" s="120">
        <f>C8-C4</f>
        <v>982.49999999999818</v>
      </c>
      <c r="C27" s="257">
        <f>0.65*C15+0.17*C16+0.18*C17</f>
        <v>9.7519999999999996E-2</v>
      </c>
      <c r="D27" s="22">
        <f>B27*C27</f>
        <v>95.813399999999817</v>
      </c>
      <c r="E27" s="73">
        <f>B8-B4</f>
        <v>1000.5</v>
      </c>
      <c r="F27" s="257">
        <f>C27</f>
        <v>9.7519999999999996E-2</v>
      </c>
      <c r="G27" s="22">
        <f>E27*F27</f>
        <v>97.568759999999997</v>
      </c>
      <c r="H27" s="22">
        <f t="shared" si="2"/>
        <v>1.7553600000001808</v>
      </c>
      <c r="I27" s="23">
        <f t="shared" si="9"/>
        <v>1.8320610687024824E-2</v>
      </c>
      <c r="J27" s="23">
        <f t="shared" si="11"/>
        <v>3.9371147422272698E-2</v>
      </c>
      <c r="K27" s="108">
        <f t="shared" si="12"/>
        <v>4.1562424835809374E-2</v>
      </c>
    </row>
    <row r="28" spans="1:11" s="1" customFormat="1" x14ac:dyDescent="0.2">
      <c r="A28" s="110" t="s">
        <v>78</v>
      </c>
      <c r="B28" s="74"/>
      <c r="C28" s="35"/>
      <c r="D28" s="35">
        <f>SUM(D24,D25:D26)</f>
        <v>419.60499999999985</v>
      </c>
      <c r="E28" s="73"/>
      <c r="F28" s="35"/>
      <c r="G28" s="35">
        <f>SUM(G24,G25:G26)</f>
        <v>429.76300000000003</v>
      </c>
      <c r="H28" s="35">
        <f t="shared" si="2"/>
        <v>10.158000000000186</v>
      </c>
      <c r="I28" s="36">
        <f t="shared" si="9"/>
        <v>2.4208481786442464E-2</v>
      </c>
      <c r="J28" s="36">
        <f t="shared" si="11"/>
        <v>0.1734188528135254</v>
      </c>
      <c r="K28" s="111">
        <f t="shared" si="12"/>
        <v>0.18307081472299069</v>
      </c>
    </row>
    <row r="29" spans="1:11" s="1" customFormat="1" x14ac:dyDescent="0.2">
      <c r="A29" s="110" t="s">
        <v>77</v>
      </c>
      <c r="B29" s="74"/>
      <c r="C29" s="35"/>
      <c r="D29" s="35">
        <f>SUM(D24,D25,D27)</f>
        <v>411.27339999999987</v>
      </c>
      <c r="E29" s="73"/>
      <c r="F29" s="35"/>
      <c r="G29" s="35">
        <f>SUM(G24,G25,G27)</f>
        <v>421.27876000000003</v>
      </c>
      <c r="H29" s="35">
        <f t="shared" si="2"/>
        <v>10.005360000000167</v>
      </c>
      <c r="I29" s="36">
        <f t="shared" si="9"/>
        <v>2.4327758615072529E-2</v>
      </c>
      <c r="J29" s="36">
        <f t="shared" si="11"/>
        <v>0.16999527477680601</v>
      </c>
      <c r="K29" s="111">
        <f t="shared" si="12"/>
        <v>0.17945669082422466</v>
      </c>
    </row>
    <row r="30" spans="1:11" x14ac:dyDescent="0.2">
      <c r="A30" s="107" t="s">
        <v>40</v>
      </c>
      <c r="B30" s="73">
        <f>$C$8</f>
        <v>15982.499999999998</v>
      </c>
      <c r="C30" s="125">
        <f>VLOOKUP($C$3,'Data for Bill Impacts'!$A$3:$Y$39,15,0)</f>
        <v>5.8707628331982429E-3</v>
      </c>
      <c r="D30" s="22">
        <f>B30*C30</f>
        <v>93.829466981590912</v>
      </c>
      <c r="E30" s="73">
        <f>$B$8</f>
        <v>16000.5</v>
      </c>
      <c r="F30" s="78">
        <f>VLOOKUP($B$3,'Data for Bill Impacts'!$A$3:$Y$39,24,0)</f>
        <v>5.3E-3</v>
      </c>
      <c r="G30" s="22">
        <f>E30*F30</f>
        <v>84.80265</v>
      </c>
      <c r="H30" s="22">
        <f t="shared" si="2"/>
        <v>-9.0268169815909118</v>
      </c>
      <c r="I30" s="23">
        <f t="shared" si="9"/>
        <v>-9.620450027028235E-2</v>
      </c>
      <c r="J30" s="23">
        <f t="shared" si="11"/>
        <v>3.421974036514755E-2</v>
      </c>
      <c r="K30" s="108">
        <f t="shared" si="12"/>
        <v>3.6124306248254565E-2</v>
      </c>
    </row>
    <row r="31" spans="1:11" x14ac:dyDescent="0.2">
      <c r="A31" s="107" t="s">
        <v>41</v>
      </c>
      <c r="B31" s="73">
        <f>$C$8</f>
        <v>15982.499999999998</v>
      </c>
      <c r="C31" s="125">
        <f>VLOOKUP($C$3,'Data for Bill Impacts'!$A$3:$Y$39,16,0)</f>
        <v>4.9991353519971207E-3</v>
      </c>
      <c r="D31" s="22">
        <f>B31*C31</f>
        <v>79.898680763293967</v>
      </c>
      <c r="E31" s="73">
        <f>$B$8</f>
        <v>16000.5</v>
      </c>
      <c r="F31" s="78">
        <f>VLOOKUP($B$3,'Data for Bill Impacts'!$A$3:$Y$39,25,0)</f>
        <v>4.4000000000000003E-3</v>
      </c>
      <c r="G31" s="22">
        <f>E31*F31</f>
        <v>70.402200000000008</v>
      </c>
      <c r="H31" s="22">
        <f t="shared" si="2"/>
        <v>-9.4964807632939596</v>
      </c>
      <c r="I31" s="23">
        <f t="shared" si="9"/>
        <v>-0.1188565402153262</v>
      </c>
      <c r="J31" s="23">
        <f t="shared" si="11"/>
        <v>2.8408841057858347E-2</v>
      </c>
      <c r="K31" s="108">
        <f t="shared" si="12"/>
        <v>2.9989990092890585E-2</v>
      </c>
    </row>
    <row r="32" spans="1:11" s="1" customFormat="1" x14ac:dyDescent="0.2">
      <c r="A32" s="110" t="s">
        <v>76</v>
      </c>
      <c r="B32" s="74"/>
      <c r="C32" s="35"/>
      <c r="D32" s="35">
        <f>SUM(D30:D31)</f>
        <v>173.72814774488489</v>
      </c>
      <c r="E32" s="73"/>
      <c r="F32" s="35"/>
      <c r="G32" s="35">
        <f>SUM(G30:G31)</f>
        <v>155.20485000000002</v>
      </c>
      <c r="H32" s="35">
        <f t="shared" si="2"/>
        <v>-18.523297744884871</v>
      </c>
      <c r="I32" s="36">
        <f t="shared" si="9"/>
        <v>-0.10662231759982749</v>
      </c>
      <c r="J32" s="36">
        <f t="shared" si="11"/>
        <v>6.2628581423005911E-2</v>
      </c>
      <c r="K32" s="111">
        <f t="shared" si="12"/>
        <v>6.6114296341145157E-2</v>
      </c>
    </row>
    <row r="33" spans="1:11" s="1" customFormat="1" x14ac:dyDescent="0.2">
      <c r="A33" s="110" t="s">
        <v>95</v>
      </c>
      <c r="B33" s="74"/>
      <c r="C33" s="35"/>
      <c r="D33" s="35">
        <f>D28+D32</f>
        <v>593.33314774488474</v>
      </c>
      <c r="E33" s="73"/>
      <c r="F33" s="35"/>
      <c r="G33" s="35">
        <f>G28+G32</f>
        <v>584.96785</v>
      </c>
      <c r="H33" s="35">
        <f t="shared" si="2"/>
        <v>-8.3652977448847423</v>
      </c>
      <c r="I33" s="36">
        <f t="shared" si="9"/>
        <v>-1.4098820833926452E-2</v>
      </c>
      <c r="J33" s="36">
        <f t="shared" si="11"/>
        <v>0.23604743423653127</v>
      </c>
      <c r="K33" s="111">
        <f t="shared" si="12"/>
        <v>0.24918511106413582</v>
      </c>
    </row>
    <row r="34" spans="1:11" s="1" customFormat="1" x14ac:dyDescent="0.2">
      <c r="A34" s="110" t="s">
        <v>96</v>
      </c>
      <c r="B34" s="74"/>
      <c r="C34" s="35"/>
      <c r="D34" s="35">
        <f>D29+D32</f>
        <v>585.00154774488476</v>
      </c>
      <c r="E34" s="73"/>
      <c r="F34" s="35"/>
      <c r="G34" s="35">
        <f>G29+G32</f>
        <v>576.48361</v>
      </c>
      <c r="H34" s="35">
        <f t="shared" si="2"/>
        <v>-8.5179377448847617</v>
      </c>
      <c r="I34" s="36">
        <f t="shared" si="9"/>
        <v>-1.4560538818607326E-2</v>
      </c>
      <c r="J34" s="36">
        <f t="shared" si="11"/>
        <v>0.23262385619981191</v>
      </c>
      <c r="K34" s="111">
        <f t="shared" si="12"/>
        <v>0.24557098716536979</v>
      </c>
    </row>
    <row r="35" spans="1:11" x14ac:dyDescent="0.2">
      <c r="A35" s="107" t="s">
        <v>42</v>
      </c>
      <c r="B35" s="73">
        <f>$C$8</f>
        <v>15982.499999999998</v>
      </c>
      <c r="C35" s="34">
        <v>3.5999999999999999E-3</v>
      </c>
      <c r="D35" s="22">
        <f>B35*C35</f>
        <v>57.536999999999992</v>
      </c>
      <c r="E35" s="73">
        <f>$B$8</f>
        <v>16000.5</v>
      </c>
      <c r="F35" s="34">
        <v>3.5999999999999999E-3</v>
      </c>
      <c r="G35" s="22">
        <f>E35*F35</f>
        <v>57.601799999999997</v>
      </c>
      <c r="H35" s="22">
        <f t="shared" si="2"/>
        <v>6.4800000000005298E-2</v>
      </c>
      <c r="I35" s="23">
        <f t="shared" si="9"/>
        <v>1.1262318160488957E-3</v>
      </c>
      <c r="J35" s="23">
        <f t="shared" si="11"/>
        <v>2.3243597229156827E-2</v>
      </c>
      <c r="K35" s="108">
        <f t="shared" si="12"/>
        <v>2.4537264621455928E-2</v>
      </c>
    </row>
    <row r="36" spans="1:11" x14ac:dyDescent="0.2">
      <c r="A36" s="107" t="s">
        <v>43</v>
      </c>
      <c r="B36" s="73">
        <f>$C$8</f>
        <v>15982.499999999998</v>
      </c>
      <c r="C36" s="34">
        <v>2.0999999999999999E-3</v>
      </c>
      <c r="D36" s="22">
        <f>B36*C36</f>
        <v>33.563249999999996</v>
      </c>
      <c r="E36" s="73">
        <f>$B$8</f>
        <v>16000.5</v>
      </c>
      <c r="F36" s="34">
        <v>2.0999999999999999E-3</v>
      </c>
      <c r="G36" s="22">
        <f>E36*F36</f>
        <v>33.601050000000001</v>
      </c>
      <c r="H36" s="22">
        <f>G36-D36</f>
        <v>3.7800000000004275E-2</v>
      </c>
      <c r="I36" s="23">
        <f t="shared" si="9"/>
        <v>1.1262318160489308E-3</v>
      </c>
      <c r="J36" s="23">
        <f t="shared" si="11"/>
        <v>1.3558765050341483E-2</v>
      </c>
      <c r="K36" s="108">
        <f t="shared" si="12"/>
        <v>1.431340436251596E-2</v>
      </c>
    </row>
    <row r="37" spans="1:11" x14ac:dyDescent="0.2">
      <c r="A37" s="107" t="s">
        <v>100</v>
      </c>
      <c r="B37" s="73">
        <f>$C$8</f>
        <v>15982.499999999998</v>
      </c>
      <c r="C37" s="34">
        <v>0</v>
      </c>
      <c r="D37" s="22">
        <f>B37*C37</f>
        <v>0</v>
      </c>
      <c r="E37" s="73">
        <f>$B$8</f>
        <v>16000.5</v>
      </c>
      <c r="F37" s="34">
        <v>0</v>
      </c>
      <c r="G37" s="22">
        <f>E37*F37</f>
        <v>0</v>
      </c>
      <c r="H37" s="22">
        <f>G37-D37</f>
        <v>0</v>
      </c>
      <c r="I37" s="23" t="str">
        <f t="shared" si="9"/>
        <v>N/A</v>
      </c>
      <c r="J37" s="23">
        <f t="shared" si="11"/>
        <v>0</v>
      </c>
      <c r="K37" s="108">
        <f t="shared" si="12"/>
        <v>0</v>
      </c>
    </row>
    <row r="38" spans="1:11" x14ac:dyDescent="0.2">
      <c r="A38" s="107" t="s">
        <v>44</v>
      </c>
      <c r="B38" s="73">
        <v>1</v>
      </c>
      <c r="C38" s="22">
        <v>0.25</v>
      </c>
      <c r="D38" s="22">
        <f>B38*C38</f>
        <v>0.25</v>
      </c>
      <c r="E38" s="73">
        <f t="shared" si="5"/>
        <v>1</v>
      </c>
      <c r="F38" s="22">
        <f>C38</f>
        <v>0.25</v>
      </c>
      <c r="G38" s="22">
        <f>E38*F38</f>
        <v>0.25</v>
      </c>
      <c r="H38" s="22">
        <f t="shared" si="2"/>
        <v>0</v>
      </c>
      <c r="I38" s="23">
        <f t="shared" si="9"/>
        <v>0</v>
      </c>
      <c r="J38" s="23">
        <f t="shared" si="11"/>
        <v>1.008805160132011E-4</v>
      </c>
      <c r="K38" s="108">
        <f t="shared" si="12"/>
        <v>1.0649521638844589E-4</v>
      </c>
    </row>
    <row r="39" spans="1:11" s="1" customFormat="1" x14ac:dyDescent="0.2">
      <c r="A39" s="110" t="s">
        <v>45</v>
      </c>
      <c r="B39" s="74"/>
      <c r="C39" s="35"/>
      <c r="D39" s="35">
        <f>SUM(D35:D38)</f>
        <v>91.350249999999988</v>
      </c>
      <c r="E39" s="73"/>
      <c r="F39" s="35"/>
      <c r="G39" s="35">
        <f>SUM(G35:G38)</f>
        <v>91.452849999999998</v>
      </c>
      <c r="H39" s="35">
        <f t="shared" si="2"/>
        <v>0.10260000000000957</v>
      </c>
      <c r="I39" s="36">
        <f t="shared" si="9"/>
        <v>1.1231496356059187E-3</v>
      </c>
      <c r="J39" s="36">
        <f t="shared" si="11"/>
        <v>3.6903242795511514E-2</v>
      </c>
      <c r="K39" s="111">
        <f t="shared" si="12"/>
        <v>3.8957164200360335E-2</v>
      </c>
    </row>
    <row r="40" spans="1:11" s="1" customFormat="1" ht="13.5" thickBot="1" x14ac:dyDescent="0.25">
      <c r="A40" s="112" t="s">
        <v>46</v>
      </c>
      <c r="B40" s="113">
        <f>B4</f>
        <v>15000</v>
      </c>
      <c r="C40" s="114">
        <v>7.0000000000000001E-3</v>
      </c>
      <c r="D40" s="115">
        <f>B40*C40</f>
        <v>105</v>
      </c>
      <c r="E40" s="116">
        <f t="shared" si="5"/>
        <v>15000</v>
      </c>
      <c r="F40" s="114">
        <f>C40</f>
        <v>7.0000000000000001E-3</v>
      </c>
      <c r="G40" s="115">
        <f>E40*F40</f>
        <v>105</v>
      </c>
      <c r="H40" s="115">
        <f t="shared" si="2"/>
        <v>0</v>
      </c>
      <c r="I40" s="117">
        <f t="shared" si="9"/>
        <v>0</v>
      </c>
      <c r="J40" s="117">
        <f t="shared" si="11"/>
        <v>4.2369816725544462E-2</v>
      </c>
      <c r="K40" s="118">
        <f t="shared" si="12"/>
        <v>4.4727990883147273E-2</v>
      </c>
    </row>
    <row r="41" spans="1:11" s="1" customFormat="1" x14ac:dyDescent="0.2">
      <c r="A41" s="37" t="s">
        <v>137</v>
      </c>
      <c r="B41" s="38"/>
      <c r="C41" s="39"/>
      <c r="D41" s="39">
        <f>SUM(D14,D24,D25,D26,D32,D39,D40)</f>
        <v>2368.4333977448846</v>
      </c>
      <c r="E41" s="38"/>
      <c r="F41" s="39"/>
      <c r="G41" s="39">
        <f>SUM(G14,G24,G25,G26,G32,G39,G40)</f>
        <v>2360.1707000000001</v>
      </c>
      <c r="H41" s="39">
        <f t="shared" si="2"/>
        <v>-8.2626977448844627</v>
      </c>
      <c r="I41" s="40">
        <f t="shared" si="9"/>
        <v>-3.4886764190843749E-3</v>
      </c>
      <c r="J41" s="40">
        <f t="shared" si="11"/>
        <v>0.95238095238095222</v>
      </c>
      <c r="K41" s="41"/>
    </row>
    <row r="42" spans="1:11" x14ac:dyDescent="0.2">
      <c r="A42" s="149" t="s">
        <v>138</v>
      </c>
      <c r="B42" s="43"/>
      <c r="C42" s="26">
        <v>0.13</v>
      </c>
      <c r="D42" s="26">
        <f>D41*C42</f>
        <v>307.89634170683502</v>
      </c>
      <c r="E42" s="26"/>
      <c r="F42" s="26">
        <f>C42</f>
        <v>0.13</v>
      </c>
      <c r="G42" s="26">
        <f>G41*F42</f>
        <v>306.82219100000003</v>
      </c>
      <c r="H42" s="26">
        <f t="shared" si="2"/>
        <v>-1.0741507068349847</v>
      </c>
      <c r="I42" s="44">
        <f t="shared" si="9"/>
        <v>-3.4886764190843892E-3</v>
      </c>
      <c r="J42" s="44">
        <f t="shared" si="11"/>
        <v>0.1238095238095238</v>
      </c>
      <c r="K42" s="45"/>
    </row>
    <row r="43" spans="1:11" s="1" customFormat="1" x14ac:dyDescent="0.2">
      <c r="A43" s="46" t="s">
        <v>139</v>
      </c>
      <c r="B43" s="24"/>
      <c r="C43" s="25"/>
      <c r="D43" s="25">
        <f>SUM(D41:D42)</f>
        <v>2676.3297394517194</v>
      </c>
      <c r="E43" s="25"/>
      <c r="F43" s="25"/>
      <c r="G43" s="25">
        <f>SUM(G41:G42)</f>
        <v>2666.9928910000003</v>
      </c>
      <c r="H43" s="25">
        <f t="shared" si="2"/>
        <v>-9.3368484517191064</v>
      </c>
      <c r="I43" s="27">
        <f t="shared" si="9"/>
        <v>-3.4886764190842491E-3</v>
      </c>
      <c r="J43" s="27">
        <f t="shared" si="11"/>
        <v>1.0761904761904761</v>
      </c>
      <c r="K43" s="47"/>
    </row>
    <row r="44" spans="1:11" x14ac:dyDescent="0.2">
      <c r="A44" s="42" t="s">
        <v>140</v>
      </c>
      <c r="B44" s="43"/>
      <c r="C44" s="26">
        <v>-0.08</v>
      </c>
      <c r="D44" s="26">
        <f>D41*C44</f>
        <v>-189.47467181959078</v>
      </c>
      <c r="E44" s="26"/>
      <c r="F44" s="26">
        <f>C44</f>
        <v>-0.08</v>
      </c>
      <c r="G44" s="26">
        <f>G41*F44</f>
        <v>-188.81365600000001</v>
      </c>
      <c r="H44" s="26">
        <f t="shared" si="2"/>
        <v>0.66101581959077294</v>
      </c>
      <c r="I44" s="44">
        <f t="shared" si="9"/>
        <v>3.4886764190844586E-3</v>
      </c>
      <c r="J44" s="44">
        <f t="shared" si="11"/>
        <v>-7.6190476190476183E-2</v>
      </c>
      <c r="K44" s="45"/>
    </row>
    <row r="45" spans="1:11" s="1" customFormat="1" ht="13.5" thickBot="1" x14ac:dyDescent="0.25">
      <c r="A45" s="48" t="s">
        <v>141</v>
      </c>
      <c r="B45" s="49"/>
      <c r="C45" s="50"/>
      <c r="D45" s="50">
        <f>SUM(D43:D44)</f>
        <v>2486.8550676321288</v>
      </c>
      <c r="E45" s="50"/>
      <c r="F45" s="50"/>
      <c r="G45" s="50">
        <f>SUM(G43:G44)</f>
        <v>2478.1792350000005</v>
      </c>
      <c r="H45" s="50">
        <f t="shared" si="2"/>
        <v>-8.6758326321282766</v>
      </c>
      <c r="I45" s="51">
        <f t="shared" si="9"/>
        <v>-3.4886764190842101E-3</v>
      </c>
      <c r="J45" s="51">
        <f t="shared" si="11"/>
        <v>1</v>
      </c>
      <c r="K45" s="52"/>
    </row>
    <row r="46" spans="1:11" x14ac:dyDescent="0.2">
      <c r="A46" s="53" t="s">
        <v>142</v>
      </c>
      <c r="B46" s="54"/>
      <c r="C46" s="55"/>
      <c r="D46" s="55">
        <f>SUM(D18,D24,D25,D27,D32,D39,D40)</f>
        <v>2244.1517977448848</v>
      </c>
      <c r="E46" s="55"/>
      <c r="F46" s="55"/>
      <c r="G46" s="55">
        <f>SUM(G18,G24,G25,G27,G32,G39,G40)</f>
        <v>2235.7364600000005</v>
      </c>
      <c r="H46" s="55">
        <f>G46-D46</f>
        <v>-8.4153377448842548</v>
      </c>
      <c r="I46" s="56">
        <f t="shared" si="9"/>
        <v>-3.7498968444740254E-3</v>
      </c>
      <c r="J46" s="56"/>
      <c r="K46" s="57">
        <f>G46/$G$50</f>
        <v>0.95238095238095222</v>
      </c>
    </row>
    <row r="47" spans="1:11" x14ac:dyDescent="0.2">
      <c r="A47" s="58" t="s">
        <v>138</v>
      </c>
      <c r="B47" s="59"/>
      <c r="C47" s="31">
        <v>0.13</v>
      </c>
      <c r="D47" s="31">
        <f>D46*C47</f>
        <v>291.73973370683501</v>
      </c>
      <c r="E47" s="31"/>
      <c r="F47" s="31">
        <f>C47</f>
        <v>0.13</v>
      </c>
      <c r="G47" s="31">
        <f>G46*F47</f>
        <v>290.64573980000006</v>
      </c>
      <c r="H47" s="31">
        <f>G47-D47</f>
        <v>-1.0939939068349531</v>
      </c>
      <c r="I47" s="32">
        <f t="shared" si="9"/>
        <v>-3.7498968444740254E-3</v>
      </c>
      <c r="J47" s="32"/>
      <c r="K47" s="60">
        <f>G47/$G$50</f>
        <v>0.12380952380952379</v>
      </c>
    </row>
    <row r="48" spans="1:11" x14ac:dyDescent="0.2">
      <c r="A48" s="140" t="s">
        <v>143</v>
      </c>
      <c r="B48" s="29"/>
      <c r="C48" s="30"/>
      <c r="D48" s="30">
        <f>SUM(D46:D47)</f>
        <v>2535.8915314517199</v>
      </c>
      <c r="E48" s="30"/>
      <c r="F48" s="30"/>
      <c r="G48" s="30">
        <f>SUM(G46:G47)</f>
        <v>2526.3821998000008</v>
      </c>
      <c r="H48" s="30">
        <f>G48-D48</f>
        <v>-9.5093316517190942</v>
      </c>
      <c r="I48" s="33">
        <f t="shared" si="9"/>
        <v>-3.7498968444739807E-3</v>
      </c>
      <c r="J48" s="33"/>
      <c r="K48" s="62">
        <f>G48/$G$50</f>
        <v>1.0761904761904761</v>
      </c>
    </row>
    <row r="49" spans="1:11" x14ac:dyDescent="0.2">
      <c r="A49" s="58" t="s">
        <v>140</v>
      </c>
      <c r="B49" s="59"/>
      <c r="C49" s="31">
        <v>-0.08</v>
      </c>
      <c r="D49" s="31">
        <f>D46*C49</f>
        <v>-179.5321438195908</v>
      </c>
      <c r="E49" s="31"/>
      <c r="F49" s="31">
        <f>C49</f>
        <v>-0.08</v>
      </c>
      <c r="G49" s="31">
        <f>G46*F49</f>
        <v>-178.85891680000006</v>
      </c>
      <c r="H49" s="31">
        <f>G49-D49</f>
        <v>0.67322701959074038</v>
      </c>
      <c r="I49" s="32">
        <f t="shared" si="9"/>
        <v>3.749896844474025E-3</v>
      </c>
      <c r="J49" s="32"/>
      <c r="K49" s="60">
        <f>G49/$G$50</f>
        <v>-7.6190476190476183E-2</v>
      </c>
    </row>
    <row r="50" spans="1:11" ht="13.5" thickBot="1" x14ac:dyDescent="0.25">
      <c r="A50" s="63" t="s">
        <v>144</v>
      </c>
      <c r="B50" s="64"/>
      <c r="C50" s="65"/>
      <c r="D50" s="65">
        <f>SUM(D48:D49)</f>
        <v>2356.3593876321293</v>
      </c>
      <c r="E50" s="65"/>
      <c r="F50" s="65"/>
      <c r="G50" s="65">
        <f>SUM(G48:G49)</f>
        <v>2347.5232830000009</v>
      </c>
      <c r="H50" s="65">
        <f>G50-D50</f>
        <v>-8.8361046321283538</v>
      </c>
      <c r="I50" s="66">
        <f t="shared" si="9"/>
        <v>-3.7498968444739768E-3</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J38"/>
  <sheetViews>
    <sheetView tabSelected="1" topLeftCell="A7" workbookViewId="0">
      <selection activeCell="N7" sqref="N7"/>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187</v>
      </c>
      <c r="C3" s="13" t="s">
        <v>127</v>
      </c>
    </row>
    <row r="4" spans="1:10" x14ac:dyDescent="0.2">
      <c r="A4" s="15" t="s">
        <v>62</v>
      </c>
      <c r="B4" s="79">
        <v>15000</v>
      </c>
      <c r="C4" s="79">
        <f>B4</f>
        <v>15000</v>
      </c>
    </row>
    <row r="5" spans="1:10" x14ac:dyDescent="0.2">
      <c r="A5" s="15" t="s">
        <v>16</v>
      </c>
      <c r="B5" s="79">
        <v>60</v>
      </c>
      <c r="C5" s="79">
        <f>B5</f>
        <v>60</v>
      </c>
    </row>
    <row r="6" spans="1:10" x14ac:dyDescent="0.2">
      <c r="A6" s="15" t="s">
        <v>20</v>
      </c>
      <c r="B6" s="211">
        <f>VLOOKUP($B$3,'Data for Bill Impacts'!$A$3:$Y$39,2,0)</f>
        <v>1.0563</v>
      </c>
      <c r="C6" s="211">
        <f>VLOOKUP($C$3,'Data for Bill Impacts'!$A$3:$Y$39,2,0)</f>
        <v>1.0564</v>
      </c>
    </row>
    <row r="7" spans="1:10" x14ac:dyDescent="0.2">
      <c r="A7" s="81" t="s">
        <v>49</v>
      </c>
      <c r="B7" s="82">
        <f>B4/(B5*730)</f>
        <v>0.34246575342465752</v>
      </c>
      <c r="C7" s="82">
        <f>C4/(C5*730)</f>
        <v>0.34246575342465752</v>
      </c>
    </row>
    <row r="8" spans="1:10" x14ac:dyDescent="0.2">
      <c r="A8" s="15" t="s">
        <v>15</v>
      </c>
      <c r="B8" s="79">
        <f>VLOOKUP($B$3,'Data for Bill Impacts'!$A$3:$Y$39,4,0)</f>
        <v>0</v>
      </c>
      <c r="C8" s="79">
        <f>VLOOKUP($C$3,'Data for Bill Impacts'!$A$3:$Y$39,4,0)</f>
        <v>0</v>
      </c>
    </row>
    <row r="9" spans="1:10" x14ac:dyDescent="0.2">
      <c r="A9" s="15" t="s">
        <v>82</v>
      </c>
      <c r="B9" s="79">
        <f>B4*B6</f>
        <v>15844.5</v>
      </c>
      <c r="C9" s="79">
        <f>C4*C6</f>
        <v>15846</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15846</v>
      </c>
      <c r="C13" s="103">
        <v>9.0999999999999998E-2</v>
      </c>
      <c r="D13" s="104">
        <f>B13*C13</f>
        <v>1441.9859999999999</v>
      </c>
      <c r="E13" s="102">
        <f>B9</f>
        <v>15844.5</v>
      </c>
      <c r="F13" s="103">
        <f>C13</f>
        <v>9.0999999999999998E-2</v>
      </c>
      <c r="G13" s="104">
        <f>E13*F13</f>
        <v>1441.8495</v>
      </c>
      <c r="H13" s="104">
        <f>G13-D13</f>
        <v>-0.13649999999984175</v>
      </c>
      <c r="I13" s="105">
        <f t="shared" ref="I13:I18" si="0">IF(ISERROR(H13/ABS(D13)),"N/A",(H13/ABS(D13)))</f>
        <v>-9.4661113214581665E-5</v>
      </c>
      <c r="J13" s="123">
        <f t="shared" ref="J13:J36" si="1">G13/$G$36</f>
        <v>0.54178150863125141</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1441.9859999999999</v>
      </c>
      <c r="E15" s="76"/>
      <c r="F15" s="25"/>
      <c r="G15" s="25">
        <f>SUM(G13:G14)</f>
        <v>1441.8495</v>
      </c>
      <c r="H15" s="25">
        <f t="shared" si="3"/>
        <v>-0.13649999999984175</v>
      </c>
      <c r="I15" s="27">
        <f t="shared" si="0"/>
        <v>-9.4661113214581665E-5</v>
      </c>
      <c r="J15" s="47">
        <f t="shared" si="1"/>
        <v>0.54178150863125141</v>
      </c>
    </row>
    <row r="16" spans="1:10" s="1" customFormat="1" x14ac:dyDescent="0.2">
      <c r="A16" s="107" t="s">
        <v>38</v>
      </c>
      <c r="B16" s="73">
        <v>1</v>
      </c>
      <c r="C16" s="121">
        <f>VLOOKUP($C$3,'Data for Bill Impacts'!$A$3:$Y$39,7,0)</f>
        <v>245.55</v>
      </c>
      <c r="D16" s="22">
        <f>B16*C16</f>
        <v>245.55</v>
      </c>
      <c r="E16" s="73">
        <f t="shared" ref="E16:E31" si="4">B16</f>
        <v>1</v>
      </c>
      <c r="F16" s="78">
        <f>VLOOKUP($B$3,'Data for Bill Impacts'!$A$3:$Y$39,17,0)</f>
        <v>206.23</v>
      </c>
      <c r="G16" s="22">
        <f>E16*F16</f>
        <v>206.23</v>
      </c>
      <c r="H16" s="22">
        <f t="shared" si="3"/>
        <v>-39.320000000000022</v>
      </c>
      <c r="I16" s="23">
        <f t="shared" si="0"/>
        <v>-0.16013031969049082</v>
      </c>
      <c r="J16" s="124">
        <f t="shared" si="1"/>
        <v>7.749186064497228E-2</v>
      </c>
    </row>
    <row r="17" spans="1:10" x14ac:dyDescent="0.2">
      <c r="A17" s="107" t="s">
        <v>193</v>
      </c>
      <c r="B17" s="73">
        <v>1</v>
      </c>
      <c r="C17" s="121">
        <f>'Data for Bill Impacts'!K36</f>
        <v>-3.61</v>
      </c>
      <c r="D17" s="22">
        <f>B17*C17</f>
        <v>-3.61</v>
      </c>
      <c r="E17" s="73">
        <f t="shared" si="4"/>
        <v>1</v>
      </c>
      <c r="F17" s="121">
        <v>0</v>
      </c>
      <c r="G17" s="22">
        <f t="shared" ref="G17" si="5">E17*F17</f>
        <v>0</v>
      </c>
      <c r="H17" s="22">
        <f t="shared" si="3"/>
        <v>3.61</v>
      </c>
      <c r="I17" s="23">
        <f t="shared" si="0"/>
        <v>1</v>
      </c>
      <c r="J17" s="124">
        <f t="shared" si="1"/>
        <v>0</v>
      </c>
    </row>
    <row r="18" spans="1:10" x14ac:dyDescent="0.2">
      <c r="A18" s="107" t="s">
        <v>39</v>
      </c>
      <c r="B18" s="73">
        <f>IF($C$10="kWh",$C$4,$C$5)</f>
        <v>60</v>
      </c>
      <c r="C18" s="125">
        <f>VLOOKUP($C$3,'Data for Bill Impacts'!$A$3:$Y$39,10,0)</f>
        <v>3.9601999999999999</v>
      </c>
      <c r="D18" s="22">
        <f>B18*C18</f>
        <v>237.61199999999999</v>
      </c>
      <c r="E18" s="73">
        <f>B5</f>
        <v>60</v>
      </c>
      <c r="F18" s="125">
        <f>VLOOKUP($B$3,'Data for Bill Impacts'!$A$3:$Y$39,19,0)</f>
        <v>5.1665999999999999</v>
      </c>
      <c r="G18" s="22">
        <f>E18*F18</f>
        <v>309.99599999999998</v>
      </c>
      <c r="H18" s="22">
        <f t="shared" si="3"/>
        <v>72.383999999999986</v>
      </c>
      <c r="I18" s="23">
        <f t="shared" si="0"/>
        <v>0.30463107923842225</v>
      </c>
      <c r="J18" s="124">
        <f t="shared" si="1"/>
        <v>0.11648240717887227</v>
      </c>
    </row>
    <row r="19" spans="1:10" x14ac:dyDescent="0.2">
      <c r="A19" s="107" t="s">
        <v>194</v>
      </c>
      <c r="B19" s="73">
        <f>IF($C$10="kWh",$C$4,$C$5)</f>
        <v>60</v>
      </c>
      <c r="C19" s="125">
        <f>'Data for Bill Impacts'!H36</f>
        <v>0.30499999999999999</v>
      </c>
      <c r="D19" s="22">
        <f>B19*C19</f>
        <v>18.3</v>
      </c>
      <c r="E19" s="73">
        <f>B5</f>
        <v>60</v>
      </c>
      <c r="F19" s="125">
        <v>0</v>
      </c>
      <c r="G19" s="22">
        <f>E19*F19</f>
        <v>0</v>
      </c>
      <c r="H19" s="22">
        <f t="shared" ref="H19" si="6">G19-D19</f>
        <v>-18.3</v>
      </c>
      <c r="I19" s="23">
        <f>IF(ISERROR(H19/ABS(D19)),"N/A",(H19/ABS(D19)))</f>
        <v>-1</v>
      </c>
      <c r="J19" s="124">
        <f t="shared" si="1"/>
        <v>0</v>
      </c>
    </row>
    <row r="20" spans="1:10" s="1" customFormat="1" x14ac:dyDescent="0.2">
      <c r="A20" s="107" t="s">
        <v>195</v>
      </c>
      <c r="B20" s="73">
        <f>IF($B$10="kWh",$B$4,$B$5)</f>
        <v>60</v>
      </c>
      <c r="C20" s="78">
        <f>'Data for Bill Impacts'!L36</f>
        <v>-5.8299999999999998E-2</v>
      </c>
      <c r="D20" s="22">
        <f>B20*C20</f>
        <v>-3.4979999999999998</v>
      </c>
      <c r="E20" s="73">
        <f>B20</f>
        <v>60</v>
      </c>
      <c r="F20" s="125">
        <v>0</v>
      </c>
      <c r="G20" s="22">
        <f>E20*F20</f>
        <v>0</v>
      </c>
      <c r="H20" s="22">
        <f>G20-D20</f>
        <v>3.4979999999999998</v>
      </c>
      <c r="I20" s="23">
        <f>IF(ISERROR(H20/D20),0,(H20/D20))</f>
        <v>-1</v>
      </c>
      <c r="J20" s="124">
        <f t="shared" si="1"/>
        <v>0</v>
      </c>
    </row>
    <row r="21" spans="1:10" x14ac:dyDescent="0.2">
      <c r="A21" s="110" t="s">
        <v>79</v>
      </c>
      <c r="B21" s="74"/>
      <c r="C21" s="35"/>
      <c r="D21" s="35">
        <f>SUM(D16:D20)</f>
        <v>494.35400000000004</v>
      </c>
      <c r="E21" s="73"/>
      <c r="F21" s="35"/>
      <c r="G21" s="35">
        <f>SUM(G16:G20)</f>
        <v>516.226</v>
      </c>
      <c r="H21" s="35">
        <f t="shared" si="3"/>
        <v>21.871999999999957</v>
      </c>
      <c r="I21" s="36">
        <f t="shared" ref="I21" si="7">IF(ISERROR(H21/D21),0,(H21/D21))</f>
        <v>4.4243598716708986E-2</v>
      </c>
      <c r="J21" s="111">
        <f t="shared" si="1"/>
        <v>0.19397426782384455</v>
      </c>
    </row>
    <row r="22" spans="1:10" x14ac:dyDescent="0.2">
      <c r="A22" s="107" t="s">
        <v>40</v>
      </c>
      <c r="B22" s="73">
        <f>C5</f>
        <v>60</v>
      </c>
      <c r="C22" s="125">
        <f>VLOOKUP($C$3,'Data for Bill Impacts'!$A$3:$Y$39,15,0)</f>
        <v>2.5453999999999999</v>
      </c>
      <c r="D22" s="22">
        <f>B22*C22</f>
        <v>152.72399999999999</v>
      </c>
      <c r="E22" s="73">
        <f>B5</f>
        <v>60</v>
      </c>
      <c r="F22" s="78">
        <f>VLOOKUP($B$3,'Data for Bill Impacts'!$A$3:$Y$39,24,0)</f>
        <v>1.8483000000000001</v>
      </c>
      <c r="G22" s="22">
        <f>E22*F22</f>
        <v>110.898</v>
      </c>
      <c r="H22" s="22">
        <f t="shared" si="3"/>
        <v>-41.825999999999993</v>
      </c>
      <c r="I22" s="23">
        <f t="shared" ref="I22:I36" si="8">IF(ISERROR(H22/ABS(D22)),"N/A",(H22/ABS(D22)))</f>
        <v>-0.27386658285534687</v>
      </c>
      <c r="J22" s="124">
        <f t="shared" si="1"/>
        <v>4.1670427977530608E-2</v>
      </c>
    </row>
    <row r="23" spans="1:10" s="1" customFormat="1" x14ac:dyDescent="0.2">
      <c r="A23" s="107" t="s">
        <v>41</v>
      </c>
      <c r="B23" s="73">
        <f>C5</f>
        <v>60</v>
      </c>
      <c r="C23" s="125">
        <f>VLOOKUP($C$3,'Data for Bill Impacts'!$A$3:$Y$39,16,0)</f>
        <v>1.2384999999999999</v>
      </c>
      <c r="D23" s="22">
        <f>B23*C23</f>
        <v>74.31</v>
      </c>
      <c r="E23" s="73">
        <f>B5</f>
        <v>60</v>
      </c>
      <c r="F23" s="78">
        <f>VLOOKUP($B$3,'Data for Bill Impacts'!$A$3:$Y$39,25,0)</f>
        <v>1.5101</v>
      </c>
      <c r="G23" s="22">
        <f>E23*F23</f>
        <v>90.605999999999995</v>
      </c>
      <c r="H23" s="22">
        <f t="shared" si="3"/>
        <v>16.295999999999992</v>
      </c>
      <c r="I23" s="23">
        <f t="shared" si="8"/>
        <v>0.21929753734356064</v>
      </c>
      <c r="J23" s="124">
        <f t="shared" si="1"/>
        <v>3.4045616668759923E-2</v>
      </c>
    </row>
    <row r="24" spans="1:10" x14ac:dyDescent="0.2">
      <c r="A24" s="110" t="s">
        <v>76</v>
      </c>
      <c r="B24" s="74"/>
      <c r="C24" s="35"/>
      <c r="D24" s="35">
        <f>SUM(D22:D23)</f>
        <v>227.03399999999999</v>
      </c>
      <c r="E24" s="73"/>
      <c r="F24" s="35"/>
      <c r="G24" s="35">
        <f>SUM(G22:G23)</f>
        <v>201.50399999999999</v>
      </c>
      <c r="H24" s="35">
        <f t="shared" si="3"/>
        <v>-25.53</v>
      </c>
      <c r="I24" s="36">
        <f t="shared" si="8"/>
        <v>-0.11245011760353076</v>
      </c>
      <c r="J24" s="111">
        <f t="shared" si="1"/>
        <v>7.5716044646290531E-2</v>
      </c>
    </row>
    <row r="25" spans="1:10" s="1" customFormat="1" x14ac:dyDescent="0.2">
      <c r="A25" s="110" t="s">
        <v>80</v>
      </c>
      <c r="B25" s="74"/>
      <c r="C25" s="35"/>
      <c r="D25" s="35">
        <f>D21+D24</f>
        <v>721.38800000000003</v>
      </c>
      <c r="E25" s="73"/>
      <c r="F25" s="35"/>
      <c r="G25" s="35">
        <f>G21+G24</f>
        <v>717.73</v>
      </c>
      <c r="H25" s="35">
        <f t="shared" si="3"/>
        <v>-3.6580000000000155</v>
      </c>
      <c r="I25" s="36">
        <f t="shared" si="8"/>
        <v>-5.0707802181350608E-3</v>
      </c>
      <c r="J25" s="111">
        <f t="shared" si="1"/>
        <v>0.26969031247013509</v>
      </c>
    </row>
    <row r="26" spans="1:10" x14ac:dyDescent="0.2">
      <c r="A26" s="107" t="s">
        <v>42</v>
      </c>
      <c r="B26" s="73">
        <f>$C$9</f>
        <v>15846</v>
      </c>
      <c r="C26" s="34">
        <v>3.5999999999999999E-3</v>
      </c>
      <c r="D26" s="22">
        <f>B26*C26</f>
        <v>57.0456</v>
      </c>
      <c r="E26" s="73">
        <f>$B$9</f>
        <v>15844.5</v>
      </c>
      <c r="F26" s="34">
        <v>3.5999999999999999E-3</v>
      </c>
      <c r="G26" s="22">
        <f>E26*F26</f>
        <v>57.040199999999999</v>
      </c>
      <c r="H26" s="22">
        <f t="shared" si="3"/>
        <v>-5.4000000000016257E-3</v>
      </c>
      <c r="I26" s="23">
        <f t="shared" si="8"/>
        <v>-9.4661113214719901E-5</v>
      </c>
      <c r="J26" s="124">
        <f t="shared" si="1"/>
        <v>2.1433114627170385E-2</v>
      </c>
    </row>
    <row r="27" spans="1:10" x14ac:dyDescent="0.2">
      <c r="A27" s="107" t="s">
        <v>43</v>
      </c>
      <c r="B27" s="73">
        <f>$C$9</f>
        <v>15846</v>
      </c>
      <c r="C27" s="34">
        <v>2.0999999999999999E-3</v>
      </c>
      <c r="D27" s="22">
        <f>B27*C27</f>
        <v>33.276599999999995</v>
      </c>
      <c r="E27" s="73">
        <f>$B$9</f>
        <v>15844.5</v>
      </c>
      <c r="F27" s="34">
        <v>2.0999999999999999E-3</v>
      </c>
      <c r="G27" s="22">
        <f>E27*F27</f>
        <v>33.273449999999997</v>
      </c>
      <c r="H27" s="22">
        <f>G27-D27</f>
        <v>-3.1499999999979877E-3</v>
      </c>
      <c r="I27" s="23">
        <f t="shared" si="8"/>
        <v>-9.4661113214630955E-5</v>
      </c>
      <c r="J27" s="124">
        <f t="shared" si="1"/>
        <v>1.2502650199182723E-2</v>
      </c>
    </row>
    <row r="28" spans="1:10" x14ac:dyDescent="0.2">
      <c r="A28" s="107" t="s">
        <v>100</v>
      </c>
      <c r="B28" s="73">
        <f>$C$9</f>
        <v>15846</v>
      </c>
      <c r="C28" s="34">
        <v>0</v>
      </c>
      <c r="D28" s="22">
        <f>B28*C28</f>
        <v>0</v>
      </c>
      <c r="E28" s="73">
        <f>$B$9</f>
        <v>15844.5</v>
      </c>
      <c r="F28" s="34">
        <v>0</v>
      </c>
      <c r="G28" s="22">
        <f>E28*F28</f>
        <v>0</v>
      </c>
      <c r="H28" s="22">
        <f>G28-D28</f>
        <v>0</v>
      </c>
      <c r="I28" s="23" t="str">
        <f t="shared" si="8"/>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si="1"/>
        <v>9.3938637255700297E-5</v>
      </c>
    </row>
    <row r="30" spans="1:10" x14ac:dyDescent="0.2">
      <c r="A30" s="110" t="s">
        <v>45</v>
      </c>
      <c r="B30" s="74"/>
      <c r="C30" s="35"/>
      <c r="D30" s="35">
        <f>SUM(D26:D29)</f>
        <v>90.572199999999995</v>
      </c>
      <c r="E30" s="73"/>
      <c r="F30" s="35"/>
      <c r="G30" s="35">
        <f>SUM(G26:G29)</f>
        <v>90.563649999999996</v>
      </c>
      <c r="H30" s="35">
        <f t="shared" si="3"/>
        <v>-8.5499999999996135E-3</v>
      </c>
      <c r="I30" s="36">
        <f t="shared" si="8"/>
        <v>-9.4399826878441886E-5</v>
      </c>
      <c r="J30" s="111">
        <f t="shared" si="1"/>
        <v>3.4029703463608806E-2</v>
      </c>
    </row>
    <row r="31" spans="1:10" ht="13.5" thickBot="1" x14ac:dyDescent="0.25">
      <c r="A31" s="112" t="s">
        <v>46</v>
      </c>
      <c r="B31" s="113">
        <f>B4</f>
        <v>15000</v>
      </c>
      <c r="C31" s="114">
        <v>7.0000000000000001E-3</v>
      </c>
      <c r="D31" s="115">
        <f>B31*C31</f>
        <v>105</v>
      </c>
      <c r="E31" s="116">
        <f t="shared" si="4"/>
        <v>15000</v>
      </c>
      <c r="F31" s="114">
        <f>C31</f>
        <v>7.0000000000000001E-3</v>
      </c>
      <c r="G31" s="115">
        <f>E31*F31</f>
        <v>105</v>
      </c>
      <c r="H31" s="115">
        <f t="shared" si="3"/>
        <v>0</v>
      </c>
      <c r="I31" s="117">
        <f t="shared" si="8"/>
        <v>0</v>
      </c>
      <c r="J31" s="118">
        <f t="shared" si="1"/>
        <v>3.9454227647394126E-2</v>
      </c>
    </row>
    <row r="32" spans="1:10" x14ac:dyDescent="0.2">
      <c r="A32" s="37" t="s">
        <v>146</v>
      </c>
      <c r="B32" s="38"/>
      <c r="C32" s="39"/>
      <c r="D32" s="39">
        <f>SUM(D15,D21,D24,D30,D31)</f>
        <v>2358.9461999999999</v>
      </c>
      <c r="E32" s="38"/>
      <c r="F32" s="39"/>
      <c r="G32" s="39">
        <f>SUM(G15,G21,G24,G30,G31)</f>
        <v>2355.1431499999999</v>
      </c>
      <c r="H32" s="39">
        <f t="shared" si="3"/>
        <v>-3.8030499999999847</v>
      </c>
      <c r="I32" s="40">
        <f t="shared" si="8"/>
        <v>-1.6121817445433834E-3</v>
      </c>
      <c r="J32" s="41">
        <f t="shared" si="1"/>
        <v>0.88495575221238942</v>
      </c>
    </row>
    <row r="33" spans="1:10" x14ac:dyDescent="0.2">
      <c r="A33" s="46" t="s">
        <v>138</v>
      </c>
      <c r="B33" s="43"/>
      <c r="C33" s="26">
        <v>0.13</v>
      </c>
      <c r="D33" s="26">
        <f>D32*C33</f>
        <v>306.663006</v>
      </c>
      <c r="E33" s="26"/>
      <c r="F33" s="26">
        <f>C33</f>
        <v>0.13</v>
      </c>
      <c r="G33" s="26">
        <f>G32*F33</f>
        <v>306.1686095</v>
      </c>
      <c r="H33" s="26">
        <f t="shared" si="3"/>
        <v>-0.49439649999999347</v>
      </c>
      <c r="I33" s="44">
        <f t="shared" si="8"/>
        <v>-1.6121817445433684E-3</v>
      </c>
      <c r="J33" s="45">
        <f t="shared" si="1"/>
        <v>0.11504424778761063</v>
      </c>
    </row>
    <row r="34" spans="1:10" x14ac:dyDescent="0.2">
      <c r="A34" s="46" t="s">
        <v>139</v>
      </c>
      <c r="B34" s="24"/>
      <c r="C34" s="25"/>
      <c r="D34" s="25">
        <f>SUM(D32:D33)</f>
        <v>2665.6092060000001</v>
      </c>
      <c r="E34" s="25"/>
      <c r="F34" s="25"/>
      <c r="G34" s="25">
        <f>SUM(G32:G33)</f>
        <v>2661.3117594999999</v>
      </c>
      <c r="H34" s="25">
        <f t="shared" si="3"/>
        <v>-4.2974465000002056</v>
      </c>
      <c r="I34" s="27">
        <f t="shared" si="8"/>
        <v>-1.6121817445434669E-3</v>
      </c>
      <c r="J34" s="47">
        <f t="shared" si="1"/>
        <v>1</v>
      </c>
    </row>
    <row r="35" spans="1:10" x14ac:dyDescent="0.2">
      <c r="A35" s="46" t="s">
        <v>140</v>
      </c>
      <c r="B35" s="43"/>
      <c r="C35" s="26">
        <v>0</v>
      </c>
      <c r="D35" s="26">
        <f>D32*C35</f>
        <v>0</v>
      </c>
      <c r="E35" s="26"/>
      <c r="F35" s="26">
        <f>C35</f>
        <v>0</v>
      </c>
      <c r="G35" s="26">
        <f>G32*F35</f>
        <v>0</v>
      </c>
      <c r="H35" s="26">
        <f t="shared" si="3"/>
        <v>0</v>
      </c>
      <c r="I35" s="44" t="str">
        <f t="shared" si="8"/>
        <v>N/A</v>
      </c>
      <c r="J35" s="45">
        <f t="shared" si="1"/>
        <v>0</v>
      </c>
    </row>
    <row r="36" spans="1:10" ht="13.5" thickBot="1" x14ac:dyDescent="0.25">
      <c r="A36" s="46" t="s">
        <v>141</v>
      </c>
      <c r="B36" s="49"/>
      <c r="C36" s="50"/>
      <c r="D36" s="50">
        <f>SUM(D34:D35)</f>
        <v>2665.6092060000001</v>
      </c>
      <c r="E36" s="50"/>
      <c r="F36" s="50"/>
      <c r="G36" s="50">
        <f>SUM(G34:G35)</f>
        <v>2661.3117594999999</v>
      </c>
      <c r="H36" s="50">
        <f t="shared" si="3"/>
        <v>-4.2974465000002056</v>
      </c>
      <c r="I36" s="51">
        <f t="shared" si="8"/>
        <v>-1.6121817445434669E-3</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BreakPreview" zoomScale="110" zoomScaleNormal="100" zoomScaleSheetLayoutView="11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111</v>
      </c>
      <c r="B1" s="338"/>
      <c r="C1" s="338"/>
      <c r="D1" s="338"/>
      <c r="E1" s="338"/>
      <c r="F1" s="338"/>
      <c r="G1" s="338"/>
      <c r="H1" s="338"/>
      <c r="I1" s="338"/>
      <c r="J1" s="338"/>
      <c r="K1" s="339"/>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81">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0.2421196344775752</v>
      </c>
      <c r="K12" s="106"/>
    </row>
    <row r="13" spans="1:11" x14ac:dyDescent="0.2">
      <c r="A13" s="107" t="s">
        <v>32</v>
      </c>
      <c r="B13" s="73">
        <f>IF(B4&gt;B7,(B4)-B7,0)</f>
        <v>800</v>
      </c>
      <c r="C13" s="21">
        <v>0.106</v>
      </c>
      <c r="D13" s="22">
        <f>B13*C13</f>
        <v>84.8</v>
      </c>
      <c r="E13" s="73">
        <f t="shared" ref="E13" si="1">B13</f>
        <v>800</v>
      </c>
      <c r="F13" s="21">
        <f>C13</f>
        <v>0.106</v>
      </c>
      <c r="G13" s="22">
        <f>E13*F13</f>
        <v>84.8</v>
      </c>
      <c r="H13" s="22">
        <f t="shared" ref="H13:H46" si="2">G13-D13</f>
        <v>0</v>
      </c>
      <c r="I13" s="23">
        <f t="shared" si="0"/>
        <v>0</v>
      </c>
      <c r="J13" s="23">
        <f>G13/$G$46</f>
        <v>0.37603928578202156</v>
      </c>
      <c r="K13" s="108"/>
    </row>
    <row r="14" spans="1:11" s="1" customFormat="1" x14ac:dyDescent="0.2">
      <c r="A14" s="46" t="s">
        <v>33</v>
      </c>
      <c r="B14" s="24"/>
      <c r="C14" s="25"/>
      <c r="D14" s="25">
        <f>SUM(D12:D13)</f>
        <v>139.4</v>
      </c>
      <c r="E14" s="76"/>
      <c r="F14" s="25"/>
      <c r="G14" s="25">
        <f>SUM(G12:G13)</f>
        <v>139.4</v>
      </c>
      <c r="H14" s="25">
        <f t="shared" si="2"/>
        <v>0</v>
      </c>
      <c r="I14" s="27">
        <f t="shared" si="0"/>
        <v>0</v>
      </c>
      <c r="J14" s="27">
        <f>G14/$G$46</f>
        <v>0.61815892025959684</v>
      </c>
      <c r="K14" s="108"/>
    </row>
    <row r="15" spans="1:11" s="1" customFormat="1" x14ac:dyDescent="0.2">
      <c r="A15" s="109" t="s">
        <v>34</v>
      </c>
      <c r="B15" s="75">
        <f>B4*0.65</f>
        <v>910</v>
      </c>
      <c r="C15" s="28">
        <v>7.6999999999999999E-2</v>
      </c>
      <c r="D15" s="22">
        <f>B15*C15</f>
        <v>70.069999999999993</v>
      </c>
      <c r="E15" s="73">
        <f t="shared" ref="E15:F17" si="3">B15</f>
        <v>910</v>
      </c>
      <c r="F15" s="28">
        <f t="shared" si="3"/>
        <v>7.6999999999999999E-2</v>
      </c>
      <c r="G15" s="22">
        <f>E15*F15</f>
        <v>70.069999999999993</v>
      </c>
      <c r="H15" s="22">
        <f t="shared" si="2"/>
        <v>0</v>
      </c>
      <c r="I15" s="23">
        <f t="shared" si="0"/>
        <v>0</v>
      </c>
      <c r="J15" s="23"/>
      <c r="K15" s="108">
        <f t="shared" ref="K15:K26" si="4">G15/$G$51</f>
        <v>0.31594057431128414</v>
      </c>
    </row>
    <row r="16" spans="1:11" s="1" customFormat="1" x14ac:dyDescent="0.2">
      <c r="A16" s="109" t="s">
        <v>35</v>
      </c>
      <c r="B16" s="75">
        <f>B4*0.17</f>
        <v>238.00000000000003</v>
      </c>
      <c r="C16" s="28">
        <v>0.113</v>
      </c>
      <c r="D16" s="22">
        <f>B16*C16</f>
        <v>26.894000000000005</v>
      </c>
      <c r="E16" s="73">
        <f t="shared" si="3"/>
        <v>238.00000000000003</v>
      </c>
      <c r="F16" s="28">
        <f t="shared" si="3"/>
        <v>0.113</v>
      </c>
      <c r="G16" s="22">
        <f>E16*F16</f>
        <v>26.894000000000005</v>
      </c>
      <c r="H16" s="22">
        <f t="shared" si="2"/>
        <v>0</v>
      </c>
      <c r="I16" s="23">
        <f t="shared" si="0"/>
        <v>0</v>
      </c>
      <c r="J16" s="23"/>
      <c r="K16" s="108">
        <f t="shared" si="4"/>
        <v>0.12126310554485055</v>
      </c>
    </row>
    <row r="17" spans="1:11" s="1" customFormat="1" x14ac:dyDescent="0.2">
      <c r="A17" s="109" t="s">
        <v>36</v>
      </c>
      <c r="B17" s="75">
        <f>B4*0.18</f>
        <v>252</v>
      </c>
      <c r="C17" s="28">
        <v>0.157</v>
      </c>
      <c r="D17" s="22">
        <f>B17*C17</f>
        <v>39.564</v>
      </c>
      <c r="E17" s="73">
        <f t="shared" si="3"/>
        <v>252</v>
      </c>
      <c r="F17" s="28">
        <f t="shared" si="3"/>
        <v>0.157</v>
      </c>
      <c r="G17" s="22">
        <f>E17*F17</f>
        <v>39.564</v>
      </c>
      <c r="H17" s="22">
        <f t="shared" si="2"/>
        <v>0</v>
      </c>
      <c r="I17" s="23">
        <f t="shared" si="0"/>
        <v>0</v>
      </c>
      <c r="J17" s="23"/>
      <c r="K17" s="108">
        <f t="shared" si="4"/>
        <v>0.17839122137935845</v>
      </c>
    </row>
    <row r="18" spans="1:11" s="1" customFormat="1" x14ac:dyDescent="0.2">
      <c r="A18" s="61" t="s">
        <v>37</v>
      </c>
      <c r="B18" s="29"/>
      <c r="C18" s="30"/>
      <c r="D18" s="30">
        <f>SUM(D15:D17)</f>
        <v>136.52799999999999</v>
      </c>
      <c r="E18" s="77"/>
      <c r="F18" s="30"/>
      <c r="G18" s="30">
        <f>SUM(G15:G17)</f>
        <v>136.52799999999999</v>
      </c>
      <c r="H18" s="31">
        <f t="shared" si="2"/>
        <v>0</v>
      </c>
      <c r="I18" s="32">
        <f t="shared" si="0"/>
        <v>0</v>
      </c>
      <c r="J18" s="33">
        <f t="shared" ref="J18:J23" si="5">G18/$G$46</f>
        <v>0.60542325010905473</v>
      </c>
      <c r="K18" s="62">
        <f t="shared" si="4"/>
        <v>0.6155949012354931</v>
      </c>
    </row>
    <row r="19" spans="1:11" x14ac:dyDescent="0.2">
      <c r="A19" s="107" t="s">
        <v>38</v>
      </c>
      <c r="B19" s="73">
        <v>1</v>
      </c>
      <c r="C19" s="78">
        <f>VLOOKUP($B$3,'Data for Bill Impacts'!$A$3:$Y$15,7,0)</f>
        <v>35.85</v>
      </c>
      <c r="D19" s="22">
        <f>B19*C19</f>
        <v>35.85</v>
      </c>
      <c r="E19" s="73">
        <f t="shared" ref="E19:E41" si="6">B19</f>
        <v>1</v>
      </c>
      <c r="F19" s="78">
        <f>VLOOKUP($B$3,'Data for Bill Impacts'!$A$3:$Y$15,17,0)</f>
        <v>36.67</v>
      </c>
      <c r="G19" s="22">
        <f>E19*F19</f>
        <v>36.67</v>
      </c>
      <c r="H19" s="22">
        <f t="shared" si="2"/>
        <v>0.82000000000000028</v>
      </c>
      <c r="I19" s="23">
        <f>IF(ISERROR(H19/ABS(D19)),"N/A",(H19/ABS(D19)))</f>
        <v>2.2873082287308236E-2</v>
      </c>
      <c r="J19" s="23">
        <f t="shared" si="5"/>
        <v>0.16261038454748505</v>
      </c>
      <c r="K19" s="108">
        <f t="shared" si="4"/>
        <v>0.16534238418716699</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7.0000000000000001E-3</v>
      </c>
      <c r="D22" s="22">
        <f t="shared" si="9"/>
        <v>7.0000000000000001E-3</v>
      </c>
      <c r="E22" s="73">
        <f t="shared" si="6"/>
        <v>1</v>
      </c>
      <c r="F22" s="121">
        <f>VLOOKUP($B$3,'Data for Bill Impacts'!$A$3:$Y$15,22,0)</f>
        <v>7.0000000000000001E-3</v>
      </c>
      <c r="G22" s="22">
        <f t="shared" si="7"/>
        <v>7.0000000000000001E-3</v>
      </c>
      <c r="H22" s="22">
        <f t="shared" si="2"/>
        <v>0</v>
      </c>
      <c r="I22" s="23">
        <f t="shared" ref="I22:I51" si="10">IF(ISERROR(H22/ABS(D22)),"N/A",(H22/ABS(D22)))</f>
        <v>0</v>
      </c>
      <c r="J22" s="23">
        <f t="shared" si="5"/>
        <v>3.1040978779176307E-5</v>
      </c>
      <c r="K22" s="108">
        <f t="shared" si="4"/>
        <v>3.1562494936192223E-5</v>
      </c>
    </row>
    <row r="23" spans="1:11" x14ac:dyDescent="0.2">
      <c r="A23" s="107" t="s">
        <v>39</v>
      </c>
      <c r="B23" s="73">
        <f>IF($B$9="kWh",$B$4,$B$5)</f>
        <v>1400</v>
      </c>
      <c r="C23" s="125">
        <f>VLOOKUP($B$3,'Data for Bill Impacts'!$A$3:$Y$15,10,0)</f>
        <v>0</v>
      </c>
      <c r="D23" s="22">
        <f>B23*C23</f>
        <v>0</v>
      </c>
      <c r="E23" s="73">
        <f t="shared" si="6"/>
        <v>1400</v>
      </c>
      <c r="F23" s="125">
        <f>VLOOKUP($B$3,'Data for Bill Impacts'!$A$3:$Y$15,19,0)</f>
        <v>0</v>
      </c>
      <c r="G23" s="22">
        <f>E23*F23</f>
        <v>0</v>
      </c>
      <c r="H23" s="22">
        <f t="shared" si="2"/>
        <v>0</v>
      </c>
      <c r="I23" s="23" t="str">
        <f t="shared" si="10"/>
        <v>N/A</v>
      </c>
      <c r="J23" s="23">
        <f t="shared" si="5"/>
        <v>0</v>
      </c>
      <c r="K23" s="108">
        <f t="shared" si="4"/>
        <v>0</v>
      </c>
    </row>
    <row r="24" spans="1:11" x14ac:dyDescent="0.2">
      <c r="A24" s="107" t="s">
        <v>199</v>
      </c>
      <c r="B24" s="73">
        <f>IF($B$9="kWh",$B$4,$B$5)</f>
        <v>1400</v>
      </c>
      <c r="C24" s="125">
        <f>VLOOKUP($B$3,'Data for Bill Impacts'!$A$3:$Y$15,14,0)</f>
        <v>3.0000000000000004E-5</v>
      </c>
      <c r="D24" s="22">
        <f>B24*C24</f>
        <v>4.2000000000000003E-2</v>
      </c>
      <c r="E24" s="73">
        <f t="shared" si="6"/>
        <v>1400</v>
      </c>
      <c r="F24" s="125">
        <f>VLOOKUP($B$3,'Data for Bill Impacts'!$A$3:$Y$15,23,0)</f>
        <v>3.0000000000000004E-5</v>
      </c>
      <c r="G24" s="22">
        <f>E24*F24</f>
        <v>4.2000000000000003E-2</v>
      </c>
      <c r="H24" s="22">
        <f t="shared" si="2"/>
        <v>0</v>
      </c>
      <c r="I24" s="23">
        <f t="shared" si="10"/>
        <v>0</v>
      </c>
      <c r="J24" s="23">
        <f t="shared" ref="J24" si="11">G24/$G$46</f>
        <v>1.8624587267505787E-4</v>
      </c>
      <c r="K24" s="108">
        <f t="shared" si="4"/>
        <v>1.8937496961715335E-4</v>
      </c>
    </row>
    <row r="25" spans="1:11" s="1" customFormat="1" x14ac:dyDescent="0.2">
      <c r="A25" s="110" t="s">
        <v>72</v>
      </c>
      <c r="B25" s="74"/>
      <c r="C25" s="35"/>
      <c r="D25" s="35">
        <f>SUM(D19:D24)</f>
        <v>35.899000000000001</v>
      </c>
      <c r="E25" s="73"/>
      <c r="F25" s="35"/>
      <c r="G25" s="35">
        <f>SUM(G19:G24)</f>
        <v>36.719000000000001</v>
      </c>
      <c r="H25" s="35">
        <f t="shared" si="2"/>
        <v>0.82000000000000028</v>
      </c>
      <c r="I25" s="36">
        <f t="shared" si="10"/>
        <v>2.2841861890303357E-2</v>
      </c>
      <c r="J25" s="36">
        <f>G25/$G$46</f>
        <v>0.16282767139893928</v>
      </c>
      <c r="K25" s="111">
        <f t="shared" si="4"/>
        <v>0.16556332165172033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3.5031961765070408E-3</v>
      </c>
      <c r="K26" s="108">
        <f t="shared" si="4"/>
        <v>3.5620529999416941E-3</v>
      </c>
    </row>
    <row r="27" spans="1:11" s="1" customFormat="1" x14ac:dyDescent="0.2">
      <c r="A27" s="119" t="s">
        <v>75</v>
      </c>
      <c r="B27" s="120">
        <f>B8-B4</f>
        <v>79.799999999999955</v>
      </c>
      <c r="C27" s="257">
        <f>IF(B4&gt;B7,C13,C12)</f>
        <v>0.106</v>
      </c>
      <c r="D27" s="22">
        <f>B27*C27</f>
        <v>8.4587999999999948</v>
      </c>
      <c r="E27" s="73">
        <f>B27</f>
        <v>79.799999999999955</v>
      </c>
      <c r="F27" s="257">
        <f>C27</f>
        <v>0.106</v>
      </c>
      <c r="G27" s="22">
        <f>E27*F27</f>
        <v>8.4587999999999948</v>
      </c>
      <c r="H27" s="22">
        <f t="shared" si="2"/>
        <v>0</v>
      </c>
      <c r="I27" s="23">
        <f t="shared" si="10"/>
        <v>0</v>
      </c>
      <c r="J27" s="23">
        <f t="shared" ref="J27:J46" si="12">G27/$G$46</f>
        <v>3.7509918756756626E-2</v>
      </c>
      <c r="K27" s="108">
        <f t="shared" ref="K27:K41" si="13">G27/$G$51</f>
        <v>3.8140118880894656E-2</v>
      </c>
    </row>
    <row r="28" spans="1:11" s="1" customFormat="1" x14ac:dyDescent="0.2">
      <c r="A28" s="119" t="s">
        <v>74</v>
      </c>
      <c r="B28" s="120">
        <f>B8-B4</f>
        <v>79.799999999999955</v>
      </c>
      <c r="C28" s="257">
        <f>0.65*C15+0.17*C16+0.18*C17</f>
        <v>9.7519999999999996E-2</v>
      </c>
      <c r="D28" s="22">
        <f>B28*C28</f>
        <v>7.7820959999999948</v>
      </c>
      <c r="E28" s="73">
        <f>B28</f>
        <v>79.799999999999955</v>
      </c>
      <c r="F28" s="257">
        <f>C28</f>
        <v>9.7519999999999996E-2</v>
      </c>
      <c r="G28" s="22">
        <f>E28*F28</f>
        <v>7.7820959999999948</v>
      </c>
      <c r="H28" s="22">
        <f t="shared" si="2"/>
        <v>0</v>
      </c>
      <c r="I28" s="23">
        <f t="shared" si="10"/>
        <v>0</v>
      </c>
      <c r="J28" s="23">
        <f t="shared" si="12"/>
        <v>3.4509125256216099E-2</v>
      </c>
      <c r="K28" s="108">
        <f t="shared" si="13"/>
        <v>3.5088909370423083E-2</v>
      </c>
    </row>
    <row r="29" spans="1:11" s="1" customFormat="1" x14ac:dyDescent="0.2">
      <c r="A29" s="110" t="s">
        <v>78</v>
      </c>
      <c r="B29" s="74"/>
      <c r="C29" s="35"/>
      <c r="D29" s="35">
        <f>SUM(D25,D26:D27)</f>
        <v>45.147799999999997</v>
      </c>
      <c r="E29" s="73"/>
      <c r="F29" s="35"/>
      <c r="G29" s="35">
        <f>SUM(G25,G26:G27)</f>
        <v>45.967799999999997</v>
      </c>
      <c r="H29" s="35">
        <f t="shared" si="2"/>
        <v>0.82000000000000028</v>
      </c>
      <c r="I29" s="36">
        <f t="shared" si="10"/>
        <v>1.8162568275752092E-2</v>
      </c>
      <c r="J29" s="36">
        <f t="shared" si="12"/>
        <v>0.20384078633220296</v>
      </c>
      <c r="K29" s="111">
        <f t="shared" si="13"/>
        <v>0.20726549353255669</v>
      </c>
    </row>
    <row r="30" spans="1:11" s="1" customFormat="1" x14ac:dyDescent="0.2">
      <c r="A30" s="110" t="s">
        <v>77</v>
      </c>
      <c r="B30" s="74"/>
      <c r="C30" s="35"/>
      <c r="D30" s="35">
        <f>SUM(D25,D26,D28)</f>
        <v>44.471095999999996</v>
      </c>
      <c r="E30" s="73"/>
      <c r="F30" s="35"/>
      <c r="G30" s="35">
        <f>SUM(G25,G26,G28)</f>
        <v>45.291095999999996</v>
      </c>
      <c r="H30" s="35">
        <f t="shared" si="2"/>
        <v>0.82000000000000028</v>
      </c>
      <c r="I30" s="36">
        <f t="shared" si="10"/>
        <v>1.8438942903498495E-2</v>
      </c>
      <c r="J30" s="36">
        <f t="shared" si="12"/>
        <v>0.2008399928316624</v>
      </c>
      <c r="K30" s="111">
        <f t="shared" si="13"/>
        <v>0.20421428402208511</v>
      </c>
    </row>
    <row r="31" spans="1:11" x14ac:dyDescent="0.2">
      <c r="A31" s="107" t="s">
        <v>40</v>
      </c>
      <c r="B31" s="73">
        <f>B8</f>
        <v>1479.8</v>
      </c>
      <c r="C31" s="125">
        <f>VLOOKUP($B$3,'Data for Bill Impacts'!$A$3:$Y$15,15,0)</f>
        <v>7.8279999999999999E-3</v>
      </c>
      <c r="D31" s="22">
        <f>B31*C31</f>
        <v>11.583874399999999</v>
      </c>
      <c r="E31" s="73">
        <f t="shared" si="6"/>
        <v>1479.8</v>
      </c>
      <c r="F31" s="78">
        <f>VLOOKUP($B$3,'Data for Bill Impacts'!$A$3:$Y$15,24,0)</f>
        <v>7.7000000000000002E-3</v>
      </c>
      <c r="G31" s="22">
        <f>E31*F31</f>
        <v>11.39446</v>
      </c>
      <c r="H31" s="22">
        <f t="shared" si="2"/>
        <v>-0.18941439999999865</v>
      </c>
      <c r="I31" s="23">
        <f t="shared" si="10"/>
        <v>-1.635155850792017E-2</v>
      </c>
      <c r="J31" s="23">
        <f t="shared" si="12"/>
        <v>5.0527884437167617E-2</v>
      </c>
      <c r="K31" s="108">
        <f t="shared" si="13"/>
        <v>5.1376798007234978E-2</v>
      </c>
    </row>
    <row r="32" spans="1:11" x14ac:dyDescent="0.2">
      <c r="A32" s="107" t="s">
        <v>41</v>
      </c>
      <c r="B32" s="73">
        <f>B8</f>
        <v>1479.8</v>
      </c>
      <c r="C32" s="125">
        <f>VLOOKUP($B$3,'Data for Bill Impacts'!$A$3:$Y$15,16,0)</f>
        <v>6.4380000000000001E-3</v>
      </c>
      <c r="D32" s="22">
        <f>B32*C32</f>
        <v>9.5269524000000008</v>
      </c>
      <c r="E32" s="73">
        <f t="shared" si="6"/>
        <v>1479.8</v>
      </c>
      <c r="F32" s="78">
        <f>VLOOKUP($B$3,'Data for Bill Impacts'!$A$3:$Y$15,25,0)</f>
        <v>6.3E-3</v>
      </c>
      <c r="G32" s="22">
        <f>E32*F32</f>
        <v>9.3227399999999996</v>
      </c>
      <c r="H32" s="22">
        <f t="shared" si="2"/>
        <v>-0.20421240000000118</v>
      </c>
      <c r="I32" s="23">
        <f t="shared" si="10"/>
        <v>-2.1435228331780177E-2</v>
      </c>
      <c r="J32" s="23">
        <f t="shared" si="12"/>
        <v>4.134099635768259E-2</v>
      </c>
      <c r="K32" s="108">
        <f t="shared" si="13"/>
        <v>4.2035562005919527E-2</v>
      </c>
    </row>
    <row r="33" spans="1:11" s="1" customFormat="1" x14ac:dyDescent="0.2">
      <c r="A33" s="110" t="s">
        <v>76</v>
      </c>
      <c r="B33" s="74"/>
      <c r="C33" s="35"/>
      <c r="D33" s="35">
        <f>SUM(D31:D32)</f>
        <v>21.110826799999998</v>
      </c>
      <c r="E33" s="73"/>
      <c r="F33" s="35"/>
      <c r="G33" s="35">
        <f>SUM(G31:G32)</f>
        <v>20.717199999999998</v>
      </c>
      <c r="H33" s="35">
        <f t="shared" si="2"/>
        <v>-0.39362679999999983</v>
      </c>
      <c r="I33" s="36">
        <f t="shared" si="10"/>
        <v>-1.8645731108930318E-2</v>
      </c>
      <c r="J33" s="36">
        <f t="shared" si="12"/>
        <v>9.18688807948502E-2</v>
      </c>
      <c r="K33" s="111">
        <f t="shared" si="13"/>
        <v>9.3412360013154491E-2</v>
      </c>
    </row>
    <row r="34" spans="1:11" s="1" customFormat="1" x14ac:dyDescent="0.2">
      <c r="A34" s="110" t="s">
        <v>95</v>
      </c>
      <c r="B34" s="74"/>
      <c r="C34" s="35"/>
      <c r="D34" s="35">
        <f>D29+D33</f>
        <v>66.258626800000002</v>
      </c>
      <c r="E34" s="73"/>
      <c r="F34" s="35"/>
      <c r="G34" s="35">
        <f>G29+G33</f>
        <v>66.685000000000002</v>
      </c>
      <c r="H34" s="35">
        <f t="shared" si="2"/>
        <v>0.42637320000000045</v>
      </c>
      <c r="I34" s="36">
        <f t="shared" si="10"/>
        <v>6.4349839498937583E-3</v>
      </c>
      <c r="J34" s="36">
        <f t="shared" si="12"/>
        <v>0.29570966712705316</v>
      </c>
      <c r="K34" s="111">
        <f t="shared" si="13"/>
        <v>0.30067785354571119</v>
      </c>
    </row>
    <row r="35" spans="1:11" s="1" customFormat="1" x14ac:dyDescent="0.2">
      <c r="A35" s="110" t="s">
        <v>96</v>
      </c>
      <c r="B35" s="74"/>
      <c r="C35" s="35"/>
      <c r="D35" s="35">
        <f>D30+D33</f>
        <v>65.581922800000001</v>
      </c>
      <c r="E35" s="73"/>
      <c r="F35" s="35"/>
      <c r="G35" s="35">
        <f>G30+G33</f>
        <v>66.008296000000001</v>
      </c>
      <c r="H35" s="35">
        <f t="shared" si="2"/>
        <v>0.42637320000000045</v>
      </c>
      <c r="I35" s="36">
        <f t="shared" si="10"/>
        <v>6.5013830305079194E-3</v>
      </c>
      <c r="J35" s="36">
        <f t="shared" si="12"/>
        <v>0.29270887362651266</v>
      </c>
      <c r="K35" s="111">
        <f t="shared" si="13"/>
        <v>0.29762664403523964</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2"/>
        <v>0</v>
      </c>
      <c r="I36" s="23">
        <f t="shared" si="10"/>
        <v>0</v>
      </c>
      <c r="J36" s="23">
        <f t="shared" si="12"/>
        <v>2.3623426490104339E-2</v>
      </c>
      <c r="K36" s="108">
        <f t="shared" si="13"/>
        <v>2.4020321146239729E-2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10"/>
        <v>0</v>
      </c>
      <c r="J37" s="23">
        <f t="shared" si="12"/>
        <v>1.3780332119227528E-2</v>
      </c>
      <c r="K37" s="108">
        <f t="shared" si="13"/>
        <v>1.4011854001973174E-2</v>
      </c>
    </row>
    <row r="38" spans="1:11" x14ac:dyDescent="0.2">
      <c r="A38" s="107" t="s">
        <v>100</v>
      </c>
      <c r="B38" s="73">
        <f>B8</f>
        <v>1479.8</v>
      </c>
      <c r="C38" s="34">
        <v>0</v>
      </c>
      <c r="D38" s="22">
        <f>B38*C38</f>
        <v>0</v>
      </c>
      <c r="E38" s="73">
        <f t="shared" si="6"/>
        <v>1479.8</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1.1086063849705824E-3</v>
      </c>
      <c r="K39" s="108">
        <f t="shared" si="13"/>
        <v>1.127231962006865E-3</v>
      </c>
    </row>
    <row r="40" spans="1:11" s="1" customFormat="1" x14ac:dyDescent="0.2">
      <c r="A40" s="110" t="s">
        <v>45</v>
      </c>
      <c r="B40" s="74"/>
      <c r="C40" s="35"/>
      <c r="D40" s="35">
        <f>SUM(D36:D39)</f>
        <v>8.6848600000000005</v>
      </c>
      <c r="E40" s="73"/>
      <c r="F40" s="35"/>
      <c r="G40" s="35">
        <f>SUM(G36:G39)</f>
        <v>8.6848600000000005</v>
      </c>
      <c r="H40" s="35">
        <f t="shared" si="2"/>
        <v>0</v>
      </c>
      <c r="I40" s="36">
        <f t="shared" si="10"/>
        <v>0</v>
      </c>
      <c r="J40" s="36">
        <f t="shared" si="12"/>
        <v>3.8512364994302453E-2</v>
      </c>
      <c r="K40" s="111">
        <f t="shared" si="13"/>
        <v>3.9159407110219771E-2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214.34348679999999</v>
      </c>
      <c r="E42" s="38"/>
      <c r="F42" s="39"/>
      <c r="G42" s="39">
        <f>SUM(G14,G25,G26,G27,G33,G40,G41)</f>
        <v>214.76985999999999</v>
      </c>
      <c r="H42" s="39">
        <f t="shared" si="2"/>
        <v>0.42637320000000045</v>
      </c>
      <c r="I42" s="40">
        <f t="shared" si="10"/>
        <v>1.9892053001724355E-3</v>
      </c>
      <c r="J42" s="40">
        <f t="shared" si="12"/>
        <v>0.95238095238095233</v>
      </c>
      <c r="K42" s="41"/>
    </row>
    <row r="43" spans="1:11" x14ac:dyDescent="0.2">
      <c r="A43" s="149" t="s">
        <v>138</v>
      </c>
      <c r="B43" s="43"/>
      <c r="C43" s="26">
        <v>0.13</v>
      </c>
      <c r="D43" s="26">
        <f>D42*C43</f>
        <v>27.864653283999999</v>
      </c>
      <c r="E43" s="26"/>
      <c r="F43" s="26">
        <f>C43</f>
        <v>0.13</v>
      </c>
      <c r="G43" s="26">
        <f>G42*F43</f>
        <v>27.920081800000002</v>
      </c>
      <c r="H43" s="26">
        <f t="shared" si="2"/>
        <v>5.5428516000002759E-2</v>
      </c>
      <c r="I43" s="44">
        <f t="shared" si="10"/>
        <v>1.9892053001725322E-3</v>
      </c>
      <c r="J43" s="44">
        <f t="shared" si="12"/>
        <v>0.12380952380952381</v>
      </c>
      <c r="K43" s="45"/>
    </row>
    <row r="44" spans="1:11" s="1" customFormat="1" x14ac:dyDescent="0.2">
      <c r="A44" s="46" t="s">
        <v>139</v>
      </c>
      <c r="B44" s="24"/>
      <c r="C44" s="25"/>
      <c r="D44" s="25">
        <f>SUM(D42:D43)</f>
        <v>242.20814008399998</v>
      </c>
      <c r="E44" s="25"/>
      <c r="F44" s="25"/>
      <c r="G44" s="25">
        <f>SUM(G42:G43)</f>
        <v>242.68994179999999</v>
      </c>
      <c r="H44" s="25">
        <f t="shared" si="2"/>
        <v>0.48180171600000676</v>
      </c>
      <c r="I44" s="27">
        <f t="shared" si="10"/>
        <v>1.9892053001724615E-3</v>
      </c>
      <c r="J44" s="27">
        <f t="shared" si="12"/>
        <v>1.0761904761904761</v>
      </c>
      <c r="K44" s="47"/>
    </row>
    <row r="45" spans="1:11" x14ac:dyDescent="0.2">
      <c r="A45" s="42" t="s">
        <v>140</v>
      </c>
      <c r="B45" s="43"/>
      <c r="C45" s="26">
        <v>-0.08</v>
      </c>
      <c r="D45" s="26">
        <f>D42*C45</f>
        <v>-17.147478944</v>
      </c>
      <c r="E45" s="26"/>
      <c r="F45" s="26">
        <f>C45</f>
        <v>-0.08</v>
      </c>
      <c r="G45" s="26">
        <f>G42*F45</f>
        <v>-17.1815888</v>
      </c>
      <c r="H45" s="26">
        <f t="shared" si="2"/>
        <v>-3.4109856000000605E-2</v>
      </c>
      <c r="I45" s="44">
        <f t="shared" si="10"/>
        <v>-1.9892053001724684E-3</v>
      </c>
      <c r="J45" s="44">
        <f t="shared" si="12"/>
        <v>-7.6190476190476197E-2</v>
      </c>
      <c r="K45" s="45"/>
    </row>
    <row r="46" spans="1:11" s="1" customFormat="1" ht="13.5" thickBot="1" x14ac:dyDescent="0.25">
      <c r="A46" s="48" t="s">
        <v>141</v>
      </c>
      <c r="B46" s="49"/>
      <c r="C46" s="50"/>
      <c r="D46" s="50">
        <f>SUM(D44:D45)</f>
        <v>225.06066113999998</v>
      </c>
      <c r="E46" s="50"/>
      <c r="F46" s="50"/>
      <c r="G46" s="50">
        <f>SUM(G44:G45)</f>
        <v>225.508353</v>
      </c>
      <c r="H46" s="50">
        <f t="shared" si="2"/>
        <v>0.44769186000002037</v>
      </c>
      <c r="I46" s="51">
        <f t="shared" si="10"/>
        <v>1.989205300172524E-3</v>
      </c>
      <c r="J46" s="51">
        <f t="shared" si="12"/>
        <v>1</v>
      </c>
      <c r="K46" s="52"/>
    </row>
    <row r="47" spans="1:11" x14ac:dyDescent="0.2">
      <c r="A47" s="53" t="s">
        <v>142</v>
      </c>
      <c r="B47" s="54"/>
      <c r="C47" s="55"/>
      <c r="D47" s="55">
        <f>SUM(D18,D25,D26,D28,D33,D40,D41)</f>
        <v>210.79478280000001</v>
      </c>
      <c r="E47" s="55"/>
      <c r="F47" s="55"/>
      <c r="G47" s="55">
        <f>SUM(G18,G25,G26,G28,G33,G40,G41)</f>
        <v>211.22115599999995</v>
      </c>
      <c r="H47" s="55">
        <f>G47-D47</f>
        <v>0.42637319999994361</v>
      </c>
      <c r="I47" s="56">
        <f t="shared" si="10"/>
        <v>2.0226933244570965E-3</v>
      </c>
      <c r="J47" s="56"/>
      <c r="K47" s="57">
        <f>G47/$G$51</f>
        <v>0.95238095238095233</v>
      </c>
    </row>
    <row r="48" spans="1:11" x14ac:dyDescent="0.2">
      <c r="A48" s="58" t="s">
        <v>138</v>
      </c>
      <c r="B48" s="59"/>
      <c r="C48" s="31">
        <v>0.13</v>
      </c>
      <c r="D48" s="31">
        <f>D47*C48</f>
        <v>27.403321764000001</v>
      </c>
      <c r="E48" s="31"/>
      <c r="F48" s="31">
        <f>C48</f>
        <v>0.13</v>
      </c>
      <c r="G48" s="31">
        <f>G47*F48</f>
        <v>27.458750279999993</v>
      </c>
      <c r="H48" s="31">
        <f>G48-D48</f>
        <v>5.5428515999992101E-2</v>
      </c>
      <c r="I48" s="32">
        <f t="shared" si="10"/>
        <v>2.0226933244570757E-3</v>
      </c>
      <c r="J48" s="32"/>
      <c r="K48" s="60">
        <f>G48/$G$51</f>
        <v>0.1238095238095238</v>
      </c>
    </row>
    <row r="49" spans="1:11" x14ac:dyDescent="0.2">
      <c r="A49" s="61" t="s">
        <v>143</v>
      </c>
      <c r="B49" s="29"/>
      <c r="C49" s="30"/>
      <c r="D49" s="30">
        <f>SUM(D47:D48)</f>
        <v>238.198104564</v>
      </c>
      <c r="E49" s="30"/>
      <c r="F49" s="30"/>
      <c r="G49" s="30">
        <f>SUM(G47:G48)</f>
        <v>238.67990627999995</v>
      </c>
      <c r="H49" s="30">
        <f>G49-D49</f>
        <v>0.48180171599994992</v>
      </c>
      <c r="I49" s="33">
        <f t="shared" si="10"/>
        <v>2.0226933244571537E-3</v>
      </c>
      <c r="J49" s="33"/>
      <c r="K49" s="62">
        <f>G49/$G$51</f>
        <v>1.0761904761904761</v>
      </c>
    </row>
    <row r="50" spans="1:11" x14ac:dyDescent="0.2">
      <c r="A50" s="58" t="s">
        <v>140</v>
      </c>
      <c r="B50" s="59"/>
      <c r="C50" s="31">
        <v>-0.08</v>
      </c>
      <c r="D50" s="31">
        <f>D47*C50</f>
        <v>-16.863582623999999</v>
      </c>
      <c r="E50" s="31"/>
      <c r="F50" s="31">
        <f>C50</f>
        <v>-0.08</v>
      </c>
      <c r="G50" s="31">
        <f>G47*F50</f>
        <v>-16.897692479999996</v>
      </c>
      <c r="H50" s="31">
        <f>G50-D50</f>
        <v>-3.4109855999997052E-2</v>
      </c>
      <c r="I50" s="32">
        <f t="shared" si="10"/>
        <v>-2.0226933244571893E-3</v>
      </c>
      <c r="J50" s="32"/>
      <c r="K50" s="60">
        <f>G50/$G$51</f>
        <v>-7.6190476190476183E-2</v>
      </c>
    </row>
    <row r="51" spans="1:11" ht="13.5" thickBot="1" x14ac:dyDescent="0.25">
      <c r="A51" s="63" t="s">
        <v>144</v>
      </c>
      <c r="B51" s="64"/>
      <c r="C51" s="65"/>
      <c r="D51" s="65">
        <f>SUM(D49:D50)</f>
        <v>221.33452194</v>
      </c>
      <c r="E51" s="65"/>
      <c r="F51" s="65"/>
      <c r="G51" s="65">
        <f>SUM(G49:G50)</f>
        <v>221.78221379999997</v>
      </c>
      <c r="H51" s="65">
        <f>G51-D51</f>
        <v>0.44769185999996353</v>
      </c>
      <c r="I51" s="66">
        <f t="shared" si="10"/>
        <v>2.0226933244571993E-3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J38"/>
  <sheetViews>
    <sheetView tabSelected="1" topLeftCell="A10" zoomScale="110" zoomScaleNormal="110" workbookViewId="0">
      <selection activeCell="N7" sqref="N7"/>
    </sheetView>
  </sheetViews>
  <sheetFormatPr defaultRowHeight="12.75" x14ac:dyDescent="0.2"/>
  <cols>
    <col min="1" max="1" width="64.85546875" bestFit="1" customWidth="1"/>
    <col min="2" max="2" width="20.7109375" bestFit="1" customWidth="1"/>
    <col min="3" max="3" width="12.710937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187</v>
      </c>
      <c r="C3" s="13" t="s">
        <v>127</v>
      </c>
    </row>
    <row r="4" spans="1:10" x14ac:dyDescent="0.2">
      <c r="A4" s="15" t="s">
        <v>62</v>
      </c>
      <c r="B4" s="79">
        <f>C4</f>
        <v>57222.704427374818</v>
      </c>
      <c r="C4" s="79">
        <f>'Data for Bill Impacts_HONI Avg '!E32</f>
        <v>57222.704427374818</v>
      </c>
    </row>
    <row r="5" spans="1:10" x14ac:dyDescent="0.2">
      <c r="A5" s="15" t="s">
        <v>16</v>
      </c>
      <c r="B5" s="79">
        <f>C5</f>
        <v>160.95335296165933</v>
      </c>
      <c r="C5" s="79">
        <f>'Data for Bill Impacts_HONI Avg '!F32</f>
        <v>160.95335296165933</v>
      </c>
    </row>
    <row r="6" spans="1:10" x14ac:dyDescent="0.2">
      <c r="A6" s="15" t="s">
        <v>20</v>
      </c>
      <c r="B6" s="211">
        <f>VLOOKUP($B$3,'Data for Bill Impacts'!$A$3:$Y$39,2,0)</f>
        <v>1.0563</v>
      </c>
      <c r="C6" s="211">
        <f>VLOOKUP($C$3,'Data for Bill Impacts'!$A$3:$Y$39,2,0)</f>
        <v>1.0564</v>
      </c>
    </row>
    <row r="7" spans="1:10" x14ac:dyDescent="0.2">
      <c r="A7" s="81" t="s">
        <v>49</v>
      </c>
      <c r="B7" s="82">
        <f>B4/(B5*730)</f>
        <v>0.4870185360943815</v>
      </c>
      <c r="C7" s="82">
        <f>C4/(C5*730)</f>
        <v>0.4870185360943815</v>
      </c>
    </row>
    <row r="8" spans="1:10" x14ac:dyDescent="0.2">
      <c r="A8" s="15" t="s">
        <v>15</v>
      </c>
      <c r="B8" s="79">
        <f>VLOOKUP($B$3,'Data for Bill Impacts'!$A$3:$Y$39,4,0)</f>
        <v>0</v>
      </c>
      <c r="C8" s="79">
        <f>VLOOKUP($C$3,'Data for Bill Impacts'!$A$3:$Y$39,4,0)</f>
        <v>0</v>
      </c>
    </row>
    <row r="9" spans="1:10" x14ac:dyDescent="0.2">
      <c r="A9" s="15" t="s">
        <v>82</v>
      </c>
      <c r="B9" s="79">
        <f>B4*B6</f>
        <v>60444.342686636024</v>
      </c>
      <c r="C9" s="79">
        <f>C4*C6</f>
        <v>60450.064957078757</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60450.064957078757</v>
      </c>
      <c r="C13" s="103">
        <v>9.0999999999999998E-2</v>
      </c>
      <c r="D13" s="104">
        <f>B13*C13</f>
        <v>5500.9559110941664</v>
      </c>
      <c r="E13" s="102">
        <f>B9</f>
        <v>60444.342686636024</v>
      </c>
      <c r="F13" s="103">
        <f>C13</f>
        <v>9.0999999999999998E-2</v>
      </c>
      <c r="G13" s="104">
        <f>E13*F13</f>
        <v>5500.4351844838784</v>
      </c>
      <c r="H13" s="104">
        <f>G13-D13</f>
        <v>-0.52072661028796574</v>
      </c>
      <c r="I13" s="105">
        <f t="shared" ref="I13:I18" si="0">IF(ISERROR(H13/ABS(D13)),"N/A",(H13/ABS(D13)))</f>
        <v>-9.4661113214483246E-5</v>
      </c>
      <c r="J13" s="123">
        <f t="shared" ref="J13:J36" si="1">G13/$G$36</f>
        <v>0.62213168000700303</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5500.9559110941664</v>
      </c>
      <c r="E15" s="76"/>
      <c r="F15" s="25"/>
      <c r="G15" s="25">
        <f>SUM(G13:G14)</f>
        <v>5500.4351844838784</v>
      </c>
      <c r="H15" s="25">
        <f t="shared" si="3"/>
        <v>-0.52072661028796574</v>
      </c>
      <c r="I15" s="27">
        <f t="shared" si="0"/>
        <v>-9.4661113214483246E-5</v>
      </c>
      <c r="J15" s="47">
        <f t="shared" si="1"/>
        <v>0.62213168000700303</v>
      </c>
    </row>
    <row r="16" spans="1:10" s="1" customFormat="1" x14ac:dyDescent="0.2">
      <c r="A16" s="107" t="s">
        <v>38</v>
      </c>
      <c r="B16" s="73">
        <v>1</v>
      </c>
      <c r="C16" s="121">
        <f>VLOOKUP($C$3,'Data for Bill Impacts'!$A$3:$Y$39,7,0)</f>
        <v>245.55</v>
      </c>
      <c r="D16" s="22">
        <f>B16*C16</f>
        <v>245.55</v>
      </c>
      <c r="E16" s="73">
        <f t="shared" ref="E16:E31" si="4">B16</f>
        <v>1</v>
      </c>
      <c r="F16" s="78">
        <f>VLOOKUP($B$3,'Data for Bill Impacts'!$A$3:$Y$39,17,0)</f>
        <v>206.23</v>
      </c>
      <c r="G16" s="22">
        <f>E16*F16</f>
        <v>206.23</v>
      </c>
      <c r="H16" s="22">
        <f t="shared" si="3"/>
        <v>-39.320000000000022</v>
      </c>
      <c r="I16" s="23">
        <f t="shared" si="0"/>
        <v>-0.16013031969049082</v>
      </c>
      <c r="J16" s="124">
        <f t="shared" si="1"/>
        <v>2.3325830059732482E-2</v>
      </c>
    </row>
    <row r="17" spans="1:10" x14ac:dyDescent="0.2">
      <c r="A17" s="107" t="s">
        <v>193</v>
      </c>
      <c r="B17" s="73">
        <v>1</v>
      </c>
      <c r="C17" s="121">
        <f>'Data for Bill Impacts'!K36</f>
        <v>-3.61</v>
      </c>
      <c r="D17" s="22">
        <f>B17*C17</f>
        <v>-3.61</v>
      </c>
      <c r="E17" s="73">
        <f t="shared" si="4"/>
        <v>1</v>
      </c>
      <c r="F17" s="121">
        <v>0</v>
      </c>
      <c r="G17" s="22">
        <f t="shared" ref="G17" si="5">E17*F17</f>
        <v>0</v>
      </c>
      <c r="H17" s="22">
        <f t="shared" si="3"/>
        <v>3.61</v>
      </c>
      <c r="I17" s="23">
        <f t="shared" si="0"/>
        <v>1</v>
      </c>
      <c r="J17" s="124">
        <f t="shared" si="1"/>
        <v>0</v>
      </c>
    </row>
    <row r="18" spans="1:10" x14ac:dyDescent="0.2">
      <c r="A18" s="107" t="s">
        <v>39</v>
      </c>
      <c r="B18" s="73">
        <f>IF($C$10="kWh",$C$4,$C$5)</f>
        <v>160.95335296165933</v>
      </c>
      <c r="C18" s="125">
        <f>VLOOKUP($C$3,'Data for Bill Impacts'!$A$3:$Y$39,10,0)</f>
        <v>3.9601999999999999</v>
      </c>
      <c r="D18" s="22">
        <f>B18*C18</f>
        <v>637.40746839876329</v>
      </c>
      <c r="E18" s="73">
        <f>B5</f>
        <v>160.95335296165933</v>
      </c>
      <c r="F18" s="125">
        <f>VLOOKUP($B$3,'Data for Bill Impacts'!$A$3:$Y$39,19,0)</f>
        <v>5.1665999999999999</v>
      </c>
      <c r="G18" s="22">
        <f>E18*F18</f>
        <v>831.58159341170904</v>
      </c>
      <c r="H18" s="22">
        <f t="shared" si="3"/>
        <v>194.17412501294575</v>
      </c>
      <c r="I18" s="23">
        <f t="shared" si="0"/>
        <v>0.3046310792384222</v>
      </c>
      <c r="J18" s="124">
        <f t="shared" si="1"/>
        <v>9.4056785766974155E-2</v>
      </c>
    </row>
    <row r="19" spans="1:10" x14ac:dyDescent="0.2">
      <c r="A19" s="107" t="s">
        <v>194</v>
      </c>
      <c r="B19" s="73">
        <f>IF($C$10="kWh",$C$4,$C$5)</f>
        <v>160.95335296165933</v>
      </c>
      <c r="C19" s="125">
        <f>'Data for Bill Impacts'!H36</f>
        <v>0.30499999999999999</v>
      </c>
      <c r="D19" s="22">
        <f>B19*C19</f>
        <v>49.090772653306097</v>
      </c>
      <c r="E19" s="73">
        <f>B5</f>
        <v>160.95335296165933</v>
      </c>
      <c r="F19" s="125">
        <v>0</v>
      </c>
      <c r="G19" s="22">
        <f>E19*F19</f>
        <v>0</v>
      </c>
      <c r="H19" s="22">
        <f t="shared" ref="H19" si="6">G19-D19</f>
        <v>-49.090772653306097</v>
      </c>
      <c r="I19" s="23">
        <f>IF(ISERROR(H19/ABS(D19)),"N/A",(H19/ABS(D19)))</f>
        <v>-1</v>
      </c>
      <c r="J19" s="124">
        <f t="shared" si="1"/>
        <v>0</v>
      </c>
    </row>
    <row r="20" spans="1:10" s="1" customFormat="1" x14ac:dyDescent="0.2">
      <c r="A20" s="107" t="s">
        <v>195</v>
      </c>
      <c r="B20" s="73">
        <f>IF($B$10="kWh",$B$4,$B$5)</f>
        <v>160.95335296165933</v>
      </c>
      <c r="C20" s="78">
        <f>'Data for Bill Impacts'!L36</f>
        <v>-5.8299999999999998E-2</v>
      </c>
      <c r="D20" s="22">
        <f>B20*C20</f>
        <v>-9.3835804776647382</v>
      </c>
      <c r="E20" s="73">
        <f>B20</f>
        <v>160.95335296165933</v>
      </c>
      <c r="F20" s="125">
        <v>0</v>
      </c>
      <c r="G20" s="22">
        <f>E20*F20</f>
        <v>0</v>
      </c>
      <c r="H20" s="22">
        <f>G20-D20</f>
        <v>9.3835804776647382</v>
      </c>
      <c r="I20" s="23">
        <f>IF(ISERROR(H20/D20),0,(H20/D20))</f>
        <v>-1</v>
      </c>
      <c r="J20" s="124">
        <f t="shared" si="1"/>
        <v>0</v>
      </c>
    </row>
    <row r="21" spans="1:10" x14ac:dyDescent="0.2">
      <c r="A21" s="110" t="s">
        <v>79</v>
      </c>
      <c r="B21" s="74"/>
      <c r="C21" s="35"/>
      <c r="D21" s="35">
        <f>SUM(D16:D20)</f>
        <v>919.05466057440469</v>
      </c>
      <c r="E21" s="73"/>
      <c r="F21" s="35"/>
      <c r="G21" s="35">
        <f>SUM(G16:G20)</f>
        <v>1037.8115934117091</v>
      </c>
      <c r="H21" s="35">
        <f t="shared" si="3"/>
        <v>118.75693283730436</v>
      </c>
      <c r="I21" s="36">
        <f t="shared" ref="I21" si="7">IF(ISERROR(H21/D21),0,(H21/D21))</f>
        <v>0.12921639803565313</v>
      </c>
      <c r="J21" s="111">
        <f t="shared" si="1"/>
        <v>0.11738261582670663</v>
      </c>
    </row>
    <row r="22" spans="1:10" x14ac:dyDescent="0.2">
      <c r="A22" s="107" t="s">
        <v>40</v>
      </c>
      <c r="B22" s="73">
        <f>C5</f>
        <v>160.95335296165933</v>
      </c>
      <c r="C22" s="125">
        <f>VLOOKUP($C$3,'Data for Bill Impacts'!$A$3:$Y$39,15,0)</f>
        <v>2.5453999999999999</v>
      </c>
      <c r="D22" s="22">
        <f>B22*C22</f>
        <v>409.69066462860764</v>
      </c>
      <c r="E22" s="73">
        <f>B5</f>
        <v>160.95335296165933</v>
      </c>
      <c r="F22" s="78">
        <f>VLOOKUP($B$3,'Data for Bill Impacts'!$A$3:$Y$39,24,0)</f>
        <v>1.8483000000000001</v>
      </c>
      <c r="G22" s="22">
        <f>E22*F22</f>
        <v>297.49008227903494</v>
      </c>
      <c r="H22" s="22">
        <f t="shared" si="3"/>
        <v>-112.2005823495727</v>
      </c>
      <c r="I22" s="23">
        <f t="shared" ref="I22:I36" si="8">IF(ISERROR(H22/ABS(D22)),"N/A",(H22/ABS(D22)))</f>
        <v>-0.27386658285534687</v>
      </c>
      <c r="J22" s="124">
        <f t="shared" si="1"/>
        <v>3.3647883933940761E-2</v>
      </c>
    </row>
    <row r="23" spans="1:10" s="1" customFormat="1" x14ac:dyDescent="0.2">
      <c r="A23" s="107" t="s">
        <v>41</v>
      </c>
      <c r="B23" s="73">
        <f>C5</f>
        <v>160.95335296165933</v>
      </c>
      <c r="C23" s="125">
        <f>VLOOKUP($C$3,'Data for Bill Impacts'!$A$3:$Y$39,16,0)</f>
        <v>1.2384999999999999</v>
      </c>
      <c r="D23" s="22">
        <f>B23*C23</f>
        <v>199.34072764301507</v>
      </c>
      <c r="E23" s="73">
        <f>B5</f>
        <v>160.95335296165933</v>
      </c>
      <c r="F23" s="78">
        <f>VLOOKUP($B$3,'Data for Bill Impacts'!$A$3:$Y$39,25,0)</f>
        <v>1.5101</v>
      </c>
      <c r="G23" s="22">
        <f>E23*F23</f>
        <v>243.05565830740176</v>
      </c>
      <c r="H23" s="22">
        <f t="shared" si="3"/>
        <v>43.714930664386685</v>
      </c>
      <c r="I23" s="23">
        <f t="shared" si="8"/>
        <v>0.21929753734356083</v>
      </c>
      <c r="J23" s="124">
        <f t="shared" si="1"/>
        <v>2.7491029339741353E-2</v>
      </c>
    </row>
    <row r="24" spans="1:10" x14ac:dyDescent="0.2">
      <c r="A24" s="110" t="s">
        <v>76</v>
      </c>
      <c r="B24" s="74"/>
      <c r="C24" s="35"/>
      <c r="D24" s="35">
        <f>SUM(D22:D23)</f>
        <v>609.03139227162274</v>
      </c>
      <c r="E24" s="73"/>
      <c r="F24" s="35"/>
      <c r="G24" s="35">
        <f>SUM(G22:G23)</f>
        <v>540.54574058643675</v>
      </c>
      <c r="H24" s="35">
        <f t="shared" si="3"/>
        <v>-68.485651685185985</v>
      </c>
      <c r="I24" s="36">
        <f t="shared" si="8"/>
        <v>-0.11245011760353064</v>
      </c>
      <c r="J24" s="111">
        <f t="shared" si="1"/>
        <v>6.1138913273682122E-2</v>
      </c>
    </row>
    <row r="25" spans="1:10" s="1" customFormat="1" x14ac:dyDescent="0.2">
      <c r="A25" s="110" t="s">
        <v>80</v>
      </c>
      <c r="B25" s="74"/>
      <c r="C25" s="35"/>
      <c r="D25" s="35">
        <f>D21+D24</f>
        <v>1528.0860528460275</v>
      </c>
      <c r="E25" s="73"/>
      <c r="F25" s="35"/>
      <c r="G25" s="35">
        <f>G21+G24</f>
        <v>1578.3573339981458</v>
      </c>
      <c r="H25" s="35">
        <f t="shared" si="3"/>
        <v>50.271281152118263</v>
      </c>
      <c r="I25" s="36">
        <f t="shared" si="8"/>
        <v>3.2898200371954893E-2</v>
      </c>
      <c r="J25" s="111">
        <f t="shared" si="1"/>
        <v>0.17852152910038876</v>
      </c>
    </row>
    <row r="26" spans="1:10" x14ac:dyDescent="0.2">
      <c r="A26" s="107" t="s">
        <v>42</v>
      </c>
      <c r="B26" s="73">
        <f>$C$9</f>
        <v>60450.064957078757</v>
      </c>
      <c r="C26" s="34">
        <v>3.5999999999999999E-3</v>
      </c>
      <c r="D26" s="22">
        <f>B26*C26</f>
        <v>217.62023384548351</v>
      </c>
      <c r="E26" s="73">
        <f>$B$9</f>
        <v>60444.342686636024</v>
      </c>
      <c r="F26" s="34">
        <v>3.5999999999999999E-3</v>
      </c>
      <c r="G26" s="22">
        <f>E26*F26</f>
        <v>217.59963367188968</v>
      </c>
      <c r="H26" s="22">
        <f t="shared" si="3"/>
        <v>-2.060017359383437E-2</v>
      </c>
      <c r="I26" s="23">
        <f t="shared" si="8"/>
        <v>-9.4661113214596911E-5</v>
      </c>
      <c r="J26" s="124">
        <f t="shared" si="1"/>
        <v>2.4611802725551767E-2</v>
      </c>
    </row>
    <row r="27" spans="1:10" x14ac:dyDescent="0.2">
      <c r="A27" s="107" t="s">
        <v>43</v>
      </c>
      <c r="B27" s="73">
        <f>$C$9</f>
        <v>60450.064957078757</v>
      </c>
      <c r="C27" s="34">
        <v>2.0999999999999999E-3</v>
      </c>
      <c r="D27" s="22">
        <f>B27*C27</f>
        <v>126.94513640986538</v>
      </c>
      <c r="E27" s="73">
        <f>$B$9</f>
        <v>60444.342686636024</v>
      </c>
      <c r="F27" s="34">
        <v>2.0999999999999999E-3</v>
      </c>
      <c r="G27" s="22">
        <f>E27*F27</f>
        <v>126.93311964193565</v>
      </c>
      <c r="H27" s="22">
        <f>G27-D27</f>
        <v>-1.2016767929736716E-2</v>
      </c>
      <c r="I27" s="23">
        <f t="shared" si="8"/>
        <v>-9.4661113214596911E-5</v>
      </c>
      <c r="J27" s="124">
        <f t="shared" si="1"/>
        <v>1.4356884923238531E-2</v>
      </c>
    </row>
    <row r="28" spans="1:10" x14ac:dyDescent="0.2">
      <c r="A28" s="107" t="s">
        <v>100</v>
      </c>
      <c r="B28" s="73">
        <f>$C$9</f>
        <v>60450.064957078757</v>
      </c>
      <c r="C28" s="34">
        <v>0</v>
      </c>
      <c r="D28" s="22">
        <f>B28*C28</f>
        <v>0</v>
      </c>
      <c r="E28" s="73">
        <f>$B$9</f>
        <v>60444.342686636024</v>
      </c>
      <c r="F28" s="34">
        <v>0</v>
      </c>
      <c r="G28" s="22">
        <f>E28*F28</f>
        <v>0</v>
      </c>
      <c r="H28" s="22">
        <f>G28-D28</f>
        <v>0</v>
      </c>
      <c r="I28" s="23" t="str">
        <f t="shared" si="8"/>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si="1"/>
        <v>2.8276475366984052E-5</v>
      </c>
    </row>
    <row r="30" spans="1:10" x14ac:dyDescent="0.2">
      <c r="A30" s="110" t="s">
        <v>45</v>
      </c>
      <c r="B30" s="74"/>
      <c r="C30" s="35"/>
      <c r="D30" s="35">
        <f>SUM(D26:D29)</f>
        <v>344.81537025534891</v>
      </c>
      <c r="E30" s="73"/>
      <c r="F30" s="35"/>
      <c r="G30" s="35">
        <f>SUM(G26:G29)</f>
        <v>344.78275331382531</v>
      </c>
      <c r="H30" s="35">
        <f t="shared" si="3"/>
        <v>-3.2616941523599507E-2</v>
      </c>
      <c r="I30" s="36">
        <f t="shared" si="8"/>
        <v>-9.4592481476232979E-5</v>
      </c>
      <c r="J30" s="111">
        <f t="shared" si="1"/>
        <v>3.8996964124157284E-2</v>
      </c>
    </row>
    <row r="31" spans="1:10" ht="13.5" thickBot="1" x14ac:dyDescent="0.25">
      <c r="A31" s="112" t="s">
        <v>46</v>
      </c>
      <c r="B31" s="113">
        <f>B4</f>
        <v>57222.704427374818</v>
      </c>
      <c r="C31" s="114">
        <v>7.0000000000000001E-3</v>
      </c>
      <c r="D31" s="115">
        <f>B31*C31</f>
        <v>400.55893099162375</v>
      </c>
      <c r="E31" s="116">
        <f t="shared" si="4"/>
        <v>57222.704427374818</v>
      </c>
      <c r="F31" s="114">
        <f>C31</f>
        <v>7.0000000000000001E-3</v>
      </c>
      <c r="G31" s="115">
        <f>E31*F31</f>
        <v>400.55893099162375</v>
      </c>
      <c r="H31" s="115">
        <f t="shared" si="3"/>
        <v>0</v>
      </c>
      <c r="I31" s="117">
        <f t="shared" si="8"/>
        <v>0</v>
      </c>
      <c r="J31" s="118">
        <f t="shared" si="1"/>
        <v>4.5305578980840457E-2</v>
      </c>
    </row>
    <row r="32" spans="1:10" x14ac:dyDescent="0.2">
      <c r="A32" s="37" t="s">
        <v>146</v>
      </c>
      <c r="B32" s="38"/>
      <c r="C32" s="39"/>
      <c r="D32" s="39">
        <f>SUM(D15,D21,D24,D30,D31)</f>
        <v>7774.4162651871666</v>
      </c>
      <c r="E32" s="38"/>
      <c r="F32" s="39"/>
      <c r="G32" s="39">
        <f>SUM(G15,G21,G24,G30,G31)</f>
        <v>7824.1342027874725</v>
      </c>
      <c r="H32" s="39">
        <f t="shared" si="3"/>
        <v>49.717937600305959</v>
      </c>
      <c r="I32" s="40">
        <f t="shared" si="8"/>
        <v>6.3950701769001578E-3</v>
      </c>
      <c r="J32" s="41">
        <f t="shared" si="1"/>
        <v>0.88495575221238942</v>
      </c>
    </row>
    <row r="33" spans="1:10" x14ac:dyDescent="0.2">
      <c r="A33" s="46" t="s">
        <v>138</v>
      </c>
      <c r="B33" s="43"/>
      <c r="C33" s="26">
        <v>0.13</v>
      </c>
      <c r="D33" s="26">
        <f>D32*C33</f>
        <v>1010.6741144743316</v>
      </c>
      <c r="E33" s="26"/>
      <c r="F33" s="26">
        <f>C33</f>
        <v>0.13</v>
      </c>
      <c r="G33" s="26">
        <f>G32*F33</f>
        <v>1017.1374463623715</v>
      </c>
      <c r="H33" s="26">
        <f t="shared" si="3"/>
        <v>6.4633318880398747</v>
      </c>
      <c r="I33" s="44">
        <f t="shared" si="8"/>
        <v>6.3950701769002567E-3</v>
      </c>
      <c r="J33" s="45">
        <f t="shared" si="1"/>
        <v>0.11504424778761065</v>
      </c>
    </row>
    <row r="34" spans="1:10" x14ac:dyDescent="0.2">
      <c r="A34" s="46" t="s">
        <v>139</v>
      </c>
      <c r="B34" s="24"/>
      <c r="C34" s="25"/>
      <c r="D34" s="25">
        <f>SUM(D32:D33)</f>
        <v>8785.0903796614984</v>
      </c>
      <c r="E34" s="25"/>
      <c r="F34" s="25"/>
      <c r="G34" s="25">
        <f>SUM(G32:G33)</f>
        <v>8841.2716491498431</v>
      </c>
      <c r="H34" s="25">
        <f t="shared" si="3"/>
        <v>56.181269488344697</v>
      </c>
      <c r="I34" s="27">
        <f t="shared" si="8"/>
        <v>6.3950701769000399E-3</v>
      </c>
      <c r="J34" s="47">
        <f t="shared" si="1"/>
        <v>1</v>
      </c>
    </row>
    <row r="35" spans="1:10" x14ac:dyDescent="0.2">
      <c r="A35" s="46" t="s">
        <v>140</v>
      </c>
      <c r="B35" s="43"/>
      <c r="C35" s="26">
        <v>0</v>
      </c>
      <c r="D35" s="26">
        <f>D32*C35</f>
        <v>0</v>
      </c>
      <c r="E35" s="26"/>
      <c r="F35" s="26">
        <f>C35</f>
        <v>0</v>
      </c>
      <c r="G35" s="26">
        <f>G32*F35</f>
        <v>0</v>
      </c>
      <c r="H35" s="26">
        <f t="shared" si="3"/>
        <v>0</v>
      </c>
      <c r="I35" s="44" t="str">
        <f t="shared" si="8"/>
        <v>N/A</v>
      </c>
      <c r="J35" s="45">
        <f t="shared" si="1"/>
        <v>0</v>
      </c>
    </row>
    <row r="36" spans="1:10" ht="13.5" thickBot="1" x14ac:dyDescent="0.25">
      <c r="A36" s="46" t="s">
        <v>141</v>
      </c>
      <c r="B36" s="49"/>
      <c r="C36" s="50"/>
      <c r="D36" s="50">
        <f>SUM(D34:D35)</f>
        <v>8785.0903796614984</v>
      </c>
      <c r="E36" s="50"/>
      <c r="F36" s="50"/>
      <c r="G36" s="50">
        <f>SUM(G34:G35)</f>
        <v>8841.2716491498431</v>
      </c>
      <c r="H36" s="50">
        <f t="shared" si="3"/>
        <v>56.181269488344697</v>
      </c>
      <c r="I36" s="51">
        <f t="shared" si="8"/>
        <v>6.3950701769000399E-3</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J38"/>
  <sheetViews>
    <sheetView tabSelected="1" topLeftCell="A7" workbookViewId="0">
      <selection activeCell="N7" sqref="N7"/>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187</v>
      </c>
      <c r="C3" s="13" t="s">
        <v>127</v>
      </c>
    </row>
    <row r="4" spans="1:10" x14ac:dyDescent="0.2">
      <c r="A4" s="15" t="s">
        <v>62</v>
      </c>
      <c r="B4" s="79">
        <v>175000</v>
      </c>
      <c r="C4" s="79">
        <f>B4</f>
        <v>175000</v>
      </c>
    </row>
    <row r="5" spans="1:10" x14ac:dyDescent="0.2">
      <c r="A5" s="15" t="s">
        <v>16</v>
      </c>
      <c r="B5" s="79">
        <v>500</v>
      </c>
      <c r="C5" s="79">
        <f>B5</f>
        <v>500</v>
      </c>
    </row>
    <row r="6" spans="1:10" x14ac:dyDescent="0.2">
      <c r="A6" s="15" t="s">
        <v>20</v>
      </c>
      <c r="B6" s="80">
        <f>VLOOKUP($B$3,'Data for Bill Impacts'!$A$3:$Y$39,2,0)</f>
        <v>1.0563</v>
      </c>
      <c r="C6" s="80">
        <f>VLOOKUP($C$3,'Data for Bill Impacts'!$A$3:$Y$39,2,0)</f>
        <v>1.0564</v>
      </c>
    </row>
    <row r="7" spans="1:10" x14ac:dyDescent="0.2">
      <c r="A7" s="81" t="s">
        <v>49</v>
      </c>
      <c r="B7" s="82">
        <f>B4/(B5*730)</f>
        <v>0.47945205479452052</v>
      </c>
      <c r="C7" s="82">
        <f>C4/(C5*730)</f>
        <v>0.47945205479452052</v>
      </c>
    </row>
    <row r="8" spans="1:10" x14ac:dyDescent="0.2">
      <c r="A8" s="15" t="s">
        <v>15</v>
      </c>
      <c r="B8" s="79">
        <f>VLOOKUP($B$3,'Data for Bill Impacts'!$A$3:$Y$39,4,0)</f>
        <v>0</v>
      </c>
      <c r="C8" s="79">
        <f>VLOOKUP($C$3,'Data for Bill Impacts'!$A$3:$Y$39,4,0)</f>
        <v>0</v>
      </c>
    </row>
    <row r="9" spans="1:10" x14ac:dyDescent="0.2">
      <c r="A9" s="15" t="s">
        <v>82</v>
      </c>
      <c r="B9" s="79">
        <f>B4*B6</f>
        <v>184852.5</v>
      </c>
      <c r="C9" s="79">
        <f>C4*C6</f>
        <v>184870</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184870</v>
      </c>
      <c r="C13" s="103">
        <v>9.0999999999999998E-2</v>
      </c>
      <c r="D13" s="104">
        <f>B13*C13</f>
        <v>16823.169999999998</v>
      </c>
      <c r="E13" s="102">
        <f>B9</f>
        <v>184852.5</v>
      </c>
      <c r="F13" s="103">
        <f>C13</f>
        <v>9.0999999999999998E-2</v>
      </c>
      <c r="G13" s="104">
        <f>E13*F13</f>
        <v>16821.577499999999</v>
      </c>
      <c r="H13" s="104">
        <f>G13-D13</f>
        <v>-1.5924999999988358</v>
      </c>
      <c r="I13" s="105">
        <f t="shared" ref="I13:I18" si="0">IF(ISERROR(H13/ABS(D13)),"N/A",(H13/ABS(D13)))</f>
        <v>-9.4661113214622214E-5</v>
      </c>
      <c r="J13" s="123">
        <f t="shared" ref="J13:J36" si="1">G13/$G$36</f>
        <v>0.63160146252681493</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16823.169999999998</v>
      </c>
      <c r="E15" s="76"/>
      <c r="F15" s="25"/>
      <c r="G15" s="25">
        <f>SUM(G13:G14)</f>
        <v>16821.577499999999</v>
      </c>
      <c r="H15" s="25">
        <f t="shared" si="3"/>
        <v>-1.5924999999988358</v>
      </c>
      <c r="I15" s="27">
        <f t="shared" si="0"/>
        <v>-9.4661113214622214E-5</v>
      </c>
      <c r="J15" s="47">
        <f t="shared" si="1"/>
        <v>0.63160146252681493</v>
      </c>
    </row>
    <row r="16" spans="1:10" s="1" customFormat="1" x14ac:dyDescent="0.2">
      <c r="A16" s="107" t="s">
        <v>38</v>
      </c>
      <c r="B16" s="73">
        <v>1</v>
      </c>
      <c r="C16" s="121">
        <f>VLOOKUP($C$3,'Data for Bill Impacts'!$A$3:$Y$39,7,0)</f>
        <v>245.55</v>
      </c>
      <c r="D16" s="22">
        <f>B16*C16</f>
        <v>245.55</v>
      </c>
      <c r="E16" s="73">
        <f t="shared" ref="E16:E31" si="4">B16</f>
        <v>1</v>
      </c>
      <c r="F16" s="78">
        <f>VLOOKUP($B$3,'Data for Bill Impacts'!$A$3:$Y$39,17,0)</f>
        <v>206.23</v>
      </c>
      <c r="G16" s="22">
        <f>E16*F16</f>
        <v>206.23</v>
      </c>
      <c r="H16" s="22">
        <f t="shared" si="3"/>
        <v>-39.320000000000022</v>
      </c>
      <c r="I16" s="23">
        <f t="shared" si="0"/>
        <v>-0.16013031969049082</v>
      </c>
      <c r="J16" s="124">
        <f t="shared" si="1"/>
        <v>7.7433385553111788E-3</v>
      </c>
    </row>
    <row r="17" spans="1:10" x14ac:dyDescent="0.2">
      <c r="A17" s="107" t="s">
        <v>193</v>
      </c>
      <c r="B17" s="73">
        <v>1</v>
      </c>
      <c r="C17" s="121">
        <f>'Data for Bill Impacts'!K36</f>
        <v>-3.61</v>
      </c>
      <c r="D17" s="22">
        <f>B17*C17</f>
        <v>-3.61</v>
      </c>
      <c r="E17" s="73">
        <f t="shared" si="4"/>
        <v>1</v>
      </c>
      <c r="F17" s="121">
        <v>0</v>
      </c>
      <c r="G17" s="22">
        <f t="shared" ref="G17" si="5">E17*F17</f>
        <v>0</v>
      </c>
      <c r="H17" s="22">
        <f t="shared" si="3"/>
        <v>3.61</v>
      </c>
      <c r="I17" s="23">
        <f t="shared" si="0"/>
        <v>1</v>
      </c>
      <c r="J17" s="124">
        <f t="shared" si="1"/>
        <v>0</v>
      </c>
    </row>
    <row r="18" spans="1:10" x14ac:dyDescent="0.2">
      <c r="A18" s="107" t="s">
        <v>39</v>
      </c>
      <c r="B18" s="73">
        <f>IF($C$10="kWh",$C$4,$C$5)</f>
        <v>500</v>
      </c>
      <c r="C18" s="125">
        <f>VLOOKUP($C$3,'Data for Bill Impacts'!$A$3:$Y$39,10,0)</f>
        <v>3.9601999999999999</v>
      </c>
      <c r="D18" s="22">
        <f>B18*C18</f>
        <v>1980.1</v>
      </c>
      <c r="E18" s="73">
        <f>B5</f>
        <v>500</v>
      </c>
      <c r="F18" s="125">
        <f>VLOOKUP($B$3,'Data for Bill Impacts'!$A$3:$Y$39,19,0)</f>
        <v>5.1665999999999999</v>
      </c>
      <c r="G18" s="22">
        <f>E18*F18</f>
        <v>2583.2999999999997</v>
      </c>
      <c r="H18" s="22">
        <f t="shared" si="3"/>
        <v>603.19999999999982</v>
      </c>
      <c r="I18" s="23">
        <f t="shared" si="0"/>
        <v>0.3046310792384222</v>
      </c>
      <c r="J18" s="124">
        <f t="shared" si="1"/>
        <v>9.6995424962107196E-2</v>
      </c>
    </row>
    <row r="19" spans="1:10" x14ac:dyDescent="0.2">
      <c r="A19" s="107" t="s">
        <v>194</v>
      </c>
      <c r="B19" s="73">
        <f>IF($C$10="kWh",$C$4,$C$5)</f>
        <v>500</v>
      </c>
      <c r="C19" s="125">
        <f>'Data for Bill Impacts'!H36</f>
        <v>0.30499999999999999</v>
      </c>
      <c r="D19" s="22">
        <f>B19*C19</f>
        <v>152.5</v>
      </c>
      <c r="E19" s="73">
        <f>B5</f>
        <v>500</v>
      </c>
      <c r="F19" s="125">
        <v>0</v>
      </c>
      <c r="G19" s="22">
        <f>E19*F19</f>
        <v>0</v>
      </c>
      <c r="H19" s="22">
        <f t="shared" ref="H19" si="6">G19-D19</f>
        <v>-152.5</v>
      </c>
      <c r="I19" s="23">
        <f>IF(ISERROR(H19/ABS(D19)),"N/A",(H19/ABS(D19)))</f>
        <v>-1</v>
      </c>
      <c r="J19" s="124">
        <f t="shared" si="1"/>
        <v>0</v>
      </c>
    </row>
    <row r="20" spans="1:10" s="1" customFormat="1" x14ac:dyDescent="0.2">
      <c r="A20" s="107" t="s">
        <v>195</v>
      </c>
      <c r="B20" s="73">
        <f>IF($B$10="kWh",$B$4,$B$5)</f>
        <v>500</v>
      </c>
      <c r="C20" s="78">
        <f>'Data for Bill Impacts'!L36</f>
        <v>-5.8299999999999998E-2</v>
      </c>
      <c r="D20" s="22">
        <f>B20*C20</f>
        <v>-29.15</v>
      </c>
      <c r="E20" s="73">
        <f>B20</f>
        <v>500</v>
      </c>
      <c r="F20" s="125">
        <v>0</v>
      </c>
      <c r="G20" s="22">
        <f>E20*F20</f>
        <v>0</v>
      </c>
      <c r="H20" s="22">
        <f>G20-D20</f>
        <v>29.15</v>
      </c>
      <c r="I20" s="23">
        <f>IF(ISERROR(H20/D20),0,(H20/D20))</f>
        <v>-1</v>
      </c>
      <c r="J20" s="124">
        <f t="shared" si="1"/>
        <v>0</v>
      </c>
    </row>
    <row r="21" spans="1:10" x14ac:dyDescent="0.2">
      <c r="A21" s="110" t="s">
        <v>79</v>
      </c>
      <c r="B21" s="74"/>
      <c r="C21" s="35"/>
      <c r="D21" s="35">
        <f>SUM(D16:D20)</f>
        <v>2345.39</v>
      </c>
      <c r="E21" s="73"/>
      <c r="F21" s="35"/>
      <c r="G21" s="35">
        <f>SUM(G16:G20)</f>
        <v>2789.5299999999997</v>
      </c>
      <c r="H21" s="35">
        <f t="shared" si="3"/>
        <v>444.13999999999987</v>
      </c>
      <c r="I21" s="36">
        <f t="shared" ref="I21" si="7">IF(ISERROR(H21/D21),0,(H21/D21))</f>
        <v>0.18936722677251966</v>
      </c>
      <c r="J21" s="111">
        <f t="shared" si="1"/>
        <v>0.10473876351741838</v>
      </c>
    </row>
    <row r="22" spans="1:10" x14ac:dyDescent="0.2">
      <c r="A22" s="107" t="s">
        <v>40</v>
      </c>
      <c r="B22" s="73">
        <f>C5</f>
        <v>500</v>
      </c>
      <c r="C22" s="125">
        <f>VLOOKUP($C$3,'Data for Bill Impacts'!$A$3:$Y$39,15,0)</f>
        <v>2.5453999999999999</v>
      </c>
      <c r="D22" s="22">
        <f>B22*C22</f>
        <v>1272.7</v>
      </c>
      <c r="E22" s="73">
        <f>B5</f>
        <v>500</v>
      </c>
      <c r="F22" s="78">
        <f>VLOOKUP($B$3,'Data for Bill Impacts'!$A$3:$Y$39,24,0)</f>
        <v>1.8483000000000001</v>
      </c>
      <c r="G22" s="22">
        <f>E22*F22</f>
        <v>924.15</v>
      </c>
      <c r="H22" s="22">
        <f t="shared" si="3"/>
        <v>-348.55000000000007</v>
      </c>
      <c r="I22" s="23">
        <f t="shared" ref="I22:I36" si="8">IF(ISERROR(H22/ABS(D22)),"N/A",(H22/ABS(D22)))</f>
        <v>-0.27386658285534693</v>
      </c>
      <c r="J22" s="124">
        <f t="shared" si="1"/>
        <v>3.4699153013096187E-2</v>
      </c>
    </row>
    <row r="23" spans="1:10" s="1" customFormat="1" x14ac:dyDescent="0.2">
      <c r="A23" s="107" t="s">
        <v>41</v>
      </c>
      <c r="B23" s="73">
        <f>C5</f>
        <v>500</v>
      </c>
      <c r="C23" s="125">
        <f>VLOOKUP($C$3,'Data for Bill Impacts'!$A$3:$Y$39,16,0)</f>
        <v>1.2384999999999999</v>
      </c>
      <c r="D23" s="22">
        <f>B23*C23</f>
        <v>619.25</v>
      </c>
      <c r="E23" s="73">
        <f>B5</f>
        <v>500</v>
      </c>
      <c r="F23" s="78">
        <f>VLOOKUP($B$3,'Data for Bill Impacts'!$A$3:$Y$39,25,0)</f>
        <v>1.5101</v>
      </c>
      <c r="G23" s="22">
        <f>E23*F23</f>
        <v>755.05</v>
      </c>
      <c r="H23" s="22">
        <f t="shared" si="3"/>
        <v>135.79999999999995</v>
      </c>
      <c r="I23" s="23">
        <f t="shared" si="8"/>
        <v>0.21929753734356069</v>
      </c>
      <c r="J23" s="124">
        <f t="shared" si="1"/>
        <v>2.8349938302806119E-2</v>
      </c>
    </row>
    <row r="24" spans="1:10" x14ac:dyDescent="0.2">
      <c r="A24" s="110" t="s">
        <v>76</v>
      </c>
      <c r="B24" s="74"/>
      <c r="C24" s="35"/>
      <c r="D24" s="35">
        <f>SUM(D22:D23)</f>
        <v>1891.95</v>
      </c>
      <c r="E24" s="73"/>
      <c r="F24" s="35"/>
      <c r="G24" s="35">
        <f>SUM(G22:G23)</f>
        <v>1679.1999999999998</v>
      </c>
      <c r="H24" s="35">
        <f t="shared" si="3"/>
        <v>-212.75000000000023</v>
      </c>
      <c r="I24" s="36">
        <f t="shared" si="8"/>
        <v>-0.11245011760353087</v>
      </c>
      <c r="J24" s="111">
        <f t="shared" si="1"/>
        <v>6.3049091315902306E-2</v>
      </c>
    </row>
    <row r="25" spans="1:10" s="1" customFormat="1" x14ac:dyDescent="0.2">
      <c r="A25" s="110" t="s">
        <v>80</v>
      </c>
      <c r="B25" s="74"/>
      <c r="C25" s="35"/>
      <c r="D25" s="35">
        <f>D21+D24</f>
        <v>4237.34</v>
      </c>
      <c r="E25" s="73"/>
      <c r="F25" s="35"/>
      <c r="G25" s="35">
        <f>G21+G24</f>
        <v>4468.7299999999996</v>
      </c>
      <c r="H25" s="35">
        <f t="shared" si="3"/>
        <v>231.38999999999942</v>
      </c>
      <c r="I25" s="36">
        <f t="shared" si="8"/>
        <v>5.4607371605771407E-2</v>
      </c>
      <c r="J25" s="111">
        <f t="shared" si="1"/>
        <v>0.16778785483332068</v>
      </c>
    </row>
    <row r="26" spans="1:10" x14ac:dyDescent="0.2">
      <c r="A26" s="107" t="s">
        <v>42</v>
      </c>
      <c r="B26" s="73">
        <f>$C$9</f>
        <v>184870</v>
      </c>
      <c r="C26" s="34">
        <v>3.5999999999999999E-3</v>
      </c>
      <c r="D26" s="22">
        <f>B26*C26</f>
        <v>665.53199999999993</v>
      </c>
      <c r="E26" s="73">
        <f>$B$9</f>
        <v>184852.5</v>
      </c>
      <c r="F26" s="34">
        <v>3.5999999999999999E-3</v>
      </c>
      <c r="G26" s="22">
        <f>E26*F26</f>
        <v>665.46899999999994</v>
      </c>
      <c r="H26" s="22">
        <f t="shared" si="3"/>
        <v>-6.2999999999988177E-2</v>
      </c>
      <c r="I26" s="23">
        <f t="shared" si="8"/>
        <v>-9.4661113214673646E-5</v>
      </c>
      <c r="J26" s="124">
        <f t="shared" si="1"/>
        <v>2.4986431484577291E-2</v>
      </c>
    </row>
    <row r="27" spans="1:10" x14ac:dyDescent="0.2">
      <c r="A27" s="107" t="s">
        <v>43</v>
      </c>
      <c r="B27" s="73">
        <f>$C$9</f>
        <v>184870</v>
      </c>
      <c r="C27" s="34">
        <v>2.0999999999999999E-3</v>
      </c>
      <c r="D27" s="22">
        <f>B27*C27</f>
        <v>388.22699999999998</v>
      </c>
      <c r="E27" s="73">
        <f>$B$9</f>
        <v>184852.5</v>
      </c>
      <c r="F27" s="34">
        <v>2.0999999999999999E-3</v>
      </c>
      <c r="G27" s="22">
        <f>E27*F27</f>
        <v>388.19024999999999</v>
      </c>
      <c r="H27" s="22">
        <f>G27-D27</f>
        <v>-3.6749999999983629E-2</v>
      </c>
      <c r="I27" s="23">
        <f t="shared" si="8"/>
        <v>-9.4661113214649238E-5</v>
      </c>
      <c r="J27" s="124">
        <f t="shared" si="1"/>
        <v>1.4575418366003422E-2</v>
      </c>
    </row>
    <row r="28" spans="1:10" x14ac:dyDescent="0.2">
      <c r="A28" s="107" t="s">
        <v>100</v>
      </c>
      <c r="B28" s="73">
        <f>$C$9</f>
        <v>184870</v>
      </c>
      <c r="C28" s="34">
        <v>0</v>
      </c>
      <c r="D28" s="22">
        <f>B28*C28</f>
        <v>0</v>
      </c>
      <c r="E28" s="73">
        <f>$B$9</f>
        <v>184852.5</v>
      </c>
      <c r="F28" s="34">
        <v>0</v>
      </c>
      <c r="G28" s="22">
        <f>E28*F28</f>
        <v>0</v>
      </c>
      <c r="H28" s="22">
        <f>G28-D28</f>
        <v>0</v>
      </c>
      <c r="I28" s="23" t="str">
        <f t="shared" si="8"/>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si="1"/>
        <v>9.3867751482703523E-6</v>
      </c>
    </row>
    <row r="30" spans="1:10" x14ac:dyDescent="0.2">
      <c r="A30" s="110" t="s">
        <v>45</v>
      </c>
      <c r="B30" s="74"/>
      <c r="C30" s="35"/>
      <c r="D30" s="35">
        <f>SUM(D26:D29)</f>
        <v>1054.009</v>
      </c>
      <c r="E30" s="73"/>
      <c r="F30" s="35"/>
      <c r="G30" s="35">
        <f>SUM(G26:G29)</f>
        <v>1053.9092499999999</v>
      </c>
      <c r="H30" s="35">
        <f t="shared" si="3"/>
        <v>-9.9750000000085493E-2</v>
      </c>
      <c r="I30" s="36">
        <f t="shared" si="8"/>
        <v>-9.463866058077824E-5</v>
      </c>
      <c r="J30" s="111">
        <f t="shared" si="1"/>
        <v>3.9571236625728985E-2</v>
      </c>
    </row>
    <row r="31" spans="1:10" ht="13.5" thickBot="1" x14ac:dyDescent="0.25">
      <c r="A31" s="112" t="s">
        <v>46</v>
      </c>
      <c r="B31" s="113">
        <f>B4</f>
        <v>175000</v>
      </c>
      <c r="C31" s="114">
        <v>7.0000000000000001E-3</v>
      </c>
      <c r="D31" s="115">
        <f>B31*C31</f>
        <v>1225</v>
      </c>
      <c r="E31" s="116">
        <f t="shared" si="4"/>
        <v>175000</v>
      </c>
      <c r="F31" s="114">
        <f>C31</f>
        <v>7.0000000000000001E-3</v>
      </c>
      <c r="G31" s="115">
        <f>E31*F31</f>
        <v>1225</v>
      </c>
      <c r="H31" s="115">
        <f t="shared" si="3"/>
        <v>0</v>
      </c>
      <c r="I31" s="117">
        <f t="shared" si="8"/>
        <v>0</v>
      </c>
      <c r="J31" s="118">
        <f t="shared" si="1"/>
        <v>4.5995198226524731E-2</v>
      </c>
    </row>
    <row r="32" spans="1:10" x14ac:dyDescent="0.2">
      <c r="A32" s="37" t="s">
        <v>146</v>
      </c>
      <c r="B32" s="38"/>
      <c r="C32" s="39"/>
      <c r="D32" s="39">
        <f>SUM(D15,D21,D24,D30,D31)</f>
        <v>23339.519</v>
      </c>
      <c r="E32" s="38"/>
      <c r="F32" s="39"/>
      <c r="G32" s="39">
        <f>SUM(G15,G21,G24,G30,G31)</f>
        <v>23569.21675</v>
      </c>
      <c r="H32" s="39">
        <f t="shared" si="3"/>
        <v>229.69774999999936</v>
      </c>
      <c r="I32" s="40">
        <f t="shared" si="8"/>
        <v>9.8415802827812923E-3</v>
      </c>
      <c r="J32" s="41">
        <f t="shared" si="1"/>
        <v>0.88495575221238931</v>
      </c>
    </row>
    <row r="33" spans="1:10" x14ac:dyDescent="0.2">
      <c r="A33" s="46" t="s">
        <v>138</v>
      </c>
      <c r="B33" s="43"/>
      <c r="C33" s="26">
        <v>0.13</v>
      </c>
      <c r="D33" s="26">
        <f>D32*C33</f>
        <v>3034.1374700000001</v>
      </c>
      <c r="E33" s="26"/>
      <c r="F33" s="26">
        <f>C33</f>
        <v>0.13</v>
      </c>
      <c r="G33" s="26">
        <f>G32*F33</f>
        <v>3063.9981775000001</v>
      </c>
      <c r="H33" s="26">
        <f t="shared" si="3"/>
        <v>29.86070749999999</v>
      </c>
      <c r="I33" s="44">
        <f t="shared" si="8"/>
        <v>9.8415802827813165E-3</v>
      </c>
      <c r="J33" s="45">
        <f t="shared" si="1"/>
        <v>0.11504424778761062</v>
      </c>
    </row>
    <row r="34" spans="1:10" x14ac:dyDescent="0.2">
      <c r="A34" s="46" t="s">
        <v>139</v>
      </c>
      <c r="B34" s="24"/>
      <c r="C34" s="25"/>
      <c r="D34" s="25">
        <f>SUM(D32:D33)</f>
        <v>26373.656470000002</v>
      </c>
      <c r="E34" s="25"/>
      <c r="F34" s="25"/>
      <c r="G34" s="25">
        <f>SUM(G32:G33)</f>
        <v>26633.214927500001</v>
      </c>
      <c r="H34" s="25">
        <f t="shared" si="3"/>
        <v>259.55845749999935</v>
      </c>
      <c r="I34" s="27">
        <f t="shared" si="8"/>
        <v>9.8415802827812957E-3</v>
      </c>
      <c r="J34" s="47">
        <f t="shared" si="1"/>
        <v>1</v>
      </c>
    </row>
    <row r="35" spans="1:10" x14ac:dyDescent="0.2">
      <c r="A35" s="46" t="s">
        <v>140</v>
      </c>
      <c r="B35" s="43"/>
      <c r="C35" s="26">
        <v>0</v>
      </c>
      <c r="D35" s="26">
        <f>D32*C35</f>
        <v>0</v>
      </c>
      <c r="E35" s="26"/>
      <c r="F35" s="26">
        <f>C35</f>
        <v>0</v>
      </c>
      <c r="G35" s="26">
        <f>G32*F35</f>
        <v>0</v>
      </c>
      <c r="H35" s="26">
        <f t="shared" si="3"/>
        <v>0</v>
      </c>
      <c r="I35" s="44" t="str">
        <f t="shared" si="8"/>
        <v>N/A</v>
      </c>
      <c r="J35" s="45">
        <f t="shared" si="1"/>
        <v>0</v>
      </c>
    </row>
    <row r="36" spans="1:10" ht="13.5" thickBot="1" x14ac:dyDescent="0.25">
      <c r="A36" s="46" t="s">
        <v>141</v>
      </c>
      <c r="B36" s="49"/>
      <c r="C36" s="50"/>
      <c r="D36" s="50">
        <f>SUM(D34:D35)</f>
        <v>26373.656470000002</v>
      </c>
      <c r="E36" s="50"/>
      <c r="F36" s="50"/>
      <c r="G36" s="50">
        <f>SUM(G34:G35)</f>
        <v>26633.214927500001</v>
      </c>
      <c r="H36" s="50">
        <f t="shared" si="3"/>
        <v>259.55845749999935</v>
      </c>
      <c r="I36" s="51">
        <f t="shared" si="8"/>
        <v>9.8415802827812957E-3</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A1:J38"/>
  <sheetViews>
    <sheetView tabSelected="1" topLeftCell="A7" workbookViewId="0">
      <selection activeCell="N7" sqref="N7"/>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109</v>
      </c>
      <c r="B1" s="338"/>
      <c r="C1" s="338"/>
      <c r="D1" s="338"/>
      <c r="E1" s="338"/>
      <c r="F1" s="338"/>
      <c r="G1" s="338"/>
      <c r="H1" s="338"/>
      <c r="I1" s="338"/>
      <c r="J1" s="339"/>
    </row>
    <row r="3" spans="1:10" x14ac:dyDescent="0.2">
      <c r="A3" s="13" t="s">
        <v>13</v>
      </c>
      <c r="B3" s="13" t="s">
        <v>187</v>
      </c>
      <c r="C3" s="13" t="s">
        <v>121</v>
      </c>
    </row>
    <row r="4" spans="1:10" x14ac:dyDescent="0.2">
      <c r="A4" s="15" t="s">
        <v>62</v>
      </c>
      <c r="B4" s="79">
        <v>15000</v>
      </c>
      <c r="C4" s="79">
        <f>B4</f>
        <v>15000</v>
      </c>
    </row>
    <row r="5" spans="1:10" x14ac:dyDescent="0.2">
      <c r="A5" s="15" t="s">
        <v>16</v>
      </c>
      <c r="B5" s="79">
        <v>60</v>
      </c>
      <c r="C5" s="79">
        <f>B5</f>
        <v>60</v>
      </c>
    </row>
    <row r="6" spans="1:10" x14ac:dyDescent="0.2">
      <c r="A6" s="15" t="s">
        <v>20</v>
      </c>
      <c r="B6" s="80">
        <f>VLOOKUP($B$3,'Data for Bill Impacts'!$A$3:$Y$39,2,0)</f>
        <v>1.0563</v>
      </c>
      <c r="C6" s="80">
        <f>VLOOKUP($C$3,'Data for Bill Impacts'!$A$3:$Y$39,2,0)</f>
        <v>1.0654999999999999</v>
      </c>
    </row>
    <row r="7" spans="1:10" x14ac:dyDescent="0.2">
      <c r="A7" s="81" t="s">
        <v>49</v>
      </c>
      <c r="B7" s="82">
        <f>B4/(B5*730)</f>
        <v>0.34246575342465752</v>
      </c>
      <c r="C7" s="82">
        <f>C4/(C5*730)</f>
        <v>0.34246575342465752</v>
      </c>
    </row>
    <row r="8" spans="1:10" x14ac:dyDescent="0.2">
      <c r="A8" s="15" t="s">
        <v>15</v>
      </c>
      <c r="B8" s="79">
        <f>VLOOKUP($B$3,'Data for Bill Impacts'!$A$3:$Y$39,4,0)</f>
        <v>0</v>
      </c>
      <c r="C8" s="79">
        <f>VLOOKUP($C$3,'Data for Bill Impacts'!$A$3:$Y$39,4,0)</f>
        <v>750</v>
      </c>
    </row>
    <row r="9" spans="1:10" x14ac:dyDescent="0.2">
      <c r="A9" s="15" t="s">
        <v>82</v>
      </c>
      <c r="B9" s="79">
        <f>B4*B6</f>
        <v>15844.5</v>
      </c>
      <c r="C9" s="79">
        <f>C4*C6</f>
        <v>15982.499999999998</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15982.499999999998</v>
      </c>
      <c r="C13" s="103">
        <v>9.0999999999999998E-2</v>
      </c>
      <c r="D13" s="104">
        <f>B13*C13</f>
        <v>1454.4074999999998</v>
      </c>
      <c r="E13" s="102">
        <f>B9</f>
        <v>15844.5</v>
      </c>
      <c r="F13" s="103">
        <f>C13</f>
        <v>9.0999999999999998E-2</v>
      </c>
      <c r="G13" s="104">
        <f>E13*F13</f>
        <v>1441.8495</v>
      </c>
      <c r="H13" s="104">
        <f>G13-D13</f>
        <v>-12.557999999999765</v>
      </c>
      <c r="I13" s="105">
        <f t="shared" ref="I13:I18" si="0">IF(ISERROR(H13/ABS(D13)),"N/A",(H13/ABS(D13)))</f>
        <v>-8.6344439230406651E-3</v>
      </c>
      <c r="J13" s="123">
        <f t="shared" ref="J13:J36" si="1">G13/$G$36</f>
        <v>0.54178150863125141</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1454.4074999999998</v>
      </c>
      <c r="E15" s="76"/>
      <c r="F15" s="25"/>
      <c r="G15" s="25">
        <f>SUM(G13:G14)</f>
        <v>1441.8495</v>
      </c>
      <c r="H15" s="25">
        <f t="shared" si="3"/>
        <v>-12.557999999999765</v>
      </c>
      <c r="I15" s="27">
        <f t="shared" si="0"/>
        <v>-8.6344439230406651E-3</v>
      </c>
      <c r="J15" s="47">
        <f t="shared" si="1"/>
        <v>0.54178150863125141</v>
      </c>
    </row>
    <row r="16" spans="1:10" s="1" customFormat="1" x14ac:dyDescent="0.2">
      <c r="A16" s="107" t="s">
        <v>38</v>
      </c>
      <c r="B16" s="73">
        <v>1</v>
      </c>
      <c r="C16" s="121">
        <f>VLOOKUP($C$3,'Data for Bill Impacts'!$A$3:$Y$39,7,0)</f>
        <v>83.61</v>
      </c>
      <c r="D16" s="22">
        <f>B16*C16</f>
        <v>83.61</v>
      </c>
      <c r="E16" s="73">
        <f t="shared" ref="E16:E31" si="4">B16</f>
        <v>1</v>
      </c>
      <c r="F16" s="78">
        <f>VLOOKUP($B$3,'Data for Bill Impacts'!$A$3:$Y$39,17,0)</f>
        <v>206.23</v>
      </c>
      <c r="G16" s="22">
        <f>E16*F16</f>
        <v>206.23</v>
      </c>
      <c r="H16" s="22">
        <f t="shared" si="3"/>
        <v>122.61999999999999</v>
      </c>
      <c r="I16" s="23">
        <f t="shared" si="0"/>
        <v>1.4665709843320176</v>
      </c>
      <c r="J16" s="124">
        <f t="shared" si="1"/>
        <v>7.749186064497228E-2</v>
      </c>
    </row>
    <row r="17" spans="1:10" x14ac:dyDescent="0.2">
      <c r="A17" s="107" t="s">
        <v>193</v>
      </c>
      <c r="B17" s="73">
        <v>1</v>
      </c>
      <c r="C17" s="121">
        <f>'Data for Bill Impacts'!K30</f>
        <v>-0.84</v>
      </c>
      <c r="D17" s="22">
        <f>B17*C17</f>
        <v>-0.84</v>
      </c>
      <c r="E17" s="73">
        <f t="shared" si="4"/>
        <v>1</v>
      </c>
      <c r="F17" s="121">
        <v>0</v>
      </c>
      <c r="G17" s="22">
        <f t="shared" ref="G17" si="5">E17*F17</f>
        <v>0</v>
      </c>
      <c r="H17" s="22">
        <f t="shared" si="3"/>
        <v>0.84</v>
      </c>
      <c r="I17" s="23">
        <f t="shared" si="0"/>
        <v>1</v>
      </c>
      <c r="J17" s="124">
        <f t="shared" si="1"/>
        <v>0</v>
      </c>
    </row>
    <row r="18" spans="1:10" x14ac:dyDescent="0.2">
      <c r="A18" s="107" t="s">
        <v>39</v>
      </c>
      <c r="B18" s="73">
        <f>IF($C$10="kWh",$C$4,$C$5)</f>
        <v>60</v>
      </c>
      <c r="C18" s="125">
        <f>VLOOKUP($C$3,'Data for Bill Impacts'!$A$3:$Y$39,10,0)</f>
        <v>3.9339</v>
      </c>
      <c r="D18" s="22">
        <f>B18*C18</f>
        <v>236.03399999999999</v>
      </c>
      <c r="E18" s="73">
        <f>B5</f>
        <v>60</v>
      </c>
      <c r="F18" s="125">
        <f>VLOOKUP($B$3,'Data for Bill Impacts'!$A$3:$Y$39,19,0)</f>
        <v>5.1665999999999999</v>
      </c>
      <c r="G18" s="22">
        <f>E18*F18</f>
        <v>309.99599999999998</v>
      </c>
      <c r="H18" s="22">
        <f t="shared" si="3"/>
        <v>73.961999999999989</v>
      </c>
      <c r="I18" s="23">
        <f t="shared" si="0"/>
        <v>0.31335316098528176</v>
      </c>
      <c r="J18" s="124">
        <f t="shared" si="1"/>
        <v>0.11648240717887227</v>
      </c>
    </row>
    <row r="19" spans="1:10" x14ac:dyDescent="0.2">
      <c r="A19" s="107" t="s">
        <v>194</v>
      </c>
      <c r="B19" s="73">
        <f>IF($C$10="kWh",$C$4,$C$5)</f>
        <v>60</v>
      </c>
      <c r="C19" s="125">
        <f>'Data for Bill Impacts'!H30</f>
        <v>0.155</v>
      </c>
      <c r="D19" s="22">
        <f>B19*C19</f>
        <v>9.3000000000000007</v>
      </c>
      <c r="E19" s="73">
        <f>B5</f>
        <v>60</v>
      </c>
      <c r="F19" s="125">
        <v>0</v>
      </c>
      <c r="G19" s="22">
        <f>E19*F19</f>
        <v>0</v>
      </c>
      <c r="H19" s="22">
        <f t="shared" ref="H19" si="6">G19-D19</f>
        <v>-9.3000000000000007</v>
      </c>
      <c r="I19" s="23">
        <f>IF(ISERROR(H19/ABS(D19)),"N/A",(H19/ABS(D19)))</f>
        <v>-1</v>
      </c>
      <c r="J19" s="124">
        <f t="shared" si="1"/>
        <v>0</v>
      </c>
    </row>
    <row r="20" spans="1:10" s="1" customFormat="1" x14ac:dyDescent="0.2">
      <c r="A20" s="107" t="s">
        <v>195</v>
      </c>
      <c r="B20" s="73">
        <f>IF($B$10="kWh",$B$4,$B$5)</f>
        <v>60</v>
      </c>
      <c r="C20" s="78">
        <f>'Data for Bill Impacts'!L30</f>
        <v>-3.9300000000000002E-2</v>
      </c>
      <c r="D20" s="22">
        <f>B20*C20</f>
        <v>-2.3580000000000001</v>
      </c>
      <c r="E20" s="73">
        <f>B20</f>
        <v>60</v>
      </c>
      <c r="F20" s="125">
        <f>VLOOKUP($B$3,'Data for Bill Impacts'!$A$3:$Y$39,23,0)</f>
        <v>0</v>
      </c>
      <c r="G20" s="22">
        <f>E20*F20</f>
        <v>0</v>
      </c>
      <c r="H20" s="22">
        <f>G20-D20</f>
        <v>2.3580000000000001</v>
      </c>
      <c r="I20" s="23">
        <f>IF(ISERROR(H20/D20),0,(H20/D20))</f>
        <v>-1</v>
      </c>
      <c r="J20" s="124">
        <f t="shared" si="1"/>
        <v>0</v>
      </c>
    </row>
    <row r="21" spans="1:10" x14ac:dyDescent="0.2">
      <c r="A21" s="110" t="s">
        <v>79</v>
      </c>
      <c r="B21" s="74"/>
      <c r="C21" s="35"/>
      <c r="D21" s="35">
        <f>SUM(D16:D20)</f>
        <v>325.74599999999998</v>
      </c>
      <c r="E21" s="73"/>
      <c r="F21" s="35"/>
      <c r="G21" s="35">
        <f>SUM(G16:G20)</f>
        <v>516.226</v>
      </c>
      <c r="H21" s="35">
        <f t="shared" si="3"/>
        <v>190.48000000000002</v>
      </c>
      <c r="I21" s="36">
        <f t="shared" ref="I21" si="7">IF(ISERROR(H21/D21),0,(H21/D21))</f>
        <v>0.58475008135172812</v>
      </c>
      <c r="J21" s="111">
        <f t="shared" si="1"/>
        <v>0.19397426782384455</v>
      </c>
    </row>
    <row r="22" spans="1:10" x14ac:dyDescent="0.2">
      <c r="A22" s="107" t="s">
        <v>40</v>
      </c>
      <c r="B22" s="73">
        <f>C5</f>
        <v>60</v>
      </c>
      <c r="C22" s="125">
        <f>VLOOKUP($C$3,'Data for Bill Impacts'!$A$3:$Y$39,15,0)</f>
        <v>2.503832177640037</v>
      </c>
      <c r="D22" s="22">
        <f>B22*C22</f>
        <v>150.22993065840222</v>
      </c>
      <c r="E22" s="73">
        <f>B5</f>
        <v>60</v>
      </c>
      <c r="F22" s="78">
        <f>VLOOKUP($B$3,'Data for Bill Impacts'!$A$3:$Y$39,24,0)</f>
        <v>1.8483000000000001</v>
      </c>
      <c r="G22" s="22">
        <f>E22*F22</f>
        <v>110.898</v>
      </c>
      <c r="H22" s="22">
        <f t="shared" si="3"/>
        <v>-39.331930658402229</v>
      </c>
      <c r="I22" s="23">
        <f t="shared" ref="I22:I36" si="8">IF(ISERROR(H22/ABS(D22)),"N/A",(H22/ABS(D22)))</f>
        <v>-0.26181154771239606</v>
      </c>
      <c r="J22" s="124">
        <f t="shared" si="1"/>
        <v>4.1670427977530608E-2</v>
      </c>
    </row>
    <row r="23" spans="1:10" s="1" customFormat="1" x14ac:dyDescent="0.2">
      <c r="A23" s="107" t="s">
        <v>41</v>
      </c>
      <c r="B23" s="73">
        <f>C5</f>
        <v>60</v>
      </c>
      <c r="C23" s="125">
        <f>VLOOKUP($C$3,'Data for Bill Impacts'!$A$3:$Y$39,16,0)</f>
        <v>2.1172379802527086</v>
      </c>
      <c r="D23" s="22">
        <f>B23*C23</f>
        <v>127.03427881516251</v>
      </c>
      <c r="E23" s="73">
        <f>B5</f>
        <v>60</v>
      </c>
      <c r="F23" s="78">
        <f>VLOOKUP($B$3,'Data for Bill Impacts'!$A$3:$Y$39,25,0)</f>
        <v>1.5101</v>
      </c>
      <c r="G23" s="22">
        <f>E23*F23</f>
        <v>90.605999999999995</v>
      </c>
      <c r="H23" s="22">
        <f t="shared" si="3"/>
        <v>-36.428278815162514</v>
      </c>
      <c r="I23" s="23">
        <f t="shared" si="8"/>
        <v>-0.28675944126991432</v>
      </c>
      <c r="J23" s="124">
        <f t="shared" si="1"/>
        <v>3.4045616668759923E-2</v>
      </c>
    </row>
    <row r="24" spans="1:10" x14ac:dyDescent="0.2">
      <c r="A24" s="110" t="s">
        <v>76</v>
      </c>
      <c r="B24" s="74"/>
      <c r="C24" s="35"/>
      <c r="D24" s="35">
        <f>SUM(D22:D23)</f>
        <v>277.26420947356473</v>
      </c>
      <c r="E24" s="73"/>
      <c r="F24" s="35"/>
      <c r="G24" s="35">
        <f>SUM(G22:G23)</f>
        <v>201.50399999999999</v>
      </c>
      <c r="H24" s="35">
        <f t="shared" si="3"/>
        <v>-75.760209473564743</v>
      </c>
      <c r="I24" s="36">
        <f t="shared" si="8"/>
        <v>-0.27324193633721761</v>
      </c>
      <c r="J24" s="111">
        <f t="shared" si="1"/>
        <v>7.5716044646290531E-2</v>
      </c>
    </row>
    <row r="25" spans="1:10" s="1" customFormat="1" x14ac:dyDescent="0.2">
      <c r="A25" s="110" t="s">
        <v>80</v>
      </c>
      <c r="B25" s="74"/>
      <c r="C25" s="35"/>
      <c r="D25" s="35">
        <f>D21+D24</f>
        <v>603.01020947356471</v>
      </c>
      <c r="E25" s="73"/>
      <c r="F25" s="35"/>
      <c r="G25" s="35">
        <f>G21+G24</f>
        <v>717.73</v>
      </c>
      <c r="H25" s="35">
        <f t="shared" si="3"/>
        <v>114.7197905264353</v>
      </c>
      <c r="I25" s="36">
        <f t="shared" si="8"/>
        <v>0.19024518776653399</v>
      </c>
      <c r="J25" s="111">
        <f t="shared" si="1"/>
        <v>0.26969031247013509</v>
      </c>
    </row>
    <row r="26" spans="1:10" x14ac:dyDescent="0.2">
      <c r="A26" s="107" t="s">
        <v>42</v>
      </c>
      <c r="B26" s="73">
        <f>$C$9</f>
        <v>15982.499999999998</v>
      </c>
      <c r="C26" s="34">
        <v>3.5999999999999999E-3</v>
      </c>
      <c r="D26" s="22">
        <f>B26*C26</f>
        <v>57.536999999999992</v>
      </c>
      <c r="E26" s="73">
        <f>$B$9</f>
        <v>15844.5</v>
      </c>
      <c r="F26" s="34">
        <v>3.5999999999999999E-3</v>
      </c>
      <c r="G26" s="22">
        <f>E26*F26</f>
        <v>57.040199999999999</v>
      </c>
      <c r="H26" s="22">
        <f t="shared" si="3"/>
        <v>-0.49679999999999325</v>
      </c>
      <c r="I26" s="23">
        <f t="shared" si="8"/>
        <v>-8.6344439230407102E-3</v>
      </c>
      <c r="J26" s="124">
        <f t="shared" si="1"/>
        <v>2.1433114627170385E-2</v>
      </c>
    </row>
    <row r="27" spans="1:10" x14ac:dyDescent="0.2">
      <c r="A27" s="107" t="s">
        <v>43</v>
      </c>
      <c r="B27" s="73">
        <f>$C$9</f>
        <v>15982.499999999998</v>
      </c>
      <c r="C27" s="34">
        <v>2.0999999999999999E-3</v>
      </c>
      <c r="D27" s="22">
        <f>B27*C27</f>
        <v>33.563249999999996</v>
      </c>
      <c r="E27" s="73">
        <f>$B$9</f>
        <v>15844.5</v>
      </c>
      <c r="F27" s="34">
        <v>2.0999999999999999E-3</v>
      </c>
      <c r="G27" s="22">
        <f>E27*F27</f>
        <v>33.273449999999997</v>
      </c>
      <c r="H27" s="22">
        <f>G27-D27</f>
        <v>-0.28979999999999961</v>
      </c>
      <c r="I27" s="23">
        <f t="shared" si="8"/>
        <v>-8.634443923040816E-3</v>
      </c>
      <c r="J27" s="124">
        <f t="shared" si="1"/>
        <v>1.2502650199182723E-2</v>
      </c>
    </row>
    <row r="28" spans="1:10" x14ac:dyDescent="0.2">
      <c r="A28" s="107" t="s">
        <v>100</v>
      </c>
      <c r="B28" s="73">
        <f>$C$9</f>
        <v>15982.499999999998</v>
      </c>
      <c r="C28" s="34">
        <v>0</v>
      </c>
      <c r="D28" s="22">
        <f>B28*C28</f>
        <v>0</v>
      </c>
      <c r="E28" s="73">
        <f>$B$9</f>
        <v>15844.5</v>
      </c>
      <c r="F28" s="34">
        <v>0</v>
      </c>
      <c r="G28" s="22">
        <f>E28*F28</f>
        <v>0</v>
      </c>
      <c r="H28" s="22">
        <f>G28-D28</f>
        <v>0</v>
      </c>
      <c r="I28" s="23" t="str">
        <f t="shared" si="8"/>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si="1"/>
        <v>9.3938637255700297E-5</v>
      </c>
    </row>
    <row r="30" spans="1:10" x14ac:dyDescent="0.2">
      <c r="A30" s="110" t="s">
        <v>45</v>
      </c>
      <c r="B30" s="74"/>
      <c r="C30" s="35"/>
      <c r="D30" s="35">
        <f>SUM(D26:D29)</f>
        <v>91.350249999999988</v>
      </c>
      <c r="E30" s="73"/>
      <c r="F30" s="35"/>
      <c r="G30" s="35">
        <f>SUM(G26:G29)</f>
        <v>90.563649999999996</v>
      </c>
      <c r="H30" s="35">
        <f t="shared" si="3"/>
        <v>-0.78659999999999286</v>
      </c>
      <c r="I30" s="36">
        <f t="shared" si="8"/>
        <v>-8.6108138729778291E-3</v>
      </c>
      <c r="J30" s="111">
        <f t="shared" si="1"/>
        <v>3.4029703463608806E-2</v>
      </c>
    </row>
    <row r="31" spans="1:10" ht="13.5" thickBot="1" x14ac:dyDescent="0.25">
      <c r="A31" s="112" t="s">
        <v>46</v>
      </c>
      <c r="B31" s="113">
        <f>B4</f>
        <v>15000</v>
      </c>
      <c r="C31" s="114">
        <v>7.0000000000000001E-3</v>
      </c>
      <c r="D31" s="115">
        <f>B31*C31</f>
        <v>105</v>
      </c>
      <c r="E31" s="116">
        <f t="shared" si="4"/>
        <v>15000</v>
      </c>
      <c r="F31" s="114">
        <f>C31</f>
        <v>7.0000000000000001E-3</v>
      </c>
      <c r="G31" s="115">
        <f>E31*F31</f>
        <v>105</v>
      </c>
      <c r="H31" s="115">
        <f t="shared" si="3"/>
        <v>0</v>
      </c>
      <c r="I31" s="117">
        <f t="shared" si="8"/>
        <v>0</v>
      </c>
      <c r="J31" s="118">
        <f t="shared" si="1"/>
        <v>3.9454227647394126E-2</v>
      </c>
    </row>
    <row r="32" spans="1:10" x14ac:dyDescent="0.2">
      <c r="A32" s="37" t="s">
        <v>146</v>
      </c>
      <c r="B32" s="38"/>
      <c r="C32" s="39"/>
      <c r="D32" s="39">
        <f>SUM(D15,D21,D24,D30,D31)</f>
        <v>2253.7679594735646</v>
      </c>
      <c r="E32" s="38"/>
      <c r="F32" s="39"/>
      <c r="G32" s="39">
        <f>SUM(G15,G21,G24,G30,G31)</f>
        <v>2355.1431499999999</v>
      </c>
      <c r="H32" s="39">
        <f t="shared" si="3"/>
        <v>101.37519052643529</v>
      </c>
      <c r="I32" s="40">
        <f t="shared" si="8"/>
        <v>4.4980314011613919E-2</v>
      </c>
      <c r="J32" s="41">
        <f t="shared" si="1"/>
        <v>0.88495575221238942</v>
      </c>
    </row>
    <row r="33" spans="1:10" x14ac:dyDescent="0.2">
      <c r="A33" s="46" t="s">
        <v>138</v>
      </c>
      <c r="B33" s="43"/>
      <c r="C33" s="26">
        <v>0.13</v>
      </c>
      <c r="D33" s="26">
        <f>D32*C33</f>
        <v>292.98983473156341</v>
      </c>
      <c r="E33" s="26"/>
      <c r="F33" s="26">
        <f>C33</f>
        <v>0.13</v>
      </c>
      <c r="G33" s="26">
        <f>G32*F33</f>
        <v>306.1686095</v>
      </c>
      <c r="H33" s="26">
        <f t="shared" si="3"/>
        <v>13.178774768436597</v>
      </c>
      <c r="I33" s="44">
        <f t="shared" si="8"/>
        <v>4.4980314011613946E-2</v>
      </c>
      <c r="J33" s="45">
        <f t="shared" si="1"/>
        <v>0.11504424778761063</v>
      </c>
    </row>
    <row r="34" spans="1:10" x14ac:dyDescent="0.2">
      <c r="A34" s="46" t="s">
        <v>139</v>
      </c>
      <c r="B34" s="24"/>
      <c r="C34" s="25"/>
      <c r="D34" s="25">
        <f>SUM(D32:D33)</f>
        <v>2546.757794205128</v>
      </c>
      <c r="E34" s="25"/>
      <c r="F34" s="25"/>
      <c r="G34" s="25">
        <f>SUM(G32:G33)</f>
        <v>2661.3117594999999</v>
      </c>
      <c r="H34" s="25">
        <f t="shared" si="3"/>
        <v>114.55396529487189</v>
      </c>
      <c r="I34" s="27">
        <f t="shared" si="8"/>
        <v>4.4980314011613926E-2</v>
      </c>
      <c r="J34" s="47">
        <f t="shared" si="1"/>
        <v>1</v>
      </c>
    </row>
    <row r="35" spans="1:10" x14ac:dyDescent="0.2">
      <c r="A35" s="46" t="s">
        <v>140</v>
      </c>
      <c r="B35" s="43"/>
      <c r="C35" s="26">
        <v>0</v>
      </c>
      <c r="D35" s="26">
        <f>D32*C35</f>
        <v>0</v>
      </c>
      <c r="E35" s="26"/>
      <c r="F35" s="26">
        <f>C35</f>
        <v>0</v>
      </c>
      <c r="G35" s="26">
        <f>G32*F35</f>
        <v>0</v>
      </c>
      <c r="H35" s="26">
        <f t="shared" si="3"/>
        <v>0</v>
      </c>
      <c r="I35" s="44" t="str">
        <f t="shared" si="8"/>
        <v>N/A</v>
      </c>
      <c r="J35" s="45">
        <f t="shared" si="1"/>
        <v>0</v>
      </c>
    </row>
    <row r="36" spans="1:10" ht="13.5" thickBot="1" x14ac:dyDescent="0.25">
      <c r="A36" s="46" t="s">
        <v>141</v>
      </c>
      <c r="B36" s="49"/>
      <c r="C36" s="50"/>
      <c r="D36" s="50">
        <f>SUM(D34:D35)</f>
        <v>2546.757794205128</v>
      </c>
      <c r="E36" s="50"/>
      <c r="F36" s="50"/>
      <c r="G36" s="50">
        <f>SUM(G34:G35)</f>
        <v>2661.3117594999999</v>
      </c>
      <c r="H36" s="50">
        <f t="shared" si="3"/>
        <v>114.55396529487189</v>
      </c>
      <c r="I36" s="51">
        <f t="shared" si="8"/>
        <v>4.4980314011613926E-2</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J38"/>
  <sheetViews>
    <sheetView tabSelected="1" zoomScaleNormal="100" workbookViewId="0">
      <selection activeCell="N7" sqref="N7"/>
    </sheetView>
  </sheetViews>
  <sheetFormatPr defaultRowHeight="12.75" x14ac:dyDescent="0.2"/>
  <cols>
    <col min="1" max="1" width="64.7109375" bestFit="1" customWidth="1"/>
    <col min="2" max="2" width="20.7109375" bestFit="1" customWidth="1"/>
    <col min="3" max="3" width="12.8554687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187</v>
      </c>
      <c r="C3" s="13" t="s">
        <v>121</v>
      </c>
    </row>
    <row r="4" spans="1:10" x14ac:dyDescent="0.2">
      <c r="A4" s="15" t="s">
        <v>62</v>
      </c>
      <c r="B4" s="79">
        <f>C4</f>
        <v>50916.548053308041</v>
      </c>
      <c r="C4" s="79">
        <f>'Data for Bill Impacts_HONI Avg '!E31</f>
        <v>50916.548053308041</v>
      </c>
    </row>
    <row r="5" spans="1:10" x14ac:dyDescent="0.2">
      <c r="A5" s="15" t="s">
        <v>16</v>
      </c>
      <c r="B5" s="79">
        <f>C5</f>
        <v>143.21569056237885</v>
      </c>
      <c r="C5" s="79">
        <f>'Data for Bill Impacts_HONI Avg '!F31</f>
        <v>143.21569056237885</v>
      </c>
    </row>
    <row r="6" spans="1:10" x14ac:dyDescent="0.2">
      <c r="A6" s="15" t="s">
        <v>20</v>
      </c>
      <c r="B6" s="211">
        <f>VLOOKUP($B$3,'Data for Bill Impacts'!$A$3:$Y$39,2,0)</f>
        <v>1.0563</v>
      </c>
      <c r="C6" s="211">
        <f>VLOOKUP($C$3,'Data for Bill Impacts'!$A$3:$Y$39,2,0)</f>
        <v>1.0654999999999999</v>
      </c>
    </row>
    <row r="7" spans="1:10" x14ac:dyDescent="0.2">
      <c r="A7" s="81" t="s">
        <v>49</v>
      </c>
      <c r="B7" s="82">
        <f>B4/(B5*730)</f>
        <v>0.48701853609438145</v>
      </c>
      <c r="C7" s="82">
        <f>C4/(C5*730)</f>
        <v>0.48701853609438145</v>
      </c>
    </row>
    <row r="8" spans="1:10" x14ac:dyDescent="0.2">
      <c r="A8" s="15" t="s">
        <v>15</v>
      </c>
      <c r="B8" s="79">
        <f>VLOOKUP($B$3,'Data for Bill Impacts'!$A$3:$Y$39,4,0)</f>
        <v>0</v>
      </c>
      <c r="C8" s="79">
        <v>0</v>
      </c>
    </row>
    <row r="9" spans="1:10" x14ac:dyDescent="0.2">
      <c r="A9" s="15" t="s">
        <v>82</v>
      </c>
      <c r="B9" s="79">
        <f>B4*B6</f>
        <v>53783.149708709287</v>
      </c>
      <c r="C9" s="79">
        <f>C4*C6</f>
        <v>54251.581950799715</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54251.581950799715</v>
      </c>
      <c r="C13" s="103">
        <v>9.0999999999999998E-2</v>
      </c>
      <c r="D13" s="104">
        <f>B13*C13</f>
        <v>4936.8939575227741</v>
      </c>
      <c r="E13" s="102">
        <f>B9</f>
        <v>53783.149708709287</v>
      </c>
      <c r="F13" s="103">
        <f>C13</f>
        <v>9.0999999999999998E-2</v>
      </c>
      <c r="G13" s="104">
        <f>E13*F13</f>
        <v>4894.2666234925446</v>
      </c>
      <c r="H13" s="104">
        <f>G13-D13</f>
        <v>-42.627334030229576</v>
      </c>
      <c r="I13" s="105">
        <f t="shared" ref="I13:I18" si="0">IF(ISERROR(H13/ABS(D13)),"N/A",(H13/ABS(D13)))</f>
        <v>-8.6344439230408437E-3</v>
      </c>
      <c r="J13" s="123">
        <f t="shared" ref="J13:J36" si="1">G13/$G$36</f>
        <v>0.62010487192578145</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4936.8939575227741</v>
      </c>
      <c r="E15" s="76"/>
      <c r="F15" s="25"/>
      <c r="G15" s="25">
        <f>SUM(G13:G14)</f>
        <v>4894.2666234925446</v>
      </c>
      <c r="H15" s="25">
        <f t="shared" si="3"/>
        <v>-42.627334030229576</v>
      </c>
      <c r="I15" s="27">
        <f t="shared" si="0"/>
        <v>-8.6344439230408437E-3</v>
      </c>
      <c r="J15" s="47">
        <f t="shared" si="1"/>
        <v>0.62010487192578145</v>
      </c>
    </row>
    <row r="16" spans="1:10" s="1" customFormat="1" x14ac:dyDescent="0.2">
      <c r="A16" s="107" t="s">
        <v>38</v>
      </c>
      <c r="B16" s="73">
        <v>1</v>
      </c>
      <c r="C16" s="121">
        <f>VLOOKUP($C$3,'Data for Bill Impacts'!$A$3:$Y$39,7,0)</f>
        <v>83.61</v>
      </c>
      <c r="D16" s="22">
        <f>B16*C16</f>
        <v>83.61</v>
      </c>
      <c r="E16" s="73">
        <f t="shared" ref="E16:E31" si="4">B16</f>
        <v>1</v>
      </c>
      <c r="F16" s="78">
        <f>VLOOKUP($B$3,'Data for Bill Impacts'!$A$3:$Y$39,17,0)</f>
        <v>206.23</v>
      </c>
      <c r="G16" s="22">
        <f>E16*F16</f>
        <v>206.23</v>
      </c>
      <c r="H16" s="22">
        <f t="shared" si="3"/>
        <v>122.61999999999999</v>
      </c>
      <c r="I16" s="23">
        <f t="shared" si="0"/>
        <v>1.4665709843320176</v>
      </c>
      <c r="J16" s="124">
        <f t="shared" si="1"/>
        <v>2.6129395387535267E-2</v>
      </c>
    </row>
    <row r="17" spans="1:10" x14ac:dyDescent="0.2">
      <c r="A17" s="107" t="s">
        <v>193</v>
      </c>
      <c r="B17" s="73">
        <v>1</v>
      </c>
      <c r="C17" s="121">
        <f>'Data for Bill Impacts'!K30</f>
        <v>-0.84</v>
      </c>
      <c r="D17" s="22">
        <f>B17*C17</f>
        <v>-0.84</v>
      </c>
      <c r="E17" s="73">
        <f t="shared" si="4"/>
        <v>1</v>
      </c>
      <c r="F17" s="121">
        <v>0</v>
      </c>
      <c r="G17" s="22">
        <f t="shared" ref="G17" si="5">E17*F17</f>
        <v>0</v>
      </c>
      <c r="H17" s="22">
        <f t="shared" si="3"/>
        <v>0.84</v>
      </c>
      <c r="I17" s="23">
        <f t="shared" si="0"/>
        <v>1</v>
      </c>
      <c r="J17" s="124">
        <f t="shared" si="1"/>
        <v>0</v>
      </c>
    </row>
    <row r="18" spans="1:10" x14ac:dyDescent="0.2">
      <c r="A18" s="107" t="s">
        <v>39</v>
      </c>
      <c r="B18" s="73">
        <f>IF($C$10="kWh",$C$4,$C$5)</f>
        <v>143.21569056237885</v>
      </c>
      <c r="C18" s="125">
        <f>VLOOKUP($C$3,'Data for Bill Impacts'!$A$3:$Y$39,10,0)</f>
        <v>3.9339</v>
      </c>
      <c r="D18" s="22">
        <f>B18*C18</f>
        <v>563.39620510334214</v>
      </c>
      <c r="E18" s="73">
        <f>B5</f>
        <v>143.21569056237885</v>
      </c>
      <c r="F18" s="125">
        <f>VLOOKUP($B$3,'Data for Bill Impacts'!$A$3:$Y$39,19,0)</f>
        <v>5.1665999999999999</v>
      </c>
      <c r="G18" s="22">
        <f>E18*F18</f>
        <v>739.93818685958661</v>
      </c>
      <c r="H18" s="22">
        <f t="shared" si="3"/>
        <v>176.54198175624447</v>
      </c>
      <c r="I18" s="23">
        <f t="shared" si="0"/>
        <v>0.31335316098528188</v>
      </c>
      <c r="J18" s="124">
        <f t="shared" si="1"/>
        <v>9.3750363413616311E-2</v>
      </c>
    </row>
    <row r="19" spans="1:10" x14ac:dyDescent="0.2">
      <c r="A19" s="107" t="s">
        <v>194</v>
      </c>
      <c r="B19" s="73">
        <f>IF($C$10="kWh",$C$4,$C$5)</f>
        <v>143.21569056237885</v>
      </c>
      <c r="C19" s="125">
        <f>'Data for Bill Impacts'!H30</f>
        <v>0.155</v>
      </c>
      <c r="D19" s="22">
        <f>B19*C19</f>
        <v>22.198432037168722</v>
      </c>
      <c r="E19" s="73">
        <f>B5</f>
        <v>143.21569056237885</v>
      </c>
      <c r="F19" s="125">
        <v>0</v>
      </c>
      <c r="G19" s="22">
        <f>E19*F19</f>
        <v>0</v>
      </c>
      <c r="H19" s="22">
        <f t="shared" ref="H19" si="6">G19-D19</f>
        <v>-22.198432037168722</v>
      </c>
      <c r="I19" s="23">
        <f>IF(ISERROR(H19/ABS(D19)),"N/A",(H19/ABS(D19)))</f>
        <v>-1</v>
      </c>
      <c r="J19" s="124">
        <f t="shared" si="1"/>
        <v>0</v>
      </c>
    </row>
    <row r="20" spans="1:10" s="1" customFormat="1" x14ac:dyDescent="0.2">
      <c r="A20" s="107" t="s">
        <v>195</v>
      </c>
      <c r="B20" s="73">
        <f>IF($B$10="kWh",$B$4,$B$5)</f>
        <v>143.21569056237885</v>
      </c>
      <c r="C20" s="78">
        <f>'Data for Bill Impacts'!L30</f>
        <v>-3.9300000000000002E-2</v>
      </c>
      <c r="D20" s="22">
        <f>B20*C20</f>
        <v>-5.6283766391014893</v>
      </c>
      <c r="E20" s="73">
        <f>B20</f>
        <v>143.21569056237885</v>
      </c>
      <c r="F20" s="125">
        <f>VLOOKUP($B$3,'Data for Bill Impacts'!$A$3:$Y$39,23,0)</f>
        <v>0</v>
      </c>
      <c r="G20" s="22">
        <f>E20*F20</f>
        <v>0</v>
      </c>
      <c r="H20" s="22">
        <f>G20-D20</f>
        <v>5.6283766391014893</v>
      </c>
      <c r="I20" s="23">
        <f>IF(ISERROR(H20/D20),0,(H20/D20))</f>
        <v>-1</v>
      </c>
      <c r="J20" s="124">
        <f t="shared" si="1"/>
        <v>0</v>
      </c>
    </row>
    <row r="21" spans="1:10" x14ac:dyDescent="0.2">
      <c r="A21" s="110" t="s">
        <v>79</v>
      </c>
      <c r="B21" s="74"/>
      <c r="C21" s="35"/>
      <c r="D21" s="35">
        <f>SUM(D16:D20)</f>
        <v>662.73626050140933</v>
      </c>
      <c r="E21" s="73"/>
      <c r="F21" s="35"/>
      <c r="G21" s="35">
        <f>SUM(G16:G20)</f>
        <v>946.16818685958663</v>
      </c>
      <c r="H21" s="35">
        <f t="shared" si="3"/>
        <v>283.43192635817729</v>
      </c>
      <c r="I21" s="36">
        <f t="shared" ref="I21" si="7">IF(ISERROR(H21/D21),0,(H21/D21))</f>
        <v>0.42766926038382136</v>
      </c>
      <c r="J21" s="111">
        <f t="shared" si="1"/>
        <v>0.11987975880115158</v>
      </c>
    </row>
    <row r="22" spans="1:10" x14ac:dyDescent="0.2">
      <c r="A22" s="107" t="s">
        <v>40</v>
      </c>
      <c r="B22" s="73">
        <f>C5</f>
        <v>143.21569056237885</v>
      </c>
      <c r="C22" s="125">
        <f>VLOOKUP($C$3,'Data for Bill Impacts'!$A$3:$Y$39,15,0)</f>
        <v>2.503832177640037</v>
      </c>
      <c r="D22" s="22">
        <f>B22*C22</f>
        <v>358.58805437302271</v>
      </c>
      <c r="E22" s="73">
        <f>B5</f>
        <v>143.21569056237885</v>
      </c>
      <c r="F22" s="78">
        <f>VLOOKUP($B$3,'Data for Bill Impacts'!$A$3:$Y$39,24,0)</f>
        <v>1.8483000000000001</v>
      </c>
      <c r="G22" s="22">
        <f>E22*F22</f>
        <v>264.70556086644484</v>
      </c>
      <c r="H22" s="22">
        <f t="shared" si="3"/>
        <v>-93.882493506577873</v>
      </c>
      <c r="I22" s="23">
        <f t="shared" ref="I22:I36" si="8">IF(ISERROR(H22/ABS(D22)),"N/A",(H22/ABS(D22)))</f>
        <v>-0.26181154771239595</v>
      </c>
      <c r="J22" s="124">
        <f t="shared" si="1"/>
        <v>3.3538264370647435E-2</v>
      </c>
    </row>
    <row r="23" spans="1:10" s="1" customFormat="1" x14ac:dyDescent="0.2">
      <c r="A23" s="107" t="s">
        <v>41</v>
      </c>
      <c r="B23" s="73">
        <f>C5</f>
        <v>143.21569056237885</v>
      </c>
      <c r="C23" s="125">
        <f>VLOOKUP($C$3,'Data for Bill Impacts'!$A$3:$Y$39,16,0)</f>
        <v>2.1172379802527086</v>
      </c>
      <c r="D23" s="22">
        <f>B23*C23</f>
        <v>303.22169942678789</v>
      </c>
      <c r="E23" s="73">
        <f>B5</f>
        <v>143.21569056237885</v>
      </c>
      <c r="F23" s="78">
        <f>VLOOKUP($B$3,'Data for Bill Impacts'!$A$3:$Y$39,25,0)</f>
        <v>1.5101</v>
      </c>
      <c r="G23" s="22">
        <f>E23*F23</f>
        <v>216.27001431824831</v>
      </c>
      <c r="H23" s="22">
        <f t="shared" si="3"/>
        <v>-86.951685108539579</v>
      </c>
      <c r="I23" s="23">
        <f t="shared" si="8"/>
        <v>-0.28675944126991426</v>
      </c>
      <c r="J23" s="124">
        <f t="shared" si="1"/>
        <v>2.7401467849437151E-2</v>
      </c>
    </row>
    <row r="24" spans="1:10" x14ac:dyDescent="0.2">
      <c r="A24" s="110" t="s">
        <v>76</v>
      </c>
      <c r="B24" s="74"/>
      <c r="C24" s="35"/>
      <c r="D24" s="35">
        <f>SUM(D22:D23)</f>
        <v>661.80975379981055</v>
      </c>
      <c r="E24" s="73"/>
      <c r="F24" s="35"/>
      <c r="G24" s="35">
        <f>SUM(G22:G23)</f>
        <v>480.97557518469318</v>
      </c>
      <c r="H24" s="35">
        <f t="shared" si="3"/>
        <v>-180.83417861511737</v>
      </c>
      <c r="I24" s="36">
        <f t="shared" si="8"/>
        <v>-0.27324193633721744</v>
      </c>
      <c r="J24" s="111">
        <f t="shared" si="1"/>
        <v>6.0939732220084593E-2</v>
      </c>
    </row>
    <row r="25" spans="1:10" s="1" customFormat="1" x14ac:dyDescent="0.2">
      <c r="A25" s="110" t="s">
        <v>80</v>
      </c>
      <c r="B25" s="74"/>
      <c r="C25" s="35"/>
      <c r="D25" s="35">
        <f>D21+D24</f>
        <v>1324.5460143012199</v>
      </c>
      <c r="E25" s="73"/>
      <c r="F25" s="35"/>
      <c r="G25" s="35">
        <f>G21+G24</f>
        <v>1427.1437620442798</v>
      </c>
      <c r="H25" s="35">
        <f t="shared" si="3"/>
        <v>102.59774774305993</v>
      </c>
      <c r="I25" s="36">
        <f t="shared" si="8"/>
        <v>7.745880221245964E-2</v>
      </c>
      <c r="J25" s="111">
        <f t="shared" si="1"/>
        <v>0.18081949102123618</v>
      </c>
    </row>
    <row r="26" spans="1:10" x14ac:dyDescent="0.2">
      <c r="A26" s="107" t="s">
        <v>42</v>
      </c>
      <c r="B26" s="73">
        <f>$C$9</f>
        <v>54251.581950799715</v>
      </c>
      <c r="C26" s="34">
        <v>3.5999999999999999E-3</v>
      </c>
      <c r="D26" s="22">
        <f>B26*C26</f>
        <v>195.30569502287898</v>
      </c>
      <c r="E26" s="73">
        <f>$B$9</f>
        <v>53783.149708709287</v>
      </c>
      <c r="F26" s="34">
        <v>3.5999999999999999E-3</v>
      </c>
      <c r="G26" s="22">
        <f>E26*F26</f>
        <v>193.61933895135343</v>
      </c>
      <c r="H26" s="22">
        <f t="shared" si="3"/>
        <v>-1.6863560715255517</v>
      </c>
      <c r="I26" s="23">
        <f t="shared" si="8"/>
        <v>-8.6344439230407709E-3</v>
      </c>
      <c r="J26" s="124">
        <f t="shared" si="1"/>
        <v>2.4531621306953993E-2</v>
      </c>
    </row>
    <row r="27" spans="1:10" x14ac:dyDescent="0.2">
      <c r="A27" s="107" t="s">
        <v>43</v>
      </c>
      <c r="B27" s="73">
        <f>$C$9</f>
        <v>54251.581950799715</v>
      </c>
      <c r="C27" s="34">
        <v>2.0999999999999999E-3</v>
      </c>
      <c r="D27" s="22">
        <f>B27*C27</f>
        <v>113.92832209667939</v>
      </c>
      <c r="E27" s="73">
        <f>$B$9</f>
        <v>53783.149708709287</v>
      </c>
      <c r="F27" s="34">
        <v>2.0999999999999999E-3</v>
      </c>
      <c r="G27" s="22">
        <f>E27*F27</f>
        <v>112.94461438828949</v>
      </c>
      <c r="H27" s="22">
        <f>G27-D27</f>
        <v>-0.9837077083899004</v>
      </c>
      <c r="I27" s="23">
        <f t="shared" si="8"/>
        <v>-8.634443923040731E-3</v>
      </c>
      <c r="J27" s="124">
        <f t="shared" si="1"/>
        <v>1.4310112429056495E-2</v>
      </c>
    </row>
    <row r="28" spans="1:10" x14ac:dyDescent="0.2">
      <c r="A28" s="107" t="s">
        <v>100</v>
      </c>
      <c r="B28" s="73">
        <f>$C$9</f>
        <v>54251.581950799715</v>
      </c>
      <c r="C28" s="34">
        <v>0</v>
      </c>
      <c r="D28" s="22">
        <f>B28*C28</f>
        <v>0</v>
      </c>
      <c r="E28" s="73">
        <f>$B$9</f>
        <v>53783.149708709287</v>
      </c>
      <c r="F28" s="34">
        <v>0</v>
      </c>
      <c r="G28" s="22">
        <f>E28*F28</f>
        <v>0</v>
      </c>
      <c r="H28" s="22">
        <f>G28-D28</f>
        <v>0</v>
      </c>
      <c r="I28" s="23" t="str">
        <f t="shared" si="8"/>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si="1"/>
        <v>3.1675065930678456E-5</v>
      </c>
    </row>
    <row r="30" spans="1:10" x14ac:dyDescent="0.2">
      <c r="A30" s="110" t="s">
        <v>45</v>
      </c>
      <c r="B30" s="74"/>
      <c r="C30" s="35"/>
      <c r="D30" s="35">
        <f>SUM(D26:D29)</f>
        <v>309.48401711955836</v>
      </c>
      <c r="E30" s="73"/>
      <c r="F30" s="35"/>
      <c r="G30" s="35">
        <f>SUM(G26:G29)</f>
        <v>306.81395333964292</v>
      </c>
      <c r="H30" s="35">
        <f t="shared" si="3"/>
        <v>-2.6700637799154379</v>
      </c>
      <c r="I30" s="36">
        <f t="shared" si="8"/>
        <v>-8.6274690524129772E-3</v>
      </c>
      <c r="J30" s="111">
        <f t="shared" si="1"/>
        <v>3.8873408801941164E-2</v>
      </c>
    </row>
    <row r="31" spans="1:10" ht="13.5" thickBot="1" x14ac:dyDescent="0.25">
      <c r="A31" s="112" t="s">
        <v>46</v>
      </c>
      <c r="B31" s="113">
        <f>B4</f>
        <v>50916.548053308041</v>
      </c>
      <c r="C31" s="114">
        <v>7.0000000000000001E-3</v>
      </c>
      <c r="D31" s="115">
        <f>B31*C31</f>
        <v>356.41583637315631</v>
      </c>
      <c r="E31" s="116">
        <f t="shared" si="4"/>
        <v>50916.548053308041</v>
      </c>
      <c r="F31" s="114">
        <f>C31</f>
        <v>7.0000000000000001E-3</v>
      </c>
      <c r="G31" s="115">
        <f>E31*F31</f>
        <v>356.41583637315631</v>
      </c>
      <c r="H31" s="115">
        <f t="shared" si="3"/>
        <v>0</v>
      </c>
      <c r="I31" s="117">
        <f t="shared" si="8"/>
        <v>0</v>
      </c>
      <c r="J31" s="118">
        <f t="shared" si="1"/>
        <v>4.5157980463430517E-2</v>
      </c>
    </row>
    <row r="32" spans="1:10" x14ac:dyDescent="0.2">
      <c r="A32" s="37" t="s">
        <v>146</v>
      </c>
      <c r="B32" s="38"/>
      <c r="C32" s="39"/>
      <c r="D32" s="39">
        <f>SUM(D15,D21,D24,D30,D31)</f>
        <v>6927.3398253167097</v>
      </c>
      <c r="E32" s="38"/>
      <c r="F32" s="39"/>
      <c r="G32" s="39">
        <f>SUM(G15,G21,G24,G30,G31)</f>
        <v>6984.640175249624</v>
      </c>
      <c r="H32" s="39">
        <f t="shared" si="3"/>
        <v>57.300349932914287</v>
      </c>
      <c r="I32" s="40">
        <f t="shared" si="8"/>
        <v>8.2716239390341426E-3</v>
      </c>
      <c r="J32" s="41">
        <f t="shared" si="1"/>
        <v>0.88495575221238931</v>
      </c>
    </row>
    <row r="33" spans="1:10" x14ac:dyDescent="0.2">
      <c r="A33" s="46" t="s">
        <v>138</v>
      </c>
      <c r="B33" s="43"/>
      <c r="C33" s="26">
        <v>0.13</v>
      </c>
      <c r="D33" s="26">
        <f>D32*C33</f>
        <v>900.55417729117232</v>
      </c>
      <c r="E33" s="26"/>
      <c r="F33" s="26">
        <f>C33</f>
        <v>0.13</v>
      </c>
      <c r="G33" s="26">
        <f>G32*F33</f>
        <v>908.00322278245119</v>
      </c>
      <c r="H33" s="26">
        <f t="shared" si="3"/>
        <v>7.4490454912788664</v>
      </c>
      <c r="I33" s="44">
        <f t="shared" si="8"/>
        <v>8.2716239390341513E-3</v>
      </c>
      <c r="J33" s="45">
        <f t="shared" si="1"/>
        <v>0.11504424778761063</v>
      </c>
    </row>
    <row r="34" spans="1:10" x14ac:dyDescent="0.2">
      <c r="A34" s="46" t="s">
        <v>139</v>
      </c>
      <c r="B34" s="24"/>
      <c r="C34" s="25"/>
      <c r="D34" s="25">
        <f>SUM(D32:D33)</f>
        <v>7827.8940026078817</v>
      </c>
      <c r="E34" s="25"/>
      <c r="F34" s="25"/>
      <c r="G34" s="25">
        <f>SUM(G32:G33)</f>
        <v>7892.6433980320753</v>
      </c>
      <c r="H34" s="25">
        <f t="shared" si="3"/>
        <v>64.749395424193608</v>
      </c>
      <c r="I34" s="27">
        <f t="shared" si="8"/>
        <v>8.2716239390342016E-3</v>
      </c>
      <c r="J34" s="47">
        <f t="shared" si="1"/>
        <v>1</v>
      </c>
    </row>
    <row r="35" spans="1:10" x14ac:dyDescent="0.2">
      <c r="A35" s="46" t="s">
        <v>140</v>
      </c>
      <c r="B35" s="43"/>
      <c r="C35" s="26">
        <v>0</v>
      </c>
      <c r="D35" s="26">
        <f>D32*C35</f>
        <v>0</v>
      </c>
      <c r="E35" s="26"/>
      <c r="F35" s="26">
        <f>C35</f>
        <v>0</v>
      </c>
      <c r="G35" s="26">
        <f>G32*F35</f>
        <v>0</v>
      </c>
      <c r="H35" s="26">
        <f t="shared" si="3"/>
        <v>0</v>
      </c>
      <c r="I35" s="44" t="str">
        <f t="shared" si="8"/>
        <v>N/A</v>
      </c>
      <c r="J35" s="45">
        <f t="shared" si="1"/>
        <v>0</v>
      </c>
    </row>
    <row r="36" spans="1:10" ht="13.5" thickBot="1" x14ac:dyDescent="0.25">
      <c r="A36" s="46" t="s">
        <v>141</v>
      </c>
      <c r="B36" s="49"/>
      <c r="C36" s="50"/>
      <c r="D36" s="50">
        <f>SUM(D34:D35)</f>
        <v>7827.8940026078817</v>
      </c>
      <c r="E36" s="50"/>
      <c r="F36" s="50"/>
      <c r="G36" s="50">
        <f>SUM(G34:G35)</f>
        <v>7892.6433980320753</v>
      </c>
      <c r="H36" s="50">
        <f t="shared" si="3"/>
        <v>64.749395424193608</v>
      </c>
      <c r="I36" s="51">
        <f t="shared" si="8"/>
        <v>8.2716239390342016E-3</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J38"/>
  <sheetViews>
    <sheetView tabSelected="1" workbookViewId="0">
      <selection activeCell="N7" sqref="N7"/>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111</v>
      </c>
      <c r="B1" s="338"/>
      <c r="C1" s="338"/>
      <c r="D1" s="338"/>
      <c r="E1" s="338"/>
      <c r="F1" s="338"/>
      <c r="G1" s="338"/>
      <c r="H1" s="338"/>
      <c r="I1" s="338"/>
      <c r="J1" s="339"/>
    </row>
    <row r="3" spans="1:10" x14ac:dyDescent="0.2">
      <c r="A3" s="13" t="s">
        <v>13</v>
      </c>
      <c r="B3" s="13" t="s">
        <v>187</v>
      </c>
      <c r="C3" s="13" t="s">
        <v>121</v>
      </c>
    </row>
    <row r="4" spans="1:10" x14ac:dyDescent="0.2">
      <c r="A4" s="15" t="s">
        <v>62</v>
      </c>
      <c r="B4" s="79">
        <v>175000</v>
      </c>
      <c r="C4" s="79">
        <f>B4</f>
        <v>175000</v>
      </c>
    </row>
    <row r="5" spans="1:10" x14ac:dyDescent="0.2">
      <c r="A5" s="15" t="s">
        <v>16</v>
      </c>
      <c r="B5" s="79">
        <v>500</v>
      </c>
      <c r="C5" s="79">
        <f>B5</f>
        <v>500</v>
      </c>
    </row>
    <row r="6" spans="1:10" x14ac:dyDescent="0.2">
      <c r="A6" s="15" t="s">
        <v>20</v>
      </c>
      <c r="B6" s="80">
        <f>VLOOKUP($B$3,'Data for Bill Impacts'!$A$3:$Y$39,2,0)</f>
        <v>1.0563</v>
      </c>
      <c r="C6" s="80">
        <f>VLOOKUP($C$3,'Data for Bill Impacts'!$A$3:$Y$39,2,0)</f>
        <v>1.0654999999999999</v>
      </c>
    </row>
    <row r="7" spans="1:10" x14ac:dyDescent="0.2">
      <c r="A7" s="81" t="s">
        <v>49</v>
      </c>
      <c r="B7" s="82">
        <f>B4/(B5*730)</f>
        <v>0.47945205479452052</v>
      </c>
      <c r="C7" s="82">
        <f>C4/(C5*730)</f>
        <v>0.47945205479452052</v>
      </c>
    </row>
    <row r="8" spans="1:10" x14ac:dyDescent="0.2">
      <c r="A8" s="15" t="s">
        <v>15</v>
      </c>
      <c r="B8" s="79">
        <f>VLOOKUP($B$3,'Data for Bill Impacts'!$A$3:$Y$39,4,0)</f>
        <v>0</v>
      </c>
      <c r="C8" s="79">
        <v>0</v>
      </c>
    </row>
    <row r="9" spans="1:10" x14ac:dyDescent="0.2">
      <c r="A9" s="15" t="s">
        <v>82</v>
      </c>
      <c r="B9" s="79">
        <f>B4*B6</f>
        <v>184852.5</v>
      </c>
      <c r="C9" s="79">
        <f>C4*C6</f>
        <v>186462.49999999997</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50</v>
      </c>
    </row>
    <row r="13" spans="1:10" x14ac:dyDescent="0.2">
      <c r="A13" s="101" t="s">
        <v>31</v>
      </c>
      <c r="B13" s="102">
        <f>C9</f>
        <v>186462.49999999997</v>
      </c>
      <c r="C13" s="103">
        <v>9.0999999999999998E-2</v>
      </c>
      <c r="D13" s="104">
        <f>B13*C13</f>
        <v>16968.087499999998</v>
      </c>
      <c r="E13" s="102">
        <f>B9</f>
        <v>184852.5</v>
      </c>
      <c r="F13" s="103">
        <f>C13</f>
        <v>9.0999999999999998E-2</v>
      </c>
      <c r="G13" s="104">
        <f>E13*F13</f>
        <v>16821.577499999999</v>
      </c>
      <c r="H13" s="104">
        <f>G13-D13</f>
        <v>-146.5099999999984</v>
      </c>
      <c r="I13" s="105">
        <f t="shared" ref="I13:I18" si="0">IF(ISERROR(H13/ABS(D13)),"N/A",(H13/ABS(D13)))</f>
        <v>-8.6344439230407327E-3</v>
      </c>
      <c r="J13" s="123">
        <f t="shared" ref="J13:J36" si="1">G13/$G$36</f>
        <v>0.63160146252681493</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16968.087499999998</v>
      </c>
      <c r="E15" s="76"/>
      <c r="F15" s="25"/>
      <c r="G15" s="25">
        <f>SUM(G13:G14)</f>
        <v>16821.577499999999</v>
      </c>
      <c r="H15" s="25">
        <f t="shared" si="3"/>
        <v>-146.5099999999984</v>
      </c>
      <c r="I15" s="27">
        <f t="shared" si="0"/>
        <v>-8.6344439230407327E-3</v>
      </c>
      <c r="J15" s="47">
        <f t="shared" si="1"/>
        <v>0.63160146252681493</v>
      </c>
    </row>
    <row r="16" spans="1:10" s="1" customFormat="1" x14ac:dyDescent="0.2">
      <c r="A16" s="107" t="s">
        <v>38</v>
      </c>
      <c r="B16" s="73">
        <v>1</v>
      </c>
      <c r="C16" s="121">
        <f>VLOOKUP($C$3,'Data for Bill Impacts'!$A$3:$Y$39,7,0)</f>
        <v>83.61</v>
      </c>
      <c r="D16" s="22">
        <f>B16*C16</f>
        <v>83.61</v>
      </c>
      <c r="E16" s="73">
        <f t="shared" ref="E16:E29" si="4">B16</f>
        <v>1</v>
      </c>
      <c r="F16" s="78">
        <f>VLOOKUP($B$3,'Data for Bill Impacts'!$A$3:$Y$39,17,0)</f>
        <v>206.23</v>
      </c>
      <c r="G16" s="22">
        <f>E16*F16</f>
        <v>206.23</v>
      </c>
      <c r="H16" s="22">
        <f t="shared" si="3"/>
        <v>122.61999999999999</v>
      </c>
      <c r="I16" s="23">
        <f t="shared" si="0"/>
        <v>1.4665709843320176</v>
      </c>
      <c r="J16" s="124">
        <f t="shared" si="1"/>
        <v>7.7433385553111788E-3</v>
      </c>
    </row>
    <row r="17" spans="1:10" x14ac:dyDescent="0.2">
      <c r="A17" s="107" t="s">
        <v>193</v>
      </c>
      <c r="B17" s="73">
        <v>1</v>
      </c>
      <c r="C17" s="125">
        <f>'Data for Bill Impacts'!K30</f>
        <v>-0.84</v>
      </c>
      <c r="D17" s="22">
        <f t="shared" ref="D17" si="5">B17*C17</f>
        <v>-0.84</v>
      </c>
      <c r="E17" s="73">
        <v>1</v>
      </c>
      <c r="F17" s="121">
        <v>0</v>
      </c>
      <c r="G17" s="22">
        <f t="shared" ref="G17" si="6">E17*F17</f>
        <v>0</v>
      </c>
      <c r="H17" s="22">
        <f t="shared" si="3"/>
        <v>0.84</v>
      </c>
      <c r="I17" s="23">
        <f t="shared" si="0"/>
        <v>1</v>
      </c>
      <c r="J17" s="124">
        <f t="shared" si="1"/>
        <v>0</v>
      </c>
    </row>
    <row r="18" spans="1:10" x14ac:dyDescent="0.2">
      <c r="A18" s="107" t="s">
        <v>39</v>
      </c>
      <c r="B18" s="73">
        <f>IF($C$10="kWh",$C$4,$C$5)</f>
        <v>500</v>
      </c>
      <c r="C18" s="125">
        <f>VLOOKUP($C$3,'Data for Bill Impacts'!$A$3:$Y$39,10,0)</f>
        <v>3.9339</v>
      </c>
      <c r="D18" s="22">
        <f>B18*C18</f>
        <v>1966.95</v>
      </c>
      <c r="E18" s="73">
        <f>IF($B$10="kWh",$B$4,$B$5)</f>
        <v>500</v>
      </c>
      <c r="F18" s="125">
        <f>VLOOKUP($B$3,'Data for Bill Impacts'!$A$3:$Y$39,19,0)</f>
        <v>5.1665999999999999</v>
      </c>
      <c r="G18" s="22">
        <f>E18*F18</f>
        <v>2583.2999999999997</v>
      </c>
      <c r="H18" s="22">
        <f t="shared" si="3"/>
        <v>616.34999999999968</v>
      </c>
      <c r="I18" s="23">
        <f t="shared" si="0"/>
        <v>0.3133531609852816</v>
      </c>
      <c r="J18" s="124">
        <f t="shared" si="1"/>
        <v>9.6995424962107196E-2</v>
      </c>
    </row>
    <row r="19" spans="1:10" s="1" customFormat="1" x14ac:dyDescent="0.2">
      <c r="A19" s="107" t="s">
        <v>194</v>
      </c>
      <c r="B19" s="73">
        <f>IF($C$10="kWh",$C$4,$C$5)</f>
        <v>500</v>
      </c>
      <c r="C19" s="125">
        <f>'Data for Bill Impacts'!H30</f>
        <v>0.155</v>
      </c>
      <c r="D19" s="22">
        <f>B19*C19</f>
        <v>77.5</v>
      </c>
      <c r="E19" s="73">
        <f t="shared" ref="E19:E20" si="7">IF($B$10="kWh",$B$4,$B$5)</f>
        <v>500</v>
      </c>
      <c r="F19" s="125">
        <v>0</v>
      </c>
      <c r="G19" s="22">
        <f t="shared" ref="G19:G20" si="8">E19*F19</f>
        <v>0</v>
      </c>
      <c r="H19" s="22">
        <f t="shared" ref="H19" si="9">G19-D19</f>
        <v>-77.5</v>
      </c>
      <c r="I19" s="23">
        <f>IF(ISERROR(H19/ABS(D19)),"N/A",(H19/ABS(D19)))</f>
        <v>-1</v>
      </c>
      <c r="J19" s="124">
        <f t="shared" si="1"/>
        <v>0</v>
      </c>
    </row>
    <row r="20" spans="1:10" x14ac:dyDescent="0.2">
      <c r="A20" s="107" t="s">
        <v>195</v>
      </c>
      <c r="B20" s="120">
        <f>IF($C$10="kWh",$C$4,$C$5)</f>
        <v>500</v>
      </c>
      <c r="C20" s="257">
        <f>'Data for Bill Impacts'!L30</f>
        <v>-3.9300000000000002E-2</v>
      </c>
      <c r="D20" s="22">
        <f>B20*C20</f>
        <v>-19.650000000000002</v>
      </c>
      <c r="E20" s="73">
        <f t="shared" si="7"/>
        <v>500</v>
      </c>
      <c r="F20" s="252">
        <v>0</v>
      </c>
      <c r="G20" s="22">
        <f t="shared" si="8"/>
        <v>0</v>
      </c>
      <c r="H20" s="35">
        <f t="shared" si="3"/>
        <v>19.650000000000002</v>
      </c>
      <c r="I20" s="36">
        <f t="shared" ref="I20:I21" si="10">IF(ISERROR(H20/D20),0,(H20/D20))</f>
        <v>-1</v>
      </c>
      <c r="J20" s="124">
        <f t="shared" si="1"/>
        <v>0</v>
      </c>
    </row>
    <row r="21" spans="1:10" x14ac:dyDescent="0.2">
      <c r="A21" s="110" t="s">
        <v>79</v>
      </c>
      <c r="B21" s="74"/>
      <c r="C21" s="35"/>
      <c r="D21" s="35">
        <f>SUM(D16:D20)</f>
        <v>2107.5700000000002</v>
      </c>
      <c r="E21" s="73"/>
      <c r="F21" s="35"/>
      <c r="G21" s="35">
        <f>SUM(G16:G20)</f>
        <v>2789.5299999999997</v>
      </c>
      <c r="H21" s="35">
        <f t="shared" si="3"/>
        <v>681.95999999999958</v>
      </c>
      <c r="I21" s="36">
        <f t="shared" si="10"/>
        <v>0.32357644111464839</v>
      </c>
      <c r="J21" s="111">
        <f t="shared" si="1"/>
        <v>0.10473876351741838</v>
      </c>
    </row>
    <row r="22" spans="1:10" x14ac:dyDescent="0.2">
      <c r="A22" s="107" t="s">
        <v>40</v>
      </c>
      <c r="B22" s="73">
        <f>C5</f>
        <v>500</v>
      </c>
      <c r="C22" s="125">
        <f>VLOOKUP($C$3,'Data for Bill Impacts'!$A$3:$Y$39,15,0)</f>
        <v>2.503832177640037</v>
      </c>
      <c r="D22" s="22">
        <f>B22*C22</f>
        <v>1251.9160888200186</v>
      </c>
      <c r="E22" s="73">
        <f>B5</f>
        <v>500</v>
      </c>
      <c r="F22" s="78">
        <f>VLOOKUP($B$3,'Data for Bill Impacts'!$A$3:$Y$39,24,0)</f>
        <v>1.8483000000000001</v>
      </c>
      <c r="G22" s="22">
        <f>E22*F22</f>
        <v>924.15</v>
      </c>
      <c r="H22" s="22">
        <f t="shared" si="3"/>
        <v>-327.76608882001858</v>
      </c>
      <c r="I22" s="23">
        <f t="shared" ref="I22:I36" si="11">IF(ISERROR(H22/ABS(D22)),"N/A",(H22/ABS(D22)))</f>
        <v>-0.26181154771239606</v>
      </c>
      <c r="J22" s="124">
        <f t="shared" si="1"/>
        <v>3.4699153013096187E-2</v>
      </c>
    </row>
    <row r="23" spans="1:10" s="1" customFormat="1" x14ac:dyDescent="0.2">
      <c r="A23" s="107" t="s">
        <v>41</v>
      </c>
      <c r="B23" s="73">
        <f>C5</f>
        <v>500</v>
      </c>
      <c r="C23" s="125">
        <f>VLOOKUP($C$3,'Data for Bill Impacts'!$A$3:$Y$39,16,0)</f>
        <v>2.1172379802527086</v>
      </c>
      <c r="D23" s="22">
        <f>B23*C23</f>
        <v>1058.6189901263542</v>
      </c>
      <c r="E23" s="73">
        <f>B5</f>
        <v>500</v>
      </c>
      <c r="F23" s="78">
        <f>VLOOKUP($B$3,'Data for Bill Impacts'!$A$3:$Y$39,25,0)</f>
        <v>1.5101</v>
      </c>
      <c r="G23" s="22">
        <f>E23*F23</f>
        <v>755.05</v>
      </c>
      <c r="H23" s="22">
        <f t="shared" si="3"/>
        <v>-303.56899012635427</v>
      </c>
      <c r="I23" s="23">
        <f t="shared" si="11"/>
        <v>-0.28675944126991432</v>
      </c>
      <c r="J23" s="124">
        <f t="shared" si="1"/>
        <v>2.8349938302806119E-2</v>
      </c>
    </row>
    <row r="24" spans="1:10" x14ac:dyDescent="0.2">
      <c r="A24" s="110" t="s">
        <v>76</v>
      </c>
      <c r="B24" s="74"/>
      <c r="C24" s="35"/>
      <c r="D24" s="35">
        <f>SUM(D22:D23)</f>
        <v>2310.5350789463728</v>
      </c>
      <c r="E24" s="73"/>
      <c r="F24" s="35"/>
      <c r="G24" s="35">
        <f>SUM(G22:G23)</f>
        <v>1679.1999999999998</v>
      </c>
      <c r="H24" s="35">
        <f t="shared" si="3"/>
        <v>-631.33507894637296</v>
      </c>
      <c r="I24" s="36">
        <f t="shared" si="11"/>
        <v>-0.27324193633721766</v>
      </c>
      <c r="J24" s="111">
        <f t="shared" si="1"/>
        <v>6.3049091315902306E-2</v>
      </c>
    </row>
    <row r="25" spans="1:10" s="1" customFormat="1" x14ac:dyDescent="0.2">
      <c r="A25" s="110" t="s">
        <v>80</v>
      </c>
      <c r="B25" s="74"/>
      <c r="C25" s="35"/>
      <c r="D25" s="35">
        <f>SUM(D16:D20)</f>
        <v>2107.5700000000002</v>
      </c>
      <c r="E25" s="74"/>
      <c r="F25" s="35"/>
      <c r="G25" s="35">
        <f>G21+G24</f>
        <v>4468.7299999999996</v>
      </c>
      <c r="H25" s="35">
        <f t="shared" si="3"/>
        <v>2361.1599999999994</v>
      </c>
      <c r="I25" s="36">
        <f t="shared" si="11"/>
        <v>1.1203234056282825</v>
      </c>
      <c r="J25" s="111">
        <f t="shared" si="1"/>
        <v>0.16778785483332068</v>
      </c>
    </row>
    <row r="26" spans="1:10" x14ac:dyDescent="0.2">
      <c r="A26" s="107" t="s">
        <v>42</v>
      </c>
      <c r="B26" s="120">
        <f>$C$9</f>
        <v>186462.49999999997</v>
      </c>
      <c r="C26" s="34">
        <v>3.5999999999999999E-3</v>
      </c>
      <c r="D26" s="22">
        <f>B26*C26</f>
        <v>671.26499999999987</v>
      </c>
      <c r="E26" s="120">
        <f>$B$9</f>
        <v>184852.5</v>
      </c>
      <c r="F26" s="34">
        <v>3.5999999999999999E-3</v>
      </c>
      <c r="G26" s="22">
        <f>E26*F26</f>
        <v>665.46899999999994</v>
      </c>
      <c r="H26" s="22">
        <f t="shared" si="3"/>
        <v>-5.7959999999999354</v>
      </c>
      <c r="I26" s="23">
        <f t="shared" si="11"/>
        <v>-8.634443923040731E-3</v>
      </c>
      <c r="J26" s="124">
        <f t="shared" si="1"/>
        <v>2.4986431484577291E-2</v>
      </c>
    </row>
    <row r="27" spans="1:10" x14ac:dyDescent="0.2">
      <c r="A27" s="107" t="s">
        <v>43</v>
      </c>
      <c r="B27" s="120">
        <f>$C$9</f>
        <v>186462.49999999997</v>
      </c>
      <c r="C27" s="34">
        <v>2.0999999999999999E-3</v>
      </c>
      <c r="D27" s="22">
        <f>B27*C27</f>
        <v>391.57124999999991</v>
      </c>
      <c r="E27" s="120">
        <f t="shared" ref="E27:E28" si="12">$B$9</f>
        <v>184852.5</v>
      </c>
      <c r="F27" s="34">
        <v>2.0999999999999999E-3</v>
      </c>
      <c r="G27" s="22">
        <f>E27*F27</f>
        <v>388.19024999999999</v>
      </c>
      <c r="H27" s="22">
        <f>G27-D27</f>
        <v>-3.380999999999915</v>
      </c>
      <c r="I27" s="23">
        <f t="shared" si="11"/>
        <v>-8.6344439230406113E-3</v>
      </c>
      <c r="J27" s="124">
        <f t="shared" si="1"/>
        <v>1.4575418366003422E-2</v>
      </c>
    </row>
    <row r="28" spans="1:10" x14ac:dyDescent="0.2">
      <c r="A28" s="107" t="s">
        <v>100</v>
      </c>
      <c r="B28" s="120">
        <f>$C$9</f>
        <v>186462.49999999997</v>
      </c>
      <c r="C28" s="34">
        <v>0</v>
      </c>
      <c r="D28" s="22">
        <f>B28*C28</f>
        <v>0</v>
      </c>
      <c r="E28" s="120">
        <f t="shared" si="12"/>
        <v>184852.5</v>
      </c>
      <c r="F28" s="34">
        <v>0</v>
      </c>
      <c r="G28" s="22">
        <f>E28*F28</f>
        <v>0</v>
      </c>
      <c r="H28" s="22">
        <f>G28-D28</f>
        <v>0</v>
      </c>
      <c r="I28" s="23" t="str">
        <f t="shared" si="11"/>
        <v>N/A</v>
      </c>
      <c r="J28" s="124">
        <f t="shared" si="1"/>
        <v>0</v>
      </c>
    </row>
    <row r="29" spans="1:10" x14ac:dyDescent="0.2">
      <c r="A29" s="107" t="s">
        <v>44</v>
      </c>
      <c r="B29" s="73">
        <v>1</v>
      </c>
      <c r="C29" s="22">
        <v>0.25</v>
      </c>
      <c r="D29" s="22">
        <f>B29*C29</f>
        <v>0.25</v>
      </c>
      <c r="E29" s="73">
        <f t="shared" si="4"/>
        <v>1</v>
      </c>
      <c r="F29" s="22">
        <f>C29</f>
        <v>0.25</v>
      </c>
      <c r="G29" s="22">
        <f>E29*F29</f>
        <v>0.25</v>
      </c>
      <c r="H29" s="22">
        <f t="shared" si="3"/>
        <v>0</v>
      </c>
      <c r="I29" s="23">
        <f t="shared" si="11"/>
        <v>0</v>
      </c>
      <c r="J29" s="124">
        <f t="shared" si="1"/>
        <v>9.3867751482703523E-6</v>
      </c>
    </row>
    <row r="30" spans="1:10" x14ac:dyDescent="0.2">
      <c r="A30" s="110" t="s">
        <v>45</v>
      </c>
      <c r="B30" s="74"/>
      <c r="C30" s="35"/>
      <c r="D30" s="35">
        <f>SUM(D26:D29)</f>
        <v>1063.0862499999998</v>
      </c>
      <c r="E30" s="73"/>
      <c r="F30" s="35"/>
      <c r="G30" s="35">
        <f>SUM(G26:G29)</f>
        <v>1053.9092499999999</v>
      </c>
      <c r="H30" s="35">
        <f t="shared" si="3"/>
        <v>-9.1769999999999072</v>
      </c>
      <c r="I30" s="36">
        <f t="shared" si="11"/>
        <v>-8.6324134095421782E-3</v>
      </c>
      <c r="J30" s="111">
        <f t="shared" si="1"/>
        <v>3.9571236625728985E-2</v>
      </c>
    </row>
    <row r="31" spans="1:10" ht="13.5" thickBot="1" x14ac:dyDescent="0.25">
      <c r="A31" s="112" t="s">
        <v>46</v>
      </c>
      <c r="B31" s="113">
        <f>C4</f>
        <v>175000</v>
      </c>
      <c r="C31" s="114">
        <v>7.0000000000000001E-3</v>
      </c>
      <c r="D31" s="115">
        <f>B31*C31</f>
        <v>1225</v>
      </c>
      <c r="E31" s="116">
        <f>B4</f>
        <v>175000</v>
      </c>
      <c r="F31" s="114">
        <f>C31</f>
        <v>7.0000000000000001E-3</v>
      </c>
      <c r="G31" s="115">
        <f>E31*F31</f>
        <v>1225</v>
      </c>
      <c r="H31" s="115">
        <f t="shared" si="3"/>
        <v>0</v>
      </c>
      <c r="I31" s="117">
        <f t="shared" si="11"/>
        <v>0</v>
      </c>
      <c r="J31" s="118">
        <f t="shared" si="1"/>
        <v>4.5995198226524731E-2</v>
      </c>
    </row>
    <row r="32" spans="1:10" x14ac:dyDescent="0.2">
      <c r="A32" s="37" t="s">
        <v>146</v>
      </c>
      <c r="B32" s="38"/>
      <c r="C32" s="39"/>
      <c r="D32" s="39">
        <f>SUM(D15,D21,D24,D30,D31)</f>
        <v>23674.278828946372</v>
      </c>
      <c r="E32" s="38"/>
      <c r="F32" s="39"/>
      <c r="G32" s="39">
        <f>SUM(G15,G21,G24,G30,G31)</f>
        <v>23569.21675</v>
      </c>
      <c r="H32" s="39">
        <f t="shared" si="3"/>
        <v>-105.06207894637191</v>
      </c>
      <c r="I32" s="40">
        <f t="shared" si="11"/>
        <v>-4.4378153905120545E-3</v>
      </c>
      <c r="J32" s="41">
        <f t="shared" si="1"/>
        <v>0.88495575221238931</v>
      </c>
    </row>
    <row r="33" spans="1:10" x14ac:dyDescent="0.2">
      <c r="A33" s="46" t="s">
        <v>138</v>
      </c>
      <c r="B33" s="43"/>
      <c r="C33" s="26">
        <v>0.13</v>
      </c>
      <c r="D33" s="26">
        <f>D32*C33</f>
        <v>3077.6562477630282</v>
      </c>
      <c r="E33" s="26"/>
      <c r="F33" s="26">
        <f>C33</f>
        <v>0.13</v>
      </c>
      <c r="G33" s="26">
        <f>G32*F33</f>
        <v>3063.9981775000001</v>
      </c>
      <c r="H33" s="26">
        <f t="shared" si="3"/>
        <v>-13.658070263028094</v>
      </c>
      <c r="I33" s="44">
        <f t="shared" si="11"/>
        <v>-4.4378153905119721E-3</v>
      </c>
      <c r="J33" s="45">
        <f t="shared" si="1"/>
        <v>0.11504424778761062</v>
      </c>
    </row>
    <row r="34" spans="1:10" x14ac:dyDescent="0.2">
      <c r="A34" s="46" t="s">
        <v>139</v>
      </c>
      <c r="B34" s="24"/>
      <c r="C34" s="25"/>
      <c r="D34" s="25">
        <f>SUM(D32:D33)</f>
        <v>26751.9350767094</v>
      </c>
      <c r="E34" s="25"/>
      <c r="F34" s="25"/>
      <c r="G34" s="25">
        <f>SUM(G32:G33)</f>
        <v>26633.214927500001</v>
      </c>
      <c r="H34" s="25">
        <f t="shared" si="3"/>
        <v>-118.7201492093991</v>
      </c>
      <c r="I34" s="27">
        <f t="shared" si="11"/>
        <v>-4.4378153905120111E-3</v>
      </c>
      <c r="J34" s="47">
        <f t="shared" si="1"/>
        <v>1</v>
      </c>
    </row>
    <row r="35" spans="1:10" x14ac:dyDescent="0.2">
      <c r="A35" s="46" t="s">
        <v>140</v>
      </c>
      <c r="B35" s="43"/>
      <c r="C35" s="26">
        <v>0</v>
      </c>
      <c r="D35" s="26">
        <f>D32*C35</f>
        <v>0</v>
      </c>
      <c r="E35" s="26"/>
      <c r="F35" s="26">
        <f>C35</f>
        <v>0</v>
      </c>
      <c r="G35" s="26">
        <f>G32*F35</f>
        <v>0</v>
      </c>
      <c r="H35" s="26">
        <f t="shared" si="3"/>
        <v>0</v>
      </c>
      <c r="I35" s="44" t="str">
        <f t="shared" si="11"/>
        <v>N/A</v>
      </c>
      <c r="J35" s="45">
        <f t="shared" si="1"/>
        <v>0</v>
      </c>
    </row>
    <row r="36" spans="1:10" ht="13.5" thickBot="1" x14ac:dyDescent="0.25">
      <c r="A36" s="46" t="s">
        <v>141</v>
      </c>
      <c r="B36" s="49"/>
      <c r="C36" s="50"/>
      <c r="D36" s="50">
        <f>SUM(D34:D35)</f>
        <v>26751.9350767094</v>
      </c>
      <c r="E36" s="50"/>
      <c r="F36" s="50"/>
      <c r="G36" s="50">
        <f>SUM(G34:G35)</f>
        <v>26633.214927500001</v>
      </c>
      <c r="H36" s="50">
        <f t="shared" si="3"/>
        <v>-118.7201492093991</v>
      </c>
      <c r="I36" s="51">
        <f t="shared" si="11"/>
        <v>-4.4378153905120111E-3</v>
      </c>
      <c r="J36" s="52">
        <f t="shared" si="1"/>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J49"/>
  <sheetViews>
    <sheetView tabSelected="1" topLeftCell="A8"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79" t="s">
        <v>12</v>
      </c>
      <c r="C3" s="179" t="s">
        <v>117</v>
      </c>
    </row>
    <row r="4" spans="1:10" x14ac:dyDescent="0.2">
      <c r="A4" s="178" t="s">
        <v>62</v>
      </c>
      <c r="B4" s="79">
        <f>'Data for Bill Impacts_HONI Avg '!B60</f>
        <v>1544.8923697916664</v>
      </c>
      <c r="C4" s="79">
        <f>B4</f>
        <v>1544.8923697916664</v>
      </c>
    </row>
    <row r="5" spans="1:10" x14ac:dyDescent="0.2">
      <c r="A5" s="178" t="s">
        <v>16</v>
      </c>
      <c r="B5" s="79">
        <f>VLOOKUP($B$3,'Data for Bill Impacts'!$A$3:$Y$39,5,0)</f>
        <v>0</v>
      </c>
      <c r="C5" s="79">
        <f>B5</f>
        <v>0</v>
      </c>
    </row>
    <row r="6" spans="1:10" x14ac:dyDescent="0.2">
      <c r="A6" s="178" t="s">
        <v>20</v>
      </c>
      <c r="B6" s="80">
        <f>VLOOKUP($B$3,'Data for Bill Impacts'!$A$3:$Y$39,2,0)</f>
        <v>1.0920000000000001</v>
      </c>
      <c r="C6" s="80">
        <f>'Data for Bill Impacts'!B26</f>
        <v>1.0430999999999999</v>
      </c>
    </row>
    <row r="7" spans="1:10" x14ac:dyDescent="0.2">
      <c r="A7" s="178" t="s">
        <v>15</v>
      </c>
      <c r="B7" s="79">
        <f>VLOOKUP($B$3,'Data for Bill Impacts'!$A$3:$Y$39,4,0)</f>
        <v>750</v>
      </c>
      <c r="C7" s="79">
        <f>B7</f>
        <v>750</v>
      </c>
    </row>
    <row r="8" spans="1:10" x14ac:dyDescent="0.2">
      <c r="A8" s="178" t="s">
        <v>82</v>
      </c>
      <c r="B8" s="79">
        <f>B4*B6</f>
        <v>1687.0224678124998</v>
      </c>
      <c r="C8" s="79">
        <f>B4*C6</f>
        <v>1611.477230929687</v>
      </c>
    </row>
    <row r="9" spans="1:10" x14ac:dyDescent="0.2">
      <c r="A9" s="178" t="s">
        <v>21</v>
      </c>
      <c r="B9" s="180" t="str">
        <f>VLOOKUP($B$3,'Data for Bill Impacts'!$A$3:$Y$39,6,0)</f>
        <v>kWh</v>
      </c>
      <c r="C9" s="180" t="str">
        <f>B9</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G12/$G$38</f>
        <v>0.22663285881717027</v>
      </c>
    </row>
    <row r="13" spans="1:10" x14ac:dyDescent="0.2">
      <c r="A13" s="107" t="s">
        <v>32</v>
      </c>
      <c r="B13" s="73">
        <f>IF(B4&gt;B7,(B4)-B7,0)</f>
        <v>794.8923697916664</v>
      </c>
      <c r="C13" s="21">
        <v>0.106</v>
      </c>
      <c r="D13" s="22">
        <f>B13*C13</f>
        <v>84.25859119791663</v>
      </c>
      <c r="E13" s="73">
        <f t="shared" ref="E13" si="1">B13</f>
        <v>794.8923697916664</v>
      </c>
      <c r="F13" s="21">
        <f>C13</f>
        <v>0.106</v>
      </c>
      <c r="G13" s="22">
        <f>E13*F13</f>
        <v>84.25859119791663</v>
      </c>
      <c r="H13" s="22">
        <f t="shared" ref="H13:H38" si="2">G13-D13</f>
        <v>0</v>
      </c>
      <c r="I13" s="23">
        <f t="shared" si="0"/>
        <v>0</v>
      </c>
      <c r="J13" s="124">
        <f>G13/$G$38</f>
        <v>0.27979143447752536</v>
      </c>
    </row>
    <row r="14" spans="1:10" s="1" customFormat="1" x14ac:dyDescent="0.2">
      <c r="A14" s="46" t="s">
        <v>33</v>
      </c>
      <c r="B14" s="24"/>
      <c r="C14" s="25"/>
      <c r="D14" s="25">
        <f>SUM(D12:D13)</f>
        <v>152.50859119791664</v>
      </c>
      <c r="E14" s="76"/>
      <c r="F14" s="25"/>
      <c r="G14" s="25">
        <f>SUM(G12:G13)</f>
        <v>152.50859119791664</v>
      </c>
      <c r="H14" s="25">
        <f t="shared" si="2"/>
        <v>0</v>
      </c>
      <c r="I14" s="27">
        <f t="shared" si="0"/>
        <v>0</v>
      </c>
      <c r="J14" s="47">
        <f>G14/$G$38</f>
        <v>0.50642429329469563</v>
      </c>
    </row>
    <row r="15" spans="1:10" x14ac:dyDescent="0.2">
      <c r="A15" s="107" t="s">
        <v>38</v>
      </c>
      <c r="B15" s="73">
        <v>1</v>
      </c>
      <c r="C15" s="121">
        <f>VLOOKUP($C$3,'Data for Bill Impacts'!$A$3:$Y$39,7,0)</f>
        <v>10.53</v>
      </c>
      <c r="D15" s="22">
        <f>B15*C15</f>
        <v>10.53</v>
      </c>
      <c r="E15" s="73">
        <f t="shared" ref="E15:E33" si="3">B15</f>
        <v>1</v>
      </c>
      <c r="F15" s="121">
        <f>VLOOKUP($B$3,'Data for Bill Impacts'!$A$3:$Y$39,17,0)</f>
        <v>37.369999999999997</v>
      </c>
      <c r="G15" s="22">
        <f>E15*F15</f>
        <v>37.369999999999997</v>
      </c>
      <c r="H15" s="22">
        <f t="shared" si="2"/>
        <v>26.839999999999996</v>
      </c>
      <c r="I15" s="23">
        <f t="shared" si="0"/>
        <v>2.5489078822412155</v>
      </c>
      <c r="J15" s="124">
        <f>G15/$G$38</f>
        <v>0.12409186716480076</v>
      </c>
    </row>
    <row r="16" spans="1:10" x14ac:dyDescent="0.2">
      <c r="A16" s="107" t="s">
        <v>193</v>
      </c>
      <c r="B16" s="73">
        <v>1</v>
      </c>
      <c r="C16" s="121">
        <f>'Data for Bill Impacts'!K26</f>
        <v>-0.11</v>
      </c>
      <c r="D16" s="22">
        <f t="shared" ref="D16:D17" si="4">B16*C16</f>
        <v>-0.11</v>
      </c>
      <c r="E16" s="73">
        <f t="shared" si="3"/>
        <v>1</v>
      </c>
      <c r="F16" s="121">
        <v>0</v>
      </c>
      <c r="G16" s="22">
        <f t="shared" ref="G16:G20" si="5">E16*F16</f>
        <v>0</v>
      </c>
      <c r="H16" s="22">
        <f t="shared" si="2"/>
        <v>0.11</v>
      </c>
      <c r="I16" s="23">
        <f t="shared" si="0"/>
        <v>1</v>
      </c>
      <c r="J16" s="124">
        <f>G16/$G$38</f>
        <v>0</v>
      </c>
    </row>
    <row r="17" spans="1:10" x14ac:dyDescent="0.2">
      <c r="A17" s="107" t="s">
        <v>85</v>
      </c>
      <c r="B17" s="73">
        <v>1</v>
      </c>
      <c r="C17" s="121">
        <v>0</v>
      </c>
      <c r="D17" s="22">
        <f t="shared" si="4"/>
        <v>0</v>
      </c>
      <c r="E17" s="73">
        <v>1</v>
      </c>
      <c r="F17" s="121">
        <f>VLOOKUP($B$3,'Data for Bill Impacts'!$A$3:$Y$39,22,0)</f>
        <v>2E-3</v>
      </c>
      <c r="G17" s="22">
        <f t="shared" si="5"/>
        <v>2E-3</v>
      </c>
      <c r="H17" s="22">
        <f t="shared" ref="H17:H20" si="6">G17-D17</f>
        <v>2E-3</v>
      </c>
      <c r="I17" s="23" t="str">
        <f t="shared" si="0"/>
        <v>N/A</v>
      </c>
      <c r="J17" s="124">
        <f t="shared" ref="J17:J20" si="7">G17/$G$38</f>
        <v>6.6412559360342935E-6</v>
      </c>
    </row>
    <row r="18" spans="1:10" x14ac:dyDescent="0.2">
      <c r="A18" s="107" t="s">
        <v>39</v>
      </c>
      <c r="B18" s="73">
        <f>IF($C$9="kWh",$C$4,$C$5)</f>
        <v>1544.8923697916664</v>
      </c>
      <c r="C18" s="125">
        <f>VLOOKUP($C$3,'Data for Bill Impacts'!$A$3:$Y$39,10,0)</f>
        <v>1.2200000000000001E-2</v>
      </c>
      <c r="D18" s="22">
        <f>B18*C18</f>
        <v>18.847686911458332</v>
      </c>
      <c r="E18" s="73">
        <f>B4</f>
        <v>1544.8923697916664</v>
      </c>
      <c r="F18" s="78">
        <f>VLOOKUP($B$3,'Data for Bill Impacts'!$A$3:$Y$39,19,0)</f>
        <v>3.0300000000000001E-2</v>
      </c>
      <c r="G18" s="22">
        <f t="shared" si="5"/>
        <v>46.810238804687494</v>
      </c>
      <c r="H18" s="22">
        <f t="shared" si="6"/>
        <v>27.962551893229161</v>
      </c>
      <c r="I18" s="23">
        <f t="shared" si="0"/>
        <v>1.4836065573770489</v>
      </c>
      <c r="J18" s="124">
        <f t="shared" si="7"/>
        <v>0.15543938816440683</v>
      </c>
    </row>
    <row r="19" spans="1:10" x14ac:dyDescent="0.2">
      <c r="A19" s="107" t="s">
        <v>195</v>
      </c>
      <c r="B19" s="73">
        <f>IF($C$9="kWh",$B$4,$B$5)</f>
        <v>1544.8923697916664</v>
      </c>
      <c r="C19" s="78">
        <f>'Data for Bill Impacts'!L26</f>
        <v>-1E-4</v>
      </c>
      <c r="D19" s="22">
        <f>B19*C19</f>
        <v>-0.15448923697916664</v>
      </c>
      <c r="E19" s="73">
        <f>B19</f>
        <v>1544.8923697916664</v>
      </c>
      <c r="F19" s="125">
        <v>0</v>
      </c>
      <c r="G19" s="22">
        <f t="shared" si="5"/>
        <v>0</v>
      </c>
      <c r="H19" s="22">
        <f t="shared" si="6"/>
        <v>0.15448923697916664</v>
      </c>
      <c r="I19" s="23">
        <f>IF(ISERROR(H19/ABS(D19)),"N/A",(H19/ABS(D19)))</f>
        <v>1</v>
      </c>
      <c r="J19" s="124">
        <f t="shared" si="7"/>
        <v>0</v>
      </c>
    </row>
    <row r="20" spans="1:10" x14ac:dyDescent="0.2">
      <c r="A20" s="107" t="s">
        <v>199</v>
      </c>
      <c r="B20" s="73">
        <f>IF($C$9="kWh",$B$4,$B$5)</f>
        <v>1544.8923697916664</v>
      </c>
      <c r="C20" s="125">
        <v>0</v>
      </c>
      <c r="D20" s="22">
        <f>B20*C20</f>
        <v>0</v>
      </c>
      <c r="E20" s="73">
        <f>B20</f>
        <v>1544.8923697916664</v>
      </c>
      <c r="F20" s="125">
        <f>VLOOKUP($B$3,'Data for Bill Impacts'!$A$3:$Y$39,23,0)</f>
        <v>2.0000000000000002E-5</v>
      </c>
      <c r="G20" s="22">
        <f t="shared" si="5"/>
        <v>3.0897847395833331E-2</v>
      </c>
      <c r="H20" s="22">
        <f t="shared" si="6"/>
        <v>3.0897847395833331E-2</v>
      </c>
      <c r="I20" s="23">
        <f t="shared" ref="I20" si="8">IF(ISERROR(H20/D20),0,(H20/D20))</f>
        <v>0</v>
      </c>
      <c r="J20" s="124">
        <f t="shared" si="7"/>
        <v>1.0260025621412992E-4</v>
      </c>
    </row>
    <row r="21" spans="1:10" x14ac:dyDescent="0.2">
      <c r="A21" s="110" t="s">
        <v>72</v>
      </c>
      <c r="B21" s="74"/>
      <c r="C21" s="35"/>
      <c r="D21" s="35">
        <f>SUM(D15:D20)</f>
        <v>29.113197674479167</v>
      </c>
      <c r="E21" s="73"/>
      <c r="F21" s="35"/>
      <c r="G21" s="35">
        <f>SUM(G15:G20)</f>
        <v>84.213136652083335</v>
      </c>
      <c r="H21" s="35">
        <f t="shared" si="2"/>
        <v>55.099938977604168</v>
      </c>
      <c r="I21" s="36">
        <f t="shared" ref="I21" si="9">IF(ISERROR(H21/D21),0,(H21/D21))</f>
        <v>1.8926103409762218</v>
      </c>
      <c r="J21" s="111">
        <f t="shared" ref="J21:J38" si="10">G21/$G$38</f>
        <v>0.27964049684135778</v>
      </c>
    </row>
    <row r="22" spans="1:10" s="1" customFormat="1" x14ac:dyDescent="0.2">
      <c r="A22" s="119" t="s">
        <v>81</v>
      </c>
      <c r="B22" s="120">
        <f>C8-C4</f>
        <v>66.584861138020642</v>
      </c>
      <c r="C22" s="257">
        <f>IF(C4&gt;C7,C13,C12)</f>
        <v>0.106</v>
      </c>
      <c r="D22" s="22">
        <f>B22*C22</f>
        <v>7.0579952806301876</v>
      </c>
      <c r="E22" s="73">
        <f>B8-B4</f>
        <v>142.13009802083343</v>
      </c>
      <c r="F22" s="257">
        <f>C22</f>
        <v>0.106</v>
      </c>
      <c r="G22" s="22">
        <f>E22*F22</f>
        <v>15.065790390208344</v>
      </c>
      <c r="H22" s="22">
        <f t="shared" si="2"/>
        <v>8.0077951095781561</v>
      </c>
      <c r="I22" s="23">
        <f t="shared" ref="I22:I39" si="11">IF(ISERROR(H22/ABS(D22)),"N/A",(H22/ABS(D22)))</f>
        <v>1.1345707656612607</v>
      </c>
      <c r="J22" s="124">
        <f t="shared" si="10"/>
        <v>5.0027884930009786E-2</v>
      </c>
    </row>
    <row r="23" spans="1:10" x14ac:dyDescent="0.2">
      <c r="A23" s="110" t="s">
        <v>79</v>
      </c>
      <c r="B23" s="74"/>
      <c r="C23" s="35"/>
      <c r="D23" s="35">
        <f>SUM(D21,D22:D22)</f>
        <v>36.171192955109355</v>
      </c>
      <c r="E23" s="73"/>
      <c r="F23" s="35"/>
      <c r="G23" s="35">
        <f>SUM(G21,G22:G22)</f>
        <v>99.278927042291684</v>
      </c>
      <c r="H23" s="35">
        <f t="shared" si="2"/>
        <v>63.10773408718233</v>
      </c>
      <c r="I23" s="36">
        <f t="shared" si="11"/>
        <v>1.744695956406604</v>
      </c>
      <c r="J23" s="111">
        <f t="shared" si="10"/>
        <v>0.32966838177136759</v>
      </c>
    </row>
    <row r="24" spans="1:10" x14ac:dyDescent="0.2">
      <c r="A24" s="107" t="s">
        <v>40</v>
      </c>
      <c r="B24" s="73">
        <f>C8</f>
        <v>1611.477230929687</v>
      </c>
      <c r="C24" s="125">
        <f>VLOOKUP($C$3,'Data for Bill Impacts'!$A$3:$Y$39,15,0)</f>
        <v>6.4999999999999997E-3</v>
      </c>
      <c r="D24" s="22">
        <f>B24*C24</f>
        <v>10.474602001042966</v>
      </c>
      <c r="E24" s="73">
        <f>B8</f>
        <v>1687.0224678124998</v>
      </c>
      <c r="F24" s="78">
        <f>VLOOKUP($B$3,'Data for Bill Impacts'!$A$3:$Y$39,24,0)</f>
        <v>4.7000000000000002E-3</v>
      </c>
      <c r="G24" s="22">
        <f>E24*F24</f>
        <v>7.9290055987187493</v>
      </c>
      <c r="H24" s="22">
        <f t="shared" si="2"/>
        <v>-2.5455964023242164</v>
      </c>
      <c r="I24" s="23">
        <f t="shared" si="11"/>
        <v>-0.24302559677883218</v>
      </c>
      <c r="J24" s="124">
        <f t="shared" si="10"/>
        <v>2.6329277749670019E-2</v>
      </c>
    </row>
    <row r="25" spans="1:10" s="1" customFormat="1" x14ac:dyDescent="0.2">
      <c r="A25" s="107" t="s">
        <v>41</v>
      </c>
      <c r="B25" s="73">
        <f>C8</f>
        <v>1611.477230929687</v>
      </c>
      <c r="C25" s="125">
        <f>VLOOKUP($C$3,'Data for Bill Impacts'!$A$3:$Y$39,16,0)</f>
        <v>5.2595002611578161E-3</v>
      </c>
      <c r="D25" s="22">
        <f>B25*C25</f>
        <v>8.4755649169245633</v>
      </c>
      <c r="E25" s="73">
        <f>B8</f>
        <v>1687.0224678124998</v>
      </c>
      <c r="F25" s="78">
        <f>VLOOKUP($B$3,'Data for Bill Impacts'!$A$3:$Y$39,25,0)</f>
        <v>3.8E-3</v>
      </c>
      <c r="G25" s="22">
        <f>E25*F25</f>
        <v>6.410685377687499</v>
      </c>
      <c r="H25" s="22">
        <f t="shared" si="2"/>
        <v>-2.0648795392370642</v>
      </c>
      <c r="I25" s="23">
        <f t="shared" si="11"/>
        <v>-0.24362736401366916</v>
      </c>
      <c r="J25" s="124">
        <f t="shared" si="10"/>
        <v>2.1287501159307675E-2</v>
      </c>
    </row>
    <row r="26" spans="1:10" s="1" customFormat="1" x14ac:dyDescent="0.2">
      <c r="A26" s="110" t="s">
        <v>76</v>
      </c>
      <c r="B26" s="74"/>
      <c r="C26" s="35"/>
      <c r="D26" s="35">
        <f>SUM(D24:D25)</f>
        <v>18.950166917967529</v>
      </c>
      <c r="E26" s="73"/>
      <c r="F26" s="35"/>
      <c r="G26" s="35">
        <f>SUM(G24:G25)</f>
        <v>14.339690976406249</v>
      </c>
      <c r="H26" s="35">
        <f t="shared" si="2"/>
        <v>-4.6104759415612797</v>
      </c>
      <c r="I26" s="36">
        <f t="shared" si="11"/>
        <v>-0.24329474043787311</v>
      </c>
      <c r="J26" s="111">
        <f t="shared" si="10"/>
        <v>4.7616778908977697E-2</v>
      </c>
    </row>
    <row r="27" spans="1:10" s="1" customFormat="1" x14ac:dyDescent="0.2">
      <c r="A27" s="110" t="s">
        <v>80</v>
      </c>
      <c r="B27" s="74"/>
      <c r="C27" s="35"/>
      <c r="D27" s="35">
        <f>D23+D26</f>
        <v>55.121359873076884</v>
      </c>
      <c r="E27" s="73"/>
      <c r="F27" s="35"/>
      <c r="G27" s="35">
        <f>G23+G26</f>
        <v>113.61861801869793</v>
      </c>
      <c r="H27" s="35">
        <f t="shared" si="2"/>
        <v>58.497258145621046</v>
      </c>
      <c r="I27" s="36">
        <f t="shared" si="11"/>
        <v>1.0612448292334868</v>
      </c>
      <c r="J27" s="111">
        <f t="shared" si="10"/>
        <v>0.37728516068034529</v>
      </c>
    </row>
    <row r="28" spans="1:10" x14ac:dyDescent="0.2">
      <c r="A28" s="107" t="s">
        <v>42</v>
      </c>
      <c r="B28" s="73">
        <f>C8</f>
        <v>1611.477230929687</v>
      </c>
      <c r="C28" s="34">
        <v>3.5999999999999999E-3</v>
      </c>
      <c r="D28" s="22">
        <f>B28*C28</f>
        <v>5.8013180313468728</v>
      </c>
      <c r="E28" s="73">
        <f>B8</f>
        <v>1687.0224678124998</v>
      </c>
      <c r="F28" s="34">
        <v>3.5999999999999999E-3</v>
      </c>
      <c r="G28" s="22">
        <f>E28*F28</f>
        <v>6.0732808841249994</v>
      </c>
      <c r="H28" s="22">
        <f t="shared" si="2"/>
        <v>0.2719628527781266</v>
      </c>
      <c r="I28" s="23">
        <f t="shared" si="11"/>
        <v>4.6879493816508779E-2</v>
      </c>
      <c r="J28" s="124">
        <f t="shared" si="10"/>
        <v>2.0167106361449378E-2</v>
      </c>
    </row>
    <row r="29" spans="1:10" s="1" customFormat="1" x14ac:dyDescent="0.2">
      <c r="A29" s="107" t="s">
        <v>43</v>
      </c>
      <c r="B29" s="73">
        <f>C8</f>
        <v>1611.477230929687</v>
      </c>
      <c r="C29" s="34">
        <v>2.0999999999999999E-3</v>
      </c>
      <c r="D29" s="22">
        <f>B29*C29</f>
        <v>3.3841021849523427</v>
      </c>
      <c r="E29" s="73">
        <f>B8</f>
        <v>1687.0224678124998</v>
      </c>
      <c r="F29" s="34">
        <v>2.0999999999999999E-3</v>
      </c>
      <c r="G29" s="22">
        <f>E29*F29</f>
        <v>3.5427471824062495</v>
      </c>
      <c r="H29" s="22">
        <f>G29-D29</f>
        <v>0.15864499745390681</v>
      </c>
      <c r="I29" s="23">
        <f t="shared" si="11"/>
        <v>4.6879493816508667E-2</v>
      </c>
      <c r="J29" s="124">
        <f t="shared" si="10"/>
        <v>1.1764145377512136E-2</v>
      </c>
    </row>
    <row r="30" spans="1:10" s="1" customFormat="1" x14ac:dyDescent="0.2">
      <c r="A30" s="107" t="s">
        <v>100</v>
      </c>
      <c r="B30" s="73">
        <f>C8</f>
        <v>1611.477230929687</v>
      </c>
      <c r="C30" s="34">
        <v>0</v>
      </c>
      <c r="D30" s="22">
        <f>B30*C30</f>
        <v>0</v>
      </c>
      <c r="E30" s="73">
        <f>B8</f>
        <v>1687.0224678124998</v>
      </c>
      <c r="F30" s="34">
        <v>0</v>
      </c>
      <c r="G30" s="22">
        <f>E30*F30</f>
        <v>0</v>
      </c>
      <c r="H30" s="22">
        <f>G30-D30</f>
        <v>0</v>
      </c>
      <c r="I30" s="23" t="str">
        <f t="shared" si="11"/>
        <v>N/A</v>
      </c>
      <c r="J30" s="124">
        <f t="shared" si="10"/>
        <v>0</v>
      </c>
    </row>
    <row r="31" spans="1:10" x14ac:dyDescent="0.2">
      <c r="A31" s="107" t="s">
        <v>44</v>
      </c>
      <c r="B31" s="73">
        <v>1</v>
      </c>
      <c r="C31" s="22">
        <v>0.25</v>
      </c>
      <c r="D31" s="22">
        <f>B31*C31</f>
        <v>0.25</v>
      </c>
      <c r="E31" s="73">
        <f t="shared" si="3"/>
        <v>1</v>
      </c>
      <c r="F31" s="22">
        <f>C31</f>
        <v>0.25</v>
      </c>
      <c r="G31" s="22">
        <f>E31*F31</f>
        <v>0.25</v>
      </c>
      <c r="H31" s="22">
        <f t="shared" si="2"/>
        <v>0</v>
      </c>
      <c r="I31" s="23">
        <f t="shared" si="11"/>
        <v>0</v>
      </c>
      <c r="J31" s="124">
        <f t="shared" si="10"/>
        <v>8.3015699200428663E-4</v>
      </c>
    </row>
    <row r="32" spans="1:10" s="1" customFormat="1" x14ac:dyDescent="0.2">
      <c r="A32" s="110" t="s">
        <v>45</v>
      </c>
      <c r="B32" s="74"/>
      <c r="C32" s="35"/>
      <c r="D32" s="35">
        <f>SUM(D28:D31)</f>
        <v>9.4354202162992156</v>
      </c>
      <c r="E32" s="73"/>
      <c r="F32" s="35"/>
      <c r="G32" s="35">
        <f>SUM(G28:G31)</f>
        <v>9.8660280665312499</v>
      </c>
      <c r="H32" s="35">
        <f t="shared" si="2"/>
        <v>0.43060785023203429</v>
      </c>
      <c r="I32" s="36">
        <f t="shared" si="11"/>
        <v>4.5637379190402227E-2</v>
      </c>
      <c r="J32" s="111">
        <f t="shared" si="10"/>
        <v>3.2761408730965801E-2</v>
      </c>
    </row>
    <row r="33" spans="1:10" ht="13.5" thickBot="1" x14ac:dyDescent="0.25">
      <c r="A33" s="112" t="s">
        <v>46</v>
      </c>
      <c r="B33" s="113">
        <f>C4</f>
        <v>1544.8923697916664</v>
      </c>
      <c r="C33" s="114">
        <v>7.0000000000000001E-3</v>
      </c>
      <c r="D33" s="115">
        <f>B33*C33</f>
        <v>10.814246588541666</v>
      </c>
      <c r="E33" s="116">
        <f t="shared" si="3"/>
        <v>1544.8923697916664</v>
      </c>
      <c r="F33" s="114">
        <f>C33</f>
        <v>7.0000000000000001E-3</v>
      </c>
      <c r="G33" s="115">
        <f>E33*F33</f>
        <v>10.814246588541666</v>
      </c>
      <c r="H33" s="115">
        <f t="shared" si="2"/>
        <v>0</v>
      </c>
      <c r="I33" s="117">
        <f t="shared" si="11"/>
        <v>0</v>
      </c>
      <c r="J33" s="118">
        <f t="shared" si="10"/>
        <v>3.5910089674945474E-2</v>
      </c>
    </row>
    <row r="34" spans="1:10" x14ac:dyDescent="0.2">
      <c r="A34" s="37" t="s">
        <v>146</v>
      </c>
      <c r="B34" s="38"/>
      <c r="C34" s="39"/>
      <c r="D34" s="39">
        <f>SUM(D14,D23,D26,D32,D33)</f>
        <v>227.87961787583438</v>
      </c>
      <c r="E34" s="38"/>
      <c r="F34" s="39"/>
      <c r="G34" s="39">
        <f>SUM(G14,G23,G26,G32,G33)</f>
        <v>286.80748387168751</v>
      </c>
      <c r="H34" s="39">
        <f t="shared" si="2"/>
        <v>58.927865995853125</v>
      </c>
      <c r="I34" s="40">
        <f t="shared" si="11"/>
        <v>0.25859208710785786</v>
      </c>
      <c r="J34" s="41">
        <f t="shared" si="10"/>
        <v>0.95238095238095233</v>
      </c>
    </row>
    <row r="35" spans="1:10" x14ac:dyDescent="0.2">
      <c r="A35" s="46" t="s">
        <v>138</v>
      </c>
      <c r="B35" s="43"/>
      <c r="C35" s="26">
        <v>0.13</v>
      </c>
      <c r="D35" s="26">
        <f>D34*C35</f>
        <v>29.624350323858472</v>
      </c>
      <c r="E35" s="26"/>
      <c r="F35" s="26">
        <f>C35</f>
        <v>0.13</v>
      </c>
      <c r="G35" s="26">
        <f>G34*F35</f>
        <v>37.284972903319378</v>
      </c>
      <c r="H35" s="26">
        <f t="shared" si="2"/>
        <v>7.660622579460906</v>
      </c>
      <c r="I35" s="44">
        <f t="shared" si="11"/>
        <v>0.2585920871078578</v>
      </c>
      <c r="J35" s="45">
        <f t="shared" si="10"/>
        <v>0.1238095238095238</v>
      </c>
    </row>
    <row r="36" spans="1:10" x14ac:dyDescent="0.2">
      <c r="A36" s="46" t="s">
        <v>139</v>
      </c>
      <c r="B36" s="24"/>
      <c r="C36" s="25"/>
      <c r="D36" s="25">
        <f>SUM(D34:D35)</f>
        <v>257.50396819969285</v>
      </c>
      <c r="E36" s="25"/>
      <c r="F36" s="25"/>
      <c r="G36" s="25">
        <f>SUM(G34:G35)</f>
        <v>324.09245677500689</v>
      </c>
      <c r="H36" s="25">
        <f t="shared" si="2"/>
        <v>66.588488575314045</v>
      </c>
      <c r="I36" s="27">
        <f t="shared" si="11"/>
        <v>0.25859208710785792</v>
      </c>
      <c r="J36" s="47">
        <f t="shared" si="10"/>
        <v>1.0761904761904761</v>
      </c>
    </row>
    <row r="37" spans="1:10" x14ac:dyDescent="0.2">
      <c r="A37" s="46" t="s">
        <v>140</v>
      </c>
      <c r="B37" s="43"/>
      <c r="C37" s="26">
        <v>-0.08</v>
      </c>
      <c r="D37" s="26">
        <f>D34*C37</f>
        <v>-18.230369430066752</v>
      </c>
      <c r="E37" s="26"/>
      <c r="F37" s="26">
        <f>C37</f>
        <v>-0.08</v>
      </c>
      <c r="G37" s="26">
        <f>G34*F37</f>
        <v>-22.944598709735001</v>
      </c>
      <c r="H37" s="26">
        <f t="shared" si="2"/>
        <v>-4.714229279668249</v>
      </c>
      <c r="I37" s="44">
        <f t="shared" si="11"/>
        <v>-0.2585920871078578</v>
      </c>
      <c r="J37" s="45">
        <f t="shared" si="10"/>
        <v>-7.6190476190476183E-2</v>
      </c>
    </row>
    <row r="38" spans="1:10" ht="13.5" thickBot="1" x14ac:dyDescent="0.25">
      <c r="A38" s="46" t="s">
        <v>141</v>
      </c>
      <c r="B38" s="49"/>
      <c r="C38" s="50"/>
      <c r="D38" s="50">
        <f>SUM(D36:D37)</f>
        <v>239.27359876962609</v>
      </c>
      <c r="E38" s="50"/>
      <c r="F38" s="50"/>
      <c r="G38" s="50">
        <f>SUM(G36:G37)</f>
        <v>301.14785806527192</v>
      </c>
      <c r="H38" s="50">
        <f t="shared" si="2"/>
        <v>61.874259295645828</v>
      </c>
      <c r="I38" s="51">
        <f t="shared" si="11"/>
        <v>0.25859208710785808</v>
      </c>
      <c r="J38" s="52">
        <f t="shared" si="10"/>
        <v>1</v>
      </c>
    </row>
    <row r="39" spans="1:10" x14ac:dyDescent="0.2">
      <c r="D39" s="72"/>
      <c r="F39" s="69"/>
      <c r="I39" t="str">
        <f t="shared" si="11"/>
        <v>N/A</v>
      </c>
    </row>
    <row r="40" spans="1:10" x14ac:dyDescent="0.2">
      <c r="F40" s="69"/>
    </row>
    <row r="41" spans="1:10" x14ac:dyDescent="0.2">
      <c r="A41" s="70"/>
      <c r="B41" s="71"/>
      <c r="F41" s="69"/>
    </row>
    <row r="42" spans="1:10" x14ac:dyDescent="0.2">
      <c r="B42" s="72"/>
      <c r="D42" s="7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J50"/>
  <sheetViews>
    <sheetView tabSelected="1" topLeftCell="A7"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12</v>
      </c>
      <c r="C3" s="13" t="s">
        <v>129</v>
      </c>
    </row>
    <row r="4" spans="1:10" x14ac:dyDescent="0.2">
      <c r="A4" s="15" t="s">
        <v>62</v>
      </c>
      <c r="B4" s="79">
        <f>'Data for Bill Impacts_HONI Avg '!B58</f>
        <v>945.37196740482466</v>
      </c>
      <c r="C4" s="181">
        <f>B4</f>
        <v>945.37196740482466</v>
      </c>
    </row>
    <row r="5" spans="1:10" x14ac:dyDescent="0.2">
      <c r="A5" s="15" t="s">
        <v>16</v>
      </c>
      <c r="B5" s="15">
        <f>VLOOKUP($B$3,'Data for Bill Impacts'!$A$3:$Y$39,5,0)</f>
        <v>0</v>
      </c>
      <c r="C5" s="15">
        <f>B5</f>
        <v>0</v>
      </c>
    </row>
    <row r="6" spans="1:10" x14ac:dyDescent="0.2">
      <c r="A6" s="15" t="s">
        <v>20</v>
      </c>
      <c r="B6" s="15">
        <f>VLOOKUP($B$3,'Data for Bill Impacts'!$A$3:$Y$39,2,0)</f>
        <v>1.0920000000000001</v>
      </c>
      <c r="C6" s="15">
        <f>'Data for Bill Impacts'!B37</f>
        <v>1.0564</v>
      </c>
    </row>
    <row r="7" spans="1:10" x14ac:dyDescent="0.2">
      <c r="A7" s="15" t="s">
        <v>15</v>
      </c>
      <c r="B7" s="15">
        <f>VLOOKUP($B$3,'Data for Bill Impacts'!$A$3:$Y$39,4,0)</f>
        <v>750</v>
      </c>
      <c r="C7" s="15">
        <f>B7</f>
        <v>750</v>
      </c>
    </row>
    <row r="8" spans="1:10" x14ac:dyDescent="0.2">
      <c r="A8" s="15" t="s">
        <v>82</v>
      </c>
      <c r="B8" s="181">
        <f>B4*B6</f>
        <v>1032.3461884060687</v>
      </c>
      <c r="C8" s="181">
        <f>C4*C6</f>
        <v>998.69094636645673</v>
      </c>
    </row>
    <row r="9" spans="1:10" x14ac:dyDescent="0.2">
      <c r="A9" s="15" t="s">
        <v>21</v>
      </c>
      <c r="B9" s="16" t="str">
        <f>VLOOKUP($B$3,'Data for Bill Impacts'!$A$3:$Y$39,6,0)</f>
        <v>kWh</v>
      </c>
      <c r="C9" s="16" t="str">
        <f>B9</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39" si="1">G12/$G$39</f>
        <v>0.34994910779235805</v>
      </c>
    </row>
    <row r="13" spans="1:10" x14ac:dyDescent="0.2">
      <c r="A13" s="107" t="s">
        <v>32</v>
      </c>
      <c r="B13" s="73">
        <f>IF(B4&gt;B7,(B4)-B7,0)</f>
        <v>195.37196740482466</v>
      </c>
      <c r="C13" s="21">
        <v>0.106</v>
      </c>
      <c r="D13" s="22">
        <f>B13*C13</f>
        <v>20.709428544911415</v>
      </c>
      <c r="E13" s="73">
        <f t="shared" ref="E13" si="2">B13</f>
        <v>195.37196740482466</v>
      </c>
      <c r="F13" s="21">
        <f>C13</f>
        <v>0.106</v>
      </c>
      <c r="G13" s="22">
        <f>E13*F13</f>
        <v>20.709428544911415</v>
      </c>
      <c r="H13" s="22">
        <f t="shared" ref="H13:H39" si="3">G13-D13</f>
        <v>0</v>
      </c>
      <c r="I13" s="23">
        <f t="shared" si="0"/>
        <v>0</v>
      </c>
      <c r="J13" s="124">
        <f t="shared" si="1"/>
        <v>0.10618675519679621</v>
      </c>
    </row>
    <row r="14" spans="1:10" s="1" customFormat="1" x14ac:dyDescent="0.2">
      <c r="A14" s="46" t="s">
        <v>33</v>
      </c>
      <c r="B14" s="24"/>
      <c r="C14" s="25"/>
      <c r="D14" s="25">
        <f>SUM(D12:D13)</f>
        <v>88.959428544911418</v>
      </c>
      <c r="E14" s="76"/>
      <c r="F14" s="25"/>
      <c r="G14" s="25">
        <f>SUM(G12:G13)</f>
        <v>88.959428544911418</v>
      </c>
      <c r="H14" s="25">
        <f t="shared" si="3"/>
        <v>0</v>
      </c>
      <c r="I14" s="27">
        <f t="shared" si="0"/>
        <v>0</v>
      </c>
      <c r="J14" s="47">
        <f t="shared" si="1"/>
        <v>0.45613586298915426</v>
      </c>
    </row>
    <row r="15" spans="1:10" x14ac:dyDescent="0.2">
      <c r="A15" s="107" t="s">
        <v>38</v>
      </c>
      <c r="B15" s="73">
        <v>1</v>
      </c>
      <c r="C15" s="121">
        <f>VLOOKUP($C$3,'Data for Bill Impacts'!$A$3:$Y$39,7,0)</f>
        <v>15.49</v>
      </c>
      <c r="D15" s="22">
        <f>B15*C15</f>
        <v>15.49</v>
      </c>
      <c r="E15" s="73">
        <f t="shared" ref="E15:E34" si="4">B15</f>
        <v>1</v>
      </c>
      <c r="F15" s="121">
        <f>VLOOKUP($B$3,'Data for Bill Impacts'!$A$3:$Y$39,17,0)</f>
        <v>37.369999999999997</v>
      </c>
      <c r="G15" s="22">
        <f>E15*F15</f>
        <v>37.369999999999997</v>
      </c>
      <c r="H15" s="22">
        <f t="shared" si="3"/>
        <v>21.879999999999995</v>
      </c>
      <c r="I15" s="23">
        <f t="shared" si="0"/>
        <v>1.4125242091672043</v>
      </c>
      <c r="J15" s="124">
        <f t="shared" si="1"/>
        <v>0.19161315982711236</v>
      </c>
    </row>
    <row r="16" spans="1:10" x14ac:dyDescent="0.2">
      <c r="A16" s="107" t="s">
        <v>193</v>
      </c>
      <c r="B16" s="73">
        <v>1</v>
      </c>
      <c r="C16" s="121">
        <f>'Data for Bill Impacts'!K37</f>
        <v>-0.22</v>
      </c>
      <c r="D16" s="22">
        <f t="shared" ref="D16:D20" si="5">B16*C16</f>
        <v>-0.22</v>
      </c>
      <c r="E16" s="73">
        <v>1</v>
      </c>
      <c r="F16" s="121">
        <v>0</v>
      </c>
      <c r="G16" s="22">
        <f t="shared" ref="G16:G20" si="6">E16*F16</f>
        <v>0</v>
      </c>
      <c r="H16" s="22">
        <f t="shared" ref="H16:H20" si="7">G16-D16</f>
        <v>0.22</v>
      </c>
      <c r="I16" s="23">
        <f t="shared" si="0"/>
        <v>1</v>
      </c>
      <c r="J16" s="124">
        <f t="shared" ref="J16:J20" si="8">G16/$G$39</f>
        <v>0</v>
      </c>
    </row>
    <row r="17" spans="1:10" x14ac:dyDescent="0.2">
      <c r="A17" s="107" t="s">
        <v>85</v>
      </c>
      <c r="B17" s="73">
        <v>1</v>
      </c>
      <c r="C17" s="121">
        <f>VLOOKUP($C$3,'Data for Bill Impacts'!$A$3:$Y$39,13,0)</f>
        <v>0</v>
      </c>
      <c r="D17" s="22">
        <f t="shared" si="5"/>
        <v>0</v>
      </c>
      <c r="E17" s="73">
        <f t="shared" si="4"/>
        <v>1</v>
      </c>
      <c r="F17" s="78">
        <f>VLOOKUP($B$3,'Data for Bill Impacts'!$A$3:$Y$39,22,0)</f>
        <v>2E-3</v>
      </c>
      <c r="G17" s="22">
        <f t="shared" si="6"/>
        <v>2E-3</v>
      </c>
      <c r="H17" s="22">
        <f t="shared" si="7"/>
        <v>2E-3</v>
      </c>
      <c r="I17" s="23" t="str">
        <f t="shared" si="0"/>
        <v>N/A</v>
      </c>
      <c r="J17" s="124">
        <f t="shared" si="8"/>
        <v>1.025491890966617E-5</v>
      </c>
    </row>
    <row r="18" spans="1:10" x14ac:dyDescent="0.2">
      <c r="A18" s="107" t="s">
        <v>39</v>
      </c>
      <c r="B18" s="73">
        <f>IF($B$9="kWh",$B$4,$B$5)</f>
        <v>945.37196740482466</v>
      </c>
      <c r="C18" s="125">
        <f>VLOOKUP($C$3,'Data for Bill Impacts'!$A$3:$Y$39,10,0)</f>
        <v>8.6999999999999994E-3</v>
      </c>
      <c r="D18" s="22">
        <f t="shared" si="5"/>
        <v>8.2247361164219743</v>
      </c>
      <c r="E18" s="73">
        <f t="shared" si="4"/>
        <v>945.37196740482466</v>
      </c>
      <c r="F18" s="78">
        <f>VLOOKUP($B$3,'Data for Bill Impacts'!$A$3:$Y$39,19,0)</f>
        <v>3.0300000000000001E-2</v>
      </c>
      <c r="G18" s="22">
        <f t="shared" si="6"/>
        <v>28.644770612366187</v>
      </c>
      <c r="H18" s="22">
        <f t="shared" si="7"/>
        <v>20.420034495944215</v>
      </c>
      <c r="I18" s="23">
        <f t="shared" si="0"/>
        <v>2.4827586206896557</v>
      </c>
      <c r="J18" s="124">
        <f t="shared" si="8"/>
        <v>0.1468748999079019</v>
      </c>
    </row>
    <row r="19" spans="1:10" x14ac:dyDescent="0.2">
      <c r="A19" s="107" t="s">
        <v>194</v>
      </c>
      <c r="B19" s="73">
        <f>IF($C$9="kWh",$B$4,$B$5)</f>
        <v>945.37196740482466</v>
      </c>
      <c r="C19" s="78">
        <f>'Data for Bill Impacts'!H37</f>
        <v>8.0000000000000004E-4</v>
      </c>
      <c r="D19" s="22">
        <f t="shared" si="5"/>
        <v>0.75629757392385977</v>
      </c>
      <c r="E19" s="73">
        <f t="shared" si="4"/>
        <v>945.37196740482466</v>
      </c>
      <c r="F19" s="125">
        <v>0</v>
      </c>
      <c r="G19" s="22">
        <f t="shared" si="6"/>
        <v>0</v>
      </c>
      <c r="H19" s="22">
        <f t="shared" si="7"/>
        <v>-0.75629757392385977</v>
      </c>
      <c r="I19" s="23">
        <f>IF(ISERROR(H19/ABS(D19)),"N/A",(H19/ABS(D19)))</f>
        <v>-1</v>
      </c>
      <c r="J19" s="124">
        <f t="shared" si="8"/>
        <v>0</v>
      </c>
    </row>
    <row r="20" spans="1:10" x14ac:dyDescent="0.2">
      <c r="A20" s="107" t="s">
        <v>195</v>
      </c>
      <c r="B20" s="73">
        <f>IF($C$9="kWh",$B$4,$B$5)</f>
        <v>945.37196740482466</v>
      </c>
      <c r="C20" s="78">
        <f>'Data for Bill Impacts'!L37</f>
        <v>-1E-4</v>
      </c>
      <c r="D20" s="22">
        <f t="shared" si="5"/>
        <v>-9.4537196740482471E-2</v>
      </c>
      <c r="E20" s="73">
        <f>B19</f>
        <v>945.37196740482466</v>
      </c>
      <c r="F20" s="125">
        <v>0</v>
      </c>
      <c r="G20" s="22">
        <f t="shared" si="6"/>
        <v>0</v>
      </c>
      <c r="H20" s="22">
        <f t="shared" si="7"/>
        <v>9.4537196740482471E-2</v>
      </c>
      <c r="I20" s="23">
        <f t="shared" ref="I20" si="9">IF(ISERROR(H20/D20),0,(H20/D20))</f>
        <v>-1</v>
      </c>
      <c r="J20" s="124">
        <f t="shared" si="8"/>
        <v>0</v>
      </c>
    </row>
    <row r="21" spans="1:10" s="1" customFormat="1" x14ac:dyDescent="0.2">
      <c r="A21" s="107" t="s">
        <v>199</v>
      </c>
      <c r="B21" s="73">
        <f>IF($B$9="kWh",$B$4,$B$5)</f>
        <v>945.37196740482466</v>
      </c>
      <c r="C21" s="125">
        <f>VLOOKUP($C$3,'Data for Bill Impacts'!$A$3:$Y$39,14,0)</f>
        <v>0</v>
      </c>
      <c r="D21" s="22">
        <f>B21*C21</f>
        <v>0</v>
      </c>
      <c r="E21" s="73">
        <f t="shared" si="4"/>
        <v>945.37196740482466</v>
      </c>
      <c r="F21" s="125">
        <f>VLOOKUP($B$3,'Data for Bill Impacts'!$A$3:$Y$39,23,0)</f>
        <v>2.0000000000000002E-5</v>
      </c>
      <c r="G21" s="22">
        <f>E21*F21</f>
        <v>1.8907439348096494E-2</v>
      </c>
      <c r="H21" s="22">
        <f t="shared" si="3"/>
        <v>1.8907439348096494E-2</v>
      </c>
      <c r="I21" s="23">
        <f>IF(ISERROR(H21/D21),0,(H21/D21))</f>
        <v>0</v>
      </c>
      <c r="J21" s="124">
        <f t="shared" si="1"/>
        <v>9.6947128652080463E-5</v>
      </c>
    </row>
    <row r="22" spans="1:10" x14ac:dyDescent="0.2">
      <c r="A22" s="110" t="s">
        <v>72</v>
      </c>
      <c r="B22" s="74"/>
      <c r="C22" s="35"/>
      <c r="D22" s="35">
        <f>SUM(D15:D21)</f>
        <v>24.156496493605353</v>
      </c>
      <c r="E22" s="73"/>
      <c r="F22" s="35"/>
      <c r="G22" s="35">
        <f>SUM(G15:G21)</f>
        <v>66.035678051714285</v>
      </c>
      <c r="H22" s="35">
        <f>G22-D22</f>
        <v>41.879181558108932</v>
      </c>
      <c r="I22" s="36">
        <f t="shared" ref="I22:I39" si="10">IF(ISERROR(H22/ABS(D22)),"N/A",(H22/ABS(D22)))</f>
        <v>1.733661235568456</v>
      </c>
      <c r="J22" s="111">
        <f t="shared" si="1"/>
        <v>0.33859526178257604</v>
      </c>
    </row>
    <row r="23" spans="1:10" s="1" customFormat="1" x14ac:dyDescent="0.2">
      <c r="A23" s="119" t="s">
        <v>81</v>
      </c>
      <c r="B23" s="120">
        <f>C8-C4</f>
        <v>53.31897896163207</v>
      </c>
      <c r="C23" s="257">
        <f>IF(C4&gt;C7,C13,C12)</f>
        <v>0.106</v>
      </c>
      <c r="D23" s="22">
        <f>B23*C23</f>
        <v>5.6518117699329995</v>
      </c>
      <c r="E23" s="73">
        <f>B8-B4</f>
        <v>86.974221001244018</v>
      </c>
      <c r="F23" s="257">
        <f>C23</f>
        <v>0.106</v>
      </c>
      <c r="G23" s="22">
        <f>E23*F23</f>
        <v>9.2192674261318661</v>
      </c>
      <c r="H23" s="22">
        <f t="shared" si="3"/>
        <v>3.5674556561988666</v>
      </c>
      <c r="I23" s="23">
        <f t="shared" si="10"/>
        <v>0.63120567375886927</v>
      </c>
      <c r="J23" s="124">
        <f t="shared" si="1"/>
        <v>4.7271419930754517E-2</v>
      </c>
    </row>
    <row r="24" spans="1:10" x14ac:dyDescent="0.2">
      <c r="A24" s="110" t="s">
        <v>79</v>
      </c>
      <c r="B24" s="74"/>
      <c r="C24" s="35"/>
      <c r="D24" s="35">
        <f>SUM(D22,D23:D23)</f>
        <v>29.808308263538351</v>
      </c>
      <c r="E24" s="73"/>
      <c r="F24" s="35"/>
      <c r="G24" s="35">
        <f>SUM(G22,G23:G23)</f>
        <v>75.25494547784615</v>
      </c>
      <c r="H24" s="35">
        <f t="shared" si="3"/>
        <v>45.446637214307799</v>
      </c>
      <c r="I24" s="36">
        <f t="shared" si="10"/>
        <v>1.5246298720648404</v>
      </c>
      <c r="J24" s="111">
        <f t="shared" si="1"/>
        <v>0.38586668171333055</v>
      </c>
    </row>
    <row r="25" spans="1:10" x14ac:dyDescent="0.2">
      <c r="A25" s="107" t="s">
        <v>40</v>
      </c>
      <c r="B25" s="73">
        <f>C8</f>
        <v>998.69094636645673</v>
      </c>
      <c r="C25" s="125">
        <f>VLOOKUP($C$3,'Data for Bill Impacts'!$A$3:$Y$39,15,0)</f>
        <v>6.3E-3</v>
      </c>
      <c r="D25" s="22">
        <f>B25*C25</f>
        <v>6.2917529621086778</v>
      </c>
      <c r="E25" s="73">
        <f>B8</f>
        <v>1032.3461884060687</v>
      </c>
      <c r="F25" s="78">
        <f>VLOOKUP($B$3,'Data for Bill Impacts'!$A$3:$Y$39,24,0)</f>
        <v>4.7000000000000002E-3</v>
      </c>
      <c r="G25" s="22">
        <f>E25*F25</f>
        <v>4.8520270855085226</v>
      </c>
      <c r="H25" s="22">
        <f t="shared" si="3"/>
        <v>-1.4397258766001553</v>
      </c>
      <c r="I25" s="23">
        <f t="shared" si="10"/>
        <v>-0.22882746434431397</v>
      </c>
      <c r="J25" s="124">
        <f t="shared" si="1"/>
        <v>2.4878572154696889E-2</v>
      </c>
    </row>
    <row r="26" spans="1:10" s="1" customFormat="1" x14ac:dyDescent="0.2">
      <c r="A26" s="107" t="s">
        <v>41</v>
      </c>
      <c r="B26" s="73">
        <f>C8</f>
        <v>998.69094636645673</v>
      </c>
      <c r="C26" s="125">
        <f>VLOOKUP($C$3,'Data for Bill Impacts'!$A$3:$Y$39,16,0)</f>
        <v>3.0999999999999999E-3</v>
      </c>
      <c r="D26" s="22">
        <f>B26*C26</f>
        <v>3.0959419337360159</v>
      </c>
      <c r="E26" s="73">
        <f>B8</f>
        <v>1032.3461884060687</v>
      </c>
      <c r="F26" s="78">
        <f>VLOOKUP($B$3,'Data for Bill Impacts'!$A$3:$Y$39,25,0)</f>
        <v>3.8E-3</v>
      </c>
      <c r="G26" s="22">
        <f>E26*F26</f>
        <v>3.9229155159430609</v>
      </c>
      <c r="H26" s="22">
        <f t="shared" si="3"/>
        <v>0.82697358220704498</v>
      </c>
      <c r="I26" s="23">
        <f t="shared" si="10"/>
        <v>0.26711533998607584</v>
      </c>
      <c r="J26" s="124">
        <f t="shared" si="1"/>
        <v>2.0114590252733655E-2</v>
      </c>
    </row>
    <row r="27" spans="1:10" s="1" customFormat="1" x14ac:dyDescent="0.2">
      <c r="A27" s="110" t="s">
        <v>76</v>
      </c>
      <c r="B27" s="74"/>
      <c r="C27" s="35"/>
      <c r="D27" s="35">
        <f>SUM(D25:D26)</f>
        <v>9.3876948958446942</v>
      </c>
      <c r="E27" s="73"/>
      <c r="F27" s="35"/>
      <c r="G27" s="35">
        <f>SUM(G25:G26)</f>
        <v>8.774942601451583</v>
      </c>
      <c r="H27" s="35">
        <f t="shared" si="3"/>
        <v>-0.61275229439311119</v>
      </c>
      <c r="I27" s="36">
        <f t="shared" si="10"/>
        <v>-6.5271858660887638E-2</v>
      </c>
      <c r="J27" s="111">
        <f t="shared" si="1"/>
        <v>4.4993162407430544E-2</v>
      </c>
    </row>
    <row r="28" spans="1:10" s="1" customFormat="1" x14ac:dyDescent="0.2">
      <c r="A28" s="110" t="s">
        <v>80</v>
      </c>
      <c r="B28" s="74"/>
      <c r="C28" s="35"/>
      <c r="D28" s="35">
        <f>D24+D27</f>
        <v>39.196003159383046</v>
      </c>
      <c r="E28" s="73"/>
      <c r="F28" s="35"/>
      <c r="G28" s="35">
        <f>G24+G27</f>
        <v>84.029888079297734</v>
      </c>
      <c r="H28" s="35">
        <f t="shared" si="3"/>
        <v>44.833884919914688</v>
      </c>
      <c r="I28" s="36">
        <f t="shared" si="10"/>
        <v>1.1438381800717352</v>
      </c>
      <c r="J28" s="111">
        <f t="shared" si="1"/>
        <v>0.43085984412076106</v>
      </c>
    </row>
    <row r="29" spans="1:10" x14ac:dyDescent="0.2">
      <c r="A29" s="107" t="s">
        <v>42</v>
      </c>
      <c r="B29" s="73">
        <f>C8</f>
        <v>998.69094636645673</v>
      </c>
      <c r="C29" s="34">
        <v>3.5999999999999999E-3</v>
      </c>
      <c r="D29" s="22">
        <f>B29*C29</f>
        <v>3.595287406919244</v>
      </c>
      <c r="E29" s="73">
        <f>B8</f>
        <v>1032.3461884060687</v>
      </c>
      <c r="F29" s="34">
        <v>3.5999999999999999E-3</v>
      </c>
      <c r="G29" s="22">
        <f>E29*F29</f>
        <v>3.7164462782618473</v>
      </c>
      <c r="H29" s="22">
        <f t="shared" si="3"/>
        <v>0.12115887134260328</v>
      </c>
      <c r="I29" s="23">
        <f t="shared" si="10"/>
        <v>3.3699356304430411E-2</v>
      </c>
      <c r="J29" s="124">
        <f t="shared" si="1"/>
        <v>1.9055927607852938E-2</v>
      </c>
    </row>
    <row r="30" spans="1:10" s="1" customFormat="1" x14ac:dyDescent="0.2">
      <c r="A30" s="107" t="s">
        <v>43</v>
      </c>
      <c r="B30" s="73">
        <f>C8</f>
        <v>998.69094636645673</v>
      </c>
      <c r="C30" s="34">
        <v>2.0999999999999999E-3</v>
      </c>
      <c r="D30" s="22">
        <f>B30*C30</f>
        <v>2.0972509873695588</v>
      </c>
      <c r="E30" s="73">
        <f>B8</f>
        <v>1032.3461884060687</v>
      </c>
      <c r="F30" s="34">
        <v>2.0999999999999999E-3</v>
      </c>
      <c r="G30" s="22">
        <f>E30*F30</f>
        <v>2.1679269956527443</v>
      </c>
      <c r="H30" s="22">
        <f>G30-D30</f>
        <v>7.0676008283185432E-2</v>
      </c>
      <c r="I30" s="23">
        <f t="shared" si="10"/>
        <v>3.3699356304430501E-2</v>
      </c>
      <c r="J30" s="124">
        <f t="shared" si="1"/>
        <v>1.1115957771247548E-2</v>
      </c>
    </row>
    <row r="31" spans="1:10" s="1" customFormat="1" x14ac:dyDescent="0.2">
      <c r="A31" s="107" t="s">
        <v>100</v>
      </c>
      <c r="B31" s="73">
        <f>C8</f>
        <v>998.69094636645673</v>
      </c>
      <c r="C31" s="34">
        <v>0</v>
      </c>
      <c r="D31" s="22">
        <f>B31*C31</f>
        <v>0</v>
      </c>
      <c r="E31" s="73">
        <f>B8</f>
        <v>1032.3461884060687</v>
      </c>
      <c r="F31" s="34">
        <v>0</v>
      </c>
      <c r="G31" s="22">
        <f>E31*F31</f>
        <v>0</v>
      </c>
      <c r="H31" s="22">
        <f>G31-D31</f>
        <v>0</v>
      </c>
      <c r="I31" s="23" t="str">
        <f t="shared" si="10"/>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10"/>
        <v>0</v>
      </c>
      <c r="J32" s="124">
        <f t="shared" si="1"/>
        <v>1.2818648637082711E-3</v>
      </c>
    </row>
    <row r="33" spans="1:10" s="1" customFormat="1" x14ac:dyDescent="0.2">
      <c r="A33" s="110" t="s">
        <v>45</v>
      </c>
      <c r="B33" s="74"/>
      <c r="C33" s="35"/>
      <c r="D33" s="35">
        <f>SUM(D29:D32)</f>
        <v>5.9425383942888033</v>
      </c>
      <c r="E33" s="73"/>
      <c r="F33" s="35"/>
      <c r="G33" s="35">
        <f>SUM(G29:G32)</f>
        <v>6.1343732739145915</v>
      </c>
      <c r="H33" s="35">
        <f t="shared" si="3"/>
        <v>0.19183487962578827</v>
      </c>
      <c r="I33" s="36">
        <f t="shared" si="10"/>
        <v>3.228163907365833E-2</v>
      </c>
      <c r="J33" s="111">
        <f t="shared" si="1"/>
        <v>3.1453750242808755E-2</v>
      </c>
    </row>
    <row r="34" spans="1:10" ht="13.5" thickBot="1" x14ac:dyDescent="0.25">
      <c r="A34" s="112" t="s">
        <v>46</v>
      </c>
      <c r="B34" s="113">
        <f>C4</f>
        <v>945.37196740482466</v>
      </c>
      <c r="C34" s="114">
        <v>7.0000000000000001E-3</v>
      </c>
      <c r="D34" s="115">
        <f>B34*C34</f>
        <v>6.6176037718337728</v>
      </c>
      <c r="E34" s="116">
        <f t="shared" si="4"/>
        <v>945.37196740482466</v>
      </c>
      <c r="F34" s="114">
        <f>C34</f>
        <v>7.0000000000000001E-3</v>
      </c>
      <c r="G34" s="115">
        <f>E34*F34</f>
        <v>6.6176037718337728</v>
      </c>
      <c r="H34" s="115">
        <f t="shared" si="3"/>
        <v>0</v>
      </c>
      <c r="I34" s="117">
        <f t="shared" si="10"/>
        <v>0</v>
      </c>
      <c r="J34" s="118">
        <f t="shared" si="1"/>
        <v>3.3931495028228162E-2</v>
      </c>
    </row>
    <row r="35" spans="1:10" x14ac:dyDescent="0.2">
      <c r="A35" s="37" t="s">
        <v>146</v>
      </c>
      <c r="B35" s="38"/>
      <c r="C35" s="39"/>
      <c r="D35" s="39">
        <f>SUM(D14,D24,D27,D33,D34)</f>
        <v>140.71557387041707</v>
      </c>
      <c r="E35" s="38"/>
      <c r="F35" s="39"/>
      <c r="G35" s="39">
        <f>SUM(G14,G24,G27,G33,G34)</f>
        <v>185.74129366995754</v>
      </c>
      <c r="H35" s="39">
        <f t="shared" si="3"/>
        <v>45.025719799540468</v>
      </c>
      <c r="I35" s="40">
        <f t="shared" si="10"/>
        <v>0.3199768054174586</v>
      </c>
      <c r="J35" s="41">
        <f t="shared" si="1"/>
        <v>0.95238095238095244</v>
      </c>
    </row>
    <row r="36" spans="1:10" x14ac:dyDescent="0.2">
      <c r="A36" s="46" t="s">
        <v>138</v>
      </c>
      <c r="B36" s="43"/>
      <c r="C36" s="26">
        <v>0.13</v>
      </c>
      <c r="D36" s="26">
        <f>D35*C36</f>
        <v>18.293024603154219</v>
      </c>
      <c r="E36" s="26"/>
      <c r="F36" s="26">
        <f>C36</f>
        <v>0.13</v>
      </c>
      <c r="G36" s="26">
        <f>G35*F36</f>
        <v>24.14636817709448</v>
      </c>
      <c r="H36" s="26">
        <f t="shared" si="3"/>
        <v>5.8533435739402613</v>
      </c>
      <c r="I36" s="44">
        <f t="shared" si="10"/>
        <v>0.31997680541745865</v>
      </c>
      <c r="J36" s="45">
        <f t="shared" si="1"/>
        <v>0.12380952380952381</v>
      </c>
    </row>
    <row r="37" spans="1:10" x14ac:dyDescent="0.2">
      <c r="A37" s="46" t="s">
        <v>139</v>
      </c>
      <c r="B37" s="24"/>
      <c r="C37" s="25"/>
      <c r="D37" s="25">
        <f>SUM(D35:D36)</f>
        <v>159.00859847357128</v>
      </c>
      <c r="E37" s="25"/>
      <c r="F37" s="25"/>
      <c r="G37" s="25">
        <f>SUM(G35:G36)</f>
        <v>209.88766184705202</v>
      </c>
      <c r="H37" s="25">
        <f t="shared" si="3"/>
        <v>50.879063373480733</v>
      </c>
      <c r="I37" s="27">
        <f t="shared" si="10"/>
        <v>0.31997680541745865</v>
      </c>
      <c r="J37" s="47">
        <f t="shared" si="1"/>
        <v>1.0761904761904761</v>
      </c>
    </row>
    <row r="38" spans="1:10" x14ac:dyDescent="0.2">
      <c r="A38" s="46" t="s">
        <v>140</v>
      </c>
      <c r="B38" s="43"/>
      <c r="C38" s="26">
        <v>-0.08</v>
      </c>
      <c r="D38" s="26">
        <f>D35*C38</f>
        <v>-11.257245909633367</v>
      </c>
      <c r="E38" s="26"/>
      <c r="F38" s="26">
        <f>C38</f>
        <v>-0.08</v>
      </c>
      <c r="G38" s="26">
        <f>G35*F38</f>
        <v>-14.859303493596604</v>
      </c>
      <c r="H38" s="26">
        <f t="shared" si="3"/>
        <v>-3.6020575839632372</v>
      </c>
      <c r="I38" s="44">
        <f t="shared" si="10"/>
        <v>-0.31997680541745854</v>
      </c>
      <c r="J38" s="45">
        <f t="shared" si="1"/>
        <v>-7.6190476190476197E-2</v>
      </c>
    </row>
    <row r="39" spans="1:10" ht="13.5" thickBot="1" x14ac:dyDescent="0.25">
      <c r="A39" s="46" t="s">
        <v>141</v>
      </c>
      <c r="B39" s="49"/>
      <c r="C39" s="50"/>
      <c r="D39" s="50">
        <f>SUM(D37:D38)</f>
        <v>147.75135256393793</v>
      </c>
      <c r="E39" s="50"/>
      <c r="F39" s="50"/>
      <c r="G39" s="50">
        <f>SUM(G37:G38)</f>
        <v>195.02835835345542</v>
      </c>
      <c r="H39" s="50">
        <f t="shared" si="3"/>
        <v>47.277005789517489</v>
      </c>
      <c r="I39" s="51">
        <f t="shared" si="10"/>
        <v>0.3199768054174586</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J50"/>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12</v>
      </c>
      <c r="C3" s="13" t="s">
        <v>123</v>
      </c>
    </row>
    <row r="4" spans="1:10" x14ac:dyDescent="0.2">
      <c r="A4" s="15" t="s">
        <v>62</v>
      </c>
      <c r="B4" s="79">
        <f>'Data for Bill Impacts_HONI Avg '!B59</f>
        <v>550.73927083333308</v>
      </c>
      <c r="C4" s="79">
        <f>B4</f>
        <v>550.73927083333308</v>
      </c>
    </row>
    <row r="5" spans="1:10" x14ac:dyDescent="0.2">
      <c r="A5" s="15" t="s">
        <v>16</v>
      </c>
      <c r="B5" s="15">
        <f>VLOOKUP($B$3,'Data for Bill Impacts'!$A$3:$Y$39,5,0)</f>
        <v>0</v>
      </c>
      <c r="C5" s="79">
        <f t="shared" ref="C5:C9" si="0">B5</f>
        <v>0</v>
      </c>
    </row>
    <row r="6" spans="1:10" x14ac:dyDescent="0.2">
      <c r="A6" s="15" t="s">
        <v>20</v>
      </c>
      <c r="B6" s="15">
        <f>VLOOKUP($B$3,'Data for Bill Impacts'!$A$3:$Y$39,2,0)</f>
        <v>1.0920000000000001</v>
      </c>
      <c r="C6" s="80">
        <f>'Data for Bill Impacts'!B31</f>
        <v>1.0654999999999999</v>
      </c>
    </row>
    <row r="7" spans="1:10" x14ac:dyDescent="0.2">
      <c r="A7" s="15" t="s">
        <v>15</v>
      </c>
      <c r="B7" s="15">
        <f>VLOOKUP($B$3,'Data for Bill Impacts'!$A$3:$Y$39,4,0)</f>
        <v>750</v>
      </c>
      <c r="C7" s="79">
        <f t="shared" si="0"/>
        <v>750</v>
      </c>
    </row>
    <row r="8" spans="1:10" x14ac:dyDescent="0.2">
      <c r="A8" s="15" t="s">
        <v>82</v>
      </c>
      <c r="B8" s="181">
        <f>B4*B6</f>
        <v>601.40728374999981</v>
      </c>
      <c r="C8" s="79">
        <f>C4*C6</f>
        <v>586.81269307291632</v>
      </c>
    </row>
    <row r="9" spans="1:10" x14ac:dyDescent="0.2">
      <c r="A9" s="15" t="s">
        <v>21</v>
      </c>
      <c r="B9" s="16" t="str">
        <f>VLOOKUP($B$3,'Data for Bill Impacts'!$A$3:$Y$39,6,0)</f>
        <v>kWh</v>
      </c>
      <c r="C9" s="182" t="str">
        <f t="shared" si="0"/>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550.73927083333308</v>
      </c>
      <c r="C12" s="103">
        <v>9.0999999999999998E-2</v>
      </c>
      <c r="D12" s="104">
        <f>B12*C12</f>
        <v>50.117273645833308</v>
      </c>
      <c r="E12" s="102">
        <f>B12</f>
        <v>550.73927083333308</v>
      </c>
      <c r="F12" s="103">
        <f>C12</f>
        <v>9.0999999999999998E-2</v>
      </c>
      <c r="G12" s="104">
        <f>E12*F12</f>
        <v>50.117273645833308</v>
      </c>
      <c r="H12" s="104">
        <f>G12-D12</f>
        <v>0</v>
      </c>
      <c r="I12" s="105">
        <f t="shared" ref="I12:I18" si="1">IF(ISERROR(H12/ABS(D12)),"N/A",(H12/ABS(D12)))</f>
        <v>0</v>
      </c>
      <c r="J12" s="123">
        <f t="shared" ref="J12:J39" si="2">G12/$G$39</f>
        <v>0.39302789706680114</v>
      </c>
    </row>
    <row r="13" spans="1:10" x14ac:dyDescent="0.2">
      <c r="A13" s="107" t="s">
        <v>32</v>
      </c>
      <c r="B13" s="73">
        <f>IF(B4&gt;B7,(B4)-B7,0)</f>
        <v>0</v>
      </c>
      <c r="C13" s="21">
        <v>0.106</v>
      </c>
      <c r="D13" s="22">
        <f>B13*C13</f>
        <v>0</v>
      </c>
      <c r="E13" s="73">
        <f t="shared" ref="E13" si="3">B13</f>
        <v>0</v>
      </c>
      <c r="F13" s="21">
        <f>C13</f>
        <v>0.106</v>
      </c>
      <c r="G13" s="22">
        <f>E13*F13</f>
        <v>0</v>
      </c>
      <c r="H13" s="22">
        <f t="shared" ref="H13:H39" si="4">G13-D13</f>
        <v>0</v>
      </c>
      <c r="I13" s="23" t="str">
        <f t="shared" si="1"/>
        <v>N/A</v>
      </c>
      <c r="J13" s="124">
        <f t="shared" si="2"/>
        <v>0</v>
      </c>
    </row>
    <row r="14" spans="1:10" s="1" customFormat="1" x14ac:dyDescent="0.2">
      <c r="A14" s="46" t="s">
        <v>33</v>
      </c>
      <c r="B14" s="24"/>
      <c r="C14" s="25"/>
      <c r="D14" s="25">
        <f>SUM(D12:D13)</f>
        <v>50.117273645833308</v>
      </c>
      <c r="E14" s="76"/>
      <c r="F14" s="25"/>
      <c r="G14" s="25">
        <f>SUM(G12:G13)</f>
        <v>50.117273645833308</v>
      </c>
      <c r="H14" s="25">
        <f t="shared" si="4"/>
        <v>0</v>
      </c>
      <c r="I14" s="27">
        <f t="shared" si="1"/>
        <v>0</v>
      </c>
      <c r="J14" s="47">
        <f t="shared" si="2"/>
        <v>0.39302789706680114</v>
      </c>
    </row>
    <row r="15" spans="1:10" x14ac:dyDescent="0.2">
      <c r="A15" s="107" t="s">
        <v>38</v>
      </c>
      <c r="B15" s="73">
        <v>1</v>
      </c>
      <c r="C15" s="121">
        <f>VLOOKUP($C$3,'Data for Bill Impacts'!$A$3:$Y$39,7,0)</f>
        <v>19.510000000000002</v>
      </c>
      <c r="D15" s="22">
        <f>B15*C15</f>
        <v>19.510000000000002</v>
      </c>
      <c r="E15" s="73">
        <f t="shared" ref="E15:E34" si="5">B15</f>
        <v>1</v>
      </c>
      <c r="F15" s="121">
        <f>VLOOKUP($B$3,'Data for Bill Impacts'!$A$3:$Y$39,17,0)</f>
        <v>37.369999999999997</v>
      </c>
      <c r="G15" s="22">
        <f>E15*F15</f>
        <v>37.369999999999997</v>
      </c>
      <c r="H15" s="22">
        <f t="shared" si="4"/>
        <v>17.859999999999996</v>
      </c>
      <c r="I15" s="23">
        <f t="shared" si="1"/>
        <v>0.91542798564838512</v>
      </c>
      <c r="J15" s="124">
        <f t="shared" si="2"/>
        <v>0.29306168202961408</v>
      </c>
    </row>
    <row r="16" spans="1:10" x14ac:dyDescent="0.2">
      <c r="A16" s="107" t="s">
        <v>193</v>
      </c>
      <c r="B16" s="73">
        <v>1</v>
      </c>
      <c r="C16" s="121">
        <f>'Data for Bill Impacts'!K31</f>
        <v>-0.2</v>
      </c>
      <c r="D16" s="22">
        <f t="shared" ref="D16:D20" si="6">B16*C16</f>
        <v>-0.2</v>
      </c>
      <c r="E16" s="73">
        <v>1</v>
      </c>
      <c r="F16" s="121">
        <v>0</v>
      </c>
      <c r="G16" s="22">
        <f t="shared" ref="G16:G17" si="7">E16*F16</f>
        <v>0</v>
      </c>
      <c r="H16" s="22">
        <f t="shared" ref="H16:H19" si="8">G16-D16</f>
        <v>0.2</v>
      </c>
      <c r="I16" s="23">
        <f t="shared" si="1"/>
        <v>1</v>
      </c>
      <c r="J16" s="124">
        <f t="shared" ref="J16:J19" si="9">G16/$G$39</f>
        <v>0</v>
      </c>
    </row>
    <row r="17" spans="1:10" x14ac:dyDescent="0.2">
      <c r="A17" s="107" t="s">
        <v>85</v>
      </c>
      <c r="B17" s="73">
        <v>1</v>
      </c>
      <c r="C17" s="121">
        <f>VLOOKUP($C$3,'Data for Bill Impacts'!$A$3:$Y$39,13,0)</f>
        <v>0</v>
      </c>
      <c r="D17" s="22">
        <f t="shared" si="6"/>
        <v>0</v>
      </c>
      <c r="E17" s="73">
        <f t="shared" si="5"/>
        <v>1</v>
      </c>
      <c r="F17" s="78">
        <f>VLOOKUP($B$3,'Data for Bill Impacts'!$A$3:$Y$39,22,0)</f>
        <v>2E-3</v>
      </c>
      <c r="G17" s="22">
        <f t="shared" si="7"/>
        <v>2E-3</v>
      </c>
      <c r="H17" s="22">
        <f t="shared" si="8"/>
        <v>2E-3</v>
      </c>
      <c r="I17" s="23" t="str">
        <f t="shared" si="1"/>
        <v>N/A</v>
      </c>
      <c r="J17" s="124">
        <f t="shared" si="9"/>
        <v>1.5684328714456199E-5</v>
      </c>
    </row>
    <row r="18" spans="1:10" x14ac:dyDescent="0.2">
      <c r="A18" s="107" t="s">
        <v>39</v>
      </c>
      <c r="B18" s="73">
        <f>IF($C$9="kWh",$C$4,$C$5)</f>
        <v>550.73927083333308</v>
      </c>
      <c r="C18" s="125">
        <f>VLOOKUP($C$3,'Data for Bill Impacts'!$A$3:$Y$39,10,0)</f>
        <v>2.5000000000000001E-3</v>
      </c>
      <c r="D18" s="22">
        <f t="shared" si="6"/>
        <v>1.3768481770833327</v>
      </c>
      <c r="E18" s="73">
        <f>B4</f>
        <v>550.73927083333308</v>
      </c>
      <c r="F18" s="78">
        <f>VLOOKUP($B$3,'Data for Bill Impacts'!$A$3:$Y$39,19,0)</f>
        <v>3.0300000000000001E-2</v>
      </c>
      <c r="G18" s="22">
        <f>E18*F18</f>
        <v>16.687399906249993</v>
      </c>
      <c r="H18" s="22">
        <f t="shared" si="8"/>
        <v>15.310551729166662</v>
      </c>
      <c r="I18" s="23">
        <f t="shared" si="1"/>
        <v>11.120000000000001</v>
      </c>
      <c r="J18" s="124">
        <f t="shared" si="9"/>
        <v>0.13086533275960524</v>
      </c>
    </row>
    <row r="19" spans="1:10" x14ac:dyDescent="0.2">
      <c r="A19" t="s">
        <v>194</v>
      </c>
      <c r="B19" s="73">
        <f>IF($C$9="kWh",$C$4,$C$5)</f>
        <v>550.73927083333308</v>
      </c>
      <c r="C19" s="125">
        <f>'Data for Bill Impacts'!H31</f>
        <v>4.0000000000000002E-4</v>
      </c>
      <c r="D19" s="22">
        <f t="shared" si="6"/>
        <v>0.22029570833333323</v>
      </c>
      <c r="E19" s="73">
        <f>B4</f>
        <v>550.73927083333308</v>
      </c>
      <c r="F19" s="125">
        <v>0</v>
      </c>
      <c r="G19" s="22">
        <f>E19*F19</f>
        <v>0</v>
      </c>
      <c r="H19" s="22">
        <f t="shared" si="8"/>
        <v>-0.22029570833333323</v>
      </c>
      <c r="I19" s="23">
        <f>IF(ISERROR(H19/ABS(D19)),"N/A",(H19/ABS(D19)))</f>
        <v>-1</v>
      </c>
      <c r="J19" s="124">
        <f t="shared" si="9"/>
        <v>0</v>
      </c>
    </row>
    <row r="20" spans="1:10" ht="12.75" hidden="1" customHeight="1" x14ac:dyDescent="0.2">
      <c r="A20" s="107" t="s">
        <v>195</v>
      </c>
      <c r="B20" s="73">
        <f>IF($C$9="kWh",$B$4,$B$5)</f>
        <v>550.73927083333308</v>
      </c>
      <c r="C20" s="78">
        <f>'Data for Bill Impacts'!L31</f>
        <v>-3.0000000000000001E-5</v>
      </c>
      <c r="D20" s="22">
        <f t="shared" si="6"/>
        <v>-1.6522178124999991E-2</v>
      </c>
      <c r="E20" s="73">
        <f t="shared" si="5"/>
        <v>550.73927083333308</v>
      </c>
      <c r="F20" s="125">
        <v>0</v>
      </c>
      <c r="G20" s="22">
        <f>E20*F20</f>
        <v>0</v>
      </c>
      <c r="H20" s="22">
        <f t="shared" si="4"/>
        <v>1.6522178124999991E-2</v>
      </c>
      <c r="I20" s="23">
        <f>IF(ISERROR(H20/D20),0,(H20/D20))</f>
        <v>-1</v>
      </c>
      <c r="J20" s="124">
        <f t="shared" si="2"/>
        <v>0</v>
      </c>
    </row>
    <row r="21" spans="1:10" s="1" customFormat="1" x14ac:dyDescent="0.2">
      <c r="A21" s="107" t="s">
        <v>199</v>
      </c>
      <c r="B21" s="73">
        <f>IF($C$9="kWh",$C$4,$C$5)</f>
        <v>550.73927083333308</v>
      </c>
      <c r="C21" s="125">
        <f>VLOOKUP($C$3,'Data for Bill Impacts'!$A$3:$Y$39,14,0)</f>
        <v>0</v>
      </c>
      <c r="D21" s="22">
        <f>B21*C21</f>
        <v>0</v>
      </c>
      <c r="E21" s="73">
        <f>B4</f>
        <v>550.73927083333308</v>
      </c>
      <c r="F21" s="125">
        <f>VLOOKUP($B$3,'Data for Bill Impacts'!$A$3:$Y$39,23,0)</f>
        <v>2.0000000000000002E-5</v>
      </c>
      <c r="G21" s="22">
        <f>E21*F21</f>
        <v>1.1014785416666662E-2</v>
      </c>
      <c r="H21" s="22">
        <f t="shared" si="4"/>
        <v>1.1014785416666662E-2</v>
      </c>
      <c r="I21" s="23">
        <f>IF(ISERROR(H21/D21),0,(H21/D21))</f>
        <v>0</v>
      </c>
      <c r="J21" s="124">
        <f t="shared" si="2"/>
        <v>8.6379757597099157E-5</v>
      </c>
    </row>
    <row r="22" spans="1:10" x14ac:dyDescent="0.2">
      <c r="A22" s="110" t="s">
        <v>72</v>
      </c>
      <c r="B22" s="74"/>
      <c r="C22" s="35"/>
      <c r="D22" s="35">
        <f>SUM(D15:D21)</f>
        <v>20.890621707291665</v>
      </c>
      <c r="E22" s="73"/>
      <c r="F22" s="35"/>
      <c r="G22" s="35">
        <f>SUM(G15:G21)</f>
        <v>54.070414691666663</v>
      </c>
      <c r="H22" s="35">
        <f t="shared" si="4"/>
        <v>33.179792984374998</v>
      </c>
      <c r="I22" s="36">
        <f t="shared" ref="I22:I39" si="10">IF(ISERROR(H22/ABS(D22)),"N/A",(H22/ABS(D22)))</f>
        <v>1.5882625921464999</v>
      </c>
      <c r="J22" s="111">
        <f t="shared" si="2"/>
        <v>0.42402907887553093</v>
      </c>
    </row>
    <row r="23" spans="1:10" s="1" customFormat="1" x14ac:dyDescent="0.2">
      <c r="A23" s="119" t="s">
        <v>81</v>
      </c>
      <c r="B23" s="120">
        <f>C8-C4</f>
        <v>36.073422239583238</v>
      </c>
      <c r="C23" s="257">
        <f>IF(C4&gt;C7,C13,C12)</f>
        <v>9.0999999999999998E-2</v>
      </c>
      <c r="D23" s="22">
        <f>B23*C23</f>
        <v>3.2826814238020745</v>
      </c>
      <c r="E23" s="73">
        <f>B8-B4</f>
        <v>50.668012916666726</v>
      </c>
      <c r="F23" s="257">
        <f>C23</f>
        <v>9.0999999999999998E-2</v>
      </c>
      <c r="G23" s="22">
        <f>E23*F23</f>
        <v>4.6107891754166719</v>
      </c>
      <c r="H23" s="22">
        <f t="shared" si="4"/>
        <v>1.3281077516145974</v>
      </c>
      <c r="I23" s="23">
        <f t="shared" si="10"/>
        <v>0.40458015267176112</v>
      </c>
      <c r="J23" s="124">
        <f t="shared" si="2"/>
        <v>3.6158566530145764E-2</v>
      </c>
    </row>
    <row r="24" spans="1:10" x14ac:dyDescent="0.2">
      <c r="A24" s="110" t="s">
        <v>79</v>
      </c>
      <c r="B24" s="74"/>
      <c r="C24" s="35"/>
      <c r="D24" s="35">
        <f>SUM(D22,D23:D23)</f>
        <v>24.173303131093739</v>
      </c>
      <c r="E24" s="73"/>
      <c r="F24" s="35"/>
      <c r="G24" s="35">
        <f>SUM(G22,G23:G23)</f>
        <v>58.681203867083333</v>
      </c>
      <c r="H24" s="35">
        <f t="shared" si="4"/>
        <v>34.507900735989594</v>
      </c>
      <c r="I24" s="36">
        <f t="shared" si="10"/>
        <v>1.4275211190150767</v>
      </c>
      <c r="J24" s="111">
        <f t="shared" si="2"/>
        <v>0.46018764540567664</v>
      </c>
    </row>
    <row r="25" spans="1:10" x14ac:dyDescent="0.2">
      <c r="A25" s="107" t="s">
        <v>40</v>
      </c>
      <c r="B25" s="73">
        <f>C8</f>
        <v>586.81269307291632</v>
      </c>
      <c r="C25" s="125">
        <f>VLOOKUP($C$3,'Data for Bill Impacts'!$A$3:$Y$39,15,0)</f>
        <v>5.8707754984320933E-3</v>
      </c>
      <c r="D25" s="22">
        <f>B25*C25</f>
        <v>3.4450455806614291</v>
      </c>
      <c r="E25" s="73">
        <f>B8</f>
        <v>601.40728374999981</v>
      </c>
      <c r="F25" s="78">
        <f>VLOOKUP($B$3,'Data for Bill Impacts'!$A$3:$Y$39,24,0)</f>
        <v>4.7000000000000002E-3</v>
      </c>
      <c r="G25" s="22">
        <f>E25*F25</f>
        <v>2.8266142336249991</v>
      </c>
      <c r="H25" s="22">
        <f t="shared" si="4"/>
        <v>-0.61843134703642999</v>
      </c>
      <c r="I25" s="23">
        <f t="shared" si="10"/>
        <v>-0.17951325535660828</v>
      </c>
      <c r="J25" s="124">
        <f t="shared" si="2"/>
        <v>2.2166773394567588E-2</v>
      </c>
    </row>
    <row r="26" spans="1:10" s="1" customFormat="1" x14ac:dyDescent="0.2">
      <c r="A26" s="107" t="s">
        <v>41</v>
      </c>
      <c r="B26" s="73">
        <f>C8</f>
        <v>586.81269307291632</v>
      </c>
      <c r="C26" s="125">
        <f>VLOOKUP($C$3,'Data for Bill Impacts'!$A$3:$Y$39,16,0)</f>
        <v>4.9991360917706956E-3</v>
      </c>
      <c r="D26" s="22">
        <f>B26*C26</f>
        <v>2.9335565130499757</v>
      </c>
      <c r="E26" s="73">
        <f>B8</f>
        <v>601.40728374999981</v>
      </c>
      <c r="F26" s="78">
        <f>VLOOKUP($B$3,'Data for Bill Impacts'!$A$3:$Y$39,25,0)</f>
        <v>3.8E-3</v>
      </c>
      <c r="G26" s="22">
        <f>E26*F26</f>
        <v>2.2853476782499991</v>
      </c>
      <c r="H26" s="22">
        <f t="shared" si="4"/>
        <v>-0.6482088347999766</v>
      </c>
      <c r="I26" s="23">
        <f t="shared" si="10"/>
        <v>-0.22096347280729334</v>
      </c>
      <c r="J26" s="124">
        <f t="shared" si="2"/>
        <v>1.7922072106246134E-2</v>
      </c>
    </row>
    <row r="27" spans="1:10" s="1" customFormat="1" x14ac:dyDescent="0.2">
      <c r="A27" s="110" t="s">
        <v>76</v>
      </c>
      <c r="B27" s="74"/>
      <c r="C27" s="35"/>
      <c r="D27" s="35">
        <f>SUM(D25:D26)</f>
        <v>6.3786020937114047</v>
      </c>
      <c r="E27" s="73"/>
      <c r="F27" s="35"/>
      <c r="G27" s="35">
        <f>SUM(G25:G26)</f>
        <v>5.1119619118749977</v>
      </c>
      <c r="H27" s="35">
        <f t="shared" si="4"/>
        <v>-1.266640181836407</v>
      </c>
      <c r="I27" s="36">
        <f t="shared" si="10"/>
        <v>-0.19857645346543468</v>
      </c>
      <c r="J27" s="111">
        <f t="shared" si="2"/>
        <v>4.0088845500813722E-2</v>
      </c>
    </row>
    <row r="28" spans="1:10" s="1" customFormat="1" x14ac:dyDescent="0.2">
      <c r="A28" s="110" t="s">
        <v>80</v>
      </c>
      <c r="B28" s="74"/>
      <c r="C28" s="35"/>
      <c r="D28" s="35">
        <f>D24+D27</f>
        <v>30.551905224805143</v>
      </c>
      <c r="E28" s="73"/>
      <c r="F28" s="35"/>
      <c r="G28" s="35">
        <f>G24+G27</f>
        <v>63.793165778958333</v>
      </c>
      <c r="H28" s="35">
        <f t="shared" si="4"/>
        <v>33.241260554153186</v>
      </c>
      <c r="I28" s="36">
        <f t="shared" si="10"/>
        <v>1.0880257813566583</v>
      </c>
      <c r="J28" s="111">
        <f t="shared" si="2"/>
        <v>0.5002764909064904</v>
      </c>
    </row>
    <row r="29" spans="1:10" x14ac:dyDescent="0.2">
      <c r="A29" s="107" t="s">
        <v>42</v>
      </c>
      <c r="B29" s="73">
        <f>C8</f>
        <v>586.81269307291632</v>
      </c>
      <c r="C29" s="34">
        <v>3.5999999999999999E-3</v>
      </c>
      <c r="D29" s="22">
        <f>B29*C29</f>
        <v>2.1125256950624989</v>
      </c>
      <c r="E29" s="73">
        <f>B8</f>
        <v>601.40728374999981</v>
      </c>
      <c r="F29" s="34">
        <v>3.5999999999999999E-3</v>
      </c>
      <c r="G29" s="22">
        <f>E29*F29</f>
        <v>2.1650662214999992</v>
      </c>
      <c r="H29" s="22">
        <f t="shared" si="4"/>
        <v>5.254052643750029E-2</v>
      </c>
      <c r="I29" s="23">
        <f t="shared" si="10"/>
        <v>2.4870952604411224E-2</v>
      </c>
      <c r="J29" s="124">
        <f t="shared" si="2"/>
        <v>1.6978805153285811E-2</v>
      </c>
    </row>
    <row r="30" spans="1:10" s="1" customFormat="1" x14ac:dyDescent="0.2">
      <c r="A30" s="107" t="s">
        <v>43</v>
      </c>
      <c r="B30" s="73">
        <f>C8</f>
        <v>586.81269307291632</v>
      </c>
      <c r="C30" s="34">
        <v>2.0999999999999999E-3</v>
      </c>
      <c r="D30" s="22">
        <f>B30*C30</f>
        <v>1.2323066554531241</v>
      </c>
      <c r="E30" s="73">
        <f>B8</f>
        <v>601.40728374999981</v>
      </c>
      <c r="F30" s="34">
        <v>2.0999999999999999E-3</v>
      </c>
      <c r="G30" s="22">
        <f>E30*F30</f>
        <v>1.2629552958749994</v>
      </c>
      <c r="H30" s="22">
        <f>G30-D30</f>
        <v>3.0648640421875317E-2</v>
      </c>
      <c r="I30" s="23">
        <f t="shared" si="10"/>
        <v>2.4870952604411349E-2</v>
      </c>
      <c r="J30" s="124">
        <f t="shared" si="2"/>
        <v>9.9043030060833905E-3</v>
      </c>
    </row>
    <row r="31" spans="1:10" s="1" customFormat="1" x14ac:dyDescent="0.2">
      <c r="A31" s="107" t="s">
        <v>100</v>
      </c>
      <c r="B31" s="73">
        <f>C8</f>
        <v>586.81269307291632</v>
      </c>
      <c r="C31" s="34">
        <v>0</v>
      </c>
      <c r="D31" s="22">
        <f>B31*C31</f>
        <v>0</v>
      </c>
      <c r="E31" s="73">
        <f>B8</f>
        <v>601.40728374999981</v>
      </c>
      <c r="F31" s="34">
        <v>0</v>
      </c>
      <c r="G31" s="22">
        <f>E31*F31</f>
        <v>0</v>
      </c>
      <c r="H31" s="22">
        <f>G31-D31</f>
        <v>0</v>
      </c>
      <c r="I31" s="23" t="str">
        <f t="shared" si="10"/>
        <v>N/A</v>
      </c>
      <c r="J31" s="124">
        <f t="shared" si="2"/>
        <v>0</v>
      </c>
    </row>
    <row r="32" spans="1:10" x14ac:dyDescent="0.2">
      <c r="A32" s="107" t="s">
        <v>44</v>
      </c>
      <c r="B32" s="73">
        <v>1</v>
      </c>
      <c r="C32" s="22">
        <v>0.25</v>
      </c>
      <c r="D32" s="22">
        <f>B32*C32</f>
        <v>0.25</v>
      </c>
      <c r="E32" s="73">
        <f t="shared" si="5"/>
        <v>1</v>
      </c>
      <c r="F32" s="22">
        <f>C32</f>
        <v>0.25</v>
      </c>
      <c r="G32" s="22">
        <f>E32*F32</f>
        <v>0.25</v>
      </c>
      <c r="H32" s="22">
        <f t="shared" si="4"/>
        <v>0</v>
      </c>
      <c r="I32" s="23">
        <f t="shared" si="10"/>
        <v>0</v>
      </c>
      <c r="J32" s="124">
        <f t="shared" si="2"/>
        <v>1.960541089307025E-3</v>
      </c>
    </row>
    <row r="33" spans="1:10" s="1" customFormat="1" x14ac:dyDescent="0.2">
      <c r="A33" s="110" t="s">
        <v>45</v>
      </c>
      <c r="B33" s="74"/>
      <c r="C33" s="35"/>
      <c r="D33" s="35">
        <f>SUM(D29:D32)</f>
        <v>3.594832350515623</v>
      </c>
      <c r="E33" s="73"/>
      <c r="F33" s="35"/>
      <c r="G33" s="35">
        <f>SUM(G29:G32)</f>
        <v>3.6780215173749986</v>
      </c>
      <c r="H33" s="35">
        <f t="shared" si="4"/>
        <v>8.3189166859375607E-2</v>
      </c>
      <c r="I33" s="36">
        <f t="shared" si="10"/>
        <v>2.3141320303141092E-2</v>
      </c>
      <c r="J33" s="111">
        <f t="shared" si="2"/>
        <v>2.8843649248676228E-2</v>
      </c>
    </row>
    <row r="34" spans="1:10" ht="13.5" thickBot="1" x14ac:dyDescent="0.25">
      <c r="A34" s="112" t="s">
        <v>46</v>
      </c>
      <c r="B34" s="113">
        <f>C4</f>
        <v>550.73927083333308</v>
      </c>
      <c r="C34" s="114">
        <v>7.0000000000000001E-3</v>
      </c>
      <c r="D34" s="115">
        <f>B34*C34</f>
        <v>3.8551748958333318</v>
      </c>
      <c r="E34" s="116">
        <f t="shared" si="5"/>
        <v>550.73927083333308</v>
      </c>
      <c r="F34" s="114">
        <f>C34</f>
        <v>7.0000000000000001E-3</v>
      </c>
      <c r="G34" s="115">
        <f>E34*F34</f>
        <v>3.8551748958333318</v>
      </c>
      <c r="H34" s="115">
        <f t="shared" si="4"/>
        <v>0</v>
      </c>
      <c r="I34" s="117">
        <f t="shared" si="10"/>
        <v>0</v>
      </c>
      <c r="J34" s="118">
        <f t="shared" si="2"/>
        <v>3.0232915158984706E-2</v>
      </c>
    </row>
    <row r="35" spans="1:10" x14ac:dyDescent="0.2">
      <c r="A35" s="37" t="s">
        <v>146</v>
      </c>
      <c r="B35" s="38"/>
      <c r="C35" s="39"/>
      <c r="D35" s="39">
        <f>SUM(D14,D24,D27,D33,D34)</f>
        <v>88.119186116987407</v>
      </c>
      <c r="E35" s="38"/>
      <c r="F35" s="39"/>
      <c r="G35" s="39">
        <f>SUM(G14,G24,G27,G33,G34)</f>
        <v>121.44363583799996</v>
      </c>
      <c r="H35" s="39">
        <f t="shared" si="4"/>
        <v>33.324449721012556</v>
      </c>
      <c r="I35" s="40">
        <f t="shared" si="10"/>
        <v>0.37817473344307645</v>
      </c>
      <c r="J35" s="41">
        <f t="shared" si="2"/>
        <v>0.95238095238095244</v>
      </c>
    </row>
    <row r="36" spans="1:10" x14ac:dyDescent="0.2">
      <c r="A36" s="46" t="s">
        <v>138</v>
      </c>
      <c r="B36" s="43"/>
      <c r="C36" s="26">
        <v>0.13</v>
      </c>
      <c r="D36" s="26">
        <f>D35*C36</f>
        <v>11.455494195208363</v>
      </c>
      <c r="E36" s="26"/>
      <c r="F36" s="26">
        <f>C36</f>
        <v>0.13</v>
      </c>
      <c r="G36" s="26">
        <f>G35*F36</f>
        <v>15.787672658939996</v>
      </c>
      <c r="H36" s="26">
        <f t="shared" si="4"/>
        <v>4.3321784637316334</v>
      </c>
      <c r="I36" s="44">
        <f t="shared" si="10"/>
        <v>0.37817473344307656</v>
      </c>
      <c r="J36" s="45">
        <f t="shared" si="2"/>
        <v>0.12380952380952383</v>
      </c>
    </row>
    <row r="37" spans="1:10" x14ac:dyDescent="0.2">
      <c r="A37" s="46" t="s">
        <v>139</v>
      </c>
      <c r="B37" s="24"/>
      <c r="C37" s="25"/>
      <c r="D37" s="25">
        <f>SUM(D35:D36)</f>
        <v>99.574680312195767</v>
      </c>
      <c r="E37" s="25"/>
      <c r="F37" s="25"/>
      <c r="G37" s="25">
        <f>SUM(G35:G36)</f>
        <v>137.23130849693996</v>
      </c>
      <c r="H37" s="25">
        <f t="shared" si="4"/>
        <v>37.656628184744193</v>
      </c>
      <c r="I37" s="27">
        <f t="shared" si="10"/>
        <v>0.37817473344307651</v>
      </c>
      <c r="J37" s="47">
        <f t="shared" si="2"/>
        <v>1.0761904761904761</v>
      </c>
    </row>
    <row r="38" spans="1:10" x14ac:dyDescent="0.2">
      <c r="A38" s="46" t="s">
        <v>140</v>
      </c>
      <c r="B38" s="43"/>
      <c r="C38" s="26">
        <v>-0.08</v>
      </c>
      <c r="D38" s="26">
        <f>D35*C38</f>
        <v>-7.0495348893589931</v>
      </c>
      <c r="E38" s="26"/>
      <c r="F38" s="26">
        <f>C38</f>
        <v>-0.08</v>
      </c>
      <c r="G38" s="26">
        <f>G35*F38</f>
        <v>-9.715490867039998</v>
      </c>
      <c r="H38" s="26">
        <f t="shared" si="4"/>
        <v>-2.6659559776810049</v>
      </c>
      <c r="I38" s="44">
        <f t="shared" si="10"/>
        <v>-0.37817473344307651</v>
      </c>
      <c r="J38" s="45">
        <f t="shared" si="2"/>
        <v>-7.6190476190476197E-2</v>
      </c>
    </row>
    <row r="39" spans="1:10" ht="13.5" thickBot="1" x14ac:dyDescent="0.25">
      <c r="A39" s="46" t="s">
        <v>141</v>
      </c>
      <c r="B39" s="49"/>
      <c r="C39" s="50"/>
      <c r="D39" s="50">
        <f>SUM(D37:D38)</f>
        <v>92.525145422836772</v>
      </c>
      <c r="E39" s="50"/>
      <c r="F39" s="50"/>
      <c r="G39" s="50">
        <f>SUM(G37:G38)</f>
        <v>127.51581762989996</v>
      </c>
      <c r="H39" s="50">
        <f t="shared" si="4"/>
        <v>34.990672207063184</v>
      </c>
      <c r="I39" s="51">
        <f t="shared" si="10"/>
        <v>0.37817473344307651</v>
      </c>
      <c r="J39" s="52">
        <f t="shared" si="2"/>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4"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K49"/>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37" t="s">
        <v>112</v>
      </c>
      <c r="B1" s="338"/>
      <c r="C1" s="338"/>
      <c r="D1" s="338"/>
      <c r="E1" s="338"/>
      <c r="F1" s="338"/>
      <c r="G1" s="338"/>
      <c r="H1" s="338"/>
      <c r="I1" s="338"/>
      <c r="J1" s="339"/>
      <c r="K1" s="128"/>
    </row>
    <row r="3" spans="1:11" x14ac:dyDescent="0.2">
      <c r="A3" s="13" t="s">
        <v>13</v>
      </c>
      <c r="B3" s="13" t="s">
        <v>8</v>
      </c>
      <c r="C3" s="13" t="s">
        <v>116</v>
      </c>
    </row>
    <row r="4" spans="1:11" x14ac:dyDescent="0.2">
      <c r="A4" s="15" t="s">
        <v>62</v>
      </c>
      <c r="B4" s="79">
        <f>C4</f>
        <v>76826.384713261112</v>
      </c>
      <c r="C4" s="79">
        <f>'Data for Bill Impacts_HONI Avg '!C49</f>
        <v>76826.384713261112</v>
      </c>
    </row>
    <row r="5" spans="1:11" x14ac:dyDescent="0.2">
      <c r="A5" s="15" t="s">
        <v>16</v>
      </c>
      <c r="B5" s="15"/>
      <c r="C5" s="181">
        <f>'Data for Bill Impacts_HONI Avg '!B49</f>
        <v>210.7703131136349</v>
      </c>
    </row>
    <row r="6" spans="1:11" x14ac:dyDescent="0.2">
      <c r="A6" s="15" t="s">
        <v>20</v>
      </c>
      <c r="B6" s="15">
        <f>VLOOKUP($B$3,'Data for Bill Impacts'!$A$3:$Y$39,2,0)</f>
        <v>1.0920000000000001</v>
      </c>
      <c r="C6" s="15">
        <f>'Data for Bill Impacts'!B27</f>
        <v>1.0430999999999999</v>
      </c>
    </row>
    <row r="7" spans="1:11" x14ac:dyDescent="0.2">
      <c r="A7" s="15" t="s">
        <v>15</v>
      </c>
      <c r="B7" s="15">
        <f>VLOOKUP($B$3,'Data for Bill Impacts'!$A$3:$Y$39,4,0)</f>
        <v>750</v>
      </c>
      <c r="C7" s="15">
        <f>VLOOKUP($C$3,'Data for Bill Impacts'!$A$3:$Y$39,4,0)</f>
        <v>750</v>
      </c>
    </row>
    <row r="8" spans="1:11" x14ac:dyDescent="0.2">
      <c r="A8" s="15" t="s">
        <v>82</v>
      </c>
      <c r="B8" s="181">
        <f>B4*B6</f>
        <v>83894.412106881136</v>
      </c>
      <c r="C8" s="181">
        <f>C4*C6</f>
        <v>80137.601894402658</v>
      </c>
    </row>
    <row r="9" spans="1:11" x14ac:dyDescent="0.2">
      <c r="A9" s="15" t="s">
        <v>21</v>
      </c>
      <c r="B9" s="16" t="str">
        <f>VLOOKUP($B$3,'Data for Bill Impacts'!$A$3:$Y$39,6,0)</f>
        <v>kWh</v>
      </c>
      <c r="C9" s="16" t="str">
        <f>'Data for Bill Impacts'!F27</f>
        <v>kW</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IF(C4&gt;C7,C7,C4)</f>
        <v>750</v>
      </c>
      <c r="C12" s="103">
        <v>9.0999999999999998E-2</v>
      </c>
      <c r="D12" s="104">
        <f>B12*C12</f>
        <v>68.25</v>
      </c>
      <c r="E12" s="102">
        <f>IF(B4&gt;B7,B7,B4)</f>
        <v>750</v>
      </c>
      <c r="F12" s="103">
        <f>C12</f>
        <v>9.0999999999999998E-2</v>
      </c>
      <c r="G12" s="104">
        <f>E12*F12</f>
        <v>68.25</v>
      </c>
      <c r="H12" s="104">
        <f>G12-D12</f>
        <v>0</v>
      </c>
      <c r="I12" s="105">
        <f t="shared" ref="I12:I18" si="0">IF(ISERROR(H12/ABS(D12)),"N/A",(H12/ABS(D12)))</f>
        <v>0</v>
      </c>
      <c r="J12" s="123">
        <f t="shared" ref="J12:J38" si="1">G12/$G$38</f>
        <v>3.4684439710458148E-3</v>
      </c>
    </row>
    <row r="13" spans="1:11" x14ac:dyDescent="0.2">
      <c r="A13" s="107" t="s">
        <v>32</v>
      </c>
      <c r="B13" s="73">
        <f>IF(C4&gt;C7,(C4)-C7,0)</f>
        <v>76076.384713261112</v>
      </c>
      <c r="C13" s="21">
        <v>0.106</v>
      </c>
      <c r="D13" s="22">
        <f>B13*C13</f>
        <v>8064.0967796056775</v>
      </c>
      <c r="E13" s="73">
        <f>IF(B4&gt;B7,(B4)-B7,0)</f>
        <v>76076.384713261112</v>
      </c>
      <c r="F13" s="21">
        <f>C13</f>
        <v>0.106</v>
      </c>
      <c r="G13" s="22">
        <f>E13*F13</f>
        <v>8064.0967796056775</v>
      </c>
      <c r="H13" s="22">
        <f t="shared" ref="H13:H38" si="2">G13-D13</f>
        <v>0</v>
      </c>
      <c r="I13" s="23">
        <f t="shared" si="0"/>
        <v>0</v>
      </c>
      <c r="J13" s="124">
        <f t="shared" si="1"/>
        <v>0.40981491365792355</v>
      </c>
    </row>
    <row r="14" spans="1:11" s="1" customFormat="1" x14ac:dyDescent="0.2">
      <c r="A14" s="46" t="s">
        <v>33</v>
      </c>
      <c r="B14" s="24"/>
      <c r="C14" s="25"/>
      <c r="D14" s="25">
        <f>SUM(D12:D13)</f>
        <v>8132.3467796056775</v>
      </c>
      <c r="E14" s="76"/>
      <c r="F14" s="25"/>
      <c r="G14" s="25">
        <f>SUM(G12:G13)</f>
        <v>8132.3467796056775</v>
      </c>
      <c r="H14" s="25">
        <f t="shared" si="2"/>
        <v>0</v>
      </c>
      <c r="I14" s="27">
        <f t="shared" si="0"/>
        <v>0</v>
      </c>
      <c r="J14" s="47">
        <f t="shared" si="1"/>
        <v>0.41328335762896939</v>
      </c>
    </row>
    <row r="15" spans="1:11" x14ac:dyDescent="0.2">
      <c r="A15" s="107" t="s">
        <v>38</v>
      </c>
      <c r="B15" s="73">
        <f>'Data for Bill Impacts_HONI Avg '!B84</f>
        <v>810</v>
      </c>
      <c r="C15" s="121">
        <f>VLOOKUP($C$3,'Data for Bill Impacts'!$A$3:$Y$39,7,0)</f>
        <v>3.09</v>
      </c>
      <c r="D15" s="22">
        <f>B15*C15</f>
        <v>2502.9</v>
      </c>
      <c r="E15" s="73">
        <v>1</v>
      </c>
      <c r="F15" s="78">
        <f>VLOOKUP($B$3,'Data for Bill Impacts'!$A$3:$Y$39,17,0)</f>
        <v>4.7699999999999996</v>
      </c>
      <c r="G15" s="22">
        <f>E15*F15</f>
        <v>4.7699999999999996</v>
      </c>
      <c r="H15" s="22">
        <f t="shared" si="2"/>
        <v>-2498.13</v>
      </c>
      <c r="I15" s="23">
        <f t="shared" si="0"/>
        <v>-0.99809421071556992</v>
      </c>
      <c r="J15" s="124">
        <f t="shared" si="1"/>
        <v>2.4240993028408112E-4</v>
      </c>
    </row>
    <row r="16" spans="1:11" x14ac:dyDescent="0.2">
      <c r="A16" s="107" t="s">
        <v>193</v>
      </c>
      <c r="B16" s="73">
        <f>B15</f>
        <v>810</v>
      </c>
      <c r="C16" s="121">
        <f>'Data for Bill Impacts'!K27</f>
        <v>-0.03</v>
      </c>
      <c r="D16" s="22">
        <f>B16*C16</f>
        <v>-24.3</v>
      </c>
      <c r="E16" s="73">
        <f>E15</f>
        <v>1</v>
      </c>
      <c r="F16" s="121">
        <v>0</v>
      </c>
      <c r="G16" s="22">
        <f t="shared" ref="G16:G17" si="3">E16*F16</f>
        <v>0</v>
      </c>
      <c r="H16" s="22">
        <f t="shared" si="2"/>
        <v>24.3</v>
      </c>
      <c r="I16" s="23">
        <f t="shared" si="0"/>
        <v>1</v>
      </c>
      <c r="J16" s="124">
        <f t="shared" si="1"/>
        <v>0</v>
      </c>
    </row>
    <row r="17" spans="1:10" x14ac:dyDescent="0.2">
      <c r="A17" s="107" t="s">
        <v>85</v>
      </c>
      <c r="B17" s="73">
        <f>B15</f>
        <v>810</v>
      </c>
      <c r="C17" s="121">
        <f>VLOOKUP($C$3,'Data for Bill Impacts'!$A$3:$Y$39,13,0)</f>
        <v>0</v>
      </c>
      <c r="D17" s="22">
        <f t="shared" ref="D17" si="4">B17*C17</f>
        <v>0</v>
      </c>
      <c r="E17" s="73">
        <f>E15</f>
        <v>1</v>
      </c>
      <c r="F17" s="121">
        <f>VLOOKUP($B$3,'Data for Bill Impacts'!$A$3:$Y$39,22,0)</f>
        <v>7.0000000000000001E-3</v>
      </c>
      <c r="G17" s="22">
        <f t="shared" si="3"/>
        <v>7.0000000000000001E-3</v>
      </c>
      <c r="H17" s="22">
        <f t="shared" si="2"/>
        <v>7.0000000000000001E-3</v>
      </c>
      <c r="I17" s="23" t="str">
        <f t="shared" si="0"/>
        <v>N/A</v>
      </c>
      <c r="J17" s="124">
        <f t="shared" si="1"/>
        <v>3.5573784318418614E-7</v>
      </c>
    </row>
    <row r="18" spans="1:10" x14ac:dyDescent="0.2">
      <c r="A18" s="107" t="s">
        <v>39</v>
      </c>
      <c r="B18" s="73">
        <f>IF($C$9="kWh",$C$4,$C$5)</f>
        <v>210.7703131136349</v>
      </c>
      <c r="C18" s="78">
        <f>VLOOKUP($C$3,'Data for Bill Impacts'!$A$3:$Y$39,10,0)</f>
        <v>12.4552</v>
      </c>
      <c r="D18" s="22">
        <f>B18*C18</f>
        <v>2625.1864038929452</v>
      </c>
      <c r="E18" s="73">
        <f>IF($B$9="kWh",$B$4,$B$5)</f>
        <v>76826.384713261112</v>
      </c>
      <c r="F18" s="78">
        <f>VLOOKUP($B$3,'Data for Bill Impacts'!$A$3:$Y$39,19,0)</f>
        <v>0.1069</v>
      </c>
      <c r="G18" s="22">
        <f>E18*F18</f>
        <v>8212.7405258476119</v>
      </c>
      <c r="H18" s="22">
        <f t="shared" si="2"/>
        <v>5587.5541219546667</v>
      </c>
      <c r="I18" s="23">
        <f t="shared" si="0"/>
        <v>2.1284409037273555</v>
      </c>
      <c r="J18" s="124">
        <f t="shared" si="1"/>
        <v>0.41736894304234118</v>
      </c>
    </row>
    <row r="19" spans="1:10" x14ac:dyDescent="0.2">
      <c r="A19" s="107" t="s">
        <v>195</v>
      </c>
      <c r="B19" s="73">
        <f>IF($C$9="kWh",$C$4,$C$5)</f>
        <v>210.7703131136349</v>
      </c>
      <c r="C19" s="78">
        <f>'Data for Bill Impacts'!L27</f>
        <v>-0.1246</v>
      </c>
      <c r="D19" s="22">
        <f>B19*C19</f>
        <v>-26.261981013958909</v>
      </c>
      <c r="E19" s="73">
        <f>IF($B$9="kWh",$B$4,$B$5)</f>
        <v>76826.384713261112</v>
      </c>
      <c r="F19" s="125">
        <v>0</v>
      </c>
      <c r="G19" s="22">
        <f>E19*F19</f>
        <v>0</v>
      </c>
      <c r="H19" s="22">
        <f t="shared" si="2"/>
        <v>26.261981013958909</v>
      </c>
      <c r="I19" s="23">
        <f>IF(ISERROR(H19/ABS(D19)),"N/A",(H19/ABS(D19)))</f>
        <v>1</v>
      </c>
      <c r="J19" s="124">
        <f t="shared" si="1"/>
        <v>0</v>
      </c>
    </row>
    <row r="20" spans="1:10" s="1" customFormat="1" x14ac:dyDescent="0.2">
      <c r="A20" s="107" t="s">
        <v>199</v>
      </c>
      <c r="B20" s="73">
        <f t="shared" ref="B20" si="5">IF($C$9="kWh",$C$4,$C$5)</f>
        <v>210.7703131136349</v>
      </c>
      <c r="C20" s="125">
        <f>VLOOKUP($C$3,'Data for Bill Impacts'!$A$3:$Y$39,14,0)</f>
        <v>0</v>
      </c>
      <c r="D20" s="22">
        <f>B20*C20</f>
        <v>0</v>
      </c>
      <c r="E20" s="73">
        <f>IF($B$9="kWh",$B$4,$B$5)</f>
        <v>76826.384713261112</v>
      </c>
      <c r="F20" s="125">
        <f>VLOOKUP($B$3,'Data for Bill Impacts'!$A$3:$Y$39,23,0)</f>
        <v>-9.9999999999999991E-6</v>
      </c>
      <c r="G20" s="22">
        <f>E20*F20</f>
        <v>-0.76826384713261109</v>
      </c>
      <c r="H20" s="22">
        <f t="shared" si="2"/>
        <v>-0.76826384713261109</v>
      </c>
      <c r="I20" s="23" t="str">
        <f t="shared" ref="I20:I39" si="6">IF(ISERROR(H20/ABS(D20)),"N/A",(H20/ABS(D20)))</f>
        <v>N/A</v>
      </c>
      <c r="J20" s="124">
        <f t="shared" si="1"/>
        <v>-3.9042931996477196E-5</v>
      </c>
    </row>
    <row r="21" spans="1:10" x14ac:dyDescent="0.2">
      <c r="A21" s="110" t="s">
        <v>72</v>
      </c>
      <c r="B21" s="74"/>
      <c r="C21" s="35"/>
      <c r="D21" s="35">
        <f>SUM(D15:D20)</f>
        <v>5077.524422878987</v>
      </c>
      <c r="E21" s="73"/>
      <c r="F21" s="35"/>
      <c r="G21" s="35">
        <f>SUM(G15:G20)</f>
        <v>8216.7492620004796</v>
      </c>
      <c r="H21" s="35">
        <f t="shared" si="2"/>
        <v>3139.2248391214926</v>
      </c>
      <c r="I21" s="36">
        <f t="shared" si="6"/>
        <v>0.61825893440834168</v>
      </c>
      <c r="J21" s="111">
        <f t="shared" si="1"/>
        <v>0.41757266577847196</v>
      </c>
    </row>
    <row r="22" spans="1:10" s="1" customFormat="1" x14ac:dyDescent="0.2">
      <c r="A22" s="119" t="s">
        <v>81</v>
      </c>
      <c r="B22" s="120">
        <f>C8-C4</f>
        <v>3311.2171811415465</v>
      </c>
      <c r="C22" s="257">
        <f>IF(B4&gt;B7,C13,C12)</f>
        <v>0.106</v>
      </c>
      <c r="D22" s="22">
        <f>B22*C22</f>
        <v>350.98902120100394</v>
      </c>
      <c r="E22" s="73">
        <f>B8-B4</f>
        <v>7068.0273936200247</v>
      </c>
      <c r="F22" s="257">
        <f>C22</f>
        <v>0.106</v>
      </c>
      <c r="G22" s="22">
        <f>E22*F22</f>
        <v>749.21090372372259</v>
      </c>
      <c r="H22" s="22">
        <f t="shared" si="2"/>
        <v>398.22188252271866</v>
      </c>
      <c r="I22" s="23">
        <f t="shared" si="6"/>
        <v>1.1345707656612583</v>
      </c>
      <c r="J22" s="124">
        <f t="shared" si="1"/>
        <v>3.8074667282964575E-2</v>
      </c>
    </row>
    <row r="23" spans="1:10" x14ac:dyDescent="0.2">
      <c r="A23" s="110" t="s">
        <v>79</v>
      </c>
      <c r="B23" s="74"/>
      <c r="C23" s="35"/>
      <c r="D23" s="35">
        <f>SUM(D21,D22:D22)</f>
        <v>5428.5134440799911</v>
      </c>
      <c r="E23" s="73"/>
      <c r="F23" s="35"/>
      <c r="G23" s="35">
        <f>SUM(G21,G22:G22)</f>
        <v>8965.9601657242019</v>
      </c>
      <c r="H23" s="35">
        <f t="shared" si="2"/>
        <v>3537.4467216442108</v>
      </c>
      <c r="I23" s="36">
        <f t="shared" si="6"/>
        <v>0.65164188282557112</v>
      </c>
      <c r="J23" s="111">
        <f t="shared" si="1"/>
        <v>0.45564733306143657</v>
      </c>
    </row>
    <row r="24" spans="1:10" x14ac:dyDescent="0.2">
      <c r="A24" s="107" t="s">
        <v>40</v>
      </c>
      <c r="B24" s="183">
        <f>IF($C$9="kWh",$C$8,$C$5)</f>
        <v>210.7703131136349</v>
      </c>
      <c r="C24" s="125">
        <f>VLOOKUP($C$3,'Data for Bill Impacts'!$A$3:$Y$39,15,0)</f>
        <v>2.0613999999999999</v>
      </c>
      <c r="D24" s="22">
        <f>B24*C24</f>
        <v>434.48192345244695</v>
      </c>
      <c r="E24" s="73">
        <f>$B$8</f>
        <v>83894.412106881136</v>
      </c>
      <c r="F24" s="125">
        <f>VLOOKUP($B$3,'Data for Bill Impacts'!$A$3:$Y$39,24,0)</f>
        <v>3.836E-3</v>
      </c>
      <c r="G24" s="22">
        <f>E24*F24</f>
        <v>321.81896484199603</v>
      </c>
      <c r="H24" s="22">
        <f t="shared" si="2"/>
        <v>-112.66295861045091</v>
      </c>
      <c r="I24" s="23">
        <f t="shared" si="6"/>
        <v>-0.25930413333474761</v>
      </c>
      <c r="J24" s="124">
        <f t="shared" si="1"/>
        <v>1.6354740635522728E-2</v>
      </c>
    </row>
    <row r="25" spans="1:10" s="1" customFormat="1" x14ac:dyDescent="0.2">
      <c r="A25" s="107" t="s">
        <v>41</v>
      </c>
      <c r="B25" s="183">
        <f>IF($C$9="kWh",$C$8,$C$5)</f>
        <v>210.7703131136349</v>
      </c>
      <c r="C25" s="125">
        <f>VLOOKUP($C$3,'Data for Bill Impacts'!$A$3:$Y$39,16,0)</f>
        <v>1.6580852579052419</v>
      </c>
      <c r="D25" s="22">
        <f>B25*C25</f>
        <v>349.4751489777899</v>
      </c>
      <c r="E25" s="73">
        <f>$B$8</f>
        <v>83894.412106881136</v>
      </c>
      <c r="F25" s="125">
        <f>VLOOKUP($B$3,'Data for Bill Impacts'!$A$3:$Y$39,25,0)</f>
        <v>3.6240000000000001E-3</v>
      </c>
      <c r="G25" s="22">
        <f>E25*F25</f>
        <v>304.03334947533722</v>
      </c>
      <c r="H25" s="22">
        <f t="shared" si="2"/>
        <v>-45.441799502452682</v>
      </c>
      <c r="I25" s="23">
        <f t="shared" si="6"/>
        <v>-0.1300287005681787</v>
      </c>
      <c r="J25" s="124">
        <f t="shared" si="1"/>
        <v>1.5450881142631483E-2</v>
      </c>
    </row>
    <row r="26" spans="1:10" s="1" customFormat="1" x14ac:dyDescent="0.2">
      <c r="A26" s="110" t="s">
        <v>76</v>
      </c>
      <c r="B26" s="74"/>
      <c r="C26" s="35"/>
      <c r="D26" s="35">
        <f>SUM(D24:D25)</f>
        <v>783.95707243023685</v>
      </c>
      <c r="E26" s="73"/>
      <c r="F26" s="35"/>
      <c r="G26" s="35">
        <f>SUM(G24:G25)</f>
        <v>625.85231431733325</v>
      </c>
      <c r="H26" s="35">
        <f t="shared" si="2"/>
        <v>-158.1047581129036</v>
      </c>
      <c r="I26" s="36">
        <f t="shared" si="6"/>
        <v>-0.2016752749264509</v>
      </c>
      <c r="J26" s="111">
        <f t="shared" si="1"/>
        <v>3.1805621778154214E-2</v>
      </c>
    </row>
    <row r="27" spans="1:10" s="1" customFormat="1" x14ac:dyDescent="0.2">
      <c r="A27" s="110" t="s">
        <v>80</v>
      </c>
      <c r="B27" s="74"/>
      <c r="C27" s="35"/>
      <c r="D27" s="35">
        <f>D23+D26</f>
        <v>6212.4705165102278</v>
      </c>
      <c r="E27" s="73"/>
      <c r="F27" s="35"/>
      <c r="G27" s="35">
        <f>G23+G26</f>
        <v>9591.8124800415353</v>
      </c>
      <c r="H27" s="35">
        <f t="shared" si="2"/>
        <v>3379.3419635313076</v>
      </c>
      <c r="I27" s="36">
        <f t="shared" si="6"/>
        <v>0.54396104650322075</v>
      </c>
      <c r="J27" s="111">
        <f t="shared" si="1"/>
        <v>0.48745295483959078</v>
      </c>
    </row>
    <row r="28" spans="1:10" x14ac:dyDescent="0.2">
      <c r="A28" s="107" t="s">
        <v>42</v>
      </c>
      <c r="B28" s="73">
        <f>$C$8</f>
        <v>80137.601894402658</v>
      </c>
      <c r="C28" s="34">
        <v>3.5999999999999999E-3</v>
      </c>
      <c r="D28" s="22">
        <f>B28*C28</f>
        <v>288.49536681984955</v>
      </c>
      <c r="E28" s="73">
        <f>$B$8</f>
        <v>83894.412106881136</v>
      </c>
      <c r="F28" s="34">
        <v>3.5999999999999999E-3</v>
      </c>
      <c r="G28" s="22">
        <f>E28*F28</f>
        <v>302.01988358477206</v>
      </c>
      <c r="H28" s="22">
        <f t="shared" si="2"/>
        <v>13.52451676492251</v>
      </c>
      <c r="I28" s="23">
        <f t="shared" si="6"/>
        <v>4.687949381650857E-2</v>
      </c>
      <c r="J28" s="124">
        <f t="shared" si="1"/>
        <v>1.5348557426455115E-2</v>
      </c>
    </row>
    <row r="29" spans="1:10" s="1" customFormat="1" x14ac:dyDescent="0.2">
      <c r="A29" s="107" t="s">
        <v>43</v>
      </c>
      <c r="B29" s="73">
        <f>$C$8</f>
        <v>80137.601894402658</v>
      </c>
      <c r="C29" s="34">
        <v>2.0999999999999999E-3</v>
      </c>
      <c r="D29" s="22">
        <f>B29*C29</f>
        <v>168.28896397824556</v>
      </c>
      <c r="E29" s="73">
        <f t="shared" ref="E29:E30" si="7">$B$8</f>
        <v>83894.412106881136</v>
      </c>
      <c r="F29" s="34">
        <v>2.0999999999999999E-3</v>
      </c>
      <c r="G29" s="22">
        <f>E29*F29</f>
        <v>176.17826542445039</v>
      </c>
      <c r="H29" s="22">
        <f>G29-D29</f>
        <v>7.8893014462048257</v>
      </c>
      <c r="I29" s="23">
        <f t="shared" si="6"/>
        <v>4.6879493816508744E-2</v>
      </c>
      <c r="J29" s="124">
        <f t="shared" si="1"/>
        <v>8.9533251654321504E-3</v>
      </c>
    </row>
    <row r="30" spans="1:10" s="1" customFormat="1" x14ac:dyDescent="0.2">
      <c r="A30" s="107" t="s">
        <v>100</v>
      </c>
      <c r="B30" s="73">
        <f>$C$8</f>
        <v>80137.601894402658</v>
      </c>
      <c r="C30" s="34">
        <v>0</v>
      </c>
      <c r="D30" s="22">
        <f>B30*C30</f>
        <v>0</v>
      </c>
      <c r="E30" s="73">
        <f t="shared" si="7"/>
        <v>83894.412106881136</v>
      </c>
      <c r="F30" s="34">
        <v>0</v>
      </c>
      <c r="G30" s="22">
        <f>E30*F30</f>
        <v>0</v>
      </c>
      <c r="H30" s="22">
        <f>G30-D30</f>
        <v>0</v>
      </c>
      <c r="I30" s="23" t="str">
        <f t="shared" si="6"/>
        <v>N/A</v>
      </c>
      <c r="J30" s="124">
        <f t="shared" si="1"/>
        <v>0</v>
      </c>
    </row>
    <row r="31" spans="1:10" x14ac:dyDescent="0.2">
      <c r="A31" s="107" t="s">
        <v>44</v>
      </c>
      <c r="B31" s="73">
        <v>1</v>
      </c>
      <c r="C31" s="22">
        <v>0.25</v>
      </c>
      <c r="D31" s="22">
        <f>B31*C31</f>
        <v>0.25</v>
      </c>
      <c r="E31" s="73">
        <f t="shared" ref="E31" si="8">B31</f>
        <v>1</v>
      </c>
      <c r="F31" s="22">
        <f>C31</f>
        <v>0.25</v>
      </c>
      <c r="G31" s="22">
        <f>E31*F31</f>
        <v>0.25</v>
      </c>
      <c r="H31" s="22">
        <f t="shared" si="2"/>
        <v>0</v>
      </c>
      <c r="I31" s="23">
        <f t="shared" si="6"/>
        <v>0</v>
      </c>
      <c r="J31" s="124">
        <f t="shared" si="1"/>
        <v>1.2704922970863792E-5</v>
      </c>
    </row>
    <row r="32" spans="1:10" s="1" customFormat="1" x14ac:dyDescent="0.2">
      <c r="A32" s="110" t="s">
        <v>45</v>
      </c>
      <c r="B32" s="74"/>
      <c r="C32" s="35"/>
      <c r="D32" s="35">
        <f>SUM(D28:D31)</f>
        <v>457.03433079809508</v>
      </c>
      <c r="E32" s="73"/>
      <c r="F32" s="35"/>
      <c r="G32" s="35">
        <f>SUM(G28:G31)</f>
        <v>478.44814900922245</v>
      </c>
      <c r="H32" s="35">
        <f t="shared" si="2"/>
        <v>21.413818211127364</v>
      </c>
      <c r="I32" s="36">
        <f t="shared" si="6"/>
        <v>4.6853850505570414E-2</v>
      </c>
      <c r="J32" s="111">
        <f t="shared" si="1"/>
        <v>2.431458751485813E-2</v>
      </c>
    </row>
    <row r="33" spans="1:10" ht="13.5" thickBot="1" x14ac:dyDescent="0.25">
      <c r="A33" s="112" t="s">
        <v>46</v>
      </c>
      <c r="B33" s="113">
        <f>C4</f>
        <v>76826.384713261112</v>
      </c>
      <c r="C33" s="114">
        <v>7.0000000000000001E-3</v>
      </c>
      <c r="D33" s="115">
        <f>B33*C33</f>
        <v>537.78469299282779</v>
      </c>
      <c r="E33" s="116">
        <f>B4</f>
        <v>76826.384713261112</v>
      </c>
      <c r="F33" s="114">
        <f>C33</f>
        <v>7.0000000000000001E-3</v>
      </c>
      <c r="G33" s="115">
        <f>E33*F33</f>
        <v>537.78469299282779</v>
      </c>
      <c r="H33" s="115">
        <f t="shared" si="2"/>
        <v>0</v>
      </c>
      <c r="I33" s="117">
        <f t="shared" si="6"/>
        <v>0</v>
      </c>
      <c r="J33" s="118">
        <f t="shared" si="1"/>
        <v>2.7330052397534037E-2</v>
      </c>
    </row>
    <row r="34" spans="1:10" x14ac:dyDescent="0.2">
      <c r="A34" s="37" t="s">
        <v>146</v>
      </c>
      <c r="B34" s="38"/>
      <c r="C34" s="39"/>
      <c r="D34" s="39">
        <f>SUM(D14,D23,D26,D32,D33)</f>
        <v>15339.636319906827</v>
      </c>
      <c r="E34" s="38"/>
      <c r="F34" s="39"/>
      <c r="G34" s="39">
        <f>SUM(G14,G23,G26,G32,G33)</f>
        <v>18740.392101649264</v>
      </c>
      <c r="H34" s="39">
        <f t="shared" si="2"/>
        <v>3400.7557817424367</v>
      </c>
      <c r="I34" s="40">
        <f t="shared" si="6"/>
        <v>0.22169728869837332</v>
      </c>
      <c r="J34" s="41">
        <f t="shared" si="1"/>
        <v>0.95238095238095233</v>
      </c>
    </row>
    <row r="35" spans="1:10" x14ac:dyDescent="0.2">
      <c r="A35" s="46" t="s">
        <v>138</v>
      </c>
      <c r="B35" s="43"/>
      <c r="C35" s="26">
        <v>0.13</v>
      </c>
      <c r="D35" s="26">
        <f>D34*C35</f>
        <v>1994.1527215878875</v>
      </c>
      <c r="E35" s="26"/>
      <c r="F35" s="26">
        <f>C35</f>
        <v>0.13</v>
      </c>
      <c r="G35" s="26">
        <f>G34*F35</f>
        <v>2436.2509732144044</v>
      </c>
      <c r="H35" s="26">
        <f t="shared" si="2"/>
        <v>442.09825162651691</v>
      </c>
      <c r="I35" s="44">
        <f t="shared" si="6"/>
        <v>0.22169728869837338</v>
      </c>
      <c r="J35" s="45">
        <f t="shared" si="1"/>
        <v>0.12380952380952381</v>
      </c>
    </row>
    <row r="36" spans="1:10" x14ac:dyDescent="0.2">
      <c r="A36" s="46" t="s">
        <v>139</v>
      </c>
      <c r="B36" s="24"/>
      <c r="C36" s="25"/>
      <c r="D36" s="25">
        <f>SUM(D34:D35)</f>
        <v>17333.789041494714</v>
      </c>
      <c r="E36" s="25"/>
      <c r="F36" s="25"/>
      <c r="G36" s="25">
        <f>SUM(G34:G35)</f>
        <v>21176.64307486367</v>
      </c>
      <c r="H36" s="25">
        <f t="shared" si="2"/>
        <v>3842.8540333689562</v>
      </c>
      <c r="I36" s="27">
        <f t="shared" si="6"/>
        <v>0.22169728869837349</v>
      </c>
      <c r="J36" s="47">
        <f t="shared" si="1"/>
        <v>1.0761904761904764</v>
      </c>
    </row>
    <row r="37" spans="1:10" ht="12.75" customHeight="1" x14ac:dyDescent="0.2">
      <c r="A37" s="46" t="s">
        <v>140</v>
      </c>
      <c r="B37" s="43"/>
      <c r="C37" s="26">
        <v>-0.08</v>
      </c>
      <c r="D37" s="26">
        <f>D34*C37</f>
        <v>-1227.1709055925462</v>
      </c>
      <c r="E37" s="26"/>
      <c r="F37" s="26">
        <f>C37</f>
        <v>-0.08</v>
      </c>
      <c r="G37" s="26">
        <f>G34*F37</f>
        <v>-1499.2313681319411</v>
      </c>
      <c r="H37" s="26">
        <f t="shared" si="2"/>
        <v>-272.06046253939485</v>
      </c>
      <c r="I37" s="44">
        <f t="shared" si="6"/>
        <v>-0.22169728869837324</v>
      </c>
      <c r="J37" s="45">
        <f t="shared" si="1"/>
        <v>-7.6190476190476183E-2</v>
      </c>
    </row>
    <row r="38" spans="1:10" ht="13.5" customHeight="1" thickBot="1" x14ac:dyDescent="0.25">
      <c r="A38" s="46" t="s">
        <v>141</v>
      </c>
      <c r="B38" s="49"/>
      <c r="C38" s="50"/>
      <c r="D38" s="50">
        <f>SUM(D36:D37)</f>
        <v>16106.618135902168</v>
      </c>
      <c r="E38" s="50"/>
      <c r="F38" s="50"/>
      <c r="G38" s="50">
        <f>SUM(G36:G37)</f>
        <v>19677.411706731727</v>
      </c>
      <c r="H38" s="50">
        <f t="shared" si="2"/>
        <v>3570.793570829559</v>
      </c>
      <c r="I38" s="51">
        <f t="shared" si="6"/>
        <v>0.22169728869837335</v>
      </c>
      <c r="J38" s="52">
        <f t="shared" si="1"/>
        <v>1</v>
      </c>
    </row>
    <row r="39" spans="1:10" x14ac:dyDescent="0.2">
      <c r="D39" s="72"/>
      <c r="F39" s="69"/>
      <c r="I39" t="str">
        <f t="shared" si="6"/>
        <v>N/A</v>
      </c>
    </row>
    <row r="40" spans="1:10" x14ac:dyDescent="0.2">
      <c r="F40" s="69"/>
    </row>
    <row r="41" spans="1:10" x14ac:dyDescent="0.2">
      <c r="A41" s="70"/>
      <c r="B41" s="71"/>
      <c r="F41" s="69"/>
    </row>
    <row r="42" spans="1:10" x14ac:dyDescent="0.2">
      <c r="B42" s="72"/>
      <c r="D42" s="7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sheetData>
  <mergeCells count="1">
    <mergeCell ref="A1:J1"/>
  </mergeCell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A1:K50"/>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6.5703125" customWidth="1"/>
    <col min="4" max="4" width="15" customWidth="1"/>
    <col min="5" max="5" width="10.42578125" customWidth="1"/>
    <col min="6" max="6" width="10.140625" customWidth="1"/>
    <col min="7" max="7" width="12.28515625" customWidth="1"/>
    <col min="8" max="8" width="13.42578125" customWidth="1"/>
    <col min="9" max="9" width="14.42578125"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37" t="s">
        <v>112</v>
      </c>
      <c r="B1" s="338"/>
      <c r="C1" s="338"/>
      <c r="D1" s="338"/>
      <c r="E1" s="338"/>
      <c r="F1" s="338"/>
      <c r="G1" s="338"/>
      <c r="H1" s="338"/>
      <c r="I1" s="338"/>
      <c r="J1" s="339"/>
      <c r="K1" s="128"/>
    </row>
    <row r="3" spans="1:11" x14ac:dyDescent="0.2">
      <c r="A3" s="13" t="s">
        <v>13</v>
      </c>
      <c r="B3" s="13" t="s">
        <v>8</v>
      </c>
      <c r="C3" s="13" t="s">
        <v>128</v>
      </c>
    </row>
    <row r="4" spans="1:11" x14ac:dyDescent="0.2">
      <c r="A4" s="15" t="s">
        <v>62</v>
      </c>
      <c r="B4" s="79">
        <f>C4</f>
        <v>1367.6845611291665</v>
      </c>
      <c r="C4" s="79">
        <f>'Data for Bill Impacts_HONI Avg '!C47</f>
        <v>1367.6845611291665</v>
      </c>
    </row>
    <row r="5" spans="1:11" x14ac:dyDescent="0.2">
      <c r="A5" s="15" t="s">
        <v>16</v>
      </c>
      <c r="B5" s="15"/>
      <c r="C5" s="134">
        <f>'Data for Bill Impacts_HONI Avg '!B47</f>
        <v>4.1274030573589995</v>
      </c>
    </row>
    <row r="6" spans="1:11" x14ac:dyDescent="0.2">
      <c r="A6" s="15" t="s">
        <v>20</v>
      </c>
      <c r="B6" s="15">
        <f>VLOOKUP($B$3,'Data for Bill Impacts'!$A$3:$Y$39,2,0)</f>
        <v>1.0920000000000001</v>
      </c>
      <c r="C6" s="15">
        <f>'Data for Bill Impacts'!B39</f>
        <v>1.0564</v>
      </c>
    </row>
    <row r="7" spans="1:11" x14ac:dyDescent="0.2">
      <c r="A7" s="15" t="s">
        <v>15</v>
      </c>
      <c r="B7" s="15">
        <f>VLOOKUP($B$3,'Data for Bill Impacts'!$A$3:$Y$39,4,0)</f>
        <v>750</v>
      </c>
      <c r="C7" s="79">
        <f>VLOOKUP($C$3,'Data for Bill Impacts'!$A$3:$Y$39,4,0)</f>
        <v>750</v>
      </c>
    </row>
    <row r="8" spans="1:11" x14ac:dyDescent="0.2">
      <c r="A8" s="15" t="s">
        <v>82</v>
      </c>
      <c r="B8" s="163">
        <f>B4*B6</f>
        <v>1493.51154075305</v>
      </c>
      <c r="C8" s="163">
        <f>C4*C6</f>
        <v>1444.8219703768514</v>
      </c>
    </row>
    <row r="9" spans="1:11" x14ac:dyDescent="0.2">
      <c r="A9" s="15" t="s">
        <v>21</v>
      </c>
      <c r="B9" s="16" t="str">
        <f>VLOOKUP($B$3,'Data for Bill Impacts'!$A$3:$Y$39,6,0)</f>
        <v>kWh</v>
      </c>
      <c r="C9" s="16" t="str">
        <f>'Data for Bill Impacts'!F27</f>
        <v>kW</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IF(C4&gt;C7,C7,C4)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39" si="1">G12/$G$39</f>
        <v>0.19846756787175085</v>
      </c>
    </row>
    <row r="13" spans="1:11" x14ac:dyDescent="0.2">
      <c r="A13" s="107" t="s">
        <v>32</v>
      </c>
      <c r="B13" s="73">
        <f>IF(B4&gt;B7,(B4)-B7,0)</f>
        <v>617.68456112916647</v>
      </c>
      <c r="C13" s="21">
        <v>0.106</v>
      </c>
      <c r="D13" s="22">
        <f>B13*C13</f>
        <v>65.474563479691639</v>
      </c>
      <c r="E13" s="73">
        <f t="shared" ref="E13:E34" si="2">B13</f>
        <v>617.68456112916647</v>
      </c>
      <c r="F13" s="21">
        <f>C13</f>
        <v>0.106</v>
      </c>
      <c r="G13" s="22">
        <f>E13*F13</f>
        <v>65.474563479691639</v>
      </c>
      <c r="H13" s="22">
        <f t="shared" ref="H13:H39" si="3">G13-D13</f>
        <v>0</v>
      </c>
      <c r="I13" s="23">
        <f t="shared" si="0"/>
        <v>0</v>
      </c>
      <c r="J13" s="124">
        <f t="shared" si="1"/>
        <v>0.19039673804071736</v>
      </c>
    </row>
    <row r="14" spans="1:11" s="1" customFormat="1" x14ac:dyDescent="0.2">
      <c r="A14" s="46" t="s">
        <v>33</v>
      </c>
      <c r="B14" s="24"/>
      <c r="C14" s="25"/>
      <c r="D14" s="25">
        <f>SUM(D12:D13)</f>
        <v>133.72456347969165</v>
      </c>
      <c r="E14" s="76"/>
      <c r="F14" s="25"/>
      <c r="G14" s="25">
        <f>SUM(G12:G13)</f>
        <v>133.72456347969165</v>
      </c>
      <c r="H14" s="25">
        <f t="shared" si="3"/>
        <v>0</v>
      </c>
      <c r="I14" s="27">
        <f t="shared" si="0"/>
        <v>0</v>
      </c>
      <c r="J14" s="47">
        <f t="shared" si="1"/>
        <v>0.38886430591246823</v>
      </c>
    </row>
    <row r="15" spans="1:11" x14ac:dyDescent="0.2">
      <c r="A15" s="107" t="s">
        <v>38</v>
      </c>
      <c r="B15" s="73">
        <f>'Data for Bill Impacts_HONI Avg '!B85</f>
        <v>21</v>
      </c>
      <c r="C15" s="121">
        <f>VLOOKUP($C$3,'Data for Bill Impacts'!$A$3:$Y$39,7,0)</f>
        <v>1.97</v>
      </c>
      <c r="D15" s="22">
        <f>B15*C15</f>
        <v>41.37</v>
      </c>
      <c r="E15" s="73">
        <v>1</v>
      </c>
      <c r="F15" s="78">
        <f>VLOOKUP($B$3,'Data for Bill Impacts'!$A$3:$Y$39,17,0)</f>
        <v>4.7699999999999996</v>
      </c>
      <c r="G15" s="22">
        <f>E15*F15</f>
        <v>4.7699999999999996</v>
      </c>
      <c r="H15" s="22">
        <f t="shared" si="3"/>
        <v>-36.599999999999994</v>
      </c>
      <c r="I15" s="23">
        <f t="shared" si="0"/>
        <v>-0.88469905728788967</v>
      </c>
      <c r="J15" s="124">
        <f t="shared" si="1"/>
        <v>1.3870920128179509E-2</v>
      </c>
    </row>
    <row r="16" spans="1:11" x14ac:dyDescent="0.2">
      <c r="A16" s="107" t="s">
        <v>193</v>
      </c>
      <c r="B16" s="73">
        <f>B15</f>
        <v>21</v>
      </c>
      <c r="C16" s="121">
        <f>'Data for Bill Impacts'!K39</f>
        <v>-0.03</v>
      </c>
      <c r="D16" s="22">
        <f>B16*C16</f>
        <v>-0.63</v>
      </c>
      <c r="E16" s="73">
        <f>E15</f>
        <v>1</v>
      </c>
      <c r="F16" s="121">
        <v>0</v>
      </c>
      <c r="G16" s="22">
        <f t="shared" ref="G16:G20" si="4">E16*F16</f>
        <v>0</v>
      </c>
      <c r="H16" s="22">
        <f t="shared" si="3"/>
        <v>0.63</v>
      </c>
      <c r="I16" s="23">
        <f t="shared" si="0"/>
        <v>1</v>
      </c>
      <c r="J16" s="124">
        <f t="shared" si="1"/>
        <v>0</v>
      </c>
    </row>
    <row r="17" spans="1:10" x14ac:dyDescent="0.2">
      <c r="A17" s="107" t="s">
        <v>85</v>
      </c>
      <c r="B17" s="73">
        <f>B15</f>
        <v>21</v>
      </c>
      <c r="C17" s="121">
        <f>VLOOKUP($C$3,'Data for Bill Impacts'!$A$3:$Y$39,13,0)</f>
        <v>0</v>
      </c>
      <c r="D17" s="22">
        <f t="shared" ref="D17" si="5">B17*C17</f>
        <v>0</v>
      </c>
      <c r="E17" s="73">
        <f>E15</f>
        <v>1</v>
      </c>
      <c r="F17" s="121">
        <f>VLOOKUP($B$3,'Data for Bill Impacts'!$A$3:$Y$39,22,0)</f>
        <v>7.0000000000000001E-3</v>
      </c>
      <c r="G17" s="22">
        <f t="shared" si="4"/>
        <v>7.0000000000000001E-3</v>
      </c>
      <c r="H17" s="22">
        <f t="shared" si="3"/>
        <v>7.0000000000000001E-3</v>
      </c>
      <c r="I17" s="23" t="str">
        <f t="shared" si="0"/>
        <v>N/A</v>
      </c>
      <c r="J17" s="124">
        <f t="shared" si="1"/>
        <v>2.0355647986846239E-5</v>
      </c>
    </row>
    <row r="18" spans="1:10" x14ac:dyDescent="0.2">
      <c r="A18" s="107" t="s">
        <v>39</v>
      </c>
      <c r="B18" s="73">
        <f>C5</f>
        <v>4.1274030573589995</v>
      </c>
      <c r="C18" s="78">
        <f>VLOOKUP($C$3,'Data for Bill Impacts'!$A$3:$Y$39,10,0)</f>
        <v>7.4268999999999998</v>
      </c>
      <c r="D18" s="22">
        <f>B18*C18</f>
        <v>30.653809766699553</v>
      </c>
      <c r="E18" s="73">
        <f>IF($B$9="kWh",$B$4,$B$5)</f>
        <v>1367.6845611291665</v>
      </c>
      <c r="F18" s="78">
        <f>VLOOKUP($B$3,'Data for Bill Impacts'!$A$3:$Y$39,19,0)</f>
        <v>0.1069</v>
      </c>
      <c r="G18" s="22">
        <f t="shared" si="4"/>
        <v>146.20547958470789</v>
      </c>
      <c r="H18" s="22">
        <f t="shared" si="3"/>
        <v>115.55166981800834</v>
      </c>
      <c r="I18" s="23">
        <f t="shared" si="0"/>
        <v>3.7695696129600402</v>
      </c>
      <c r="J18" s="124">
        <f t="shared" si="1"/>
        <v>0.42515818231062119</v>
      </c>
    </row>
    <row r="19" spans="1:10" x14ac:dyDescent="0.2">
      <c r="A19" s="107" t="s">
        <v>194</v>
      </c>
      <c r="B19" s="73">
        <f>C5</f>
        <v>4.1274030573589995</v>
      </c>
      <c r="C19" s="78">
        <f>'Data for Bill Impacts'!H39</f>
        <v>0.23580000000000001</v>
      </c>
      <c r="D19" s="22">
        <f>B19*C19</f>
        <v>0.97324164092525212</v>
      </c>
      <c r="E19" s="73">
        <f>IF($B$9="kWh",$B$4,$B$5)</f>
        <v>1367.6845611291665</v>
      </c>
      <c r="F19" s="125">
        <v>0</v>
      </c>
      <c r="G19" s="22">
        <f t="shared" si="4"/>
        <v>0</v>
      </c>
      <c r="H19" s="22">
        <f t="shared" si="3"/>
        <v>-0.97324164092525212</v>
      </c>
      <c r="I19" s="23">
        <f>IF(ISERROR(H19/ABS(D19)),"N/A",(H19/ABS(D19)))</f>
        <v>-1</v>
      </c>
      <c r="J19" s="124">
        <f t="shared" si="1"/>
        <v>0</v>
      </c>
    </row>
    <row r="20" spans="1:10" x14ac:dyDescent="0.2">
      <c r="A20" s="107" t="s">
        <v>195</v>
      </c>
      <c r="B20" s="73">
        <f>C5</f>
        <v>4.1274030573589995</v>
      </c>
      <c r="C20" s="78">
        <f>'Data for Bill Impacts'!L39</f>
        <v>-0.1094</v>
      </c>
      <c r="D20" s="22">
        <f>B20*C20</f>
        <v>-0.45153789447507453</v>
      </c>
      <c r="E20" s="73">
        <f>IF($B$9="kWh",$B$4,$B$5)</f>
        <v>1367.6845611291665</v>
      </c>
      <c r="F20" s="125">
        <v>0</v>
      </c>
      <c r="G20" s="22">
        <f t="shared" si="4"/>
        <v>0</v>
      </c>
      <c r="H20" s="22">
        <f t="shared" ref="H20" si="6">G20-D20</f>
        <v>0.45153789447507453</v>
      </c>
      <c r="I20" s="23">
        <f>IF(ISERROR(H20/D20),0,(H20/D20))</f>
        <v>-1</v>
      </c>
      <c r="J20" s="124">
        <f t="shared" si="1"/>
        <v>0</v>
      </c>
    </row>
    <row r="21" spans="1:10" s="1" customFormat="1" x14ac:dyDescent="0.2">
      <c r="A21" s="107" t="s">
        <v>199</v>
      </c>
      <c r="B21" s="73">
        <f>C5</f>
        <v>4.1274030573589995</v>
      </c>
      <c r="C21" s="125">
        <f>VLOOKUP($C$3,'Data for Bill Impacts'!$A$3:$Y$39,14,0)</f>
        <v>0</v>
      </c>
      <c r="D21" s="22">
        <f>B21*C21</f>
        <v>0</v>
      </c>
      <c r="E21" s="73">
        <f>IF($B$9="kWh",$B$4,$B$5)</f>
        <v>1367.6845611291665</v>
      </c>
      <c r="F21" s="125">
        <f>VLOOKUP($B$3,'Data for Bill Impacts'!$A$3:$Y$39,23,0)</f>
        <v>-9.9999999999999991E-6</v>
      </c>
      <c r="G21" s="22">
        <f>E21*F21</f>
        <v>-1.3676845611291663E-2</v>
      </c>
      <c r="H21" s="22">
        <f t="shared" si="3"/>
        <v>-1.3676845611291663E-2</v>
      </c>
      <c r="I21" s="23">
        <f>IF(ISERROR(H21/D21),0,(H21/D21))</f>
        <v>0</v>
      </c>
      <c r="J21" s="124">
        <f t="shared" si="1"/>
        <v>-3.9771579261985142E-5</v>
      </c>
    </row>
    <row r="22" spans="1:10" x14ac:dyDescent="0.2">
      <c r="A22" s="110" t="s">
        <v>72</v>
      </c>
      <c r="B22" s="74"/>
      <c r="C22" s="35"/>
      <c r="D22" s="35">
        <f>SUM(D15:D21)</f>
        <v>71.915513513149719</v>
      </c>
      <c r="E22" s="73"/>
      <c r="F22" s="35"/>
      <c r="G22" s="35">
        <f>SUM(G15:G21)</f>
        <v>150.96880273909659</v>
      </c>
      <c r="H22" s="35">
        <f t="shared" si="3"/>
        <v>79.05328922594687</v>
      </c>
      <c r="I22" s="36">
        <f t="shared" ref="I22:I39" si="7">IF(ISERROR(H22/ABS(D22)),"N/A",(H22/ABS(D22)))</f>
        <v>1.0992522386910581</v>
      </c>
      <c r="J22" s="111">
        <f t="shared" si="1"/>
        <v>0.43900968650752553</v>
      </c>
    </row>
    <row r="23" spans="1:10" s="1" customFormat="1" x14ac:dyDescent="0.2">
      <c r="A23" s="119" t="s">
        <v>81</v>
      </c>
      <c r="B23" s="120">
        <f>C8-C4</f>
        <v>77.1374092476849</v>
      </c>
      <c r="C23" s="257">
        <f>IF(B4&gt;B7,C13,C12)</f>
        <v>0.106</v>
      </c>
      <c r="D23" s="22">
        <f>B23*C23</f>
        <v>8.1765653802545994</v>
      </c>
      <c r="E23" s="73">
        <f>B8-B4</f>
        <v>125.82697962388352</v>
      </c>
      <c r="F23" s="257">
        <f>C23</f>
        <v>0.106</v>
      </c>
      <c r="G23" s="22">
        <f>E23*F23</f>
        <v>13.337659840131652</v>
      </c>
      <c r="H23" s="22">
        <f t="shared" si="3"/>
        <v>5.1610944598770523</v>
      </c>
      <c r="I23" s="23">
        <f t="shared" si="7"/>
        <v>0.6312056737588696</v>
      </c>
      <c r="J23" s="124">
        <f t="shared" si="1"/>
        <v>3.8785244096287974E-2</v>
      </c>
    </row>
    <row r="24" spans="1:10" x14ac:dyDescent="0.2">
      <c r="A24" s="110" t="s">
        <v>79</v>
      </c>
      <c r="B24" s="74"/>
      <c r="C24" s="35"/>
      <c r="D24" s="35">
        <f>SUM(D22,D23:D23)</f>
        <v>80.09207889340432</v>
      </c>
      <c r="E24" s="73"/>
      <c r="F24" s="35"/>
      <c r="G24" s="35">
        <f>SUM(G22,G23:G23)</f>
        <v>164.30646257922825</v>
      </c>
      <c r="H24" s="35">
        <f t="shared" si="3"/>
        <v>84.214383685823933</v>
      </c>
      <c r="I24" s="36">
        <f t="shared" si="7"/>
        <v>1.0514695691431115</v>
      </c>
      <c r="J24" s="111">
        <f t="shared" si="1"/>
        <v>0.47779493060381351</v>
      </c>
    </row>
    <row r="25" spans="1:10" x14ac:dyDescent="0.2">
      <c r="A25" s="107" t="s">
        <v>40</v>
      </c>
      <c r="B25" s="73">
        <f>IF($C$9="kWh",$C$8,$C$5)</f>
        <v>4.1274030573589995</v>
      </c>
      <c r="C25" s="125">
        <f>VLOOKUP($C$3,'Data for Bill Impacts'!$A$3:$Y$39,15,0)</f>
        <v>1.9197</v>
      </c>
      <c r="D25" s="22">
        <f>B25*C25</f>
        <v>7.9233756492120708</v>
      </c>
      <c r="E25" s="73">
        <f>B8</f>
        <v>1493.51154075305</v>
      </c>
      <c r="F25" s="125">
        <f>VLOOKUP($B$3,'Data for Bill Impacts'!$A$3:$Y$39,24,0)</f>
        <v>3.836E-3</v>
      </c>
      <c r="G25" s="22">
        <f>E25*F25</f>
        <v>5.7291102703286994</v>
      </c>
      <c r="H25" s="22">
        <f t="shared" si="3"/>
        <v>-2.1942653788833715</v>
      </c>
      <c r="I25" s="23">
        <f t="shared" si="7"/>
        <v>-0.27693567439296873</v>
      </c>
      <c r="J25" s="124">
        <f t="shared" si="1"/>
        <v>1.6659964562948073E-2</v>
      </c>
    </row>
    <row r="26" spans="1:10" s="1" customFormat="1" x14ac:dyDescent="0.2">
      <c r="A26" s="107" t="s">
        <v>41</v>
      </c>
      <c r="B26" s="73">
        <f>IF($C$9="kWh",$C$8,$C$5)</f>
        <v>4.1274030573589995</v>
      </c>
      <c r="C26" s="125">
        <f>VLOOKUP($C$3,'Data for Bill Impacts'!$A$3:$Y$39,16,0)</f>
        <v>0.95750000000000002</v>
      </c>
      <c r="D26" s="22">
        <f>B26*C26</f>
        <v>3.951988427421242</v>
      </c>
      <c r="E26" s="73">
        <f>B8</f>
        <v>1493.51154075305</v>
      </c>
      <c r="F26" s="125">
        <f>VLOOKUP($B$3,'Data for Bill Impacts'!$A$3:$Y$39,25,0)</f>
        <v>3.6240000000000001E-3</v>
      </c>
      <c r="G26" s="22">
        <f>E26*F26</f>
        <v>5.4124858236890532</v>
      </c>
      <c r="H26" s="22">
        <f t="shared" si="3"/>
        <v>1.4604973962678112</v>
      </c>
      <c r="I26" s="23">
        <f t="shared" si="7"/>
        <v>0.36956013993715497</v>
      </c>
      <c r="J26" s="124">
        <f t="shared" si="1"/>
        <v>1.5739236594401414E-2</v>
      </c>
    </row>
    <row r="27" spans="1:10" s="1" customFormat="1" x14ac:dyDescent="0.2">
      <c r="A27" s="110" t="s">
        <v>76</v>
      </c>
      <c r="B27" s="74"/>
      <c r="C27" s="35"/>
      <c r="D27" s="35">
        <f>SUM(D25:D26)</f>
        <v>11.875364076633312</v>
      </c>
      <c r="E27" s="73"/>
      <c r="F27" s="35"/>
      <c r="G27" s="35">
        <f>SUM(G25:G26)</f>
        <v>11.141596094017753</v>
      </c>
      <c r="H27" s="35">
        <f t="shared" si="3"/>
        <v>-0.73376798261555898</v>
      </c>
      <c r="I27" s="36">
        <f t="shared" si="7"/>
        <v>-6.1789093612663666E-2</v>
      </c>
      <c r="J27" s="111">
        <f t="shared" si="1"/>
        <v>3.239920115734949E-2</v>
      </c>
    </row>
    <row r="28" spans="1:10" s="1" customFormat="1" x14ac:dyDescent="0.2">
      <c r="A28" s="110" t="s">
        <v>80</v>
      </c>
      <c r="B28" s="74"/>
      <c r="C28" s="35"/>
      <c r="D28" s="35">
        <f>D24+D27</f>
        <v>91.967442970037638</v>
      </c>
      <c r="E28" s="73"/>
      <c r="F28" s="35"/>
      <c r="G28" s="35">
        <f>G24+G27</f>
        <v>175.44805867324601</v>
      </c>
      <c r="H28" s="35">
        <f t="shared" si="3"/>
        <v>83.480615703208372</v>
      </c>
      <c r="I28" s="36">
        <f t="shared" si="7"/>
        <v>0.90771922114226644</v>
      </c>
      <c r="J28" s="111">
        <f t="shared" si="1"/>
        <v>0.51019413176116302</v>
      </c>
    </row>
    <row r="29" spans="1:10" x14ac:dyDescent="0.2">
      <c r="A29" s="107" t="s">
        <v>42</v>
      </c>
      <c r="B29" s="73">
        <f>C8</f>
        <v>1444.8219703768514</v>
      </c>
      <c r="C29" s="34">
        <v>3.5999999999999999E-3</v>
      </c>
      <c r="D29" s="22">
        <f>B29*C29</f>
        <v>5.2013590933566647</v>
      </c>
      <c r="E29" s="73">
        <f>B8</f>
        <v>1493.51154075305</v>
      </c>
      <c r="F29" s="34">
        <v>3.5999999999999999E-3</v>
      </c>
      <c r="G29" s="22">
        <f>E29*F29</f>
        <v>5.3766415467109798</v>
      </c>
      <c r="H29" s="22">
        <f t="shared" si="3"/>
        <v>0.17528245335431514</v>
      </c>
      <c r="I29" s="23">
        <f t="shared" si="7"/>
        <v>3.369935630443037E-2</v>
      </c>
      <c r="J29" s="124">
        <f t="shared" si="1"/>
        <v>1.56350032394716E-2</v>
      </c>
    </row>
    <row r="30" spans="1:10" s="1" customFormat="1" x14ac:dyDescent="0.2">
      <c r="A30" s="107" t="s">
        <v>43</v>
      </c>
      <c r="B30" s="73">
        <f>C8</f>
        <v>1444.8219703768514</v>
      </c>
      <c r="C30" s="34">
        <v>2.0999999999999999E-3</v>
      </c>
      <c r="D30" s="22">
        <f>B30*C30</f>
        <v>3.0341261377913877</v>
      </c>
      <c r="E30" s="73">
        <f>B8</f>
        <v>1493.51154075305</v>
      </c>
      <c r="F30" s="34">
        <v>2.0999999999999999E-3</v>
      </c>
      <c r="G30" s="22">
        <f>E30*F30</f>
        <v>3.1363742355814046</v>
      </c>
      <c r="H30" s="22">
        <f>G30-D30</f>
        <v>0.10224809779001687</v>
      </c>
      <c r="I30" s="23">
        <f t="shared" si="7"/>
        <v>3.3699356304430272E-2</v>
      </c>
      <c r="J30" s="124">
        <f t="shared" si="1"/>
        <v>9.1204185563584332E-3</v>
      </c>
    </row>
    <row r="31" spans="1:10" s="1" customFormat="1" x14ac:dyDescent="0.2">
      <c r="A31" s="107" t="s">
        <v>100</v>
      </c>
      <c r="B31" s="73">
        <f>C8</f>
        <v>1444.8219703768514</v>
      </c>
      <c r="C31" s="34">
        <v>0</v>
      </c>
      <c r="D31" s="22">
        <f>B31*C31</f>
        <v>0</v>
      </c>
      <c r="E31" s="73">
        <f>B8</f>
        <v>1493.51154075305</v>
      </c>
      <c r="F31" s="34">
        <v>0</v>
      </c>
      <c r="G31" s="22">
        <f>E31*F31</f>
        <v>0</v>
      </c>
      <c r="H31" s="22">
        <f>G31-D31</f>
        <v>0</v>
      </c>
      <c r="I31" s="23" t="str">
        <f t="shared" si="7"/>
        <v>N/A</v>
      </c>
      <c r="J31" s="124">
        <f t="shared" si="1"/>
        <v>0</v>
      </c>
    </row>
    <row r="32" spans="1:10" x14ac:dyDescent="0.2">
      <c r="A32" s="107" t="s">
        <v>44</v>
      </c>
      <c r="B32" s="73">
        <v>1</v>
      </c>
      <c r="C32" s="22">
        <v>0.25</v>
      </c>
      <c r="D32" s="22">
        <f>B32*C32</f>
        <v>0.25</v>
      </c>
      <c r="E32" s="73">
        <f t="shared" si="2"/>
        <v>1</v>
      </c>
      <c r="F32" s="22">
        <f>C32</f>
        <v>0.25</v>
      </c>
      <c r="G32" s="22">
        <f>E32*F32</f>
        <v>0.25</v>
      </c>
      <c r="H32" s="22">
        <f t="shared" si="3"/>
        <v>0</v>
      </c>
      <c r="I32" s="23">
        <f t="shared" si="7"/>
        <v>0</v>
      </c>
      <c r="J32" s="124">
        <f t="shared" si="1"/>
        <v>7.2698742810165147E-4</v>
      </c>
    </row>
    <row r="33" spans="1:10" s="1" customFormat="1" x14ac:dyDescent="0.2">
      <c r="A33" s="110" t="s">
        <v>45</v>
      </c>
      <c r="B33" s="74"/>
      <c r="C33" s="35"/>
      <c r="D33" s="35">
        <f>SUM(D29:D32)</f>
        <v>8.4854852311480524</v>
      </c>
      <c r="E33" s="73"/>
      <c r="F33" s="35"/>
      <c r="G33" s="35">
        <f>SUM(G29:G32)</f>
        <v>8.7630157822923849</v>
      </c>
      <c r="H33" s="35">
        <f t="shared" si="3"/>
        <v>0.27753055114433245</v>
      </c>
      <c r="I33" s="36">
        <f t="shared" si="7"/>
        <v>3.2706503350637933E-2</v>
      </c>
      <c r="J33" s="111">
        <f t="shared" si="1"/>
        <v>2.5482409223931687E-2</v>
      </c>
    </row>
    <row r="34" spans="1:10" ht="13.5" thickBot="1" x14ac:dyDescent="0.25">
      <c r="A34" s="112" t="s">
        <v>46</v>
      </c>
      <c r="B34" s="113">
        <f>B4</f>
        <v>1367.6845611291665</v>
      </c>
      <c r="C34" s="114">
        <v>7.0000000000000001E-3</v>
      </c>
      <c r="D34" s="115">
        <f>B34*C34</f>
        <v>9.5737919279041659</v>
      </c>
      <c r="E34" s="116">
        <f t="shared" si="2"/>
        <v>1367.6845611291665</v>
      </c>
      <c r="F34" s="114">
        <f>C34</f>
        <v>7.0000000000000001E-3</v>
      </c>
      <c r="G34" s="115">
        <f>E34*F34</f>
        <v>9.5737919279041659</v>
      </c>
      <c r="H34" s="115">
        <f t="shared" si="3"/>
        <v>0</v>
      </c>
      <c r="I34" s="117">
        <f t="shared" si="7"/>
        <v>0</v>
      </c>
      <c r="J34" s="118">
        <f t="shared" si="1"/>
        <v>2.7840105483389603E-2</v>
      </c>
    </row>
    <row r="35" spans="1:10" x14ac:dyDescent="0.2">
      <c r="A35" s="37" t="s">
        <v>146</v>
      </c>
      <c r="B35" s="38"/>
      <c r="C35" s="39"/>
      <c r="D35" s="39">
        <f>SUM(D14,D24,D27,D33,D34)</f>
        <v>243.75128360878151</v>
      </c>
      <c r="E35" s="38"/>
      <c r="F35" s="39"/>
      <c r="G35" s="39">
        <f>SUM(G14,G24,G27,G33,G34)</f>
        <v>327.50942986313419</v>
      </c>
      <c r="H35" s="39">
        <f t="shared" si="3"/>
        <v>83.758146254352681</v>
      </c>
      <c r="I35" s="40">
        <f t="shared" si="7"/>
        <v>0.34362135458036691</v>
      </c>
      <c r="J35" s="41">
        <f t="shared" si="1"/>
        <v>0.95238095238095244</v>
      </c>
    </row>
    <row r="36" spans="1:10" x14ac:dyDescent="0.2">
      <c r="A36" s="46" t="s">
        <v>138</v>
      </c>
      <c r="B36" s="43"/>
      <c r="C36" s="26">
        <v>0.13</v>
      </c>
      <c r="D36" s="26">
        <f>D35*C36</f>
        <v>31.687666869141598</v>
      </c>
      <c r="E36" s="26"/>
      <c r="F36" s="26">
        <f>C36</f>
        <v>0.13</v>
      </c>
      <c r="G36" s="26">
        <f>G35*F36</f>
        <v>42.576225882207446</v>
      </c>
      <c r="H36" s="26">
        <f t="shared" si="3"/>
        <v>10.888559013065848</v>
      </c>
      <c r="I36" s="44">
        <f t="shared" si="7"/>
        <v>0.34362135458036686</v>
      </c>
      <c r="J36" s="45">
        <f t="shared" si="1"/>
        <v>0.12380952380952383</v>
      </c>
    </row>
    <row r="37" spans="1:10" x14ac:dyDescent="0.2">
      <c r="A37" s="46" t="s">
        <v>139</v>
      </c>
      <c r="B37" s="24"/>
      <c r="C37" s="25"/>
      <c r="D37" s="25">
        <f>SUM(D35:D36)</f>
        <v>275.43895047792313</v>
      </c>
      <c r="E37" s="25"/>
      <c r="F37" s="25"/>
      <c r="G37" s="25">
        <f>SUM(G35:G36)</f>
        <v>370.08565574534163</v>
      </c>
      <c r="H37" s="25">
        <f t="shared" si="3"/>
        <v>94.646705267418497</v>
      </c>
      <c r="I37" s="27">
        <f t="shared" si="7"/>
        <v>0.34362135458036674</v>
      </c>
      <c r="J37" s="47">
        <f t="shared" si="1"/>
        <v>1.0761904761904764</v>
      </c>
    </row>
    <row r="38" spans="1:10" x14ac:dyDescent="0.2">
      <c r="A38" s="46" t="s">
        <v>140</v>
      </c>
      <c r="B38" s="43"/>
      <c r="C38" s="26">
        <v>-0.08</v>
      </c>
      <c r="D38" s="26">
        <f>D35*C38</f>
        <v>-19.500102688702523</v>
      </c>
      <c r="E38" s="26"/>
      <c r="F38" s="26">
        <f>C38</f>
        <v>-0.08</v>
      </c>
      <c r="G38" s="26">
        <f>G35*F38</f>
        <v>-26.200754389050736</v>
      </c>
      <c r="H38" s="26">
        <f t="shared" si="3"/>
        <v>-6.7006517003482138</v>
      </c>
      <c r="I38" s="44">
        <f t="shared" si="7"/>
        <v>-0.3436213545803668</v>
      </c>
      <c r="J38" s="45">
        <f t="shared" si="1"/>
        <v>-7.6190476190476197E-2</v>
      </c>
    </row>
    <row r="39" spans="1:10" ht="13.5" thickBot="1" x14ac:dyDescent="0.25">
      <c r="A39" s="46" t="s">
        <v>141</v>
      </c>
      <c r="B39" s="49"/>
      <c r="C39" s="50"/>
      <c r="D39" s="50">
        <f>SUM(D37:D38)</f>
        <v>255.9388477892206</v>
      </c>
      <c r="E39" s="50"/>
      <c r="F39" s="50"/>
      <c r="G39" s="50">
        <f>SUM(G37:G38)</f>
        <v>343.88490135629087</v>
      </c>
      <c r="H39" s="50">
        <f t="shared" si="3"/>
        <v>87.946053567070265</v>
      </c>
      <c r="I39" s="51">
        <f t="shared" si="7"/>
        <v>0.34362135458036669</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67"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BreakPreview" zoomScaleNormal="100" zoomScaleSheetLayoutView="100" workbookViewId="0">
      <selection activeCell="N7" sqref="N7"/>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37" t="s">
        <v>109</v>
      </c>
      <c r="B1" s="338"/>
      <c r="C1" s="338"/>
      <c r="D1" s="338"/>
      <c r="E1" s="338"/>
      <c r="F1" s="338"/>
      <c r="G1" s="338"/>
      <c r="H1" s="338"/>
      <c r="I1" s="338"/>
      <c r="J1" s="338"/>
      <c r="K1" s="339"/>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81">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G12/$G$46</f>
        <v>0.32934346393828401</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36.4</v>
      </c>
      <c r="E14" s="76"/>
      <c r="F14" s="25"/>
      <c r="G14" s="25">
        <f>SUM(G12:G13)</f>
        <v>36.4</v>
      </c>
      <c r="H14" s="25">
        <f t="shared" si="2"/>
        <v>0</v>
      </c>
      <c r="I14" s="27">
        <f t="shared" si="0"/>
        <v>0</v>
      </c>
      <c r="J14" s="27">
        <f>G14/$G$46</f>
        <v>0.32934346393828401</v>
      </c>
      <c r="K14" s="108"/>
    </row>
    <row r="15" spans="1:11" s="1" customFormat="1" x14ac:dyDescent="0.2">
      <c r="A15" s="109" t="s">
        <v>34</v>
      </c>
      <c r="B15" s="75">
        <f>B4*0.65</f>
        <v>260</v>
      </c>
      <c r="C15" s="28">
        <v>7.6999999999999999E-2</v>
      </c>
      <c r="D15" s="22">
        <f>B15*C15</f>
        <v>20.02</v>
      </c>
      <c r="E15" s="73">
        <f t="shared" ref="E15:F17" si="3">B15</f>
        <v>260</v>
      </c>
      <c r="F15" s="28">
        <f t="shared" si="3"/>
        <v>7.6999999999999999E-2</v>
      </c>
      <c r="G15" s="22">
        <f>E15*F15</f>
        <v>20.02</v>
      </c>
      <c r="H15" s="22">
        <f t="shared" si="2"/>
        <v>0</v>
      </c>
      <c r="I15" s="23">
        <f t="shared" si="0"/>
        <v>0</v>
      </c>
      <c r="J15" s="23"/>
      <c r="K15" s="108">
        <f t="shared" ref="K15:K26" si="4">G15/$G$51</f>
        <v>0.17643517926973995</v>
      </c>
    </row>
    <row r="16" spans="1:11" s="1" customFormat="1" x14ac:dyDescent="0.2">
      <c r="A16" s="109" t="s">
        <v>35</v>
      </c>
      <c r="B16" s="75">
        <f>B4*0.17</f>
        <v>68</v>
      </c>
      <c r="C16" s="28">
        <v>0.113</v>
      </c>
      <c r="D16" s="22">
        <f>B16*C16</f>
        <v>7.6840000000000002</v>
      </c>
      <c r="E16" s="73">
        <f t="shared" si="3"/>
        <v>68</v>
      </c>
      <c r="F16" s="28">
        <f t="shared" si="3"/>
        <v>0.113</v>
      </c>
      <c r="G16" s="22">
        <f>E16*F16</f>
        <v>7.6840000000000002</v>
      </c>
      <c r="H16" s="22">
        <f t="shared" si="2"/>
        <v>0</v>
      </c>
      <c r="I16" s="23">
        <f t="shared" si="0"/>
        <v>0</v>
      </c>
      <c r="J16" s="23"/>
      <c r="K16" s="108">
        <f t="shared" si="4"/>
        <v>6.7718677198235863E-2</v>
      </c>
    </row>
    <row r="17" spans="1:11" s="1" customFormat="1" x14ac:dyDescent="0.2">
      <c r="A17" s="109" t="s">
        <v>36</v>
      </c>
      <c r="B17" s="75">
        <f>B4*0.18</f>
        <v>72</v>
      </c>
      <c r="C17" s="28">
        <v>0.157</v>
      </c>
      <c r="D17" s="22">
        <f>B17*C17</f>
        <v>11.304</v>
      </c>
      <c r="E17" s="73">
        <f t="shared" si="3"/>
        <v>72</v>
      </c>
      <c r="F17" s="28">
        <f t="shared" si="3"/>
        <v>0.157</v>
      </c>
      <c r="G17" s="22">
        <f>E17*F17</f>
        <v>11.304</v>
      </c>
      <c r="H17" s="22">
        <f t="shared" si="2"/>
        <v>0</v>
      </c>
      <c r="I17" s="23">
        <f t="shared" si="0"/>
        <v>0</v>
      </c>
      <c r="J17" s="23"/>
      <c r="K17" s="108">
        <f t="shared" si="4"/>
        <v>9.9621541781475545E-2</v>
      </c>
    </row>
    <row r="18" spans="1:11" s="1" customFormat="1" x14ac:dyDescent="0.2">
      <c r="A18" s="61" t="s">
        <v>37</v>
      </c>
      <c r="B18" s="29"/>
      <c r="C18" s="30"/>
      <c r="D18" s="30">
        <f>SUM(D15:D17)</f>
        <v>39.008000000000003</v>
      </c>
      <c r="E18" s="77"/>
      <c r="F18" s="30"/>
      <c r="G18" s="30">
        <f>SUM(G15:G17)</f>
        <v>39.008000000000003</v>
      </c>
      <c r="H18" s="31">
        <f t="shared" si="2"/>
        <v>0</v>
      </c>
      <c r="I18" s="32">
        <f t="shared" si="0"/>
        <v>0</v>
      </c>
      <c r="J18" s="33">
        <f t="shared" ref="J18:J23" si="5">G18/$G$46</f>
        <v>0.35294038025562047</v>
      </c>
      <c r="K18" s="62">
        <f t="shared" si="4"/>
        <v>0.34377539824945136</v>
      </c>
    </row>
    <row r="19" spans="1:11" x14ac:dyDescent="0.2">
      <c r="A19" s="107" t="s">
        <v>38</v>
      </c>
      <c r="B19" s="73">
        <v>1</v>
      </c>
      <c r="C19" s="78">
        <f>VLOOKUP($B$3,'Data for Bill Impacts'!$A$3:$Y$15,7,0)</f>
        <v>47.06</v>
      </c>
      <c r="D19" s="22">
        <f>B19*C19</f>
        <v>47.06</v>
      </c>
      <c r="E19" s="73">
        <f t="shared" ref="E19:E41" si="6">B19</f>
        <v>1</v>
      </c>
      <c r="F19" s="78">
        <f>VLOOKUP($B$3,'Data for Bill Impacts'!$A$3:$Y$15,17,0)</f>
        <v>52.31</v>
      </c>
      <c r="G19" s="22">
        <f>E19*F19</f>
        <v>52.31</v>
      </c>
      <c r="H19" s="22">
        <f t="shared" si="2"/>
        <v>5.25</v>
      </c>
      <c r="I19" s="23">
        <f>IF(ISERROR(H19/ABS(D19)),"N/A",(H19/ABS(D19)))</f>
        <v>0.11155971100722481</v>
      </c>
      <c r="J19" s="23">
        <f t="shared" si="5"/>
        <v>0.47329551095086919</v>
      </c>
      <c r="K19" s="108">
        <f t="shared" si="4"/>
        <v>0.46100520617383106</v>
      </c>
    </row>
    <row r="20" spans="1:11" hidden="1" x14ac:dyDescent="0.2">
      <c r="A20" s="107" t="s">
        <v>83</v>
      </c>
      <c r="B20" s="73">
        <v>1</v>
      </c>
      <c r="C20" s="78">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145</v>
      </c>
      <c r="B21" s="73">
        <v>1</v>
      </c>
      <c r="C21" s="78">
        <v>0</v>
      </c>
      <c r="D21" s="22">
        <f t="shared" ref="D21:D22" si="9">B21*C21</f>
        <v>0</v>
      </c>
      <c r="E21" s="73">
        <f t="shared" si="6"/>
        <v>1</v>
      </c>
      <c r="F21" s="121">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Impacts'!$A$3:$Y$15,13,0)</f>
        <v>4.0000000000000001E-3</v>
      </c>
      <c r="D22" s="22">
        <f t="shared" si="9"/>
        <v>4.0000000000000001E-3</v>
      </c>
      <c r="E22" s="73">
        <f t="shared" si="6"/>
        <v>1</v>
      </c>
      <c r="F22" s="121">
        <f>VLOOKUP($B$3,'Data for Bill Impacts'!$A$3:$Y$15,22,0)</f>
        <v>4.0000000000000001E-3</v>
      </c>
      <c r="G22" s="22">
        <f t="shared" si="7"/>
        <v>4.0000000000000001E-3</v>
      </c>
      <c r="H22" s="22">
        <f t="shared" si="2"/>
        <v>0</v>
      </c>
      <c r="I22" s="23">
        <f t="shared" ref="I22:I51" si="10">IF(ISERROR(H22/ABS(D22)),"N/A",(H22/ABS(D22)))</f>
        <v>0</v>
      </c>
      <c r="J22" s="23">
        <f t="shared" si="5"/>
        <v>3.6191589443767477E-5</v>
      </c>
      <c r="K22" s="108">
        <f t="shared" si="4"/>
        <v>3.5251784069878114E-5</v>
      </c>
    </row>
    <row r="23" spans="1:11" x14ac:dyDescent="0.2">
      <c r="A23" s="107" t="s">
        <v>39</v>
      </c>
      <c r="B23" s="73">
        <f>IF($B$9="kWh",$B$4,$B$5)</f>
        <v>400</v>
      </c>
      <c r="C23" s="125">
        <f>VLOOKUP($B$3,'Data for Bill Impacts'!$A$3:$Y$15,10,0)</f>
        <v>1.6E-2</v>
      </c>
      <c r="D23" s="22">
        <f>B23*C23</f>
        <v>6.4</v>
      </c>
      <c r="E23" s="73">
        <f t="shared" si="6"/>
        <v>400</v>
      </c>
      <c r="F23" s="125">
        <f>VLOOKUP($B$3,'Data for Bill Impacts'!$A$3:$Y$15,19,0)</f>
        <v>1.1599999999999999E-2</v>
      </c>
      <c r="G23" s="22">
        <f>E23*F23</f>
        <v>4.6399999999999997</v>
      </c>
      <c r="H23" s="22">
        <f t="shared" si="2"/>
        <v>-1.7600000000000007</v>
      </c>
      <c r="I23" s="23">
        <f t="shared" si="10"/>
        <v>-0.27500000000000008</v>
      </c>
      <c r="J23" s="23">
        <f t="shared" si="5"/>
        <v>4.198224375477027E-2</v>
      </c>
      <c r="K23" s="108">
        <f t="shared" si="4"/>
        <v>4.0892069521058609E-2</v>
      </c>
    </row>
    <row r="24" spans="1:11" x14ac:dyDescent="0.2">
      <c r="A24" s="107" t="s">
        <v>199</v>
      </c>
      <c r="B24" s="73">
        <f>IF($B$9="kWh",$B$4,$B$5)</f>
        <v>400</v>
      </c>
      <c r="C24" s="125">
        <f>VLOOKUP($B$3,'Data for Bill Impacts'!$A$3:$Y$15,14,0)</f>
        <v>2.0000000000000002E-5</v>
      </c>
      <c r="D24" s="22">
        <f>B24*C24</f>
        <v>8.0000000000000002E-3</v>
      </c>
      <c r="E24" s="73">
        <f t="shared" si="6"/>
        <v>400</v>
      </c>
      <c r="F24" s="125">
        <f>VLOOKUP($B$3,'Data for Bill Impacts'!$A$3:$Y$15,23,0)</f>
        <v>2.0000000000000002E-5</v>
      </c>
      <c r="G24" s="22">
        <f>E24*F24</f>
        <v>8.0000000000000002E-3</v>
      </c>
      <c r="H24" s="22">
        <f t="shared" si="2"/>
        <v>0</v>
      </c>
      <c r="I24" s="23">
        <f t="shared" si="10"/>
        <v>0</v>
      </c>
      <c r="J24" s="23">
        <f t="shared" ref="J24" si="11">G24/$G$46</f>
        <v>7.2383178887534954E-5</v>
      </c>
      <c r="K24" s="108">
        <f t="shared" si="4"/>
        <v>7.0503568139756228E-5</v>
      </c>
    </row>
    <row r="25" spans="1:11" s="1" customFormat="1" x14ac:dyDescent="0.2">
      <c r="A25" s="110" t="s">
        <v>72</v>
      </c>
      <c r="B25" s="74"/>
      <c r="C25" s="35"/>
      <c r="D25" s="35">
        <f>SUM(D19:D24)</f>
        <v>53.472000000000001</v>
      </c>
      <c r="E25" s="73"/>
      <c r="F25" s="35"/>
      <c r="G25" s="35">
        <f>SUM(G19:G24)</f>
        <v>56.962000000000003</v>
      </c>
      <c r="H25" s="35">
        <f t="shared" si="2"/>
        <v>3.490000000000002</v>
      </c>
      <c r="I25" s="36">
        <f t="shared" si="10"/>
        <v>6.5267803710353123E-2</v>
      </c>
      <c r="J25" s="36">
        <f>G25/$G$46</f>
        <v>0.51538632947397078</v>
      </c>
      <c r="K25" s="111">
        <f t="shared" si="4"/>
        <v>0.50200303104709931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2"/>
        <v>0</v>
      </c>
      <c r="I26" s="23">
        <f t="shared" si="10"/>
        <v>0</v>
      </c>
      <c r="J26" s="23">
        <f>G26/$G$46</f>
        <v>7.1478389151440769E-3</v>
      </c>
      <c r="K26" s="108">
        <f t="shared" si="4"/>
        <v>6.9622273538009274E-3</v>
      </c>
    </row>
    <row r="27" spans="1:11" s="1" customFormat="1" x14ac:dyDescent="0.2">
      <c r="A27" s="119" t="s">
        <v>75</v>
      </c>
      <c r="B27" s="120">
        <f>B8-B4</f>
        <v>30.400000000000034</v>
      </c>
      <c r="C27" s="257">
        <f>IF(B4&gt;B7,C13,C12)</f>
        <v>9.0999999999999998E-2</v>
      </c>
      <c r="D27" s="22">
        <f>B27*C27</f>
        <v>2.7664000000000031</v>
      </c>
      <c r="E27" s="73">
        <f>B27</f>
        <v>30.400000000000034</v>
      </c>
      <c r="F27" s="257">
        <f>C27</f>
        <v>9.0999999999999998E-2</v>
      </c>
      <c r="G27" s="22">
        <f>E27*F27</f>
        <v>2.7664000000000031</v>
      </c>
      <c r="H27" s="22">
        <f t="shared" si="2"/>
        <v>0</v>
      </c>
      <c r="I27" s="23">
        <f t="shared" si="10"/>
        <v>0</v>
      </c>
      <c r="J27" s="23">
        <f t="shared" ref="J27:J46" si="12">G27/$G$46</f>
        <v>2.5030103259309617E-2</v>
      </c>
      <c r="K27" s="108">
        <f t="shared" ref="K27:K41" si="13">G27/$G$51</f>
        <v>2.4380133862727731E-2</v>
      </c>
    </row>
    <row r="28" spans="1:11" s="1" customFormat="1" x14ac:dyDescent="0.2">
      <c r="A28" s="119" t="s">
        <v>74</v>
      </c>
      <c r="B28" s="120">
        <f>B8-B4</f>
        <v>30.400000000000034</v>
      </c>
      <c r="C28" s="257">
        <f>0.65*C15+0.17*C16+0.18*C17</f>
        <v>9.7519999999999996E-2</v>
      </c>
      <c r="D28" s="22">
        <f>B28*C28</f>
        <v>2.9646080000000032</v>
      </c>
      <c r="E28" s="73">
        <f>B28</f>
        <v>30.400000000000034</v>
      </c>
      <c r="F28" s="257">
        <f>C28</f>
        <v>9.7519999999999996E-2</v>
      </c>
      <c r="G28" s="22">
        <f>E28*F28</f>
        <v>2.9646080000000032</v>
      </c>
      <c r="H28" s="22">
        <f t="shared" si="2"/>
        <v>0</v>
      </c>
      <c r="I28" s="23">
        <f t="shared" si="10"/>
        <v>0</v>
      </c>
      <c r="J28" s="23">
        <f t="shared" si="12"/>
        <v>2.6823468899427182E-2</v>
      </c>
      <c r="K28" s="108">
        <f t="shared" si="13"/>
        <v>2.6126930266958334E-2</v>
      </c>
    </row>
    <row r="29" spans="1:11" s="1" customFormat="1" x14ac:dyDescent="0.2">
      <c r="A29" s="110" t="s">
        <v>78</v>
      </c>
      <c r="B29" s="74"/>
      <c r="C29" s="35"/>
      <c r="D29" s="35">
        <f>SUM(D25,D26:D27)</f>
        <v>57.028400000000005</v>
      </c>
      <c r="E29" s="73"/>
      <c r="F29" s="35"/>
      <c r="G29" s="35">
        <f>SUM(G25,G26:G27)</f>
        <v>60.518400000000007</v>
      </c>
      <c r="H29" s="35">
        <f t="shared" si="2"/>
        <v>3.490000000000002</v>
      </c>
      <c r="I29" s="36">
        <f t="shared" si="10"/>
        <v>6.1197578750236757E-2</v>
      </c>
      <c r="J29" s="36">
        <f t="shared" si="12"/>
        <v>0.54756427164842447</v>
      </c>
      <c r="K29" s="111">
        <f t="shared" si="13"/>
        <v>0.53334539226362798</v>
      </c>
    </row>
    <row r="30" spans="1:11" s="1" customFormat="1" x14ac:dyDescent="0.2">
      <c r="A30" s="110" t="s">
        <v>77</v>
      </c>
      <c r="B30" s="74"/>
      <c r="C30" s="35"/>
      <c r="D30" s="35">
        <f>SUM(D25,D26,D28)</f>
        <v>57.226608000000006</v>
      </c>
      <c r="E30" s="73"/>
      <c r="F30" s="35"/>
      <c r="G30" s="35">
        <f>SUM(G25,G26,G28)</f>
        <v>60.716608000000008</v>
      </c>
      <c r="H30" s="35">
        <f t="shared" si="2"/>
        <v>3.490000000000002</v>
      </c>
      <c r="I30" s="36">
        <f t="shared" si="10"/>
        <v>6.098561704024117E-2</v>
      </c>
      <c r="J30" s="36">
        <f t="shared" si="12"/>
        <v>0.54935763728854203</v>
      </c>
      <c r="K30" s="111">
        <f t="shared" si="13"/>
        <v>0.53509218866785857</v>
      </c>
    </row>
    <row r="31" spans="1:11" x14ac:dyDescent="0.2">
      <c r="A31" s="107" t="s">
        <v>40</v>
      </c>
      <c r="B31" s="73">
        <f>B8</f>
        <v>430.40000000000003</v>
      </c>
      <c r="C31" s="125">
        <f>VLOOKUP($B$3,'Data for Bill Impacts'!$A$3:$Y$15,15,0)</f>
        <v>7.2069999999999999E-3</v>
      </c>
      <c r="D31" s="22">
        <f>B31*C31</f>
        <v>3.1018928000000003</v>
      </c>
      <c r="E31" s="73">
        <f t="shared" si="6"/>
        <v>430.40000000000003</v>
      </c>
      <c r="F31" s="78">
        <f>VLOOKUP($B$3,'Data for Bill Impacts'!$A$3:$Y$15,24,0)</f>
        <v>7.1999999999999998E-3</v>
      </c>
      <c r="G31" s="22">
        <f>E31*F31</f>
        <v>3.0988800000000003</v>
      </c>
      <c r="H31" s="22">
        <f t="shared" si="2"/>
        <v>-3.0128000000000377E-3</v>
      </c>
      <c r="I31" s="23">
        <f t="shared" si="10"/>
        <v>-9.71277924240334E-4</v>
      </c>
      <c r="J31" s="23">
        <f t="shared" si="12"/>
        <v>2.8038348173875544E-2</v>
      </c>
      <c r="K31" s="108">
        <f t="shared" si="13"/>
        <v>2.7310262154615975E-2</v>
      </c>
    </row>
    <row r="32" spans="1:11" x14ac:dyDescent="0.2">
      <c r="A32" s="107" t="s">
        <v>41</v>
      </c>
      <c r="B32" s="73">
        <f>B8</f>
        <v>430.40000000000003</v>
      </c>
      <c r="C32" s="125">
        <f>VLOOKUP($B$3,'Data for Bill Impacts'!$A$3:$Y$15,16,0)</f>
        <v>6.0319999999999992E-3</v>
      </c>
      <c r="D32" s="22">
        <f>B32*C32</f>
        <v>2.5961727999999997</v>
      </c>
      <c r="E32" s="73">
        <f t="shared" si="6"/>
        <v>430.40000000000003</v>
      </c>
      <c r="F32" s="78">
        <f>VLOOKUP($B$3,'Data for Bill Impacts'!$A$3:$Y$15,25,0)</f>
        <v>5.8999999999999999E-3</v>
      </c>
      <c r="G32" s="22">
        <f>E32*F32</f>
        <v>2.5393600000000003</v>
      </c>
      <c r="H32" s="22">
        <f t="shared" si="2"/>
        <v>-5.6812799999999442E-2</v>
      </c>
      <c r="I32" s="23">
        <f t="shared" si="10"/>
        <v>-2.1883289124668224E-2</v>
      </c>
      <c r="J32" s="23">
        <f t="shared" si="12"/>
        <v>2.2975868642481349E-2</v>
      </c>
      <c r="K32" s="108">
        <f t="shared" si="13"/>
        <v>2.2379242598921423E-2</v>
      </c>
    </row>
    <row r="33" spans="1:11" s="1" customFormat="1" x14ac:dyDescent="0.2">
      <c r="A33" s="110" t="s">
        <v>76</v>
      </c>
      <c r="B33" s="74"/>
      <c r="C33" s="35"/>
      <c r="D33" s="35">
        <f>SUM(D31:D32)</f>
        <v>5.6980655999999996</v>
      </c>
      <c r="E33" s="73"/>
      <c r="F33" s="35"/>
      <c r="G33" s="35">
        <f>SUM(G31:G32)</f>
        <v>5.6382400000000006</v>
      </c>
      <c r="H33" s="35">
        <f t="shared" si="2"/>
        <v>-5.9825599999999035E-2</v>
      </c>
      <c r="I33" s="36">
        <f t="shared" si="10"/>
        <v>-1.0499282423143573E-2</v>
      </c>
      <c r="J33" s="36">
        <f t="shared" si="12"/>
        <v>5.1014216816356893E-2</v>
      </c>
      <c r="K33" s="111">
        <f t="shared" si="13"/>
        <v>4.9689504753537402E-2</v>
      </c>
    </row>
    <row r="34" spans="1:11" s="1" customFormat="1" x14ac:dyDescent="0.2">
      <c r="A34" s="110" t="s">
        <v>95</v>
      </c>
      <c r="B34" s="74"/>
      <c r="C34" s="35"/>
      <c r="D34" s="35">
        <f>D29+D33</f>
        <v>62.726465600000004</v>
      </c>
      <c r="E34" s="73"/>
      <c r="F34" s="35"/>
      <c r="G34" s="35">
        <f>G29+G33</f>
        <v>66.15664000000001</v>
      </c>
      <c r="H34" s="35">
        <f t="shared" si="2"/>
        <v>3.4301744000000056</v>
      </c>
      <c r="I34" s="36">
        <f t="shared" si="10"/>
        <v>5.4684643350924038E-2</v>
      </c>
      <c r="J34" s="36">
        <f t="shared" si="12"/>
        <v>0.59857848846478146</v>
      </c>
      <c r="K34" s="111">
        <f t="shared" si="13"/>
        <v>0.58303489701716538</v>
      </c>
    </row>
    <row r="35" spans="1:11" s="1" customFormat="1" x14ac:dyDescent="0.2">
      <c r="A35" s="110" t="s">
        <v>96</v>
      </c>
      <c r="B35" s="74"/>
      <c r="C35" s="35"/>
      <c r="D35" s="35">
        <f>D30+D33</f>
        <v>62.924673600000006</v>
      </c>
      <c r="E35" s="73"/>
      <c r="F35" s="35"/>
      <c r="G35" s="35">
        <f>G30+G33</f>
        <v>66.354848000000004</v>
      </c>
      <c r="H35" s="35">
        <f t="shared" si="2"/>
        <v>3.4301743999999985</v>
      </c>
      <c r="I35" s="36">
        <f t="shared" si="10"/>
        <v>5.4512390827880244E-2</v>
      </c>
      <c r="J35" s="36">
        <f t="shared" si="12"/>
        <v>0.60037185410489891</v>
      </c>
      <c r="K35" s="111">
        <f t="shared" si="13"/>
        <v>0.58478169342139596</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2"/>
        <v>0</v>
      </c>
      <c r="I36" s="23">
        <f t="shared" si="10"/>
        <v>0</v>
      </c>
      <c r="J36" s="23">
        <f t="shared" si="12"/>
        <v>1.4019174086937772E-2</v>
      </c>
      <c r="K36" s="108">
        <f t="shared" si="13"/>
        <v>1.3655131077307987E-2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10"/>
        <v>0</v>
      </c>
      <c r="J37" s="23">
        <f t="shared" si="12"/>
        <v>8.1778515507136985E-3</v>
      </c>
      <c r="K37" s="108">
        <f t="shared" si="13"/>
        <v>7.9654931284296581E-3</v>
      </c>
    </row>
    <row r="38" spans="1:11" x14ac:dyDescent="0.2">
      <c r="A38" s="107" t="s">
        <v>100</v>
      </c>
      <c r="B38" s="73">
        <f>B8</f>
        <v>430.40000000000003</v>
      </c>
      <c r="C38" s="34">
        <v>0</v>
      </c>
      <c r="D38" s="22">
        <f>B38*C38</f>
        <v>0</v>
      </c>
      <c r="E38" s="73">
        <f t="shared" si="6"/>
        <v>430.40000000000003</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2.2619743402354673E-3</v>
      </c>
      <c r="K39" s="108">
        <f t="shared" si="13"/>
        <v>2.203236504367382E-3</v>
      </c>
    </row>
    <row r="40" spans="1:11" s="1" customFormat="1" x14ac:dyDescent="0.2">
      <c r="A40" s="110" t="s">
        <v>45</v>
      </c>
      <c r="B40" s="74"/>
      <c r="C40" s="35"/>
      <c r="D40" s="35">
        <f>SUM(D36:D39)</f>
        <v>2.7032800000000003</v>
      </c>
      <c r="E40" s="73"/>
      <c r="F40" s="35"/>
      <c r="G40" s="35">
        <f>SUM(G36:G39)</f>
        <v>2.7032800000000003</v>
      </c>
      <c r="H40" s="35">
        <f t="shared" si="2"/>
        <v>0</v>
      </c>
      <c r="I40" s="36">
        <f t="shared" si="10"/>
        <v>0</v>
      </c>
      <c r="J40" s="36">
        <f t="shared" si="12"/>
        <v>2.445899997788694E-2</v>
      </c>
      <c r="K40" s="111">
        <f t="shared" si="13"/>
        <v>2.3823860710105029E-2</v>
      </c>
    </row>
    <row r="41" spans="1:11" s="1" customFormat="1" ht="13.5" thickBot="1" x14ac:dyDescent="0.25">
      <c r="A41" s="112" t="s">
        <v>46</v>
      </c>
      <c r="B41" s="113">
        <f>B4</f>
        <v>400</v>
      </c>
      <c r="C41" s="114">
        <v>0</v>
      </c>
      <c r="D41" s="115">
        <f>B41*C41</f>
        <v>0</v>
      </c>
      <c r="E41" s="116">
        <f t="shared" si="6"/>
        <v>400</v>
      </c>
      <c r="F41" s="114">
        <f>C41</f>
        <v>0</v>
      </c>
      <c r="G41" s="115">
        <f>E41*F41</f>
        <v>0</v>
      </c>
      <c r="H41" s="115">
        <f t="shared" si="2"/>
        <v>0</v>
      </c>
      <c r="I41" s="117" t="str">
        <f t="shared" si="10"/>
        <v>N/A</v>
      </c>
      <c r="J41" s="117">
        <f t="shared" si="12"/>
        <v>0</v>
      </c>
      <c r="K41" s="118">
        <f t="shared" si="13"/>
        <v>0</v>
      </c>
    </row>
    <row r="42" spans="1:11" s="1" customFormat="1" x14ac:dyDescent="0.2">
      <c r="A42" s="37" t="s">
        <v>137</v>
      </c>
      <c r="B42" s="38"/>
      <c r="C42" s="39"/>
      <c r="D42" s="39">
        <f>SUM(D14,D25,D26,D27,D33,D40,D41)</f>
        <v>101.82974560000002</v>
      </c>
      <c r="E42" s="38"/>
      <c r="F42" s="39"/>
      <c r="G42" s="39">
        <f>SUM(G14,G25,G26,G27,G33,G40,G41)</f>
        <v>105.25992000000001</v>
      </c>
      <c r="H42" s="39">
        <f t="shared" si="2"/>
        <v>3.4301743999999843</v>
      </c>
      <c r="I42" s="40">
        <f t="shared" si="10"/>
        <v>3.3685387111484479E-2</v>
      </c>
      <c r="J42" s="40">
        <f t="shared" si="12"/>
        <v>0.95238095238095233</v>
      </c>
      <c r="K42" s="41"/>
    </row>
    <row r="43" spans="1:11" x14ac:dyDescent="0.2">
      <c r="A43" s="149" t="s">
        <v>138</v>
      </c>
      <c r="B43" s="43"/>
      <c r="C43" s="26">
        <v>0.13</v>
      </c>
      <c r="D43" s="26">
        <f>D42*C43</f>
        <v>13.237866928000004</v>
      </c>
      <c r="E43" s="26"/>
      <c r="F43" s="26">
        <f>C43</f>
        <v>0.13</v>
      </c>
      <c r="G43" s="26">
        <f>G42*F43</f>
        <v>13.683789600000001</v>
      </c>
      <c r="H43" s="26">
        <f t="shared" si="2"/>
        <v>0.44592267199999647</v>
      </c>
      <c r="I43" s="44">
        <f t="shared" si="10"/>
        <v>3.3685387111484368E-2</v>
      </c>
      <c r="J43" s="44">
        <f t="shared" si="12"/>
        <v>0.1238095238095238</v>
      </c>
      <c r="K43" s="45"/>
    </row>
    <row r="44" spans="1:11" s="1" customFormat="1" x14ac:dyDescent="0.2">
      <c r="A44" s="46" t="s">
        <v>139</v>
      </c>
      <c r="B44" s="24"/>
      <c r="C44" s="25"/>
      <c r="D44" s="25">
        <f>SUM(D42:D43)</f>
        <v>115.06761252800003</v>
      </c>
      <c r="E44" s="25"/>
      <c r="F44" s="25"/>
      <c r="G44" s="25">
        <f>SUM(G42:G43)</f>
        <v>118.94370960000001</v>
      </c>
      <c r="H44" s="25">
        <f t="shared" si="2"/>
        <v>3.876097071999979</v>
      </c>
      <c r="I44" s="27">
        <f t="shared" si="10"/>
        <v>3.3685387111484451E-2</v>
      </c>
      <c r="J44" s="27">
        <f t="shared" si="12"/>
        <v>1.0761904761904761</v>
      </c>
      <c r="K44" s="47"/>
    </row>
    <row r="45" spans="1:11" x14ac:dyDescent="0.2">
      <c r="A45" s="42" t="s">
        <v>140</v>
      </c>
      <c r="B45" s="43"/>
      <c r="C45" s="26">
        <v>-0.08</v>
      </c>
      <c r="D45" s="26">
        <f>D42*C45</f>
        <v>-8.1463796480000017</v>
      </c>
      <c r="E45" s="26"/>
      <c r="F45" s="26">
        <f>C45</f>
        <v>-0.08</v>
      </c>
      <c r="G45" s="26">
        <f>G42*F45</f>
        <v>-8.4207936000000014</v>
      </c>
      <c r="H45" s="26">
        <f t="shared" si="2"/>
        <v>-0.27441395199999974</v>
      </c>
      <c r="I45" s="44">
        <f t="shared" si="10"/>
        <v>-3.3685387111484603E-2</v>
      </c>
      <c r="J45" s="44">
        <f t="shared" si="12"/>
        <v>-7.6190476190476197E-2</v>
      </c>
      <c r="K45" s="45"/>
    </row>
    <row r="46" spans="1:11" s="1" customFormat="1" ht="13.5" thickBot="1" x14ac:dyDescent="0.25">
      <c r="A46" s="48" t="s">
        <v>141</v>
      </c>
      <c r="B46" s="49"/>
      <c r="C46" s="50"/>
      <c r="D46" s="50">
        <f>SUM(D44:D45)</f>
        <v>106.92123288000002</v>
      </c>
      <c r="E46" s="50"/>
      <c r="F46" s="50"/>
      <c r="G46" s="50">
        <f>SUM(G44:G45)</f>
        <v>110.52291600000001</v>
      </c>
      <c r="H46" s="50">
        <f t="shared" si="2"/>
        <v>3.6016831199999899</v>
      </c>
      <c r="I46" s="51">
        <f t="shared" si="10"/>
        <v>3.3685387111484541E-2</v>
      </c>
      <c r="J46" s="51">
        <f t="shared" si="12"/>
        <v>1</v>
      </c>
      <c r="K46" s="52"/>
    </row>
    <row r="47" spans="1:11" x14ac:dyDescent="0.2">
      <c r="A47" s="53" t="s">
        <v>142</v>
      </c>
      <c r="B47" s="54"/>
      <c r="C47" s="55"/>
      <c r="D47" s="55">
        <f>SUM(D18,D25,D26,D28,D33,D40,D41)</f>
        <v>104.63595360000002</v>
      </c>
      <c r="E47" s="55"/>
      <c r="F47" s="55"/>
      <c r="G47" s="55">
        <f>SUM(G18,G25,G26,G28,G33,G40,G41)</f>
        <v>108.06612800000001</v>
      </c>
      <c r="H47" s="55">
        <f>G47-D47</f>
        <v>3.4301743999999843</v>
      </c>
      <c r="I47" s="56">
        <f t="shared" si="10"/>
        <v>3.2781986324822709E-2</v>
      </c>
      <c r="J47" s="56"/>
      <c r="K47" s="57">
        <f>G47/$G$51</f>
        <v>0.95238095238095233</v>
      </c>
    </row>
    <row r="48" spans="1:11" x14ac:dyDescent="0.2">
      <c r="A48" s="150" t="s">
        <v>138</v>
      </c>
      <c r="B48" s="59"/>
      <c r="C48" s="31">
        <v>0.13</v>
      </c>
      <c r="D48" s="31">
        <f>D47*C48</f>
        <v>13.602673968000003</v>
      </c>
      <c r="E48" s="31"/>
      <c r="F48" s="31">
        <f>C48</f>
        <v>0.13</v>
      </c>
      <c r="G48" s="31">
        <f>G47*F48</f>
        <v>14.048596640000001</v>
      </c>
      <c r="H48" s="31">
        <f>G48-D48</f>
        <v>0.44592267199999824</v>
      </c>
      <c r="I48" s="32">
        <f t="shared" si="10"/>
        <v>3.278198632482273E-2</v>
      </c>
      <c r="J48" s="32"/>
      <c r="K48" s="60">
        <f>G48/$G$51</f>
        <v>0.12380952380952381</v>
      </c>
    </row>
    <row r="49" spans="1:11" x14ac:dyDescent="0.2">
      <c r="A49" s="61" t="s">
        <v>143</v>
      </c>
      <c r="B49" s="29"/>
      <c r="C49" s="30"/>
      <c r="D49" s="30">
        <f>SUM(D47:D48)</f>
        <v>118.23862756800003</v>
      </c>
      <c r="E49" s="30"/>
      <c r="F49" s="30"/>
      <c r="G49" s="30">
        <f>SUM(G47:G48)</f>
        <v>122.11472464000001</v>
      </c>
      <c r="H49" s="30">
        <f>G49-D49</f>
        <v>3.876097071999979</v>
      </c>
      <c r="I49" s="33">
        <f t="shared" si="10"/>
        <v>3.2781986324822682E-2</v>
      </c>
      <c r="J49" s="33"/>
      <c r="K49" s="62">
        <f>G49/$G$51</f>
        <v>1.0761904761904761</v>
      </c>
    </row>
    <row r="50" spans="1:11" x14ac:dyDescent="0.2">
      <c r="A50" s="58" t="s">
        <v>140</v>
      </c>
      <c r="B50" s="59"/>
      <c r="C50" s="31">
        <v>-0.08</v>
      </c>
      <c r="D50" s="31">
        <f>D47*C50</f>
        <v>-8.3708762880000016</v>
      </c>
      <c r="E50" s="31"/>
      <c r="F50" s="31">
        <f>C50</f>
        <v>-0.08</v>
      </c>
      <c r="G50" s="31">
        <f>G47*F50</f>
        <v>-8.6452902400000013</v>
      </c>
      <c r="H50" s="31">
        <f>G50-D50</f>
        <v>-0.27441395199999974</v>
      </c>
      <c r="I50" s="32">
        <f t="shared" si="10"/>
        <v>-3.2781986324822827E-2</v>
      </c>
      <c r="J50" s="32"/>
      <c r="K50" s="60">
        <f>G50/$G$51</f>
        <v>-7.6190476190476197E-2</v>
      </c>
    </row>
    <row r="51" spans="1:11" ht="13.5" thickBot="1" x14ac:dyDescent="0.25">
      <c r="A51" s="63" t="s">
        <v>144</v>
      </c>
      <c r="B51" s="64"/>
      <c r="C51" s="65"/>
      <c r="D51" s="65">
        <f>SUM(D49:D50)</f>
        <v>109.86775128000002</v>
      </c>
      <c r="E51" s="65"/>
      <c r="F51" s="65"/>
      <c r="G51" s="65">
        <f>SUM(G49:G50)</f>
        <v>113.46943440000001</v>
      </c>
      <c r="H51" s="65">
        <f>G51-D51</f>
        <v>3.6016831199999899</v>
      </c>
      <c r="I51" s="66">
        <f t="shared" si="10"/>
        <v>3.2781986324822765E-2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fitToPage="1"/>
  </sheetPr>
  <dimension ref="A1:K50"/>
  <sheetViews>
    <sheetView tabSelected="1" zoomScaleNormal="100" workbookViewId="0">
      <selection activeCell="N7" sqref="N7"/>
    </sheetView>
  </sheetViews>
  <sheetFormatPr defaultRowHeight="12.75" x14ac:dyDescent="0.2"/>
  <cols>
    <col min="1" max="1" width="64.7109375" bestFit="1" customWidth="1"/>
    <col min="2" max="2" width="15.5703125" bestFit="1" customWidth="1"/>
    <col min="3" max="3" width="16.5703125" customWidth="1"/>
    <col min="4" max="4" width="15" customWidth="1"/>
    <col min="5" max="5" width="10.42578125" customWidth="1"/>
    <col min="6" max="6" width="10.140625" customWidth="1"/>
    <col min="7" max="7" width="12.28515625" customWidth="1"/>
    <col min="8" max="8" width="13.42578125"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37" t="s">
        <v>112</v>
      </c>
      <c r="B1" s="338"/>
      <c r="C1" s="338"/>
      <c r="D1" s="338"/>
      <c r="E1" s="338"/>
      <c r="F1" s="338"/>
      <c r="G1" s="338"/>
      <c r="H1" s="338"/>
      <c r="I1" s="338"/>
      <c r="J1" s="339"/>
      <c r="K1" s="128"/>
    </row>
    <row r="3" spans="1:11" x14ac:dyDescent="0.2">
      <c r="A3" s="13" t="s">
        <v>13</v>
      </c>
      <c r="B3" s="13" t="s">
        <v>8</v>
      </c>
      <c r="C3" s="13" t="s">
        <v>122</v>
      </c>
    </row>
    <row r="4" spans="1:11" x14ac:dyDescent="0.2">
      <c r="A4" s="15" t="s">
        <v>62</v>
      </c>
      <c r="B4" s="79">
        <f>C4</f>
        <v>105611.58783602084</v>
      </c>
      <c r="C4" s="79">
        <f>'Data for Bill Impacts_HONI Avg '!C48</f>
        <v>105611.58783602084</v>
      </c>
    </row>
    <row r="5" spans="1:11" x14ac:dyDescent="0.2">
      <c r="A5" s="15" t="s">
        <v>16</v>
      </c>
      <c r="B5" s="15"/>
      <c r="C5" s="181">
        <f>'Data for Bill Impacts_HONI Avg '!B48</f>
        <v>274.09386280146123</v>
      </c>
    </row>
    <row r="6" spans="1:11" x14ac:dyDescent="0.2">
      <c r="A6" s="15" t="s">
        <v>20</v>
      </c>
      <c r="B6" s="15">
        <f>VLOOKUP($B$3,'Data for Bill Impacts'!$A$3:$Y$39,2,0)</f>
        <v>1.0920000000000001</v>
      </c>
      <c r="C6" s="15">
        <f>'Data for Bill Impacts'!B33</f>
        <v>1.0654999999999999</v>
      </c>
    </row>
    <row r="7" spans="1:11" x14ac:dyDescent="0.2">
      <c r="A7" s="15" t="s">
        <v>15</v>
      </c>
      <c r="B7" s="15">
        <f>VLOOKUP($B$3,'Data for Bill Impacts'!$A$3:$Y$39,4,0)</f>
        <v>750</v>
      </c>
      <c r="C7" s="15">
        <f>VLOOKUP($C$3,'Data for Bill Impacts'!$A$3:$Y$39,4,0)</f>
        <v>750</v>
      </c>
    </row>
    <row r="8" spans="1:11" x14ac:dyDescent="0.2">
      <c r="A8" s="15" t="s">
        <v>82</v>
      </c>
      <c r="B8" s="181">
        <f>B4*B6</f>
        <v>115327.85391693476</v>
      </c>
      <c r="C8" s="181">
        <f>C4*C6</f>
        <v>112529.14683928021</v>
      </c>
    </row>
    <row r="9" spans="1:11" x14ac:dyDescent="0.2">
      <c r="A9" s="15" t="s">
        <v>21</v>
      </c>
      <c r="B9" s="16" t="str">
        <f>VLOOKUP($B$3,'Data for Bill Impacts'!$A$3:$Y$39,6,0)</f>
        <v>kWh</v>
      </c>
      <c r="C9" s="16" t="str">
        <f>'Data for Bill Impacts'!F33</f>
        <v>kW</v>
      </c>
    </row>
    <row r="10" spans="1:11" ht="13.5" thickBot="1" x14ac:dyDescent="0.25"/>
    <row r="11" spans="1:11" s="20" customFormat="1" ht="40.5" customHeight="1"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IF(C4&gt;C7,C7,C4)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39" si="1">G12/$G$39</f>
        <v>2.5228661123443512E-3</v>
      </c>
    </row>
    <row r="13" spans="1:11" x14ac:dyDescent="0.2">
      <c r="A13" s="107" t="s">
        <v>32</v>
      </c>
      <c r="B13" s="73">
        <f>IF(B4&gt;B7,(B4)-B7,0)</f>
        <v>104861.58783602084</v>
      </c>
      <c r="C13" s="21">
        <v>0.106</v>
      </c>
      <c r="D13" s="22">
        <f>B13*C13</f>
        <v>11115.32831061821</v>
      </c>
      <c r="E13" s="73">
        <f t="shared" ref="E13:E34" si="2">B13</f>
        <v>104861.58783602084</v>
      </c>
      <c r="F13" s="21">
        <f>C13</f>
        <v>0.106</v>
      </c>
      <c r="G13" s="22">
        <f>E13*F13</f>
        <v>11115.32831061821</v>
      </c>
      <c r="H13" s="22">
        <f t="shared" ref="H13:H39" si="3">G13-D13</f>
        <v>0</v>
      </c>
      <c r="I13" s="23">
        <f t="shared" si="0"/>
        <v>0</v>
      </c>
      <c r="J13" s="124">
        <f t="shared" si="1"/>
        <v>0.41087890289290063</v>
      </c>
    </row>
    <row r="14" spans="1:11" s="1" customFormat="1" x14ac:dyDescent="0.2">
      <c r="A14" s="46" t="s">
        <v>33</v>
      </c>
      <c r="B14" s="24"/>
      <c r="C14" s="25"/>
      <c r="D14" s="25">
        <f>SUM(D12:D13)</f>
        <v>11183.57831061821</v>
      </c>
      <c r="E14" s="76"/>
      <c r="F14" s="25"/>
      <c r="G14" s="25">
        <f>SUM(G12:G13)</f>
        <v>11183.57831061821</v>
      </c>
      <c r="H14" s="25">
        <f t="shared" si="3"/>
        <v>0</v>
      </c>
      <c r="I14" s="27">
        <f t="shared" si="0"/>
        <v>0</v>
      </c>
      <c r="J14" s="47">
        <f t="shared" si="1"/>
        <v>0.413401769005245</v>
      </c>
    </row>
    <row r="15" spans="1:11" x14ac:dyDescent="0.2">
      <c r="A15" s="107" t="s">
        <v>38</v>
      </c>
      <c r="B15" s="73">
        <f>'Data for Bill Impacts_HONI Avg '!B86</f>
        <v>1847</v>
      </c>
      <c r="C15" s="121">
        <f>VLOOKUP($C$3,'Data for Bill Impacts'!$A$3:$Y$39,7,0)</f>
        <v>5.7</v>
      </c>
      <c r="D15" s="22">
        <f>B15*C15</f>
        <v>10527.9</v>
      </c>
      <c r="E15" s="73">
        <v>1</v>
      </c>
      <c r="F15" s="78">
        <f>VLOOKUP($B$3,'Data for Bill Impacts'!$A$3:$Y$39,17,0)</f>
        <v>4.7699999999999996</v>
      </c>
      <c r="G15" s="22">
        <f>E15*F15</f>
        <v>4.7699999999999996</v>
      </c>
      <c r="H15" s="22">
        <f t="shared" si="3"/>
        <v>-10523.13</v>
      </c>
      <c r="I15" s="23">
        <f t="shared" si="0"/>
        <v>-0.99954691818881258</v>
      </c>
      <c r="J15" s="124">
        <f t="shared" si="1"/>
        <v>1.7632338982978102E-4</v>
      </c>
    </row>
    <row r="16" spans="1:11" x14ac:dyDescent="0.2">
      <c r="A16" s="107" t="s">
        <v>193</v>
      </c>
      <c r="B16" s="73">
        <f>B15</f>
        <v>1847</v>
      </c>
      <c r="C16" s="121">
        <f>'Data for Bill Impacts'!K33</f>
        <v>-0.06</v>
      </c>
      <c r="D16" s="22">
        <f>B16*C16</f>
        <v>-110.82</v>
      </c>
      <c r="E16" s="73">
        <f>E15</f>
        <v>1</v>
      </c>
      <c r="F16" s="121">
        <v>0</v>
      </c>
      <c r="G16" s="22">
        <f t="shared" ref="G16:G17" si="4">E16*F16</f>
        <v>0</v>
      </c>
      <c r="H16" s="22">
        <f t="shared" si="3"/>
        <v>110.82</v>
      </c>
      <c r="I16" s="23">
        <f t="shared" si="0"/>
        <v>1</v>
      </c>
      <c r="J16" s="124">
        <f t="shared" si="1"/>
        <v>0</v>
      </c>
    </row>
    <row r="17" spans="1:10" x14ac:dyDescent="0.2">
      <c r="A17" s="107" t="s">
        <v>85</v>
      </c>
      <c r="B17" s="73">
        <f>B15</f>
        <v>1847</v>
      </c>
      <c r="C17" s="121">
        <f>VLOOKUP($C$3,'Data for Bill Impacts'!$A$3:$Y$39,13,0)</f>
        <v>0</v>
      </c>
      <c r="D17" s="22">
        <f t="shared" ref="D17:D20" si="5">B17*C17</f>
        <v>0</v>
      </c>
      <c r="E17" s="73">
        <f>E15</f>
        <v>1</v>
      </c>
      <c r="F17" s="121">
        <f>VLOOKUP($B$3,'Data for Bill Impacts'!$A$3:$Y$39,22,0)</f>
        <v>7.0000000000000001E-3</v>
      </c>
      <c r="G17" s="22">
        <f t="shared" si="4"/>
        <v>7.0000000000000001E-3</v>
      </c>
      <c r="H17" s="22">
        <f t="shared" si="3"/>
        <v>7.0000000000000001E-3</v>
      </c>
      <c r="I17" s="23" t="str">
        <f t="shared" si="0"/>
        <v>N/A</v>
      </c>
      <c r="J17" s="124">
        <f t="shared" si="1"/>
        <v>2.5875549870198475E-7</v>
      </c>
    </row>
    <row r="18" spans="1:10" x14ac:dyDescent="0.2">
      <c r="A18" s="107" t="s">
        <v>39</v>
      </c>
      <c r="B18" s="73">
        <f>C5</f>
        <v>274.09386280146123</v>
      </c>
      <c r="C18" s="78">
        <f>VLOOKUP($C$3,'Data for Bill Impacts'!$A$3:$Y$39,10,0)</f>
        <v>14.588200000000001</v>
      </c>
      <c r="D18" s="22">
        <f t="shared" si="5"/>
        <v>3998.5360893202769</v>
      </c>
      <c r="E18" s="73">
        <f>IF($B$9="kWh",$B$4,$B$5)</f>
        <v>105611.58783602084</v>
      </c>
      <c r="F18" s="78">
        <f>VLOOKUP($B$3,'Data for Bill Impacts'!$A$3:$Y$39,19,0)</f>
        <v>0.1069</v>
      </c>
      <c r="G18" s="22">
        <f>E18*F18</f>
        <v>11289.878739670628</v>
      </c>
      <c r="H18" s="22">
        <f t="shared" si="3"/>
        <v>7291.3426503503515</v>
      </c>
      <c r="I18" s="23">
        <f t="shared" si="0"/>
        <v>1.8235030239754142</v>
      </c>
      <c r="J18" s="124">
        <f t="shared" si="1"/>
        <v>0.41733117193834407</v>
      </c>
    </row>
    <row r="19" spans="1:10" x14ac:dyDescent="0.2">
      <c r="A19" s="107" t="s">
        <v>194</v>
      </c>
      <c r="B19" s="73">
        <f>C5</f>
        <v>274.09386280146123</v>
      </c>
      <c r="C19" s="125">
        <f>'Data for Bill Impacts'!H33</f>
        <v>0.113</v>
      </c>
      <c r="D19" s="22">
        <f t="shared" si="5"/>
        <v>30.97260649656512</v>
      </c>
      <c r="E19" s="73">
        <f>IF($B$9="kWh",$B$4,$B$5)</f>
        <v>105611.58783602084</v>
      </c>
      <c r="F19" s="125">
        <v>0</v>
      </c>
      <c r="G19" s="22">
        <f>E19*F19</f>
        <v>0</v>
      </c>
      <c r="H19" s="22">
        <f t="shared" ref="H19" si="6">G19-D19</f>
        <v>-30.97260649656512</v>
      </c>
      <c r="I19" s="23">
        <f>IF(ISERROR(H19/ABS(D19)),"N/A",(H19/ABS(D19)))</f>
        <v>-1</v>
      </c>
      <c r="J19" s="124">
        <f t="shared" si="1"/>
        <v>0</v>
      </c>
    </row>
    <row r="20" spans="1:10" x14ac:dyDescent="0.2">
      <c r="A20" s="107" t="s">
        <v>195</v>
      </c>
      <c r="B20" s="73">
        <f>C5</f>
        <v>274.09386280146123</v>
      </c>
      <c r="C20" s="78">
        <f>'Data for Bill Impacts'!L33</f>
        <v>-0.1459</v>
      </c>
      <c r="D20" s="22">
        <f t="shared" si="5"/>
        <v>-39.990294582733192</v>
      </c>
      <c r="E20" s="73">
        <f>IF($B$9="kWh",$B$4,$B$5)</f>
        <v>105611.58783602084</v>
      </c>
      <c r="F20" s="125">
        <v>0</v>
      </c>
      <c r="G20" s="22">
        <f>E20*F20</f>
        <v>0</v>
      </c>
      <c r="H20" s="22">
        <f t="shared" si="3"/>
        <v>39.990294582733192</v>
      </c>
      <c r="I20" s="23">
        <f>IF(ISERROR(H20/D20),0,(H20/D20))</f>
        <v>-1</v>
      </c>
      <c r="J20" s="124">
        <f t="shared" si="1"/>
        <v>0</v>
      </c>
    </row>
    <row r="21" spans="1:10" s="1" customFormat="1" x14ac:dyDescent="0.2">
      <c r="A21" s="107" t="s">
        <v>199</v>
      </c>
      <c r="B21" s="73">
        <f>C5</f>
        <v>274.09386280146123</v>
      </c>
      <c r="C21" s="125">
        <f>VLOOKUP($C$3,'Data for Bill Impacts'!$A$3:$Y$39,14,0)</f>
        <v>0</v>
      </c>
      <c r="D21" s="22">
        <f>B21*C21</f>
        <v>0</v>
      </c>
      <c r="E21" s="73">
        <f>IF($B$9="kWh",$B$4,$B$5)</f>
        <v>105611.58783602084</v>
      </c>
      <c r="F21" s="125">
        <f>VLOOKUP($B$3,'Data for Bill Impacts'!$A$3:$Y$39,23,0)</f>
        <v>-9.9999999999999991E-6</v>
      </c>
      <c r="G21" s="22">
        <f>E21*F21</f>
        <v>-1.0561158783602083</v>
      </c>
      <c r="H21" s="22">
        <f t="shared" si="3"/>
        <v>-1.0561158783602083</v>
      </c>
      <c r="I21" s="23">
        <f>IF(ISERROR(H21/D21),0,(H21/D21))</f>
        <v>0</v>
      </c>
      <c r="J21" s="124">
        <f t="shared" si="1"/>
        <v>-3.9039398684597194E-5</v>
      </c>
    </row>
    <row r="22" spans="1:10" x14ac:dyDescent="0.2">
      <c r="A22" s="110" t="s">
        <v>72</v>
      </c>
      <c r="B22" s="74"/>
      <c r="C22" s="35"/>
      <c r="D22" s="35">
        <f>SUM(D15:D21)</f>
        <v>14406.598401234109</v>
      </c>
      <c r="E22" s="73"/>
      <c r="F22" s="35"/>
      <c r="G22" s="35">
        <f>SUM(G15:G21)</f>
        <v>11293.599623792268</v>
      </c>
      <c r="H22" s="35">
        <f t="shared" si="3"/>
        <v>-3112.9987774418405</v>
      </c>
      <c r="I22" s="36">
        <f t="shared" ref="I22:I39" si="7">IF(ISERROR(H22/ABS(D22)),"N/A",(H22/ABS(D22)))</f>
        <v>-0.21608145731161441</v>
      </c>
      <c r="J22" s="111">
        <f t="shared" si="1"/>
        <v>0.41746871468498797</v>
      </c>
    </row>
    <row r="23" spans="1:10" s="1" customFormat="1" x14ac:dyDescent="0.2">
      <c r="A23" s="119" t="s">
        <v>81</v>
      </c>
      <c r="B23" s="120">
        <f>C8-C4</f>
        <v>6917.5590032593609</v>
      </c>
      <c r="C23" s="257">
        <f>IF(B4&gt;B7,C13,C12)</f>
        <v>0.106</v>
      </c>
      <c r="D23" s="22">
        <f>B23*C23</f>
        <v>733.26125434549226</v>
      </c>
      <c r="E23" s="73">
        <f>B8-B4</f>
        <v>9716.2660809139197</v>
      </c>
      <c r="F23" s="257">
        <f>C23</f>
        <v>0.106</v>
      </c>
      <c r="G23" s="22">
        <f>E23*F23</f>
        <v>1029.9242045768754</v>
      </c>
      <c r="H23" s="22">
        <f t="shared" si="3"/>
        <v>296.66295023138309</v>
      </c>
      <c r="I23" s="23">
        <f t="shared" si="7"/>
        <v>0.40458015267175673</v>
      </c>
      <c r="J23" s="124">
        <f t="shared" si="1"/>
        <v>3.8071221597219193E-2</v>
      </c>
    </row>
    <row r="24" spans="1:10" x14ac:dyDescent="0.2">
      <c r="A24" s="110" t="s">
        <v>79</v>
      </c>
      <c r="B24" s="74"/>
      <c r="C24" s="35"/>
      <c r="D24" s="35">
        <f>SUM(D22,D23:D23)</f>
        <v>15139.859655579601</v>
      </c>
      <c r="E24" s="73"/>
      <c r="F24" s="35"/>
      <c r="G24" s="35">
        <f>SUM(G22,G23:G23)</f>
        <v>12323.523828369143</v>
      </c>
      <c r="H24" s="35">
        <f t="shared" si="3"/>
        <v>-2816.3358272104579</v>
      </c>
      <c r="I24" s="36">
        <f t="shared" si="7"/>
        <v>-0.18602126382146042</v>
      </c>
      <c r="J24" s="111">
        <f t="shared" si="1"/>
        <v>0.45553993628220713</v>
      </c>
    </row>
    <row r="25" spans="1:10" x14ac:dyDescent="0.2">
      <c r="A25" s="107" t="s">
        <v>40</v>
      </c>
      <c r="B25" s="73">
        <f>IF($C$9="kWh",$C$8,$C$5)</f>
        <v>274.09386280146123</v>
      </c>
      <c r="C25" s="125">
        <f>VLOOKUP($C$3,'Data for Bill Impacts'!$A$3:$Y$39,15,0)</f>
        <v>1.8084840059864431</v>
      </c>
      <c r="D25" s="22">
        <f>B25*C25</f>
        <v>495.69436701548511</v>
      </c>
      <c r="E25" s="73">
        <f>B8</f>
        <v>115327.85391693476</v>
      </c>
      <c r="F25" s="125">
        <f>VLOOKUP($B$3,'Data for Bill Impacts'!$A$3:$Y$39,24,0)</f>
        <v>3.836E-3</v>
      </c>
      <c r="G25" s="22">
        <f>E25*F25</f>
        <v>442.39764762536174</v>
      </c>
      <c r="H25" s="22">
        <f t="shared" si="3"/>
        <v>-53.296719390123371</v>
      </c>
      <c r="I25" s="23">
        <f t="shared" si="7"/>
        <v>-0.10751931620893006</v>
      </c>
      <c r="J25" s="124">
        <f t="shared" si="1"/>
        <v>1.6353260562269344E-2</v>
      </c>
    </row>
    <row r="26" spans="1:10" s="1" customFormat="1" x14ac:dyDescent="0.2">
      <c r="A26" s="107" t="s">
        <v>41</v>
      </c>
      <c r="B26" s="73">
        <f>IF($C$9="kWh",$C$8,$C$5)</f>
        <v>274.09386280146123</v>
      </c>
      <c r="C26" s="125">
        <f>VLOOKUP($C$3,'Data for Bill Impacts'!$A$3:$Y$39,16,0)</f>
        <v>1.5209878188292463</v>
      </c>
      <c r="D26" s="22">
        <f>B26*C26</f>
        <v>416.8934265368772</v>
      </c>
      <c r="E26" s="73">
        <f>B8</f>
        <v>115327.85391693476</v>
      </c>
      <c r="F26" s="125">
        <f>VLOOKUP($B$3,'Data for Bill Impacts'!$A$3:$Y$39,25,0)</f>
        <v>3.6240000000000001E-3</v>
      </c>
      <c r="G26" s="22">
        <f>E26*F26</f>
        <v>417.94814259497161</v>
      </c>
      <c r="H26" s="22">
        <f t="shared" si="3"/>
        <v>1.0547160580944137</v>
      </c>
      <c r="I26" s="23">
        <f t="shared" si="7"/>
        <v>2.5299416852309531E-3</v>
      </c>
      <c r="J26" s="124">
        <f t="shared" si="1"/>
        <v>1.5449482866961446E-2</v>
      </c>
    </row>
    <row r="27" spans="1:10" s="1" customFormat="1" x14ac:dyDescent="0.2">
      <c r="A27" s="110" t="s">
        <v>76</v>
      </c>
      <c r="B27" s="74"/>
      <c r="C27" s="35"/>
      <c r="D27" s="35">
        <f>SUM(D25:D26)</f>
        <v>912.58779355236231</v>
      </c>
      <c r="E27" s="73"/>
      <c r="F27" s="35"/>
      <c r="G27" s="35">
        <f>SUM(G25:G26)</f>
        <v>860.34579022033336</v>
      </c>
      <c r="H27" s="35">
        <f t="shared" si="3"/>
        <v>-52.242003332028958</v>
      </c>
      <c r="I27" s="36">
        <f t="shared" si="7"/>
        <v>-5.7246002742016106E-2</v>
      </c>
      <c r="J27" s="111">
        <f t="shared" si="1"/>
        <v>3.1802743429230791E-2</v>
      </c>
    </row>
    <row r="28" spans="1:10" s="1" customFormat="1" x14ac:dyDescent="0.2">
      <c r="A28" s="110" t="s">
        <v>80</v>
      </c>
      <c r="B28" s="74"/>
      <c r="C28" s="35"/>
      <c r="D28" s="35">
        <f>D24+D27</f>
        <v>16052.447449131963</v>
      </c>
      <c r="E28" s="73"/>
      <c r="F28" s="35"/>
      <c r="G28" s="35">
        <f>G24+G27</f>
        <v>13183.869618589477</v>
      </c>
      <c r="H28" s="35">
        <f t="shared" si="3"/>
        <v>-2868.5778305424865</v>
      </c>
      <c r="I28" s="36">
        <f t="shared" si="7"/>
        <v>-0.17870034084413744</v>
      </c>
      <c r="J28" s="111">
        <f t="shared" si="1"/>
        <v>0.48734267971143796</v>
      </c>
    </row>
    <row r="29" spans="1:10" x14ac:dyDescent="0.2">
      <c r="A29" s="107" t="s">
        <v>42</v>
      </c>
      <c r="B29" s="73">
        <f>C8</f>
        <v>112529.14683928021</v>
      </c>
      <c r="C29" s="34">
        <v>3.5999999999999999E-3</v>
      </c>
      <c r="D29" s="22">
        <f>B29*C29</f>
        <v>405.1049286214087</v>
      </c>
      <c r="E29" s="73">
        <f>B8</f>
        <v>115327.85391693476</v>
      </c>
      <c r="F29" s="34">
        <v>3.5999999999999999E-3</v>
      </c>
      <c r="G29" s="22">
        <f>E29*F29</f>
        <v>415.18027410096516</v>
      </c>
      <c r="H29" s="22">
        <f t="shared" si="3"/>
        <v>10.075345479556461</v>
      </c>
      <c r="I29" s="23">
        <f t="shared" si="7"/>
        <v>2.4870952604411255E-2</v>
      </c>
      <c r="J29" s="124">
        <f t="shared" si="1"/>
        <v>1.5347168410888852E-2</v>
      </c>
    </row>
    <row r="30" spans="1:10" s="1" customFormat="1" x14ac:dyDescent="0.2">
      <c r="A30" s="107" t="s">
        <v>43</v>
      </c>
      <c r="B30" s="73">
        <f>C8</f>
        <v>112529.14683928021</v>
      </c>
      <c r="C30" s="34">
        <v>2.0999999999999999E-3</v>
      </c>
      <c r="D30" s="22">
        <f>B30*C30</f>
        <v>236.31120836248843</v>
      </c>
      <c r="E30" s="73">
        <f>B8</f>
        <v>115327.85391693476</v>
      </c>
      <c r="F30" s="34">
        <v>2.0999999999999999E-3</v>
      </c>
      <c r="G30" s="22">
        <f>E30*F30</f>
        <v>242.18849322556298</v>
      </c>
      <c r="H30" s="22">
        <f>G30-D30</f>
        <v>5.87728486307455</v>
      </c>
      <c r="I30" s="23">
        <f t="shared" si="7"/>
        <v>2.4870952604411033E-2</v>
      </c>
      <c r="J30" s="124">
        <f t="shared" si="1"/>
        <v>8.9525149063518286E-3</v>
      </c>
    </row>
    <row r="31" spans="1:10" s="1" customFormat="1" x14ac:dyDescent="0.2">
      <c r="A31" s="107" t="s">
        <v>100</v>
      </c>
      <c r="B31" s="73">
        <f>C8</f>
        <v>112529.14683928021</v>
      </c>
      <c r="C31" s="34">
        <v>0</v>
      </c>
      <c r="D31" s="22">
        <f>B31*C31</f>
        <v>0</v>
      </c>
      <c r="E31" s="73">
        <f>B8</f>
        <v>115327.85391693476</v>
      </c>
      <c r="F31" s="34">
        <v>0</v>
      </c>
      <c r="G31" s="22">
        <f>E31*F31</f>
        <v>0</v>
      </c>
      <c r="H31" s="22">
        <f>G31-D31</f>
        <v>0</v>
      </c>
      <c r="I31" s="23" t="str">
        <f t="shared" si="7"/>
        <v>N/A</v>
      </c>
      <c r="J31" s="124">
        <f t="shared" si="1"/>
        <v>0</v>
      </c>
    </row>
    <row r="32" spans="1:10" x14ac:dyDescent="0.2">
      <c r="A32" s="107" t="s">
        <v>44</v>
      </c>
      <c r="B32" s="73">
        <v>1</v>
      </c>
      <c r="C32" s="22">
        <v>0.25</v>
      </c>
      <c r="D32" s="22">
        <f>B32*C32</f>
        <v>0.25</v>
      </c>
      <c r="E32" s="73">
        <f t="shared" si="2"/>
        <v>1</v>
      </c>
      <c r="F32" s="22">
        <f>C32</f>
        <v>0.25</v>
      </c>
      <c r="G32" s="22">
        <f>E32*F32</f>
        <v>0.25</v>
      </c>
      <c r="H32" s="22">
        <f t="shared" si="3"/>
        <v>0</v>
      </c>
      <c r="I32" s="23">
        <f t="shared" si="7"/>
        <v>0</v>
      </c>
      <c r="J32" s="124">
        <f t="shared" si="1"/>
        <v>9.2412678107851706E-6</v>
      </c>
    </row>
    <row r="33" spans="1:10" s="1" customFormat="1" x14ac:dyDescent="0.2">
      <c r="A33" s="110" t="s">
        <v>45</v>
      </c>
      <c r="B33" s="74"/>
      <c r="C33" s="35"/>
      <c r="D33" s="35">
        <f>SUM(D29:D32)</f>
        <v>641.6661369838971</v>
      </c>
      <c r="E33" s="73"/>
      <c r="F33" s="35"/>
      <c r="G33" s="35">
        <f>SUM(G29:G32)</f>
        <v>657.61876732652809</v>
      </c>
      <c r="H33" s="35">
        <f t="shared" si="3"/>
        <v>15.952630342630982</v>
      </c>
      <c r="I33" s="36">
        <f t="shared" si="7"/>
        <v>2.4861262614878057E-2</v>
      </c>
      <c r="J33" s="111">
        <f t="shared" si="1"/>
        <v>2.4308924585051465E-2</v>
      </c>
    </row>
    <row r="34" spans="1:10" ht="13.5" thickBot="1" x14ac:dyDescent="0.25">
      <c r="A34" s="112" t="s">
        <v>46</v>
      </c>
      <c r="B34" s="113">
        <f>B4</f>
        <v>105611.58783602084</v>
      </c>
      <c r="C34" s="114">
        <v>7.0000000000000001E-3</v>
      </c>
      <c r="D34" s="115">
        <f>B34*C34</f>
        <v>739.28111485214595</v>
      </c>
      <c r="E34" s="116">
        <f t="shared" si="2"/>
        <v>105611.58783602084</v>
      </c>
      <c r="F34" s="114">
        <f>C34</f>
        <v>7.0000000000000001E-3</v>
      </c>
      <c r="G34" s="115">
        <f>E34*F34</f>
        <v>739.28111485214595</v>
      </c>
      <c r="H34" s="115">
        <f t="shared" si="3"/>
        <v>0</v>
      </c>
      <c r="I34" s="117">
        <f t="shared" si="7"/>
        <v>0</v>
      </c>
      <c r="J34" s="118">
        <f t="shared" si="1"/>
        <v>2.7327579079218043E-2</v>
      </c>
    </row>
    <row r="35" spans="1:10" x14ac:dyDescent="0.2">
      <c r="A35" s="37" t="s">
        <v>146</v>
      </c>
      <c r="B35" s="38"/>
      <c r="C35" s="39"/>
      <c r="D35" s="39">
        <f>SUM(D14,D24,D27,D33,D34)</f>
        <v>28616.973011586218</v>
      </c>
      <c r="E35" s="38"/>
      <c r="F35" s="39"/>
      <c r="G35" s="39">
        <f>SUM(G14,G24,G27,G33,G34)</f>
        <v>25764.34781138636</v>
      </c>
      <c r="H35" s="39">
        <f t="shared" si="3"/>
        <v>-2852.6252001998582</v>
      </c>
      <c r="I35" s="40">
        <f t="shared" si="7"/>
        <v>-9.968298181100109E-2</v>
      </c>
      <c r="J35" s="41">
        <f t="shared" si="1"/>
        <v>0.95238095238095244</v>
      </c>
    </row>
    <row r="36" spans="1:10" x14ac:dyDescent="0.2">
      <c r="A36" s="46" t="s">
        <v>138</v>
      </c>
      <c r="B36" s="43"/>
      <c r="C36" s="26">
        <v>0.13</v>
      </c>
      <c r="D36" s="26">
        <f>D35*C36</f>
        <v>3720.2064915062087</v>
      </c>
      <c r="E36" s="26"/>
      <c r="F36" s="26">
        <f>C36</f>
        <v>0.13</v>
      </c>
      <c r="G36" s="26">
        <f>G35*F36</f>
        <v>3349.3652154802271</v>
      </c>
      <c r="H36" s="26">
        <f t="shared" si="3"/>
        <v>-370.84127602598164</v>
      </c>
      <c r="I36" s="44">
        <f t="shared" si="7"/>
        <v>-9.9682981811001103E-2</v>
      </c>
      <c r="J36" s="45">
        <f t="shared" si="1"/>
        <v>0.12380952380952383</v>
      </c>
    </row>
    <row r="37" spans="1:10" x14ac:dyDescent="0.2">
      <c r="A37" s="46" t="s">
        <v>139</v>
      </c>
      <c r="B37" s="24"/>
      <c r="C37" s="25"/>
      <c r="D37" s="25">
        <f>SUM(D35:D36)</f>
        <v>32337.179503092426</v>
      </c>
      <c r="E37" s="25"/>
      <c r="F37" s="25"/>
      <c r="G37" s="25">
        <f>SUM(G35:G36)</f>
        <v>29113.713026866586</v>
      </c>
      <c r="H37" s="25">
        <f t="shared" si="3"/>
        <v>-3223.4664762258399</v>
      </c>
      <c r="I37" s="27">
        <f t="shared" si="7"/>
        <v>-9.9682981811001103E-2</v>
      </c>
      <c r="J37" s="47">
        <f t="shared" si="1"/>
        <v>1.0761904761904761</v>
      </c>
    </row>
    <row r="38" spans="1:10" ht="12.75" customHeight="1" x14ac:dyDescent="0.2">
      <c r="A38" s="46" t="s">
        <v>140</v>
      </c>
      <c r="B38" s="43"/>
      <c r="C38" s="26">
        <v>-0.08</v>
      </c>
      <c r="D38" s="26">
        <f>D35*C38</f>
        <v>-2289.3578409268976</v>
      </c>
      <c r="E38" s="26"/>
      <c r="F38" s="26">
        <f>C38</f>
        <v>-0.08</v>
      </c>
      <c r="G38" s="26">
        <f>G35*F38</f>
        <v>-2061.1478249109086</v>
      </c>
      <c r="H38" s="26">
        <f t="shared" si="3"/>
        <v>228.21001601598891</v>
      </c>
      <c r="I38" s="44">
        <f t="shared" si="7"/>
        <v>9.9682981811001201E-2</v>
      </c>
      <c r="J38" s="45">
        <f t="shared" si="1"/>
        <v>-7.6190476190476183E-2</v>
      </c>
    </row>
    <row r="39" spans="1:10" ht="13.5" customHeight="1" thickBot="1" x14ac:dyDescent="0.25">
      <c r="A39" s="46" t="s">
        <v>141</v>
      </c>
      <c r="B39" s="49"/>
      <c r="C39" s="50"/>
      <c r="D39" s="50">
        <f>SUM(D37:D38)</f>
        <v>30047.82166216553</v>
      </c>
      <c r="E39" s="50"/>
      <c r="F39" s="50"/>
      <c r="G39" s="50">
        <f>SUM(G37:G38)</f>
        <v>27052.565201955676</v>
      </c>
      <c r="H39" s="50">
        <f t="shared" si="3"/>
        <v>-2995.2564602098537</v>
      </c>
      <c r="I39" s="51">
        <f t="shared" si="7"/>
        <v>-9.9682981811001173E-2</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0"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J50"/>
  <sheetViews>
    <sheetView tabSelected="1" topLeftCell="A4" workbookViewId="0">
      <selection activeCell="N7" sqref="N7"/>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9</v>
      </c>
      <c r="C3" s="13" t="s">
        <v>130</v>
      </c>
    </row>
    <row r="4" spans="1:10" x14ac:dyDescent="0.2">
      <c r="A4" s="15" t="s">
        <v>62</v>
      </c>
      <c r="B4" s="79">
        <f>'Data for Bill Impacts_HONI Avg '!C53</f>
        <v>126.02277222660564</v>
      </c>
      <c r="C4" s="181">
        <f>B4</f>
        <v>126.02277222660564</v>
      </c>
    </row>
    <row r="5" spans="1:10" x14ac:dyDescent="0.2">
      <c r="A5" s="15" t="s">
        <v>16</v>
      </c>
      <c r="B5" s="15">
        <f>'Data for Bill Impacts'!E10</f>
        <v>0</v>
      </c>
      <c r="C5" s="135">
        <f>'Data for Bill Impacts_HONI Avg '!B53</f>
        <v>0.45421640025856702</v>
      </c>
    </row>
    <row r="6" spans="1:10" x14ac:dyDescent="0.2">
      <c r="A6" s="15" t="s">
        <v>20</v>
      </c>
      <c r="B6" s="15">
        <f>'Data for Bill Impacts'!B10</f>
        <v>1.0920000000000001</v>
      </c>
      <c r="C6" s="15">
        <f>'Data for Bill Impacts'!B38</f>
        <v>1.0564</v>
      </c>
    </row>
    <row r="7" spans="1:10" x14ac:dyDescent="0.2">
      <c r="A7" s="15" t="s">
        <v>15</v>
      </c>
      <c r="B7" s="15">
        <f>VLOOKUP($B$3,'Data for Bill Impacts'!$A$3:$Y$39,4,0)</f>
        <v>750</v>
      </c>
      <c r="C7" s="79">
        <f>VLOOKUP($C$3,'Data for Bill Impacts'!$A$3:$Y$39,4,0)</f>
        <v>750</v>
      </c>
    </row>
    <row r="8" spans="1:10" x14ac:dyDescent="0.2">
      <c r="A8" s="15" t="s">
        <v>82</v>
      </c>
      <c r="B8" s="181">
        <f>B4*B6</f>
        <v>137.61686727145337</v>
      </c>
      <c r="C8" s="181">
        <f>C4*C6</f>
        <v>133.13045658018621</v>
      </c>
    </row>
    <row r="9" spans="1:10" x14ac:dyDescent="0.2">
      <c r="A9" s="15" t="s">
        <v>21</v>
      </c>
      <c r="B9" s="16" t="str">
        <f>VLOOKUP($B$3,'Data for Bill Impacts'!$A$3:$Y$39,6,0)</f>
        <v>kWh</v>
      </c>
      <c r="C9" s="16" t="str">
        <f>'Data for Bill Impacts'!F38</f>
        <v>kW</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IF(C4&gt;C7,C7,C4)</f>
        <v>126.02277222660564</v>
      </c>
      <c r="C12" s="103">
        <v>9.0999999999999998E-2</v>
      </c>
      <c r="D12" s="104">
        <f>B12*C12</f>
        <v>11.468072272621113</v>
      </c>
      <c r="E12" s="102">
        <f>B12</f>
        <v>126.02277222660564</v>
      </c>
      <c r="F12" s="103">
        <f>C12</f>
        <v>9.0999999999999998E-2</v>
      </c>
      <c r="G12" s="104">
        <f>E12*F12</f>
        <v>11.468072272621113</v>
      </c>
      <c r="H12" s="104">
        <f>G12-D12</f>
        <v>0</v>
      </c>
      <c r="I12" s="105">
        <f t="shared" ref="I12:I18" si="0">IF(ISERROR(H12/ABS(D12)),"N/A",(H12/ABS(D12)))</f>
        <v>0</v>
      </c>
      <c r="J12" s="123">
        <f t="shared" ref="J12:J39" si="1">G12/$G$39</f>
        <v>0.29830275354653818</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11.468072272621113</v>
      </c>
      <c r="E14" s="76"/>
      <c r="F14" s="25"/>
      <c r="G14" s="25">
        <f>SUM(G12:G13)</f>
        <v>11.468072272621113</v>
      </c>
      <c r="H14" s="25">
        <f t="shared" si="3"/>
        <v>0</v>
      </c>
      <c r="I14" s="27">
        <f t="shared" si="0"/>
        <v>0</v>
      </c>
      <c r="J14" s="47">
        <f t="shared" si="1"/>
        <v>0.29830275354653818</v>
      </c>
    </row>
    <row r="15" spans="1:10" x14ac:dyDescent="0.2">
      <c r="A15" s="107" t="s">
        <v>38</v>
      </c>
      <c r="B15" s="73">
        <v>1</v>
      </c>
      <c r="C15" s="121">
        <f>VLOOKUP($C$3,'Data for Bill Impacts'!$A$3:$Y$39,7,0)</f>
        <v>6.53</v>
      </c>
      <c r="D15" s="22">
        <f>B15*C15</f>
        <v>6.53</v>
      </c>
      <c r="E15" s="73">
        <f t="shared" ref="E15:E34" si="4">B15</f>
        <v>1</v>
      </c>
      <c r="F15" s="78">
        <f>VLOOKUP($B$3,'Data for Bill Impacts'!$A$3:$Y$39,17,0)</f>
        <v>3.72</v>
      </c>
      <c r="G15" s="22">
        <f>E15*F15</f>
        <v>3.72</v>
      </c>
      <c r="H15" s="22">
        <f t="shared" si="3"/>
        <v>-2.81</v>
      </c>
      <c r="I15" s="23">
        <f t="shared" si="0"/>
        <v>-0.43032159264931086</v>
      </c>
      <c r="J15" s="124">
        <f t="shared" si="1"/>
        <v>9.6763101662900072E-2</v>
      </c>
    </row>
    <row r="16" spans="1:10" x14ac:dyDescent="0.2">
      <c r="A16" s="107" t="s">
        <v>193</v>
      </c>
      <c r="B16" s="73">
        <v>1</v>
      </c>
      <c r="C16" s="121">
        <f>'Data for Bill Impacts'!K38</f>
        <v>-0.09</v>
      </c>
      <c r="D16" s="22">
        <f>B16*C16</f>
        <v>-0.09</v>
      </c>
      <c r="E16" s="73">
        <f t="shared" si="4"/>
        <v>1</v>
      </c>
      <c r="F16" s="121">
        <v>0</v>
      </c>
      <c r="G16" s="22">
        <f t="shared" ref="G16:G17" si="5">E16*F16</f>
        <v>0</v>
      </c>
      <c r="H16" s="22">
        <f t="shared" si="3"/>
        <v>0.09</v>
      </c>
      <c r="I16" s="23">
        <f t="shared" si="0"/>
        <v>1</v>
      </c>
      <c r="J16" s="124">
        <f t="shared" si="1"/>
        <v>0</v>
      </c>
    </row>
    <row r="17" spans="1:10" x14ac:dyDescent="0.2">
      <c r="A17" s="107" t="s">
        <v>85</v>
      </c>
      <c r="B17" s="73">
        <v>1</v>
      </c>
      <c r="C17" s="121">
        <f>VLOOKUP($C$3,'Data for Bill Impacts'!$A$3:$Y$39,13,0)</f>
        <v>0</v>
      </c>
      <c r="D17" s="22">
        <f t="shared" ref="D17" si="6">B17*C17</f>
        <v>0</v>
      </c>
      <c r="E17" s="73">
        <f t="shared" si="4"/>
        <v>1</v>
      </c>
      <c r="F17" s="121">
        <f>VLOOKUP($B$3,'Data for Bill Impacts'!$A$3:$Y$39,22,0)</f>
        <v>6.0000000000000001E-3</v>
      </c>
      <c r="G17" s="22">
        <f t="shared" si="5"/>
        <v>6.0000000000000001E-3</v>
      </c>
      <c r="H17" s="22">
        <f t="shared" si="3"/>
        <v>6.0000000000000001E-3</v>
      </c>
      <c r="I17" s="23" t="str">
        <f t="shared" si="0"/>
        <v>N/A</v>
      </c>
      <c r="J17" s="124">
        <f t="shared" si="1"/>
        <v>1.5606951881112915E-4</v>
      </c>
    </row>
    <row r="18" spans="1:10" x14ac:dyDescent="0.2">
      <c r="A18" s="107" t="s">
        <v>39</v>
      </c>
      <c r="B18" s="183">
        <f>C5</f>
        <v>0.45421640025856702</v>
      </c>
      <c r="C18" s="127">
        <f>VLOOKUP($C$3,'Data for Bill Impacts'!$A$3:$Y$39,10,0)</f>
        <v>19.433</v>
      </c>
      <c r="D18" s="22">
        <f>B18*C18</f>
        <v>8.8267873062247322</v>
      </c>
      <c r="E18" s="73">
        <f>B4</f>
        <v>126.02277222660564</v>
      </c>
      <c r="F18" s="78">
        <f>VLOOKUP($B$3,'Data for Bill Impacts'!$A$3:$Y$39,19,0)</f>
        <v>0.13830000000000001</v>
      </c>
      <c r="G18" s="22">
        <f>E18*F18</f>
        <v>17.428949398939562</v>
      </c>
      <c r="H18" s="22">
        <f t="shared" si="3"/>
        <v>8.6021620927148295</v>
      </c>
      <c r="I18" s="23">
        <f t="shared" si="0"/>
        <v>0.97455187196461679</v>
      </c>
      <c r="J18" s="124">
        <f t="shared" si="1"/>
        <v>0.4533546243460026</v>
      </c>
    </row>
    <row r="19" spans="1:10" x14ac:dyDescent="0.2">
      <c r="A19" s="107" t="s">
        <v>194</v>
      </c>
      <c r="B19" s="183">
        <f>C5</f>
        <v>0.45421640025856702</v>
      </c>
      <c r="C19" s="125">
        <f>'Data for Bill Impacts'!H38</f>
        <v>0.2407</v>
      </c>
      <c r="D19" s="22">
        <f>B19*C19</f>
        <v>0.10932988754223708</v>
      </c>
      <c r="E19" s="73">
        <f>B4</f>
        <v>126.02277222660564</v>
      </c>
      <c r="F19" s="125">
        <v>0</v>
      </c>
      <c r="G19" s="22">
        <f>E19*F19</f>
        <v>0</v>
      </c>
      <c r="H19" s="22">
        <f t="shared" ref="H19" si="7">G19-D19</f>
        <v>-0.10932988754223708</v>
      </c>
      <c r="I19" s="23">
        <f>IF(ISERROR(H19/ABS(D19)),"N/A",(H19/ABS(D19)))</f>
        <v>-1</v>
      </c>
      <c r="J19" s="124">
        <f t="shared" si="1"/>
        <v>0</v>
      </c>
    </row>
    <row r="20" spans="1:10" x14ac:dyDescent="0.2">
      <c r="A20" s="107" t="s">
        <v>195</v>
      </c>
      <c r="B20" s="183">
        <f>C5</f>
        <v>0.45421640025856702</v>
      </c>
      <c r="C20" s="78">
        <f>'Data for Bill Impacts'!L38</f>
        <v>-0.28620000000000001</v>
      </c>
      <c r="D20" s="22">
        <f>B20*C20</f>
        <v>-0.12999673375400189</v>
      </c>
      <c r="E20" s="73">
        <f>B4</f>
        <v>126.02277222660564</v>
      </c>
      <c r="F20" s="125">
        <v>0</v>
      </c>
      <c r="G20" s="22">
        <f>E20*F20</f>
        <v>0</v>
      </c>
      <c r="H20" s="22">
        <f t="shared" si="3"/>
        <v>0.12999673375400189</v>
      </c>
      <c r="I20" s="23">
        <f>IF(ISERROR(H20/D20),0,(H20/D20))</f>
        <v>-1</v>
      </c>
      <c r="J20" s="124">
        <f t="shared" si="1"/>
        <v>0</v>
      </c>
    </row>
    <row r="21" spans="1:10" s="1" customFormat="1" x14ac:dyDescent="0.2">
      <c r="A21" s="107" t="s">
        <v>199</v>
      </c>
      <c r="B21" s="183">
        <f>C5</f>
        <v>0.45421640025856702</v>
      </c>
      <c r="C21" s="125">
        <f>VLOOKUP($C$3,'Data for Bill Impacts'!$A$3:$Y$39,14,0)</f>
        <v>0</v>
      </c>
      <c r="D21" s="22">
        <f>B21*C21</f>
        <v>0</v>
      </c>
      <c r="E21" s="73">
        <f>B4</f>
        <v>126.02277222660564</v>
      </c>
      <c r="F21" s="125">
        <f>VLOOKUP($B$3,'Data for Bill Impacts'!$A$3:$Y$39,23,0)</f>
        <v>-6.0000000000000002E-5</v>
      </c>
      <c r="G21" s="22">
        <f>E21*F21</f>
        <v>-7.5613663335963388E-3</v>
      </c>
      <c r="H21" s="22">
        <f t="shared" si="3"/>
        <v>-7.5613663335963388E-3</v>
      </c>
      <c r="I21" s="23">
        <f>IF(ISERROR(H21/D21),0,(H21/D21))</f>
        <v>0</v>
      </c>
      <c r="J21" s="124">
        <f t="shared" si="1"/>
        <v>-1.9668313420650871E-4</v>
      </c>
    </row>
    <row r="22" spans="1:10" x14ac:dyDescent="0.2">
      <c r="A22" s="110" t="s">
        <v>72</v>
      </c>
      <c r="B22" s="74"/>
      <c r="C22" s="35"/>
      <c r="D22" s="35">
        <f>SUM(D15:D21)</f>
        <v>15.246120460012968</v>
      </c>
      <c r="E22" s="73"/>
      <c r="F22" s="35"/>
      <c r="G22" s="35">
        <f>SUM(G15:G21)</f>
        <v>21.147388032605964</v>
      </c>
      <c r="H22" s="35">
        <f t="shared" si="3"/>
        <v>5.9012675725929959</v>
      </c>
      <c r="I22" s="36">
        <f t="shared" ref="I22:I39" si="8">IF(ISERROR(H22/ABS(D22)),"N/A",(H22/ABS(D22)))</f>
        <v>0.38706683369521117</v>
      </c>
      <c r="J22" s="111">
        <f t="shared" si="1"/>
        <v>0.55007711239350721</v>
      </c>
    </row>
    <row r="23" spans="1:10" s="1" customFormat="1" x14ac:dyDescent="0.2">
      <c r="A23" s="119" t="s">
        <v>81</v>
      </c>
      <c r="B23" s="120">
        <f>C8-C4</f>
        <v>7.1076843535805665</v>
      </c>
      <c r="C23" s="257">
        <f>IF(B4&gt;B7,C13,C12)</f>
        <v>9.0999999999999998E-2</v>
      </c>
      <c r="D23" s="22">
        <f>B23*C23</f>
        <v>0.64679927617583155</v>
      </c>
      <c r="E23" s="73">
        <f>B8-B4</f>
        <v>11.594095044847734</v>
      </c>
      <c r="F23" s="257">
        <f>C23</f>
        <v>9.0999999999999998E-2</v>
      </c>
      <c r="G23" s="22">
        <f>E23*F23</f>
        <v>1.0550626490811437</v>
      </c>
      <c r="H23" s="22">
        <f t="shared" si="3"/>
        <v>0.40826337290531212</v>
      </c>
      <c r="I23" s="23">
        <f t="shared" si="8"/>
        <v>0.63120567375886527</v>
      </c>
      <c r="J23" s="124">
        <f t="shared" si="1"/>
        <v>2.7443853326281548E-2</v>
      </c>
    </row>
    <row r="24" spans="1:10" x14ac:dyDescent="0.2">
      <c r="A24" s="110" t="s">
        <v>79</v>
      </c>
      <c r="B24" s="74"/>
      <c r="C24" s="35"/>
      <c r="D24" s="35">
        <f>SUM(D22,D23:D23)</f>
        <v>15.8929197361888</v>
      </c>
      <c r="E24" s="73"/>
      <c r="F24" s="35"/>
      <c r="G24" s="35">
        <f>SUM(G22,G23:G23)</f>
        <v>22.202450681687107</v>
      </c>
      <c r="H24" s="35">
        <f t="shared" si="3"/>
        <v>6.3095309454983077</v>
      </c>
      <c r="I24" s="36">
        <f t="shared" si="8"/>
        <v>0.39700263074576908</v>
      </c>
      <c r="J24" s="111">
        <f t="shared" si="1"/>
        <v>0.57752096571978884</v>
      </c>
    </row>
    <row r="25" spans="1:10" x14ac:dyDescent="0.2">
      <c r="A25" s="107" t="s">
        <v>40</v>
      </c>
      <c r="B25" s="183">
        <f>IF($C$9="kWh",$C$8,$C$5)</f>
        <v>0.45421640025856702</v>
      </c>
      <c r="C25" s="125">
        <f>VLOOKUP($C$3,'Data for Bill Impacts'!$A$3:$Y$39,15,0)</f>
        <v>1.9294</v>
      </c>
      <c r="D25" s="22">
        <f>B25*C25</f>
        <v>0.87636512265887923</v>
      </c>
      <c r="E25" s="73">
        <f>IF($B$9="kWh",$B$4,$B$5)*B6</f>
        <v>137.61686727145337</v>
      </c>
      <c r="F25" s="125">
        <f>VLOOKUP($B$3,'Data for Bill Impacts'!$A$3:$Y$39,24,0)</f>
        <v>3.836E-3</v>
      </c>
      <c r="G25" s="22">
        <f>E25*F25</f>
        <v>0.52789830285329509</v>
      </c>
      <c r="H25" s="22">
        <f t="shared" si="3"/>
        <v>-0.34846681980558414</v>
      </c>
      <c r="I25" s="23">
        <f t="shared" si="8"/>
        <v>-0.39762743951783569</v>
      </c>
      <c r="J25" s="124">
        <f t="shared" si="1"/>
        <v>1.3731472351254248E-2</v>
      </c>
    </row>
    <row r="26" spans="1:10" s="1" customFormat="1" x14ac:dyDescent="0.2">
      <c r="A26" s="107" t="s">
        <v>41</v>
      </c>
      <c r="B26" s="183">
        <f>IF($C$9="kWh",$C$8,$C$5)</f>
        <v>0.45421640025856702</v>
      </c>
      <c r="C26" s="125">
        <f>VLOOKUP($C$3,'Data for Bill Impacts'!$A$3:$Y$39,16,0)</f>
        <v>0.97740000000000005</v>
      </c>
      <c r="D26" s="22">
        <f>B26*C26</f>
        <v>0.44395110961272344</v>
      </c>
      <c r="E26" s="73">
        <f>B8</f>
        <v>137.61686727145337</v>
      </c>
      <c r="F26" s="125">
        <f>VLOOKUP($B$3,'Data for Bill Impacts'!$A$3:$Y$39,25,0)</f>
        <v>3.6240000000000001E-3</v>
      </c>
      <c r="G26" s="22">
        <f>E26*F26</f>
        <v>0.49872352699174705</v>
      </c>
      <c r="H26" s="22">
        <f t="shared" si="3"/>
        <v>5.4772417379023608E-2</v>
      </c>
      <c r="I26" s="23">
        <f t="shared" si="8"/>
        <v>0.12337488564180819</v>
      </c>
      <c r="J26" s="124">
        <f t="shared" si="1"/>
        <v>1.2972590146231856E-2</v>
      </c>
    </row>
    <row r="27" spans="1:10" s="1" customFormat="1" x14ac:dyDescent="0.2">
      <c r="A27" s="110" t="s">
        <v>76</v>
      </c>
      <c r="B27" s="74"/>
      <c r="C27" s="35"/>
      <c r="D27" s="35">
        <f>SUM(D25:D26)</f>
        <v>1.3203162322716027</v>
      </c>
      <c r="E27" s="73"/>
      <c r="F27" s="35"/>
      <c r="G27" s="35">
        <f>SUM(G25:G26)</f>
        <v>1.026621829845042</v>
      </c>
      <c r="H27" s="35">
        <f t="shared" si="3"/>
        <v>-0.29369440242656064</v>
      </c>
      <c r="I27" s="36">
        <f t="shared" si="8"/>
        <v>-0.22244246889342542</v>
      </c>
      <c r="J27" s="111">
        <f t="shared" si="1"/>
        <v>2.6704062497486098E-2</v>
      </c>
    </row>
    <row r="28" spans="1:10" s="1" customFormat="1" x14ac:dyDescent="0.2">
      <c r="A28" s="110" t="s">
        <v>80</v>
      </c>
      <c r="B28" s="74"/>
      <c r="C28" s="35"/>
      <c r="D28" s="35">
        <f>D24+D27</f>
        <v>17.213235968460403</v>
      </c>
      <c r="E28" s="73"/>
      <c r="F28" s="35"/>
      <c r="G28" s="35">
        <f>G24+G27</f>
        <v>23.229072511532149</v>
      </c>
      <c r="H28" s="35">
        <f t="shared" si="3"/>
        <v>6.015836543071746</v>
      </c>
      <c r="I28" s="36">
        <f t="shared" si="8"/>
        <v>0.349488995218243</v>
      </c>
      <c r="J28" s="111">
        <f t="shared" si="1"/>
        <v>0.60422502821727486</v>
      </c>
    </row>
    <row r="29" spans="1:10" x14ac:dyDescent="0.2">
      <c r="A29" s="107" t="s">
        <v>42</v>
      </c>
      <c r="B29" s="73">
        <f>C8</f>
        <v>133.13045658018621</v>
      </c>
      <c r="C29" s="34">
        <v>3.5999999999999999E-3</v>
      </c>
      <c r="D29" s="22">
        <f>B29*C29</f>
        <v>0.47926964368867031</v>
      </c>
      <c r="E29" s="73">
        <f>B8</f>
        <v>137.61686727145337</v>
      </c>
      <c r="F29" s="34">
        <v>3.5999999999999999E-3</v>
      </c>
      <c r="G29" s="22">
        <f>E29*F29</f>
        <v>0.49542072217723215</v>
      </c>
      <c r="H29" s="22">
        <f t="shared" si="3"/>
        <v>1.6151078488561843E-2</v>
      </c>
      <c r="I29" s="23">
        <f t="shared" si="8"/>
        <v>3.3699356304430272E-2</v>
      </c>
      <c r="J29" s="124">
        <f t="shared" si="1"/>
        <v>1.2886678953210452E-2</v>
      </c>
    </row>
    <row r="30" spans="1:10" s="1" customFormat="1" x14ac:dyDescent="0.2">
      <c r="A30" s="107" t="s">
        <v>43</v>
      </c>
      <c r="B30" s="73">
        <f>C8</f>
        <v>133.13045658018621</v>
      </c>
      <c r="C30" s="34">
        <v>2.0999999999999999E-3</v>
      </c>
      <c r="D30" s="22">
        <f>B30*C30</f>
        <v>0.27957395881839103</v>
      </c>
      <c r="E30" s="73">
        <f>B8</f>
        <v>137.61686727145337</v>
      </c>
      <c r="F30" s="34">
        <v>2.0999999999999999E-3</v>
      </c>
      <c r="G30" s="22">
        <f>E30*F30</f>
        <v>0.28899542127005207</v>
      </c>
      <c r="H30" s="22">
        <f>G30-D30</f>
        <v>9.4214624516610335E-3</v>
      </c>
      <c r="I30" s="23">
        <f t="shared" si="8"/>
        <v>3.369935630443012E-2</v>
      </c>
      <c r="J30" s="124">
        <f t="shared" si="1"/>
        <v>7.5172293893727635E-3</v>
      </c>
    </row>
    <row r="31" spans="1:10" s="1" customFormat="1" x14ac:dyDescent="0.2">
      <c r="A31" s="107" t="s">
        <v>100</v>
      </c>
      <c r="B31" s="73">
        <f>C8</f>
        <v>133.13045658018621</v>
      </c>
      <c r="C31" s="34">
        <v>0</v>
      </c>
      <c r="D31" s="22">
        <f>B31*C31</f>
        <v>0</v>
      </c>
      <c r="E31" s="73">
        <f>B8</f>
        <v>137.61686727145337</v>
      </c>
      <c r="F31" s="34">
        <v>0</v>
      </c>
      <c r="G31" s="22">
        <f>E31*F31</f>
        <v>0</v>
      </c>
      <c r="H31" s="22">
        <f>G31-D31</f>
        <v>0</v>
      </c>
      <c r="I31" s="23" t="str">
        <f t="shared" si="8"/>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8"/>
        <v>0</v>
      </c>
      <c r="J32" s="124">
        <f t="shared" si="1"/>
        <v>6.5028966171303808E-3</v>
      </c>
    </row>
    <row r="33" spans="1:10" s="1" customFormat="1" x14ac:dyDescent="0.2">
      <c r="A33" s="110" t="s">
        <v>45</v>
      </c>
      <c r="B33" s="74"/>
      <c r="C33" s="35"/>
      <c r="D33" s="35">
        <f>SUM(D29:D32)</f>
        <v>1.0088436025070613</v>
      </c>
      <c r="E33" s="73"/>
      <c r="F33" s="35"/>
      <c r="G33" s="35">
        <f>SUM(G29:G32)</f>
        <v>1.0344161434472843</v>
      </c>
      <c r="H33" s="35">
        <f t="shared" si="3"/>
        <v>2.5572540940222988E-2</v>
      </c>
      <c r="I33" s="36">
        <f t="shared" si="8"/>
        <v>2.5348370031462824E-2</v>
      </c>
      <c r="J33" s="111">
        <f t="shared" si="1"/>
        <v>2.6906804959713596E-2</v>
      </c>
    </row>
    <row r="34" spans="1:10" ht="13.5" thickBot="1" x14ac:dyDescent="0.25">
      <c r="A34" s="112" t="s">
        <v>46</v>
      </c>
      <c r="B34" s="113">
        <f>B4</f>
        <v>126.02277222660564</v>
      </c>
      <c r="C34" s="114">
        <v>7.0000000000000001E-3</v>
      </c>
      <c r="D34" s="115">
        <f>B34*C34</f>
        <v>0.88215940558623951</v>
      </c>
      <c r="E34" s="116">
        <f t="shared" si="4"/>
        <v>126.02277222660564</v>
      </c>
      <c r="F34" s="114">
        <f>C34</f>
        <v>7.0000000000000001E-3</v>
      </c>
      <c r="G34" s="115">
        <f>E34*F34</f>
        <v>0.88215940558623951</v>
      </c>
      <c r="H34" s="115">
        <f t="shared" si="3"/>
        <v>0</v>
      </c>
      <c r="I34" s="117">
        <f t="shared" si="8"/>
        <v>0</v>
      </c>
      <c r="J34" s="118">
        <f t="shared" si="1"/>
        <v>2.2946365657426016E-2</v>
      </c>
    </row>
    <row r="35" spans="1:10" x14ac:dyDescent="0.2">
      <c r="A35" s="37" t="s">
        <v>146</v>
      </c>
      <c r="B35" s="38"/>
      <c r="C35" s="39"/>
      <c r="D35" s="39">
        <f>SUM(D14,D24,D27,D33,D34)</f>
        <v>30.572311249174813</v>
      </c>
      <c r="E35" s="38"/>
      <c r="F35" s="39"/>
      <c r="G35" s="39">
        <f>SUM(G14,G24,G27,G33,G34)</f>
        <v>36.613720333186777</v>
      </c>
      <c r="H35" s="39">
        <f t="shared" si="3"/>
        <v>6.0414090840119634</v>
      </c>
      <c r="I35" s="40">
        <f t="shared" si="8"/>
        <v>0.1976104794554919</v>
      </c>
      <c r="J35" s="41">
        <f t="shared" si="1"/>
        <v>0.95238095238095244</v>
      </c>
    </row>
    <row r="36" spans="1:10" x14ac:dyDescent="0.2">
      <c r="A36" s="46" t="s">
        <v>138</v>
      </c>
      <c r="B36" s="43"/>
      <c r="C36" s="26">
        <v>0.13</v>
      </c>
      <c r="D36" s="26">
        <f>D35*C36</f>
        <v>3.974400462392726</v>
      </c>
      <c r="E36" s="26"/>
      <c r="F36" s="26">
        <f>C36</f>
        <v>0.13</v>
      </c>
      <c r="G36" s="26">
        <f>G35*F36</f>
        <v>4.7597836433142815</v>
      </c>
      <c r="H36" s="26">
        <f t="shared" si="3"/>
        <v>0.78538318092155546</v>
      </c>
      <c r="I36" s="44">
        <f t="shared" si="8"/>
        <v>0.19761047945549193</v>
      </c>
      <c r="J36" s="45">
        <f t="shared" si="1"/>
        <v>0.12380952380952384</v>
      </c>
    </row>
    <row r="37" spans="1:10" x14ac:dyDescent="0.2">
      <c r="A37" s="46" t="s">
        <v>139</v>
      </c>
      <c r="B37" s="24"/>
      <c r="C37" s="25"/>
      <c r="D37" s="25">
        <f>SUM(D35:D36)</f>
        <v>34.546711711567539</v>
      </c>
      <c r="E37" s="25"/>
      <c r="F37" s="25"/>
      <c r="G37" s="25">
        <f>SUM(G35:G36)</f>
        <v>41.373503976501055</v>
      </c>
      <c r="H37" s="25">
        <f t="shared" si="3"/>
        <v>6.8267922649335162</v>
      </c>
      <c r="I37" s="27">
        <f t="shared" si="8"/>
        <v>0.19761047945549182</v>
      </c>
      <c r="J37" s="47">
        <f t="shared" si="1"/>
        <v>1.0761904761904761</v>
      </c>
    </row>
    <row r="38" spans="1:10" x14ac:dyDescent="0.2">
      <c r="A38" s="46" t="s">
        <v>140</v>
      </c>
      <c r="B38" s="43"/>
      <c r="C38" s="26">
        <v>-0.08</v>
      </c>
      <c r="D38" s="26">
        <f>D35*C38</f>
        <v>-2.4457848999339853</v>
      </c>
      <c r="E38" s="26"/>
      <c r="F38" s="26">
        <f>C38</f>
        <v>-0.08</v>
      </c>
      <c r="G38" s="26">
        <f>G35*F38</f>
        <v>-2.9290976266549422</v>
      </c>
      <c r="H38" s="26">
        <f t="shared" si="3"/>
        <v>-0.48331272672095693</v>
      </c>
      <c r="I38" s="44">
        <f t="shared" si="8"/>
        <v>-0.19761047945549182</v>
      </c>
      <c r="J38" s="45">
        <f t="shared" si="1"/>
        <v>-7.6190476190476197E-2</v>
      </c>
    </row>
    <row r="39" spans="1:10" ht="13.5" thickBot="1" x14ac:dyDescent="0.25">
      <c r="A39" s="46" t="s">
        <v>141</v>
      </c>
      <c r="B39" s="49"/>
      <c r="C39" s="50"/>
      <c r="D39" s="50">
        <f>SUM(D37:D38)</f>
        <v>32.100926811633556</v>
      </c>
      <c r="E39" s="50"/>
      <c r="F39" s="50"/>
      <c r="G39" s="50">
        <f>SUM(G37:G38)</f>
        <v>38.444406349846112</v>
      </c>
      <c r="H39" s="50">
        <f t="shared" si="3"/>
        <v>6.3434795382125557</v>
      </c>
      <c r="I39" s="51">
        <f t="shared" si="8"/>
        <v>0.19761047945549171</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pageSetUpPr fitToPage="1"/>
  </sheetPr>
  <dimension ref="A1:J50"/>
  <sheetViews>
    <sheetView tabSelected="1" workbookViewId="0">
      <selection activeCell="N7" sqref="N7"/>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37" t="s">
        <v>112</v>
      </c>
      <c r="B1" s="338"/>
      <c r="C1" s="338"/>
      <c r="D1" s="338"/>
      <c r="E1" s="338"/>
      <c r="F1" s="338"/>
      <c r="G1" s="338"/>
      <c r="H1" s="338"/>
      <c r="I1" s="338"/>
      <c r="J1" s="339"/>
    </row>
    <row r="3" spans="1:10" x14ac:dyDescent="0.2">
      <c r="A3" s="13" t="s">
        <v>13</v>
      </c>
      <c r="B3" s="13" t="s">
        <v>9</v>
      </c>
      <c r="C3" s="13" t="s">
        <v>124</v>
      </c>
    </row>
    <row r="4" spans="1:10" x14ac:dyDescent="0.2">
      <c r="A4" s="15" t="s">
        <v>62</v>
      </c>
      <c r="B4" s="79">
        <f>'Data for Bill Impacts_HONI Avg '!C54</f>
        <v>131.07998865929491</v>
      </c>
      <c r="C4" s="79">
        <f>B4</f>
        <v>131.07998865929491</v>
      </c>
    </row>
    <row r="5" spans="1:10" x14ac:dyDescent="0.2">
      <c r="A5" s="15" t="s">
        <v>16</v>
      </c>
      <c r="B5" s="15">
        <f>'Data for Bill Impacts'!E10</f>
        <v>0</v>
      </c>
      <c r="C5" s="181">
        <f>'Data for Bill Impacts_HONI Avg '!B54</f>
        <v>0.34019202971725299</v>
      </c>
    </row>
    <row r="6" spans="1:10" x14ac:dyDescent="0.2">
      <c r="A6" s="15" t="s">
        <v>20</v>
      </c>
      <c r="B6" s="15">
        <f>'Data for Bill Impacts'!B10</f>
        <v>1.0920000000000001</v>
      </c>
      <c r="C6" s="15">
        <f>'Data for Bill Impacts'!B32</f>
        <v>1.0654999999999999</v>
      </c>
    </row>
    <row r="7" spans="1:10" x14ac:dyDescent="0.2">
      <c r="A7" s="15" t="s">
        <v>15</v>
      </c>
      <c r="B7" s="15">
        <f>VLOOKUP($B$3,'Data for Bill Impacts'!$A$3:$Y$39,4,0)</f>
        <v>750</v>
      </c>
      <c r="C7" s="79">
        <f>VLOOKUP($C$3,'Data for Bill Impacts'!$A$3:$Y$39,4,0)</f>
        <v>750</v>
      </c>
    </row>
    <row r="8" spans="1:10" x14ac:dyDescent="0.2">
      <c r="A8" s="15" t="s">
        <v>82</v>
      </c>
      <c r="B8" s="181">
        <f>B4*B6</f>
        <v>143.13934761595004</v>
      </c>
      <c r="C8" s="181">
        <f>C4*C6</f>
        <v>139.66572791647872</v>
      </c>
    </row>
    <row r="9" spans="1:10" x14ac:dyDescent="0.2">
      <c r="A9" s="15" t="s">
        <v>21</v>
      </c>
      <c r="B9" s="16" t="str">
        <f>VLOOKUP($B$3,'Data for Bill Impacts'!$A$3:$Y$39,6,0)</f>
        <v>kWh</v>
      </c>
      <c r="C9" s="16" t="str">
        <f>'Data for Bill Impacts'!F32</f>
        <v>kW</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IF(C4&gt;C7,C7,C4)</f>
        <v>131.07998865929491</v>
      </c>
      <c r="C12" s="103">
        <v>9.0999999999999998E-2</v>
      </c>
      <c r="D12" s="104">
        <f>B12*C12</f>
        <v>11.928278967995837</v>
      </c>
      <c r="E12" s="102">
        <f>B12</f>
        <v>131.07998865929491</v>
      </c>
      <c r="F12" s="103">
        <f>C12</f>
        <v>9.0999999999999998E-2</v>
      </c>
      <c r="G12" s="104">
        <f>E12*F12</f>
        <v>11.928278967995837</v>
      </c>
      <c r="H12" s="104">
        <f>G12-D12</f>
        <v>0</v>
      </c>
      <c r="I12" s="105">
        <f t="shared" ref="I12:I18" si="0">IF(ISERROR(H12/ABS(D12)),"N/A",(H12/ABS(D12)))</f>
        <v>0</v>
      </c>
      <c r="J12" s="123">
        <f t="shared" ref="J12:J39" si="1">G12/$G$39</f>
        <v>0.29955779562577267</v>
      </c>
    </row>
    <row r="13" spans="1:10" x14ac:dyDescent="0.2">
      <c r="A13" s="107" t="s">
        <v>32</v>
      </c>
      <c r="B13" s="73">
        <f>IF(B4&gt;B7,(B4)-B7,0)</f>
        <v>0</v>
      </c>
      <c r="C13" s="21">
        <v>0.106</v>
      </c>
      <c r="D13" s="22">
        <f>B13*C13</f>
        <v>0</v>
      </c>
      <c r="E13" s="73">
        <f t="shared" ref="E13" si="2">B13</f>
        <v>0</v>
      </c>
      <c r="F13" s="21">
        <f>C13</f>
        <v>0.106</v>
      </c>
      <c r="G13" s="22">
        <f>E13*F13</f>
        <v>0</v>
      </c>
      <c r="H13" s="22">
        <f t="shared" ref="H13:H39" si="3">G13-D13</f>
        <v>0</v>
      </c>
      <c r="I13" s="23" t="str">
        <f t="shared" si="0"/>
        <v>N/A</v>
      </c>
      <c r="J13" s="124">
        <f t="shared" si="1"/>
        <v>0</v>
      </c>
    </row>
    <row r="14" spans="1:10" s="1" customFormat="1" x14ac:dyDescent="0.2">
      <c r="A14" s="46" t="s">
        <v>33</v>
      </c>
      <c r="B14" s="24"/>
      <c r="C14" s="25"/>
      <c r="D14" s="25">
        <f>SUM(D12:D13)</f>
        <v>11.928278967995837</v>
      </c>
      <c r="E14" s="76"/>
      <c r="F14" s="25"/>
      <c r="G14" s="25">
        <f>SUM(G12:G13)</f>
        <v>11.928278967995837</v>
      </c>
      <c r="H14" s="25">
        <f t="shared" si="3"/>
        <v>0</v>
      </c>
      <c r="I14" s="27">
        <f t="shared" si="0"/>
        <v>0</v>
      </c>
      <c r="J14" s="47">
        <f t="shared" si="1"/>
        <v>0.29955779562577267</v>
      </c>
    </row>
    <row r="15" spans="1:10" x14ac:dyDescent="0.2">
      <c r="A15" s="107" t="s">
        <v>38</v>
      </c>
      <c r="B15" s="73">
        <v>1</v>
      </c>
      <c r="C15" s="121">
        <f>VLOOKUP($C$3,'Data for Bill Impacts'!$A$3:$Y$39,7,0)</f>
        <v>14.23</v>
      </c>
      <c r="D15" s="22">
        <f>B15*C15</f>
        <v>14.23</v>
      </c>
      <c r="E15" s="73">
        <f t="shared" ref="E15:E34" si="4">B15</f>
        <v>1</v>
      </c>
      <c r="F15" s="78">
        <f>VLOOKUP($B$3,'Data for Bill Impacts'!$A$3:$Y$39,17,0)</f>
        <v>3.72</v>
      </c>
      <c r="G15" s="22">
        <f>E15*F15</f>
        <v>3.72</v>
      </c>
      <c r="H15" s="22">
        <f t="shared" si="3"/>
        <v>-10.51</v>
      </c>
      <c r="I15" s="23">
        <f t="shared" si="0"/>
        <v>-0.73858046380885445</v>
      </c>
      <c r="J15" s="124">
        <f t="shared" si="1"/>
        <v>9.3421272483460854E-2</v>
      </c>
    </row>
    <row r="16" spans="1:10" x14ac:dyDescent="0.2">
      <c r="A16" s="107" t="s">
        <v>193</v>
      </c>
      <c r="B16" s="73">
        <v>1</v>
      </c>
      <c r="C16" s="121">
        <f>'Data for Bill Impacts'!K32</f>
        <v>-0.14000000000000001</v>
      </c>
      <c r="D16" s="22">
        <f>B16*C16</f>
        <v>-0.14000000000000001</v>
      </c>
      <c r="E16" s="73">
        <f t="shared" si="4"/>
        <v>1</v>
      </c>
      <c r="F16" s="121">
        <v>0</v>
      </c>
      <c r="G16" s="22">
        <f t="shared" ref="G16:G17" si="5">E16*F16</f>
        <v>0</v>
      </c>
      <c r="H16" s="22">
        <f t="shared" si="3"/>
        <v>0.14000000000000001</v>
      </c>
      <c r="I16" s="23">
        <f t="shared" si="0"/>
        <v>1</v>
      </c>
      <c r="J16" s="124">
        <f t="shared" si="1"/>
        <v>0</v>
      </c>
    </row>
    <row r="17" spans="1:10" x14ac:dyDescent="0.2">
      <c r="A17" s="107" t="s">
        <v>85</v>
      </c>
      <c r="B17" s="73">
        <v>1</v>
      </c>
      <c r="C17" s="121">
        <f>VLOOKUP($C$3,'Data for Bill Impacts'!$A$3:$Y$39,13,0)</f>
        <v>0</v>
      </c>
      <c r="D17" s="22">
        <f t="shared" ref="D17" si="6">B17*C17</f>
        <v>0</v>
      </c>
      <c r="E17" s="73">
        <f t="shared" si="4"/>
        <v>1</v>
      </c>
      <c r="F17" s="121">
        <f>VLOOKUP($B$3,'Data for Bill Impacts'!$A$3:$Y$39,22,0)</f>
        <v>6.0000000000000001E-3</v>
      </c>
      <c r="G17" s="22">
        <f t="shared" si="5"/>
        <v>6.0000000000000001E-3</v>
      </c>
      <c r="H17" s="22">
        <f t="shared" si="3"/>
        <v>6.0000000000000001E-3</v>
      </c>
      <c r="I17" s="23" t="str">
        <f t="shared" si="0"/>
        <v>N/A</v>
      </c>
      <c r="J17" s="124">
        <f t="shared" si="1"/>
        <v>1.5067947174751751E-4</v>
      </c>
    </row>
    <row r="18" spans="1:10" x14ac:dyDescent="0.2">
      <c r="A18" s="107" t="s">
        <v>39</v>
      </c>
      <c r="B18" s="164">
        <f>C5</f>
        <v>0.34019202971725299</v>
      </c>
      <c r="C18" s="127">
        <f>VLOOKUP($C$3,'Data for Bill Impacts'!$A$3:$Y$39,10,0)</f>
        <v>36.726100000000002</v>
      </c>
      <c r="D18" s="22">
        <f>B18*C18</f>
        <v>12.493926502598805</v>
      </c>
      <c r="E18" s="73">
        <f>B4</f>
        <v>131.07998865929491</v>
      </c>
      <c r="F18" s="125">
        <f>VLOOKUP($B$3,'Data for Bill Impacts'!$A$3:$Y$39,19,0)</f>
        <v>0.13830000000000001</v>
      </c>
      <c r="G18" s="22">
        <f>E18*F18</f>
        <v>18.128362431580488</v>
      </c>
      <c r="H18" s="22">
        <f t="shared" si="3"/>
        <v>5.6344359289816826</v>
      </c>
      <c r="I18" s="23">
        <f t="shared" si="0"/>
        <v>0.45097399346872169</v>
      </c>
      <c r="J18" s="124">
        <f t="shared" si="1"/>
        <v>0.45526201247301495</v>
      </c>
    </row>
    <row r="19" spans="1:10" x14ac:dyDescent="0.2">
      <c r="A19" s="107" t="s">
        <v>194</v>
      </c>
      <c r="B19" s="164">
        <f>C5</f>
        <v>0.34019202971725299</v>
      </c>
      <c r="C19" s="125">
        <f>'Data for Bill Impacts'!H32</f>
        <v>0.1099</v>
      </c>
      <c r="D19" s="22">
        <f>B19*C19</f>
        <v>3.7387104065926102E-2</v>
      </c>
      <c r="E19" s="73">
        <f>B4</f>
        <v>131.07998865929491</v>
      </c>
      <c r="F19" s="125">
        <v>0</v>
      </c>
      <c r="G19" s="22">
        <f>E19*F19</f>
        <v>0</v>
      </c>
      <c r="H19" s="22">
        <f t="shared" ref="H19" si="7">G19-D19</f>
        <v>-3.7387104065926102E-2</v>
      </c>
      <c r="I19" s="23">
        <f>IF(ISERROR(H19/ABS(D19)),"N/A",(H19/ABS(D19)))</f>
        <v>-1</v>
      </c>
      <c r="J19" s="124">
        <f t="shared" si="1"/>
        <v>0</v>
      </c>
    </row>
    <row r="20" spans="1:10" x14ac:dyDescent="0.2">
      <c r="A20" s="107" t="s">
        <v>195</v>
      </c>
      <c r="B20" s="164">
        <f>C5</f>
        <v>0.34019202971725299</v>
      </c>
      <c r="C20" s="78">
        <f>'Data for Bill Impacts'!L32</f>
        <v>-0.36730000000000002</v>
      </c>
      <c r="D20" s="22">
        <f>B20*C20</f>
        <v>-0.12495253251514703</v>
      </c>
      <c r="E20" s="73">
        <f>B4</f>
        <v>131.07998865929491</v>
      </c>
      <c r="F20" s="125">
        <v>0</v>
      </c>
      <c r="G20" s="22">
        <f>E20*F20</f>
        <v>0</v>
      </c>
      <c r="H20" s="22">
        <f t="shared" si="3"/>
        <v>0.12495253251514703</v>
      </c>
      <c r="I20" s="23">
        <f>IF(ISERROR(H20/D20),0,(H20/D20))</f>
        <v>-1</v>
      </c>
      <c r="J20" s="124">
        <f t="shared" si="1"/>
        <v>0</v>
      </c>
    </row>
    <row r="21" spans="1:10" s="1" customFormat="1" x14ac:dyDescent="0.2">
      <c r="A21" s="107" t="s">
        <v>199</v>
      </c>
      <c r="B21" s="164">
        <f>C5</f>
        <v>0.34019202971725299</v>
      </c>
      <c r="C21" s="125">
        <f>VLOOKUP($C$3,'Data for Bill Impacts'!$A$3:$Y$39,14,0)</f>
        <v>0</v>
      </c>
      <c r="D21" s="22">
        <f>B21*C21</f>
        <v>0</v>
      </c>
      <c r="E21" s="73">
        <f>B4</f>
        <v>131.07998865929491</v>
      </c>
      <c r="F21" s="125">
        <f>VLOOKUP($B$3,'Data for Bill Impacts'!$A$3:$Y$39,23,0)</f>
        <v>-6.0000000000000002E-5</v>
      </c>
      <c r="G21" s="22">
        <f>E21*F21</f>
        <v>-7.864799319557695E-3</v>
      </c>
      <c r="H21" s="22">
        <f t="shared" si="3"/>
        <v>-7.864799319557695E-3</v>
      </c>
      <c r="I21" s="23">
        <f>IF(ISERROR(H21/D21),0,(H21/D21))</f>
        <v>0</v>
      </c>
      <c r="J21" s="124">
        <f t="shared" si="1"/>
        <v>-1.9751063447853143E-4</v>
      </c>
    </row>
    <row r="22" spans="1:10" x14ac:dyDescent="0.2">
      <c r="A22" s="110" t="s">
        <v>72</v>
      </c>
      <c r="B22" s="74"/>
      <c r="C22" s="35"/>
      <c r="D22" s="35">
        <f>SUM(D15:D21)</f>
        <v>26.496361074149586</v>
      </c>
      <c r="E22" s="73"/>
      <c r="F22" s="35"/>
      <c r="G22" s="35">
        <f>SUM(G15:G21)</f>
        <v>21.846497632260931</v>
      </c>
      <c r="H22" s="35">
        <f t="shared" si="3"/>
        <v>-4.6498634418886553</v>
      </c>
      <c r="I22" s="36">
        <f t="shared" ref="I22:I39" si="8">IF(ISERROR(H22/ABS(D22)),"N/A",(H22/ABS(D22)))</f>
        <v>-0.17549064299343206</v>
      </c>
      <c r="J22" s="111">
        <f t="shared" si="1"/>
        <v>0.54863645379374482</v>
      </c>
    </row>
    <row r="23" spans="1:10" s="1" customFormat="1" x14ac:dyDescent="0.2">
      <c r="A23" s="119" t="s">
        <v>81</v>
      </c>
      <c r="B23" s="120">
        <f>C8-C4</f>
        <v>8.5857392571838034</v>
      </c>
      <c r="C23" s="257">
        <f>IF(B4&gt;B7,C13,C12)</f>
        <v>9.0999999999999998E-2</v>
      </c>
      <c r="D23" s="22">
        <f>B23*C23</f>
        <v>0.78130227240372607</v>
      </c>
      <c r="E23" s="73">
        <f>B8-B4</f>
        <v>12.059358956655132</v>
      </c>
      <c r="F23" s="257">
        <f>C23</f>
        <v>9.0999999999999998E-2</v>
      </c>
      <c r="G23" s="22">
        <f>E23*F23</f>
        <v>1.0974016650556169</v>
      </c>
      <c r="H23" s="22">
        <f t="shared" si="3"/>
        <v>0.3160993926518908</v>
      </c>
      <c r="I23" s="23">
        <f t="shared" si="8"/>
        <v>0.40458015267175779</v>
      </c>
      <c r="J23" s="124">
        <f t="shared" si="1"/>
        <v>2.7559317197571081E-2</v>
      </c>
    </row>
    <row r="24" spans="1:10" x14ac:dyDescent="0.2">
      <c r="A24" s="110" t="s">
        <v>79</v>
      </c>
      <c r="B24" s="165"/>
      <c r="C24" s="35"/>
      <c r="D24" s="35">
        <f>SUM(D22,D23:D23)</f>
        <v>27.277663346553311</v>
      </c>
      <c r="E24" s="73"/>
      <c r="F24" s="35"/>
      <c r="G24" s="35">
        <f>SUM(G22,G23:G23)</f>
        <v>22.943899297316548</v>
      </c>
      <c r="H24" s="35">
        <f t="shared" si="3"/>
        <v>-4.3337640492367626</v>
      </c>
      <c r="I24" s="36">
        <f t="shared" si="8"/>
        <v>-0.1588759269508456</v>
      </c>
      <c r="J24" s="111">
        <f t="shared" si="1"/>
        <v>0.57619577099131591</v>
      </c>
    </row>
    <row r="25" spans="1:10" x14ac:dyDescent="0.2">
      <c r="A25" s="107" t="s">
        <v>40</v>
      </c>
      <c r="B25" s="164">
        <f>IF($C$9="kWh",$C$8,$C$5)</f>
        <v>0.34019202971725299</v>
      </c>
      <c r="C25" s="125">
        <f>VLOOKUP($C$3,'Data for Bill Impacts'!$A$3:$Y$39,15,0)</f>
        <v>1.8176267636501726</v>
      </c>
      <c r="D25" s="22">
        <f>B25*C25</f>
        <v>0.61834213799455384</v>
      </c>
      <c r="E25" s="73">
        <f>B8</f>
        <v>143.13934761595004</v>
      </c>
      <c r="F25" s="125">
        <f>VLOOKUP($B$3,'Data for Bill Impacts'!$A$3:$Y$39,24,0)</f>
        <v>3.836E-3</v>
      </c>
      <c r="G25" s="22">
        <f>E25*F25</f>
        <v>0.54908253745478441</v>
      </c>
      <c r="H25" s="22">
        <f t="shared" si="3"/>
        <v>-6.9259600539769428E-2</v>
      </c>
      <c r="I25" s="23">
        <f t="shared" si="8"/>
        <v>-0.11200854071565708</v>
      </c>
      <c r="J25" s="124">
        <f t="shared" si="1"/>
        <v>1.3789244448245568E-2</v>
      </c>
    </row>
    <row r="26" spans="1:10" s="1" customFormat="1" x14ac:dyDescent="0.2">
      <c r="A26" s="107" t="s">
        <v>41</v>
      </c>
      <c r="B26" s="164">
        <f>IF($C$9="kWh",$C$8,$C$5)</f>
        <v>0.34019202971725299</v>
      </c>
      <c r="C26" s="125">
        <f>VLOOKUP($C$3,'Data for Bill Impacts'!$A$3:$Y$39,16,0)</f>
        <v>1.5528490729347468</v>
      </c>
      <c r="D26" s="22">
        <f>B26*C26</f>
        <v>0.52826687796622618</v>
      </c>
      <c r="E26" s="73">
        <f>B8</f>
        <v>143.13934761595004</v>
      </c>
      <c r="F26" s="125">
        <f>VLOOKUP($B$3,'Data for Bill Impacts'!$A$3:$Y$39,25,0)</f>
        <v>3.6240000000000001E-3</v>
      </c>
      <c r="G26" s="22">
        <f>E26*F26</f>
        <v>0.51873699576020293</v>
      </c>
      <c r="H26" s="22">
        <f t="shared" si="3"/>
        <v>-9.5298822060232435E-3</v>
      </c>
      <c r="I26" s="23">
        <f t="shared" si="8"/>
        <v>-1.8039901049091554E-2</v>
      </c>
      <c r="J26" s="124">
        <f t="shared" si="1"/>
        <v>1.3027169416173601E-2</v>
      </c>
    </row>
    <row r="27" spans="1:10" s="1" customFormat="1" x14ac:dyDescent="0.2">
      <c r="A27" s="110" t="s">
        <v>76</v>
      </c>
      <c r="B27" s="165"/>
      <c r="C27" s="35"/>
      <c r="D27" s="35">
        <f>SUM(D25:D26)</f>
        <v>1.14660901596078</v>
      </c>
      <c r="E27" s="73"/>
      <c r="F27" s="35"/>
      <c r="G27" s="35">
        <f>SUM(G25:G26)</f>
        <v>1.0678195332149873</v>
      </c>
      <c r="H27" s="35">
        <f t="shared" si="3"/>
        <v>-7.8789482745792672E-2</v>
      </c>
      <c r="I27" s="36">
        <f t="shared" si="8"/>
        <v>-6.8715212988075508E-2</v>
      </c>
      <c r="J27" s="111">
        <f t="shared" si="1"/>
        <v>2.6816413864419169E-2</v>
      </c>
    </row>
    <row r="28" spans="1:10" s="1" customFormat="1" x14ac:dyDescent="0.2">
      <c r="A28" s="110" t="s">
        <v>80</v>
      </c>
      <c r="B28" s="74"/>
      <c r="C28" s="35"/>
      <c r="D28" s="35">
        <f>D24+D27</f>
        <v>28.424272362514092</v>
      </c>
      <c r="E28" s="73"/>
      <c r="F28" s="35"/>
      <c r="G28" s="35">
        <f>G24+G27</f>
        <v>24.011718830531535</v>
      </c>
      <c r="H28" s="35">
        <f t="shared" si="3"/>
        <v>-4.4125535319825566</v>
      </c>
      <c r="I28" s="36">
        <f t="shared" si="8"/>
        <v>-0.15523892663658223</v>
      </c>
      <c r="J28" s="111">
        <f t="shared" si="1"/>
        <v>0.60301218485573505</v>
      </c>
    </row>
    <row r="29" spans="1:10" x14ac:dyDescent="0.2">
      <c r="A29" s="107" t="s">
        <v>42</v>
      </c>
      <c r="B29" s="73">
        <f>C8</f>
        <v>139.66572791647872</v>
      </c>
      <c r="C29" s="34">
        <v>3.5999999999999999E-3</v>
      </c>
      <c r="D29" s="22">
        <f>B29*C29</f>
        <v>0.50279662049932339</v>
      </c>
      <c r="E29" s="73">
        <f>B8</f>
        <v>143.13934761595004</v>
      </c>
      <c r="F29" s="34">
        <v>3.5999999999999999E-3</v>
      </c>
      <c r="G29" s="22">
        <f>E29*F29</f>
        <v>0.51530165141742013</v>
      </c>
      <c r="H29" s="22">
        <f t="shared" si="3"/>
        <v>1.2505030918096738E-2</v>
      </c>
      <c r="I29" s="23">
        <f t="shared" si="8"/>
        <v>2.4870952604411082E-2</v>
      </c>
      <c r="J29" s="124">
        <f t="shared" si="1"/>
        <v>1.2940896771033378E-2</v>
      </c>
    </row>
    <row r="30" spans="1:10" s="1" customFormat="1" x14ac:dyDescent="0.2">
      <c r="A30" s="107" t="s">
        <v>43</v>
      </c>
      <c r="B30" s="73">
        <f>C8</f>
        <v>139.66572791647872</v>
      </c>
      <c r="C30" s="34">
        <v>2.0999999999999999E-3</v>
      </c>
      <c r="D30" s="22">
        <f>B30*C30</f>
        <v>0.2932980286246053</v>
      </c>
      <c r="E30" s="73">
        <f>B8</f>
        <v>143.13934761595004</v>
      </c>
      <c r="F30" s="34">
        <v>2.0999999999999999E-3</v>
      </c>
      <c r="G30" s="22">
        <f>E30*F30</f>
        <v>0.30059262999349506</v>
      </c>
      <c r="H30" s="22">
        <f>G30-D30</f>
        <v>7.2946013688897637E-3</v>
      </c>
      <c r="I30" s="23">
        <f t="shared" si="8"/>
        <v>2.4870952604411082E-2</v>
      </c>
      <c r="J30" s="124">
        <f t="shared" si="1"/>
        <v>7.5488564497694704E-3</v>
      </c>
    </row>
    <row r="31" spans="1:10" s="1" customFormat="1" x14ac:dyDescent="0.2">
      <c r="A31" s="107" t="s">
        <v>100</v>
      </c>
      <c r="B31" s="73">
        <f>C8</f>
        <v>139.66572791647872</v>
      </c>
      <c r="C31" s="34">
        <v>0</v>
      </c>
      <c r="D31" s="22">
        <f>B31*C31</f>
        <v>0</v>
      </c>
      <c r="E31" s="73">
        <f>B8</f>
        <v>143.13934761595004</v>
      </c>
      <c r="F31" s="34">
        <v>0</v>
      </c>
      <c r="G31" s="22">
        <f>E31*F31</f>
        <v>0</v>
      </c>
      <c r="H31" s="22">
        <f>G31-D31</f>
        <v>0</v>
      </c>
      <c r="I31" s="23" t="str">
        <f t="shared" si="8"/>
        <v>N/A</v>
      </c>
      <c r="J31" s="124">
        <f t="shared" si="1"/>
        <v>0</v>
      </c>
    </row>
    <row r="32" spans="1:10" x14ac:dyDescent="0.2">
      <c r="A32" s="107" t="s">
        <v>44</v>
      </c>
      <c r="B32" s="73">
        <v>1</v>
      </c>
      <c r="C32" s="22">
        <v>0.25</v>
      </c>
      <c r="D32" s="22">
        <f>B32*C32</f>
        <v>0.25</v>
      </c>
      <c r="E32" s="73">
        <f t="shared" si="4"/>
        <v>1</v>
      </c>
      <c r="F32" s="22">
        <f>C32</f>
        <v>0.25</v>
      </c>
      <c r="G32" s="22">
        <f>E32*F32</f>
        <v>0.25</v>
      </c>
      <c r="H32" s="22">
        <f t="shared" si="3"/>
        <v>0</v>
      </c>
      <c r="I32" s="23">
        <f t="shared" si="8"/>
        <v>0</v>
      </c>
      <c r="J32" s="124">
        <f t="shared" si="1"/>
        <v>6.2783113228132292E-3</v>
      </c>
    </row>
    <row r="33" spans="1:10" s="1" customFormat="1" x14ac:dyDescent="0.2">
      <c r="A33" s="110" t="s">
        <v>45</v>
      </c>
      <c r="B33" s="74"/>
      <c r="C33" s="35"/>
      <c r="D33" s="35">
        <f>SUM(D29:D32)</f>
        <v>1.0460946491239287</v>
      </c>
      <c r="E33" s="73"/>
      <c r="F33" s="35"/>
      <c r="G33" s="35">
        <f>SUM(G29:G32)</f>
        <v>1.0658942814109151</v>
      </c>
      <c r="H33" s="35">
        <f t="shared" si="3"/>
        <v>1.9799632286986446E-2</v>
      </c>
      <c r="I33" s="36">
        <f t="shared" si="8"/>
        <v>1.8927190100406319E-2</v>
      </c>
      <c r="J33" s="111">
        <f t="shared" si="1"/>
        <v>2.6768064543616077E-2</v>
      </c>
    </row>
    <row r="34" spans="1:10" ht="13.5" thickBot="1" x14ac:dyDescent="0.25">
      <c r="A34" s="112" t="s">
        <v>46</v>
      </c>
      <c r="B34" s="113">
        <f>B4</f>
        <v>131.07998865929491</v>
      </c>
      <c r="C34" s="114">
        <v>7.0000000000000001E-3</v>
      </c>
      <c r="D34" s="115">
        <f>B34*C34</f>
        <v>0.91755992061506442</v>
      </c>
      <c r="E34" s="116">
        <f t="shared" si="4"/>
        <v>131.07998865929491</v>
      </c>
      <c r="F34" s="114">
        <f>C34</f>
        <v>7.0000000000000001E-3</v>
      </c>
      <c r="G34" s="115">
        <f>E34*F34</f>
        <v>0.91755992061506442</v>
      </c>
      <c r="H34" s="115">
        <f t="shared" si="3"/>
        <v>0</v>
      </c>
      <c r="I34" s="117">
        <f t="shared" si="8"/>
        <v>0</v>
      </c>
      <c r="J34" s="118">
        <f t="shared" si="1"/>
        <v>2.3042907355828667E-2</v>
      </c>
    </row>
    <row r="35" spans="1:10" x14ac:dyDescent="0.2">
      <c r="A35" s="37" t="s">
        <v>146</v>
      </c>
      <c r="B35" s="38"/>
      <c r="C35" s="39"/>
      <c r="D35" s="39">
        <f>SUM(D14,D24,D27,D33,D34)</f>
        <v>42.316205900248917</v>
      </c>
      <c r="E35" s="38"/>
      <c r="F35" s="39"/>
      <c r="G35" s="39">
        <f>SUM(G14,G24,G27,G33,G34)</f>
        <v>37.923452000553347</v>
      </c>
      <c r="H35" s="39">
        <f t="shared" si="3"/>
        <v>-4.3927538996955704</v>
      </c>
      <c r="I35" s="40">
        <f t="shared" si="8"/>
        <v>-0.10380783924840792</v>
      </c>
      <c r="J35" s="41">
        <f t="shared" si="1"/>
        <v>0.95238095238095233</v>
      </c>
    </row>
    <row r="36" spans="1:10" x14ac:dyDescent="0.2">
      <c r="A36" s="46" t="s">
        <v>138</v>
      </c>
      <c r="B36" s="43"/>
      <c r="C36" s="26">
        <v>0.13</v>
      </c>
      <c r="D36" s="26">
        <f>D35*C36</f>
        <v>5.5011067670323595</v>
      </c>
      <c r="E36" s="26"/>
      <c r="F36" s="26">
        <f>C36</f>
        <v>0.13</v>
      </c>
      <c r="G36" s="26">
        <f>G35*F36</f>
        <v>4.9300487600719354</v>
      </c>
      <c r="H36" s="26">
        <f t="shared" si="3"/>
        <v>-0.57105800696042408</v>
      </c>
      <c r="I36" s="44">
        <f t="shared" si="8"/>
        <v>-0.1038078392484079</v>
      </c>
      <c r="J36" s="45">
        <f t="shared" si="1"/>
        <v>0.12380952380952381</v>
      </c>
    </row>
    <row r="37" spans="1:10" x14ac:dyDescent="0.2">
      <c r="A37" s="46" t="s">
        <v>139</v>
      </c>
      <c r="B37" s="24"/>
      <c r="C37" s="25"/>
      <c r="D37" s="25">
        <f>SUM(D35:D36)</f>
        <v>47.817312667281278</v>
      </c>
      <c r="E37" s="25"/>
      <c r="F37" s="25"/>
      <c r="G37" s="25">
        <f>SUM(G35:G36)</f>
        <v>42.85350076062528</v>
      </c>
      <c r="H37" s="25">
        <f t="shared" si="3"/>
        <v>-4.963811906655998</v>
      </c>
      <c r="I37" s="27">
        <f t="shared" si="8"/>
        <v>-0.10380783924840799</v>
      </c>
      <c r="J37" s="47">
        <f t="shared" si="1"/>
        <v>1.0761904761904761</v>
      </c>
    </row>
    <row r="38" spans="1:10" x14ac:dyDescent="0.2">
      <c r="A38" s="46" t="s">
        <v>140</v>
      </c>
      <c r="B38" s="43"/>
      <c r="C38" s="26">
        <v>-0.08</v>
      </c>
      <c r="D38" s="26">
        <f>D35*C38</f>
        <v>-3.3852964720199132</v>
      </c>
      <c r="E38" s="26"/>
      <c r="F38" s="26">
        <f>C38</f>
        <v>-0.08</v>
      </c>
      <c r="G38" s="26">
        <f>G35*F38</f>
        <v>-3.0338761600442679</v>
      </c>
      <c r="H38" s="26">
        <f t="shared" si="3"/>
        <v>0.35142031197564538</v>
      </c>
      <c r="I38" s="44">
        <f t="shared" si="8"/>
        <v>0.10380783924840785</v>
      </c>
      <c r="J38" s="45">
        <f t="shared" si="1"/>
        <v>-7.6190476190476197E-2</v>
      </c>
    </row>
    <row r="39" spans="1:10" ht="13.5" thickBot="1" x14ac:dyDescent="0.25">
      <c r="A39" s="46" t="s">
        <v>141</v>
      </c>
      <c r="B39" s="49"/>
      <c r="C39" s="50"/>
      <c r="D39" s="50">
        <f>SUM(D37:D38)</f>
        <v>44.432016195261369</v>
      </c>
      <c r="E39" s="50"/>
      <c r="F39" s="50"/>
      <c r="G39" s="50">
        <f>SUM(G37:G38)</f>
        <v>39.819624600581015</v>
      </c>
      <c r="H39" s="50">
        <f t="shared" si="3"/>
        <v>-4.6123915946803535</v>
      </c>
      <c r="I39" s="51">
        <f t="shared" si="8"/>
        <v>-0.10380783924840802</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99875000000000003" bottom="0.75" header="0.3" footer="0.3"/>
  <pageSetup scale="72" orientation="landscape" r:id="rId1"/>
  <headerFooter>
    <oddHeader xml:space="preserve">&amp;RUpdated: 2017-06-07
EB-2017-0049
Exhibit H1-4-1
Attachment 4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hedule xmlns="c177ebce-ba5d-4f17-87d0-6a1c56acc62b">1</Schedule>
    <Dir_Approved xmlns="9fda2e78-8e3f-49d4-9e97-25a6337a81ff">true</Dir_Approved>
    <Shell_Created xmlns="9fda2e78-8e3f-49d4-9e97-25a6337a81ff">false</Shell_Created>
    <Tab xmlns="c177ebce-ba5d-4f17-87d0-6a1c56acc62b">4</Tab>
    <Primary_Author xmlns="9fda2e78-8e3f-49d4-9e97-25a6337a81ff">
      <UserInfo>
        <DisplayName/>
        <AccountId xsi:nil="true"/>
        <AccountType/>
      </UserInfo>
    </Primary_Author>
    <Case_x0020_Number_x002f_Docket_x0020_Number xmlns="f9175001-c430-4d57-adde-c1c10539e919">EB-2017-0049</Case_x0020_Number_x002f_Docket_x0020_Number>
    <Exhibit xmlns="c177ebce-ba5d-4f17-87d0-6a1c56acc62b">H1</Exhibit>
    <BP_x0020_Update xmlns="6cd78a55-9298-4f12-88a0-08be2e2ac8f0">Yes</BP_x0020_Update>
    <Filing_x0020_Status xmlns="ea909525-6dd5-47d7-9eed-71e77e5cedc6">Blue Page Ready</Filing_x0020_Status>
    <Witness xmlns="6cd78a55-9298-4f12-88a0-08be2e2ac8f0" xsi:nil="true"/>
    <Issue_x0020_Date xmlns="f9175001-c430-4d57-adde-c1c10539e919">2017-06-07T04:00:00+00:00</Issue_x0020_Date>
    <RA_x0020_Contact xmlns="31a38067-a042-4e0e-9037-517587b10700">Stephen Vetsis</RA_x0020_Contact>
    <Additional_Reviewers xmlns="9fda2e78-8e3f-49d4-9e97-25a6337a81ff">
      <UserInfo>
        <DisplayName/>
        <AccountId xsi:nil="true"/>
        <AccountType/>
      </UserInfo>
    </Additional_Reviewers>
    <Dir_Contact xmlns="9fda2e78-8e3f-49d4-9e97-25a6337a81ff">Karen Taylor</Dir_Contact>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false</RA_Approved>
    <Draft_Ready xmlns="9fda2e78-8e3f-49d4-9e97-25a6337a81ff">false</Draft_Ready>
  </documentManagement>
</p:properties>
</file>

<file path=customXml/item2.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BFE91-E34D-48B1-8D41-97A7387A9D65}">
  <ds:schemaRefs>
    <ds:schemaRef ds:uri="http://schemas.microsoft.com/office/2006/metadata/properties"/>
    <ds:schemaRef ds:uri="http://purl.org/dc/terms/"/>
    <ds:schemaRef ds:uri="http://schemas.microsoft.com/office/infopath/2007/PartnerControls"/>
    <ds:schemaRef ds:uri="ea909525-6dd5-47d7-9eed-71e77e5cedc6"/>
    <ds:schemaRef ds:uri="6cd78a55-9298-4f12-88a0-08be2e2ac8f0"/>
    <ds:schemaRef ds:uri="9fda2e78-8e3f-49d4-9e97-25a6337a81ff"/>
    <ds:schemaRef ds:uri="http://schemas.openxmlformats.org/package/2006/metadata/core-properties"/>
    <ds:schemaRef ds:uri="http://purl.org/dc/elements/1.1/"/>
    <ds:schemaRef ds:uri="f0af1d65-dfd0-4b99-b523-def3a954563f"/>
    <ds:schemaRef ds:uri="http://www.w3.org/XML/1998/namespace"/>
    <ds:schemaRef ds:uri="f9175001-c430-4d57-adde-c1c10539e919"/>
    <ds:schemaRef ds:uri="http://schemas.microsoft.com/office/2006/documentManagement/types"/>
    <ds:schemaRef ds:uri="31a38067-a042-4e0e-9037-517587b10700"/>
    <ds:schemaRef ds:uri="c177ebce-ba5d-4f17-87d0-6a1c56acc62b"/>
    <ds:schemaRef ds:uri="http://purl.org/dc/dcmitype/"/>
  </ds:schemaRefs>
</ds:datastoreItem>
</file>

<file path=customXml/itemProps2.xml><?xml version="1.0" encoding="utf-8"?>
<ds:datastoreItem xmlns:ds="http://schemas.openxmlformats.org/officeDocument/2006/customXml" ds:itemID="{253732F1-1122-4F6A-A467-E9556E9C8EA8}">
  <ds:schemaRefs>
    <ds:schemaRef ds:uri="http://schemas.microsoft.com/office/2006/metadata/customXsn"/>
  </ds:schemaRefs>
</ds:datastoreItem>
</file>

<file path=customXml/itemProps3.xml><?xml version="1.0" encoding="utf-8"?>
<ds:datastoreItem xmlns:ds="http://schemas.openxmlformats.org/officeDocument/2006/customXml" ds:itemID="{AEFD0BD0-E361-4145-845B-8BB8EEE6292D}">
  <ds:schemaRefs>
    <ds:schemaRef ds:uri="http://schemas.microsoft.com/sharepoint/v3/contenttype/forms"/>
  </ds:schemaRefs>
</ds:datastoreItem>
</file>

<file path=customXml/itemProps4.xml><?xml version="1.0" encoding="utf-8"?>
<ds:datastoreItem xmlns:ds="http://schemas.openxmlformats.org/officeDocument/2006/customXml" ds:itemID="{5F9A7EE2-1FA8-422A-8A9D-983EF45CE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92</vt:i4>
      </vt:variant>
      <vt:variant>
        <vt:lpstr>Named Ranges</vt:lpstr>
      </vt:variant>
      <vt:variant>
        <vt:i4>1</vt:i4>
      </vt:variant>
    </vt:vector>
  </HeadingPairs>
  <TitlesOfParts>
    <vt:vector size="93" baseType="lpstr">
      <vt:lpstr>Bill Impact Summary_HONI</vt:lpstr>
      <vt:lpstr>Bill Impact Summary_Acq</vt:lpstr>
      <vt:lpstr>Data for Bill Impacts</vt:lpstr>
      <vt:lpstr>Data for Bill Impacts_HONI Avg </vt:lpstr>
      <vt:lpstr>BI_UR_Low</vt:lpstr>
      <vt:lpstr>BI_UR_Typical</vt:lpstr>
      <vt:lpstr>BI_UR_Avg</vt:lpstr>
      <vt:lpstr>BI_UR_High</vt:lpstr>
      <vt:lpstr>BI_R1_Low</vt:lpstr>
      <vt:lpstr>BI_R1_Typical</vt:lpstr>
      <vt:lpstr>BI_R1_High</vt:lpstr>
      <vt:lpstr>BI_R1_Avg</vt:lpstr>
      <vt:lpstr>BI_R2_Low</vt:lpstr>
      <vt:lpstr>BI_R2_Typical</vt:lpstr>
      <vt:lpstr>BI_R2_Avg</vt:lpstr>
      <vt:lpstr>BI_R2_High</vt:lpstr>
      <vt:lpstr>BI_Seas_Low</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BI_AUR_Low</vt:lpstr>
      <vt:lpstr>BI_AUR_Avg</vt:lpstr>
      <vt:lpstr>BI_AUR_Typical</vt:lpstr>
      <vt:lpstr>BI_AUR_High</vt:lpstr>
      <vt:lpstr>BI_AUGE_Low</vt:lpstr>
      <vt:lpstr>BI_AUGE_Avg</vt:lpstr>
      <vt:lpstr>BI_AUGE_Typical</vt:lpstr>
      <vt:lpstr>BI_AUGE_High</vt:lpstr>
      <vt:lpstr>BI_AUGd_Low</vt:lpstr>
      <vt:lpstr>BI_AUGd_Avg</vt:lpstr>
      <vt:lpstr>BI_AUGd_High</vt:lpstr>
      <vt:lpstr>WHSI_BI_ST_Low</vt:lpstr>
      <vt:lpstr>WHSI_BI_ST_Avg</vt:lpstr>
      <vt:lpstr>WHSI_BI_ST_High</vt:lpstr>
      <vt:lpstr>NPDI_BI_AR_Low</vt:lpstr>
      <vt:lpstr>NPDI_BI_AR_Avg</vt:lpstr>
      <vt:lpstr>NPDI_BI_AR_Typical</vt:lpstr>
      <vt:lpstr>NPDI_BI_AR_High</vt:lpstr>
      <vt:lpstr>HCHI_BI_AR_Low</vt:lpstr>
      <vt:lpstr>HCHI_BI_AR_Avg</vt:lpstr>
      <vt:lpstr>HCHI_BI_AR_Typical</vt:lpstr>
      <vt:lpstr>HCHI_BI_AR_High</vt:lpstr>
      <vt:lpstr>NPDI_BI_AGSE_Low</vt:lpstr>
      <vt:lpstr>NPDI_BI_AGSE_Avg</vt:lpstr>
      <vt:lpstr>NPDI_BI_AGSE_Typical</vt:lpstr>
      <vt:lpstr>NPDI_BI_AGSE_High</vt:lpstr>
      <vt:lpstr>HCHI_BI_AGSE_Low</vt:lpstr>
      <vt:lpstr>HCHI_BI_AGSE_Avg</vt:lpstr>
      <vt:lpstr>HCHI_BI_AGSE_Typical</vt:lpstr>
      <vt:lpstr>HCHI_BI_AGSE_High</vt:lpstr>
      <vt:lpstr>NPDI_BI_AGSD_Low</vt:lpstr>
      <vt:lpstr>NPDI_BI_AGSd_Avg</vt:lpstr>
      <vt:lpstr>NPDI_BI_AGSd_High</vt:lpstr>
      <vt:lpstr>HCHI_BI_AGSd_Low</vt:lpstr>
      <vt:lpstr>HCHI_BI_AGSd_Avg</vt:lpstr>
      <vt:lpstr>HCHI_BI_AGSd_High</vt:lpstr>
      <vt:lpstr>WHSI_BI_USL_Avg</vt:lpstr>
      <vt:lpstr>NPDI_BI_USL_Avg</vt:lpstr>
      <vt:lpstr>HCHI_BI_USL_Avg</vt:lpstr>
      <vt:lpstr>WHSI_BI_St Lgt_Avg</vt:lpstr>
      <vt:lpstr>NPDI_BI_St Lgt_Avg</vt:lpstr>
      <vt:lpstr>HCHI_BI_St Lgt_Avg</vt:lpstr>
      <vt:lpstr>NPDI_BI_SenLgt_Avg</vt:lpstr>
      <vt:lpstr>HCHI_BI_SenLgt_Avg</vt:lpstr>
      <vt:lpstr>'Bill Impact Summary_HONI'!Print_Area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4 Bill Impacts 2021</dc:title>
  <dc:creator>SHETH Nikita</dc:creator>
  <cp:lastModifiedBy>GAUVREAU Diane</cp:lastModifiedBy>
  <cp:lastPrinted>2017-06-06T15:20:21Z</cp:lastPrinted>
  <dcterms:created xsi:type="dcterms:W3CDTF">2013-09-20T18:49:19Z</dcterms:created>
  <dcterms:modified xsi:type="dcterms:W3CDTF">2017-06-06T15:20:27Z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D_Category">
    <vt:lpwstr>Other</vt:lpwstr>
  </property>
  <property fmtid="{D5CDD505-2E9C-101B-9397-08002B2CF9AE}" pid="3" name="RA2_Approved">
    <vt:bool>false</vt:bool>
  </property>
  <property fmtid="{D5CDD505-2E9C-101B-9397-08002B2CF9AE}" pid="4" name="ContentTypeId">
    <vt:lpwstr>0x0101006C4D7F394B56A844BBAB815FF7A6EFB5</vt:lpwstr>
  </property>
  <property fmtid="{D5CDD505-2E9C-101B-9397-08002B2CF9AE}" pid="5" name="AM_Approved">
    <vt:bool>false</vt:bool>
  </property>
  <property fmtid="{D5CDD505-2E9C-101B-9397-08002B2CF9AE}" pid="6" name="Document Type">
    <vt:lpwstr>Prefiled evidence</vt:lpwstr>
  </property>
  <property fmtid="{D5CDD505-2E9C-101B-9397-08002B2CF9AE}" pid="7" name="Comments">
    <vt:lpwstr/>
  </property>
</Properties>
</file>