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 yWindow="-15" windowWidth="12750" windowHeight="12420" tabRatio="942" firstSheet="54" activeTab="2"/>
  </bookViews>
  <sheets>
    <sheet name="Data for Bill Impacts" sheetId="3" state="hidden" r:id="rId1"/>
    <sheet name="Data for Bill Impacts_HONI Avg " sheetId="167" state="hidden" r:id="rId2"/>
    <sheet name="Bill Impact Summary" sheetId="7" r:id="rId3"/>
    <sheet name="BI_UR_Low" sheetId="4" r:id="rId4"/>
    <sheet name="BI_UR_Typical" sheetId="46" r:id="rId5"/>
    <sheet name="BI_UR_Avg" sheetId="180" r:id="rId6"/>
    <sheet name="BI_UR_High" sheetId="47" r:id="rId7"/>
    <sheet name="BI_R1_Low" sheetId="48" r:id="rId8"/>
    <sheet name="BI_R1_Typical" sheetId="49" r:id="rId9"/>
    <sheet name="BI_R1_Avg" sheetId="182" r:id="rId10"/>
    <sheet name="BI_R1_High" sheetId="50" r:id="rId11"/>
    <sheet name="BI_R2_Low" sheetId="51" r:id="rId12"/>
    <sheet name="BI_R2_Typical" sheetId="52" r:id="rId13"/>
    <sheet name="BI_R2_Avg" sheetId="181" r:id="rId14"/>
    <sheet name="BI_R2_High" sheetId="53" r:id="rId15"/>
    <sheet name="BI_Seas_Low" sheetId="54" r:id="rId16"/>
    <sheet name="BI_Seas_Avg" sheetId="168" r:id="rId17"/>
    <sheet name="BI_Seas_High" sheetId="56" r:id="rId18"/>
    <sheet name="BI_UGe_Low" sheetId="60" r:id="rId19"/>
    <sheet name="BI_UGe_Typical" sheetId="61" r:id="rId20"/>
    <sheet name="BI_UGe_Avg" sheetId="183" r:id="rId21"/>
    <sheet name="BI_UGe_High" sheetId="62" r:id="rId22"/>
    <sheet name="BI_GSe_Low" sheetId="57" r:id="rId23"/>
    <sheet name="BI_GSe_Typical" sheetId="58" r:id="rId24"/>
    <sheet name="BI_GSe_Avg" sheetId="184" r:id="rId25"/>
    <sheet name="BI_GSe_High" sheetId="59" r:id="rId26"/>
    <sheet name="BI_UGd_Low" sheetId="73" r:id="rId27"/>
    <sheet name="BI_UGd_Avg" sheetId="170" r:id="rId28"/>
    <sheet name="BI_UGd_High" sheetId="75" r:id="rId29"/>
    <sheet name="BI_GSd_Low" sheetId="5" r:id="rId30"/>
    <sheet name="BI_GSd_Avg" sheetId="171" r:id="rId31"/>
    <sheet name="BI_GSd_High" sheetId="72" r:id="rId32"/>
    <sheet name="BI_DGen_Low" sheetId="76" r:id="rId33"/>
    <sheet name="BI_DGen_Avg" sheetId="172" r:id="rId34"/>
    <sheet name="BI_DGen_High" sheetId="78" r:id="rId35"/>
    <sheet name="BI_ST_Low" sheetId="79" r:id="rId36"/>
    <sheet name="BI_ST_Avg" sheetId="173" r:id="rId37"/>
    <sheet name="BI_ST_High" sheetId="81" r:id="rId38"/>
    <sheet name="BI_USL_Low" sheetId="68" r:id="rId39"/>
    <sheet name="BI_USL_Avg" sheetId="175" r:id="rId40"/>
    <sheet name="BI_USL_High" sheetId="70" r:id="rId41"/>
    <sheet name="BI_SenLgt_Low" sheetId="65" r:id="rId42"/>
    <sheet name="BI_SenLgt_Avg" sheetId="174" r:id="rId43"/>
    <sheet name="BI_SenLgt_High" sheetId="67" r:id="rId44"/>
    <sheet name="BI_StLgt_Low" sheetId="25" r:id="rId45"/>
    <sheet name="BI_StLgt_Avg" sheetId="169" r:id="rId46"/>
    <sheet name="BI_StLgt_High" sheetId="64" r:id="rId47"/>
    <sheet name="BI_AUR_Low" sheetId="200" r:id="rId48"/>
    <sheet name="BI_AUR_Typical" sheetId="201" r:id="rId49"/>
    <sheet name="BI_AUR_Avg" sheetId="202" r:id="rId50"/>
    <sheet name="BI_AUR_High" sheetId="203" r:id="rId51"/>
    <sheet name="BI_AR_Low" sheetId="204" r:id="rId52"/>
    <sheet name="BI_AR_Typical" sheetId="205" r:id="rId53"/>
    <sheet name="BI_AR_Avg" sheetId="206" r:id="rId54"/>
    <sheet name="BI_AR_High" sheetId="207" r:id="rId55"/>
    <sheet name="BI_AUGe_Low" sheetId="208" r:id="rId56"/>
    <sheet name="BI_AUGe_Typical" sheetId="209" r:id="rId57"/>
    <sheet name="BI_AUGe_Avg" sheetId="210" r:id="rId58"/>
    <sheet name="BI_AUGe_High" sheetId="211" r:id="rId59"/>
    <sheet name="BI_AGSe_Low" sheetId="212" r:id="rId60"/>
    <sheet name="BI_AGSe_Typical" sheetId="213" r:id="rId61"/>
    <sheet name="BI_AGSe_Avg" sheetId="214" r:id="rId62"/>
    <sheet name="BI_AGSe_High" sheetId="215" r:id="rId63"/>
    <sheet name="BI_AUGd_Low" sheetId="216" r:id="rId64"/>
    <sheet name="BI_AUGd_Avg" sheetId="218" r:id="rId65"/>
    <sheet name="BI_AUGd_High" sheetId="219" r:id="rId66"/>
    <sheet name="BI_AGSd_Low" sheetId="220" r:id="rId67"/>
    <sheet name="BI_AGSd_Avg" sheetId="222" r:id="rId68"/>
    <sheet name="BI_AGSd_High" sheetId="223" r:id="rId69"/>
  </sheets>
  <definedNames>
    <definedName name="_xlnm.Print_Area" localSheetId="2">'Bill Impact Summary'!$A$1:$I$67</definedName>
  </definedNames>
  <calcPr calcId="145621"/>
</workbook>
</file>

<file path=xl/calcChain.xml><?xml version="1.0" encoding="utf-8"?>
<calcChain xmlns="http://schemas.openxmlformats.org/spreadsheetml/2006/main">
  <c r="C18" i="64" l="1"/>
  <c r="C18" i="169"/>
  <c r="I39" i="180" l="1"/>
  <c r="I41" i="47"/>
  <c r="I39" i="47"/>
  <c r="I41" i="48"/>
  <c r="I39" i="48"/>
  <c r="I41" i="49"/>
  <c r="I39" i="49"/>
  <c r="I39" i="182"/>
  <c r="I41" i="50"/>
  <c r="I39" i="50"/>
  <c r="I41" i="51"/>
  <c r="I39" i="51"/>
  <c r="I41" i="52"/>
  <c r="I39" i="52"/>
  <c r="I39" i="181"/>
  <c r="I41" i="53"/>
  <c r="I39" i="53"/>
  <c r="I41" i="54"/>
  <c r="I39" i="54"/>
  <c r="I39" i="168"/>
  <c r="I41" i="56"/>
  <c r="I39" i="56"/>
  <c r="I41" i="60"/>
  <c r="I39" i="60"/>
  <c r="I41" i="61"/>
  <c r="I39" i="61"/>
  <c r="I39" i="183"/>
  <c r="I41" i="62"/>
  <c r="I39" i="62"/>
  <c r="I41" i="57"/>
  <c r="I39" i="57"/>
  <c r="I41" i="58"/>
  <c r="I39" i="58"/>
  <c r="I39" i="184"/>
  <c r="I41" i="59"/>
  <c r="I39" i="59"/>
  <c r="I33" i="73"/>
  <c r="I31" i="73"/>
  <c r="I31" i="170"/>
  <c r="I33" i="75"/>
  <c r="I31" i="75"/>
  <c r="I33" i="5"/>
  <c r="I31" i="5"/>
  <c r="I31" i="171"/>
  <c r="I33" i="72"/>
  <c r="I31" i="72"/>
  <c r="I33" i="76"/>
  <c r="I31" i="76"/>
  <c r="I31" i="172"/>
  <c r="I33" i="78"/>
  <c r="I31" i="78"/>
  <c r="I33" i="79"/>
  <c r="I31" i="79"/>
  <c r="I31" i="173"/>
  <c r="I33" i="81"/>
  <c r="I31" i="81"/>
  <c r="I34" i="68"/>
  <c r="I32" i="68"/>
  <c r="I17" i="68"/>
  <c r="I16" i="68"/>
  <c r="I32" i="175"/>
  <c r="I17" i="175"/>
  <c r="I16" i="175"/>
  <c r="I34" i="70"/>
  <c r="I32" i="70"/>
  <c r="I17" i="70"/>
  <c r="I16" i="70"/>
  <c r="I34" i="65"/>
  <c r="I32" i="65"/>
  <c r="I17" i="65"/>
  <c r="I16" i="65"/>
  <c r="I32" i="174"/>
  <c r="I17" i="174"/>
  <c r="I16" i="174"/>
  <c r="I34" i="67"/>
  <c r="I32" i="67"/>
  <c r="I17" i="67"/>
  <c r="I16" i="67"/>
  <c r="I34" i="25"/>
  <c r="I32" i="25"/>
  <c r="I17" i="25"/>
  <c r="I16" i="25"/>
  <c r="I32" i="169"/>
  <c r="I17" i="169"/>
  <c r="I16" i="169"/>
  <c r="I34" i="64"/>
  <c r="I32" i="64"/>
  <c r="I17" i="64"/>
  <c r="I16" i="64"/>
  <c r="I41" i="200"/>
  <c r="I39" i="200"/>
  <c r="I41" i="201"/>
  <c r="I39" i="201"/>
  <c r="I39" i="202"/>
  <c r="I41" i="203"/>
  <c r="I39" i="203"/>
  <c r="I41" i="204"/>
  <c r="I39" i="204"/>
  <c r="I41" i="205"/>
  <c r="I39" i="205"/>
  <c r="I39" i="206"/>
  <c r="I41" i="207"/>
  <c r="I39" i="207"/>
  <c r="I41" i="208"/>
  <c r="I39" i="208"/>
  <c r="I41" i="209"/>
  <c r="I39" i="209"/>
  <c r="I39" i="210"/>
  <c r="I41" i="211"/>
  <c r="I39" i="211"/>
  <c r="I41" i="212"/>
  <c r="I39" i="212"/>
  <c r="I41" i="213"/>
  <c r="I39" i="213"/>
  <c r="I39" i="214"/>
  <c r="I41" i="215"/>
  <c r="I39" i="215"/>
  <c r="I33" i="216"/>
  <c r="I31" i="216"/>
  <c r="I31" i="218"/>
  <c r="I33" i="219"/>
  <c r="I31" i="219"/>
  <c r="I33" i="220"/>
  <c r="I31" i="220"/>
  <c r="I31" i="222"/>
  <c r="I33" i="223"/>
  <c r="I31" i="223"/>
  <c r="I41" i="46"/>
  <c r="I39" i="46"/>
  <c r="I41" i="4"/>
  <c r="I39" i="4"/>
  <c r="C46" i="7" l="1"/>
  <c r="D67" i="7" l="1"/>
  <c r="C67" i="7"/>
  <c r="D65" i="7"/>
  <c r="C65" i="7"/>
  <c r="D25" i="7"/>
  <c r="D26" i="7"/>
  <c r="D27" i="7"/>
  <c r="C64" i="7"/>
  <c r="C62" i="7"/>
  <c r="C61" i="7"/>
  <c r="D56" i="7"/>
  <c r="C56" i="7"/>
  <c r="D54" i="7"/>
  <c r="C54" i="7"/>
  <c r="D30" i="7"/>
  <c r="D29" i="7"/>
  <c r="D28" i="7"/>
  <c r="C53" i="7"/>
  <c r="C51" i="7"/>
  <c r="C50" i="7"/>
  <c r="C60" i="7"/>
  <c r="C58" i="7"/>
  <c r="C57" i="7"/>
  <c r="C49" i="7"/>
  <c r="C47" i="7"/>
  <c r="C30" i="7"/>
  <c r="C28" i="7"/>
  <c r="C27" i="7"/>
  <c r="C25" i="7"/>
  <c r="C24" i="7"/>
  <c r="C21" i="7"/>
  <c r="C20" i="7"/>
  <c r="C18" i="7"/>
  <c r="C17" i="7"/>
  <c r="C16" i="7"/>
  <c r="C14" i="7"/>
  <c r="C13" i="7"/>
  <c r="C11" i="7"/>
  <c r="C10" i="7"/>
  <c r="C9" i="7"/>
  <c r="C7" i="7"/>
  <c r="C6" i="7"/>
  <c r="C5" i="7"/>
  <c r="C3" i="7"/>
  <c r="C2" i="7"/>
  <c r="C22" i="218"/>
  <c r="F18" i="218"/>
  <c r="C18" i="218"/>
  <c r="D18" i="218" s="1"/>
  <c r="C17" i="218"/>
  <c r="D17" i="218" s="1"/>
  <c r="B8" i="218"/>
  <c r="B6" i="218"/>
  <c r="C21" i="219"/>
  <c r="C20" i="219"/>
  <c r="D20" i="219" s="1"/>
  <c r="F18" i="219"/>
  <c r="C18" i="219"/>
  <c r="D18" i="219" s="1"/>
  <c r="F17" i="219"/>
  <c r="C17" i="219"/>
  <c r="D17" i="219" s="1"/>
  <c r="B8" i="219"/>
  <c r="B6" i="219"/>
  <c r="B9" i="219" s="1"/>
  <c r="B21" i="219" s="1"/>
  <c r="C22" i="220"/>
  <c r="F18" i="220"/>
  <c r="G18" i="220" s="1"/>
  <c r="C18" i="220"/>
  <c r="D18" i="220" s="1"/>
  <c r="C17" i="220"/>
  <c r="D17" i="220" s="1"/>
  <c r="H17" i="220" s="1"/>
  <c r="I17" i="220" s="1"/>
  <c r="B8" i="220"/>
  <c r="B6" i="220"/>
  <c r="B9" i="220" s="1"/>
  <c r="C22" i="222"/>
  <c r="F18" i="222"/>
  <c r="G18" i="222" s="1"/>
  <c r="C18" i="222"/>
  <c r="D18" i="222" s="1"/>
  <c r="C17" i="222"/>
  <c r="D17" i="222" s="1"/>
  <c r="B8" i="222"/>
  <c r="B6" i="222"/>
  <c r="C22" i="223"/>
  <c r="F20" i="223"/>
  <c r="G20" i="223" s="1"/>
  <c r="C20" i="223"/>
  <c r="F18" i="223"/>
  <c r="G18" i="223" s="1"/>
  <c r="C18" i="223"/>
  <c r="D18" i="223" s="1"/>
  <c r="F17" i="223"/>
  <c r="G17" i="223" s="1"/>
  <c r="C17" i="223"/>
  <c r="D17" i="223" s="1"/>
  <c r="B8" i="223"/>
  <c r="B6" i="223"/>
  <c r="B9" i="223" s="1"/>
  <c r="C22" i="216"/>
  <c r="F18" i="216"/>
  <c r="C18" i="216"/>
  <c r="D18" i="216" s="1"/>
  <c r="C17" i="216"/>
  <c r="D17" i="216" s="1"/>
  <c r="B8" i="216"/>
  <c r="B6" i="216"/>
  <c r="B9" i="216" s="1"/>
  <c r="B28" i="216" s="1"/>
  <c r="F37" i="223"/>
  <c r="F35" i="223"/>
  <c r="F33" i="223"/>
  <c r="B33" i="223"/>
  <c r="F31" i="223"/>
  <c r="E31" i="223"/>
  <c r="G31" i="223" s="1"/>
  <c r="D31" i="223"/>
  <c r="B25" i="223"/>
  <c r="B24" i="223"/>
  <c r="E24" i="223" s="1"/>
  <c r="B21" i="223"/>
  <c r="B20" i="223"/>
  <c r="E20" i="223" s="1"/>
  <c r="E19" i="223"/>
  <c r="E18" i="223"/>
  <c r="E17" i="223"/>
  <c r="E16" i="223"/>
  <c r="F14" i="223"/>
  <c r="E14" i="223"/>
  <c r="G14" i="223" s="1"/>
  <c r="D14" i="223"/>
  <c r="F13" i="223"/>
  <c r="B7" i="223"/>
  <c r="F35" i="222"/>
  <c r="F33" i="222"/>
  <c r="G31" i="222"/>
  <c r="F31" i="222"/>
  <c r="E31" i="222"/>
  <c r="D31" i="222"/>
  <c r="E19" i="222"/>
  <c r="E18" i="222"/>
  <c r="G17" i="222"/>
  <c r="E17" i="222"/>
  <c r="E16" i="222"/>
  <c r="F14" i="222"/>
  <c r="G14" i="222" s="1"/>
  <c r="E14" i="222"/>
  <c r="D14" i="222"/>
  <c r="F13" i="222"/>
  <c r="F37" i="220"/>
  <c r="F35" i="220"/>
  <c r="F33" i="220"/>
  <c r="B33" i="220"/>
  <c r="G31" i="220"/>
  <c r="F31" i="220"/>
  <c r="E31" i="220"/>
  <c r="D31" i="220"/>
  <c r="H31" i="220" s="1"/>
  <c r="B25" i="220"/>
  <c r="B24" i="220"/>
  <c r="E24" i="220" s="1"/>
  <c r="B21" i="220"/>
  <c r="B20" i="220"/>
  <c r="E20" i="220" s="1"/>
  <c r="E19" i="220"/>
  <c r="E18" i="220"/>
  <c r="G17" i="220"/>
  <c r="E17" i="220"/>
  <c r="E16" i="220"/>
  <c r="G14" i="220"/>
  <c r="F14" i="220"/>
  <c r="E14" i="220"/>
  <c r="D14" i="220"/>
  <c r="F13" i="220"/>
  <c r="B7" i="220"/>
  <c r="F37" i="219"/>
  <c r="F35" i="219"/>
  <c r="F33" i="219"/>
  <c r="B33" i="219"/>
  <c r="D33" i="219" s="1"/>
  <c r="F31" i="219"/>
  <c r="G31" i="219" s="1"/>
  <c r="H31" i="219" s="1"/>
  <c r="E31" i="219"/>
  <c r="D31" i="219"/>
  <c r="B25" i="219"/>
  <c r="B24" i="219"/>
  <c r="E24" i="219" s="1"/>
  <c r="E22" i="219"/>
  <c r="B22" i="219"/>
  <c r="B20" i="219"/>
  <c r="E20" i="219" s="1"/>
  <c r="E19" i="219"/>
  <c r="E18" i="219"/>
  <c r="E17" i="219"/>
  <c r="E16" i="219"/>
  <c r="F14" i="219"/>
  <c r="E14" i="219"/>
  <c r="G14" i="219" s="1"/>
  <c r="D14" i="219"/>
  <c r="F13" i="219"/>
  <c r="B7" i="219"/>
  <c r="F37" i="218"/>
  <c r="F35" i="218"/>
  <c r="F33" i="218"/>
  <c r="H31" i="218"/>
  <c r="F31" i="218"/>
  <c r="E31" i="218"/>
  <c r="G31" i="218" s="1"/>
  <c r="D31" i="218"/>
  <c r="E19" i="218"/>
  <c r="E18" i="218"/>
  <c r="G17" i="218"/>
  <c r="E17" i="218"/>
  <c r="E16" i="218"/>
  <c r="F14" i="218"/>
  <c r="E14" i="218"/>
  <c r="G14" i="218" s="1"/>
  <c r="D14" i="218"/>
  <c r="F13" i="218"/>
  <c r="F37" i="216"/>
  <c r="F35" i="216"/>
  <c r="F33" i="216"/>
  <c r="E33" i="216"/>
  <c r="G33" i="216" s="1"/>
  <c r="D33" i="216"/>
  <c r="B33" i="216"/>
  <c r="F31" i="216"/>
  <c r="E31" i="216"/>
  <c r="G31" i="216" s="1"/>
  <c r="D31" i="216"/>
  <c r="E25" i="216"/>
  <c r="B25" i="216"/>
  <c r="B24" i="216"/>
  <c r="E24" i="216" s="1"/>
  <c r="E21" i="216"/>
  <c r="B21" i="216"/>
  <c r="B20" i="216"/>
  <c r="E20" i="216" s="1"/>
  <c r="E19" i="216"/>
  <c r="E18" i="216"/>
  <c r="G17" i="216"/>
  <c r="E17" i="216"/>
  <c r="E16" i="216"/>
  <c r="F14" i="216"/>
  <c r="E14" i="216"/>
  <c r="G14" i="216" s="1"/>
  <c r="D14" i="216"/>
  <c r="F13" i="216"/>
  <c r="B7" i="216"/>
  <c r="F26" i="208"/>
  <c r="G26" i="208" s="1"/>
  <c r="C26" i="208"/>
  <c r="D26" i="208" s="1"/>
  <c r="F21" i="208"/>
  <c r="G21" i="208" s="1"/>
  <c r="C21" i="208"/>
  <c r="D21" i="208" s="1"/>
  <c r="C20" i="208"/>
  <c r="D20" i="208" s="1"/>
  <c r="B9" i="208"/>
  <c r="B23" i="208" s="1"/>
  <c r="B7" i="208"/>
  <c r="C27" i="208" s="1"/>
  <c r="F27" i="208" s="1"/>
  <c r="B6" i="208"/>
  <c r="B8" i="208" s="1"/>
  <c r="B5" i="208"/>
  <c r="F26" i="210"/>
  <c r="G26" i="210" s="1"/>
  <c r="C26" i="210"/>
  <c r="D26" i="210" s="1"/>
  <c r="F21" i="210"/>
  <c r="G21" i="210" s="1"/>
  <c r="C21" i="210"/>
  <c r="D21" i="210" s="1"/>
  <c r="C20" i="210"/>
  <c r="D20" i="210" s="1"/>
  <c r="B9" i="210"/>
  <c r="B7" i="210"/>
  <c r="B6" i="210"/>
  <c r="B5" i="210"/>
  <c r="F26" i="211"/>
  <c r="G26" i="211" s="1"/>
  <c r="C26" i="211"/>
  <c r="D26" i="211" s="1"/>
  <c r="F21" i="211"/>
  <c r="G21" i="211" s="1"/>
  <c r="C21" i="211"/>
  <c r="D21" i="211" s="1"/>
  <c r="C20" i="211"/>
  <c r="D20" i="211" s="1"/>
  <c r="B9" i="211"/>
  <c r="B7" i="211"/>
  <c r="C27" i="211" s="1"/>
  <c r="F27" i="211" s="1"/>
  <c r="B6" i="211"/>
  <c r="B8" i="211" s="1"/>
  <c r="B5" i="211"/>
  <c r="F26" i="212"/>
  <c r="G26" i="212" s="1"/>
  <c r="C26" i="212"/>
  <c r="D26" i="212" s="1"/>
  <c r="F21" i="212"/>
  <c r="G21" i="212" s="1"/>
  <c r="C21" i="212"/>
  <c r="D21" i="212" s="1"/>
  <c r="C20" i="212"/>
  <c r="D20" i="212" s="1"/>
  <c r="B9" i="212"/>
  <c r="B7" i="212"/>
  <c r="C27" i="212" s="1"/>
  <c r="F27" i="212" s="1"/>
  <c r="B6" i="212"/>
  <c r="B8" i="212" s="1"/>
  <c r="B38" i="212" s="1"/>
  <c r="B5" i="212"/>
  <c r="F26" i="213"/>
  <c r="G26" i="213" s="1"/>
  <c r="C26" i="213"/>
  <c r="D26" i="213" s="1"/>
  <c r="F21" i="213"/>
  <c r="G21" i="213" s="1"/>
  <c r="C21" i="213"/>
  <c r="D21" i="213" s="1"/>
  <c r="C20" i="213"/>
  <c r="D20" i="213" s="1"/>
  <c r="B9" i="213"/>
  <c r="B23" i="213" s="1"/>
  <c r="E23" i="213" s="1"/>
  <c r="B7" i="213"/>
  <c r="C27" i="213" s="1"/>
  <c r="F27" i="213" s="1"/>
  <c r="B6" i="213"/>
  <c r="B8" i="213" s="1"/>
  <c r="B31" i="213" s="1"/>
  <c r="B5" i="213"/>
  <c r="F26" i="214"/>
  <c r="G26" i="214" s="1"/>
  <c r="C26" i="214"/>
  <c r="D26" i="214" s="1"/>
  <c r="F21" i="214"/>
  <c r="G21" i="214" s="1"/>
  <c r="C21" i="214"/>
  <c r="D21" i="214" s="1"/>
  <c r="C20" i="214"/>
  <c r="D20" i="214" s="1"/>
  <c r="B9" i="214"/>
  <c r="B7" i="214"/>
  <c r="B6" i="214"/>
  <c r="B5" i="214"/>
  <c r="F26" i="215"/>
  <c r="G26" i="215" s="1"/>
  <c r="C26" i="215"/>
  <c r="D26" i="215" s="1"/>
  <c r="F21" i="215"/>
  <c r="G21" i="215" s="1"/>
  <c r="C21" i="215"/>
  <c r="D21" i="215" s="1"/>
  <c r="C20" i="215"/>
  <c r="D20" i="215" s="1"/>
  <c r="H20" i="215" s="1"/>
  <c r="I20" i="215" s="1"/>
  <c r="B9" i="215"/>
  <c r="B23" i="215" s="1"/>
  <c r="E23" i="215" s="1"/>
  <c r="B7" i="215"/>
  <c r="C27" i="215" s="1"/>
  <c r="F27" i="215" s="1"/>
  <c r="B6" i="215"/>
  <c r="B8" i="215" s="1"/>
  <c r="B5" i="215"/>
  <c r="F26" i="209"/>
  <c r="G26" i="209" s="1"/>
  <c r="C26" i="209"/>
  <c r="D26" i="209" s="1"/>
  <c r="F21" i="209"/>
  <c r="C21" i="209"/>
  <c r="D21" i="209" s="1"/>
  <c r="C20" i="209"/>
  <c r="D20" i="209" s="1"/>
  <c r="B9" i="209"/>
  <c r="B23" i="209" s="1"/>
  <c r="B7" i="209"/>
  <c r="C27" i="209" s="1"/>
  <c r="F27" i="209" s="1"/>
  <c r="B6" i="209"/>
  <c r="B8" i="209" s="1"/>
  <c r="B5" i="209"/>
  <c r="F50" i="215"/>
  <c r="F48" i="215"/>
  <c r="F45" i="215"/>
  <c r="F43" i="215"/>
  <c r="F41" i="215"/>
  <c r="B41" i="215"/>
  <c r="F39" i="215"/>
  <c r="G39" i="215" s="1"/>
  <c r="E39" i="215"/>
  <c r="D39" i="215"/>
  <c r="C28" i="215"/>
  <c r="F28" i="215" s="1"/>
  <c r="E22" i="215"/>
  <c r="E21" i="215"/>
  <c r="G20" i="215"/>
  <c r="E20" i="215"/>
  <c r="E19" i="215"/>
  <c r="F17" i="215"/>
  <c r="E17" i="215"/>
  <c r="G17" i="215" s="1"/>
  <c r="D17" i="215"/>
  <c r="B17" i="215"/>
  <c r="F16" i="215"/>
  <c r="E16" i="215"/>
  <c r="G16" i="215" s="1"/>
  <c r="D16" i="215"/>
  <c r="B16" i="215"/>
  <c r="F15" i="215"/>
  <c r="E15" i="215"/>
  <c r="G15" i="215" s="1"/>
  <c r="D15" i="215"/>
  <c r="D18" i="215" s="1"/>
  <c r="B15" i="215"/>
  <c r="F13" i="215"/>
  <c r="F12" i="215"/>
  <c r="F50" i="214"/>
  <c r="F48" i="214"/>
  <c r="F45" i="214"/>
  <c r="F43" i="214"/>
  <c r="F41" i="214"/>
  <c r="F39" i="214"/>
  <c r="E39" i="214"/>
  <c r="G39" i="214" s="1"/>
  <c r="D39" i="214"/>
  <c r="C28" i="214"/>
  <c r="F28" i="214" s="1"/>
  <c r="E22" i="214"/>
  <c r="E21" i="214"/>
  <c r="E20" i="214"/>
  <c r="G20" i="214" s="1"/>
  <c r="E19" i="214"/>
  <c r="F17" i="214"/>
  <c r="F16" i="214"/>
  <c r="F15" i="214"/>
  <c r="F13" i="214"/>
  <c r="F12" i="214"/>
  <c r="F50" i="213"/>
  <c r="F48" i="213"/>
  <c r="F45" i="213"/>
  <c r="F43" i="213"/>
  <c r="H41" i="213"/>
  <c r="F41" i="213"/>
  <c r="E41" i="213"/>
  <c r="G41" i="213" s="1"/>
  <c r="D41" i="213"/>
  <c r="B41" i="213"/>
  <c r="G39" i="213"/>
  <c r="F39" i="213"/>
  <c r="E39" i="213"/>
  <c r="D39" i="213"/>
  <c r="C28" i="213"/>
  <c r="F28" i="213" s="1"/>
  <c r="E22" i="213"/>
  <c r="E21" i="213"/>
  <c r="E20" i="213"/>
  <c r="G20" i="213" s="1"/>
  <c r="E19" i="213"/>
  <c r="F17" i="213"/>
  <c r="D17" i="213"/>
  <c r="B17" i="213"/>
  <c r="E17" i="213" s="1"/>
  <c r="F16" i="213"/>
  <c r="D16" i="213"/>
  <c r="B16" i="213"/>
  <c r="E16" i="213" s="1"/>
  <c r="F15" i="213"/>
  <c r="D15" i="213"/>
  <c r="D18" i="213" s="1"/>
  <c r="B15" i="213"/>
  <c r="E15" i="213" s="1"/>
  <c r="F13" i="213"/>
  <c r="F12" i="213"/>
  <c r="F50" i="212"/>
  <c r="F48" i="212"/>
  <c r="F45" i="212"/>
  <c r="F43" i="212"/>
  <c r="F41" i="212"/>
  <c r="B41" i="212"/>
  <c r="F39" i="212"/>
  <c r="G39" i="212" s="1"/>
  <c r="H39" i="212" s="1"/>
  <c r="E39" i="212"/>
  <c r="D39" i="212"/>
  <c r="C28" i="212"/>
  <c r="F28" i="212" s="1"/>
  <c r="E22" i="212"/>
  <c r="E21" i="212"/>
  <c r="G20" i="212"/>
  <c r="E20" i="212"/>
  <c r="E19" i="212"/>
  <c r="F17" i="212"/>
  <c r="E17" i="212"/>
  <c r="G17" i="212" s="1"/>
  <c r="B17" i="212"/>
  <c r="D17" i="212" s="1"/>
  <c r="F16" i="212"/>
  <c r="E16" i="212"/>
  <c r="G16" i="212" s="1"/>
  <c r="B16" i="212"/>
  <c r="D16" i="212" s="1"/>
  <c r="F15" i="212"/>
  <c r="B15" i="212"/>
  <c r="D15" i="212" s="1"/>
  <c r="F13" i="212"/>
  <c r="F12" i="212"/>
  <c r="F50" i="211"/>
  <c r="F48" i="211"/>
  <c r="F45" i="211"/>
  <c r="F43" i="211"/>
  <c r="F41" i="211"/>
  <c r="D41" i="211"/>
  <c r="B41" i="211"/>
  <c r="E41" i="211" s="1"/>
  <c r="G41" i="211" s="1"/>
  <c r="F39" i="211"/>
  <c r="E39" i="211"/>
  <c r="G39" i="211" s="1"/>
  <c r="D39" i="211"/>
  <c r="C28" i="211"/>
  <c r="F28" i="211" s="1"/>
  <c r="E22" i="211"/>
  <c r="E21" i="211"/>
  <c r="G20" i="211"/>
  <c r="E20" i="211"/>
  <c r="E19" i="211"/>
  <c r="F17" i="211"/>
  <c r="E17" i="211"/>
  <c r="B17" i="211"/>
  <c r="D17" i="211" s="1"/>
  <c r="F16" i="211"/>
  <c r="E16" i="211"/>
  <c r="B16" i="211"/>
  <c r="D16" i="211" s="1"/>
  <c r="F15" i="211"/>
  <c r="E15" i="211"/>
  <c r="G15" i="211" s="1"/>
  <c r="B15" i="211"/>
  <c r="D15" i="211" s="1"/>
  <c r="F13" i="211"/>
  <c r="F12" i="211"/>
  <c r="F50" i="210"/>
  <c r="F48" i="210"/>
  <c r="F45" i="210"/>
  <c r="F43" i="210"/>
  <c r="F41" i="210"/>
  <c r="F39" i="210"/>
  <c r="E39" i="210"/>
  <c r="G39" i="210" s="1"/>
  <c r="D39" i="210"/>
  <c r="C28" i="210"/>
  <c r="F28" i="210" s="1"/>
  <c r="E22" i="210"/>
  <c r="E21" i="210"/>
  <c r="G20" i="210"/>
  <c r="E20" i="210"/>
  <c r="E19" i="210"/>
  <c r="F17" i="210"/>
  <c r="F16" i="210"/>
  <c r="F15" i="210"/>
  <c r="F13" i="210"/>
  <c r="F12" i="210"/>
  <c r="F50" i="209"/>
  <c r="F48" i="209"/>
  <c r="F45" i="209"/>
  <c r="F43" i="209"/>
  <c r="G41" i="209"/>
  <c r="H41" i="209" s="1"/>
  <c r="F41" i="209"/>
  <c r="D41" i="209"/>
  <c r="B41" i="209"/>
  <c r="E41" i="209" s="1"/>
  <c r="G39" i="209"/>
  <c r="H39" i="209" s="1"/>
  <c r="F39" i="209"/>
  <c r="E39" i="209"/>
  <c r="D39" i="209"/>
  <c r="C28" i="209"/>
  <c r="F28" i="209" s="1"/>
  <c r="E22" i="209"/>
  <c r="E21" i="209"/>
  <c r="G20" i="209"/>
  <c r="E20" i="209"/>
  <c r="E19" i="209"/>
  <c r="F17" i="209"/>
  <c r="B17" i="209"/>
  <c r="F16" i="209"/>
  <c r="B16" i="209"/>
  <c r="F15" i="209"/>
  <c r="B15" i="209"/>
  <c r="F13" i="209"/>
  <c r="F12" i="209"/>
  <c r="F50" i="208"/>
  <c r="F48" i="208"/>
  <c r="F45" i="208"/>
  <c r="F43" i="208"/>
  <c r="F41" i="208"/>
  <c r="E41" i="208"/>
  <c r="G41" i="208" s="1"/>
  <c r="H41" i="208" s="1"/>
  <c r="D41" i="208"/>
  <c r="B41" i="208"/>
  <c r="G39" i="208"/>
  <c r="F39" i="208"/>
  <c r="E39" i="208"/>
  <c r="D39" i="208"/>
  <c r="C28" i="208"/>
  <c r="F28" i="208" s="1"/>
  <c r="E22" i="208"/>
  <c r="E21" i="208"/>
  <c r="G20" i="208"/>
  <c r="E20" i="208"/>
  <c r="E19" i="208"/>
  <c r="F17" i="208"/>
  <c r="B17" i="208"/>
  <c r="F16" i="208"/>
  <c r="B16" i="208"/>
  <c r="F15" i="208"/>
  <c r="B15" i="208"/>
  <c r="F13" i="208"/>
  <c r="F12" i="208"/>
  <c r="F26" i="201"/>
  <c r="G26" i="201" s="1"/>
  <c r="C26" i="201"/>
  <c r="D26" i="201" s="1"/>
  <c r="F21" i="201"/>
  <c r="C21" i="201"/>
  <c r="D21" i="201" s="1"/>
  <c r="C20" i="201"/>
  <c r="D20" i="201" s="1"/>
  <c r="B9" i="201"/>
  <c r="B24" i="201" s="1"/>
  <c r="E24" i="201" s="1"/>
  <c r="B7" i="201"/>
  <c r="C27" i="201" s="1"/>
  <c r="F27" i="201" s="1"/>
  <c r="B6" i="201"/>
  <c r="B8" i="201" s="1"/>
  <c r="B5" i="201"/>
  <c r="F26" i="202"/>
  <c r="G26" i="202" s="1"/>
  <c r="C26" i="202"/>
  <c r="D26" i="202" s="1"/>
  <c r="F21" i="202"/>
  <c r="C21" i="202"/>
  <c r="D21" i="202" s="1"/>
  <c r="C20" i="202"/>
  <c r="D20" i="202" s="1"/>
  <c r="B9" i="202"/>
  <c r="B7" i="202"/>
  <c r="B6" i="202"/>
  <c r="B5" i="202"/>
  <c r="F26" i="203"/>
  <c r="G26" i="203" s="1"/>
  <c r="C26" i="203"/>
  <c r="D26" i="203" s="1"/>
  <c r="F21" i="203"/>
  <c r="G21" i="203" s="1"/>
  <c r="C21" i="203"/>
  <c r="D21" i="203" s="1"/>
  <c r="C20" i="203"/>
  <c r="D20" i="203" s="1"/>
  <c r="H20" i="203" s="1"/>
  <c r="I20" i="203" s="1"/>
  <c r="B9" i="203"/>
  <c r="B24" i="203" s="1"/>
  <c r="B7" i="203"/>
  <c r="B12" i="203" s="1"/>
  <c r="E12" i="203" s="1"/>
  <c r="B6" i="203"/>
  <c r="B8" i="203" s="1"/>
  <c r="B5" i="203"/>
  <c r="F26" i="204"/>
  <c r="G26" i="204" s="1"/>
  <c r="C26" i="204"/>
  <c r="D26" i="204" s="1"/>
  <c r="F21" i="204"/>
  <c r="C21" i="204"/>
  <c r="D21" i="204" s="1"/>
  <c r="C20" i="204"/>
  <c r="D20" i="204" s="1"/>
  <c r="B9" i="204"/>
  <c r="B24" i="204" s="1"/>
  <c r="B7" i="204"/>
  <c r="C27" i="204" s="1"/>
  <c r="F27" i="204" s="1"/>
  <c r="B6" i="204"/>
  <c r="B8" i="204" s="1"/>
  <c r="B5" i="204"/>
  <c r="F26" i="205"/>
  <c r="G26" i="205" s="1"/>
  <c r="C26" i="205"/>
  <c r="D26" i="205" s="1"/>
  <c r="F21" i="205"/>
  <c r="C21" i="205"/>
  <c r="D21" i="205" s="1"/>
  <c r="C20" i="205"/>
  <c r="D20" i="205" s="1"/>
  <c r="B9" i="205"/>
  <c r="B7" i="205"/>
  <c r="C27" i="205" s="1"/>
  <c r="F27" i="205" s="1"/>
  <c r="B6" i="205"/>
  <c r="B8" i="205" s="1"/>
  <c r="B38" i="205" s="1"/>
  <c r="B5" i="205"/>
  <c r="F26" i="206"/>
  <c r="G26" i="206" s="1"/>
  <c r="C26" i="206"/>
  <c r="D26" i="206" s="1"/>
  <c r="F21" i="206"/>
  <c r="C21" i="206"/>
  <c r="D21" i="206" s="1"/>
  <c r="C20" i="206"/>
  <c r="D20" i="206" s="1"/>
  <c r="B9" i="206"/>
  <c r="B7" i="206"/>
  <c r="B6" i="206"/>
  <c r="B5" i="206"/>
  <c r="F26" i="207"/>
  <c r="G26" i="207" s="1"/>
  <c r="C26" i="207"/>
  <c r="D26" i="207" s="1"/>
  <c r="F21" i="207"/>
  <c r="G21" i="207" s="1"/>
  <c r="C21" i="207"/>
  <c r="D21" i="207" s="1"/>
  <c r="C20" i="207"/>
  <c r="D20" i="207" s="1"/>
  <c r="H20" i="207" s="1"/>
  <c r="I20" i="207" s="1"/>
  <c r="B9" i="207"/>
  <c r="B23" i="207" s="1"/>
  <c r="E23" i="207" s="1"/>
  <c r="B7" i="207"/>
  <c r="C27" i="207" s="1"/>
  <c r="F27" i="207" s="1"/>
  <c r="B6" i="207"/>
  <c r="B8" i="207" s="1"/>
  <c r="B5" i="207"/>
  <c r="F26" i="200"/>
  <c r="G26" i="200" s="1"/>
  <c r="C26" i="200"/>
  <c r="D26" i="200" s="1"/>
  <c r="F21" i="200"/>
  <c r="G21" i="200" s="1"/>
  <c r="C21" i="200"/>
  <c r="D21" i="200" s="1"/>
  <c r="C20" i="200"/>
  <c r="D20" i="200" s="1"/>
  <c r="H20" i="200" s="1"/>
  <c r="I20" i="200" s="1"/>
  <c r="B9" i="200"/>
  <c r="B24" i="200" s="1"/>
  <c r="B7" i="200"/>
  <c r="C27" i="200" s="1"/>
  <c r="F27" i="200" s="1"/>
  <c r="B6" i="200"/>
  <c r="B8" i="200" s="1"/>
  <c r="B5" i="200"/>
  <c r="F50" i="207"/>
  <c r="F48" i="207"/>
  <c r="F45" i="207"/>
  <c r="F43" i="207"/>
  <c r="F41" i="207"/>
  <c r="B41" i="207"/>
  <c r="F39" i="207"/>
  <c r="G39" i="207" s="1"/>
  <c r="E39" i="207"/>
  <c r="D39" i="207"/>
  <c r="C28" i="207"/>
  <c r="F28" i="207" s="1"/>
  <c r="E22" i="207"/>
  <c r="E21" i="207"/>
  <c r="G20" i="207"/>
  <c r="E20" i="207"/>
  <c r="E19" i="207"/>
  <c r="F17" i="207"/>
  <c r="D17" i="207"/>
  <c r="B17" i="207"/>
  <c r="E17" i="207" s="1"/>
  <c r="F16" i="207"/>
  <c r="D16" i="207"/>
  <c r="B16" i="207"/>
  <c r="E16" i="207" s="1"/>
  <c r="F15" i="207"/>
  <c r="D15" i="207"/>
  <c r="B15" i="207"/>
  <c r="E15" i="207" s="1"/>
  <c r="F13" i="207"/>
  <c r="F12" i="207"/>
  <c r="F50" i="206"/>
  <c r="F48" i="206"/>
  <c r="F45" i="206"/>
  <c r="F43" i="206"/>
  <c r="F41" i="206"/>
  <c r="F39" i="206"/>
  <c r="E39" i="206"/>
  <c r="G39" i="206" s="1"/>
  <c r="D39" i="206"/>
  <c r="C28" i="206"/>
  <c r="F28" i="206" s="1"/>
  <c r="E22" i="206"/>
  <c r="E21" i="206"/>
  <c r="E20" i="206"/>
  <c r="G20" i="206" s="1"/>
  <c r="E19" i="206"/>
  <c r="F17" i="206"/>
  <c r="F16" i="206"/>
  <c r="F15" i="206"/>
  <c r="F13" i="206"/>
  <c r="F12" i="206"/>
  <c r="F50" i="205"/>
  <c r="F48" i="205"/>
  <c r="F45" i="205"/>
  <c r="F43" i="205"/>
  <c r="F41" i="205"/>
  <c r="E41" i="205"/>
  <c r="G41" i="205" s="1"/>
  <c r="D41" i="205"/>
  <c r="B41" i="205"/>
  <c r="F39" i="205"/>
  <c r="E39" i="205"/>
  <c r="G39" i="205" s="1"/>
  <c r="D39" i="205"/>
  <c r="H39" i="205" s="1"/>
  <c r="C28" i="205"/>
  <c r="F28" i="205" s="1"/>
  <c r="E22" i="205"/>
  <c r="E21" i="205"/>
  <c r="G20" i="205"/>
  <c r="E20" i="205"/>
  <c r="E19" i="205"/>
  <c r="F17" i="205"/>
  <c r="E17" i="205"/>
  <c r="G17" i="205" s="1"/>
  <c r="D17" i="205"/>
  <c r="B17" i="205"/>
  <c r="F16" i="205"/>
  <c r="E16" i="205"/>
  <c r="G16" i="205" s="1"/>
  <c r="H16" i="205" s="1"/>
  <c r="I16" i="205" s="1"/>
  <c r="D16" i="205"/>
  <c r="B16" i="205"/>
  <c r="F15" i="205"/>
  <c r="E15" i="205"/>
  <c r="G15" i="205" s="1"/>
  <c r="D15" i="205"/>
  <c r="B15" i="205"/>
  <c r="F13" i="205"/>
  <c r="F12" i="205"/>
  <c r="F50" i="204"/>
  <c r="F48" i="204"/>
  <c r="F45" i="204"/>
  <c r="F43" i="204"/>
  <c r="F41" i="204"/>
  <c r="E41" i="204"/>
  <c r="D41" i="204"/>
  <c r="B41" i="204"/>
  <c r="H39" i="204"/>
  <c r="F39" i="204"/>
  <c r="E39" i="204"/>
  <c r="G39" i="204" s="1"/>
  <c r="D39" i="204"/>
  <c r="C28" i="204"/>
  <c r="F28" i="204" s="1"/>
  <c r="E22" i="204"/>
  <c r="E21" i="204"/>
  <c r="E20" i="204"/>
  <c r="G20" i="204" s="1"/>
  <c r="E19" i="204"/>
  <c r="F17" i="204"/>
  <c r="E17" i="204"/>
  <c r="D17" i="204"/>
  <c r="B17" i="204"/>
  <c r="F16" i="204"/>
  <c r="E16" i="204"/>
  <c r="D16" i="204"/>
  <c r="B16" i="204"/>
  <c r="H15" i="204"/>
  <c r="I15" i="204" s="1"/>
  <c r="F15" i="204"/>
  <c r="E15" i="204"/>
  <c r="G15" i="204" s="1"/>
  <c r="D15" i="204"/>
  <c r="B15" i="204"/>
  <c r="F13" i="204"/>
  <c r="F12" i="204"/>
  <c r="F50" i="203"/>
  <c r="F48" i="203"/>
  <c r="F45" i="203"/>
  <c r="F43" i="203"/>
  <c r="F41" i="203"/>
  <c r="E41" i="203"/>
  <c r="G41" i="203" s="1"/>
  <c r="D41" i="203"/>
  <c r="B41" i="203"/>
  <c r="F39" i="203"/>
  <c r="E39" i="203"/>
  <c r="G39" i="203" s="1"/>
  <c r="D39" i="203"/>
  <c r="C28" i="203"/>
  <c r="F28" i="203" s="1"/>
  <c r="E22" i="203"/>
  <c r="E21" i="203"/>
  <c r="G20" i="203"/>
  <c r="E20" i="203"/>
  <c r="E19" i="203"/>
  <c r="F17" i="203"/>
  <c r="B17" i="203"/>
  <c r="F16" i="203"/>
  <c r="B16" i="203"/>
  <c r="F15" i="203"/>
  <c r="B15" i="203"/>
  <c r="F13" i="203"/>
  <c r="F12" i="203"/>
  <c r="F50" i="202"/>
  <c r="F48" i="202"/>
  <c r="F45" i="202"/>
  <c r="F43" i="202"/>
  <c r="F41" i="202"/>
  <c r="F39" i="202"/>
  <c r="G39" i="202" s="1"/>
  <c r="E39" i="202"/>
  <c r="D39" i="202"/>
  <c r="C28" i="202"/>
  <c r="F28" i="202" s="1"/>
  <c r="E22" i="202"/>
  <c r="E21" i="202"/>
  <c r="G20" i="202"/>
  <c r="E20" i="202"/>
  <c r="E19" i="202"/>
  <c r="F17" i="202"/>
  <c r="F16" i="202"/>
  <c r="F15" i="202"/>
  <c r="F13" i="202"/>
  <c r="F12" i="202"/>
  <c r="F50" i="201"/>
  <c r="F48" i="201"/>
  <c r="F45" i="201"/>
  <c r="F43" i="201"/>
  <c r="F41" i="201"/>
  <c r="B41" i="201"/>
  <c r="F39" i="201"/>
  <c r="E39" i="201"/>
  <c r="G39" i="201" s="1"/>
  <c r="D39" i="201"/>
  <c r="F28" i="201"/>
  <c r="C28" i="201"/>
  <c r="E22" i="201"/>
  <c r="E21" i="201"/>
  <c r="E20" i="201"/>
  <c r="G20" i="201" s="1"/>
  <c r="E19" i="201"/>
  <c r="F17" i="201"/>
  <c r="E17" i="201"/>
  <c r="G17" i="201" s="1"/>
  <c r="D17" i="201"/>
  <c r="B17" i="201"/>
  <c r="F16" i="201"/>
  <c r="E16" i="201"/>
  <c r="G16" i="201" s="1"/>
  <c r="D16" i="201"/>
  <c r="B16" i="201"/>
  <c r="F15" i="201"/>
  <c r="E15" i="201"/>
  <c r="G15" i="201" s="1"/>
  <c r="H15" i="201" s="1"/>
  <c r="I15" i="201" s="1"/>
  <c r="D15" i="201"/>
  <c r="B15" i="201"/>
  <c r="F13" i="201"/>
  <c r="F12" i="201"/>
  <c r="F50" i="200"/>
  <c r="F48" i="200"/>
  <c r="F45" i="200"/>
  <c r="F43" i="200"/>
  <c r="F41" i="200"/>
  <c r="E41" i="200"/>
  <c r="G41" i="200" s="1"/>
  <c r="D41" i="200"/>
  <c r="B41" i="200"/>
  <c r="H39" i="200"/>
  <c r="F39" i="200"/>
  <c r="E39" i="200"/>
  <c r="G39" i="200" s="1"/>
  <c r="D39" i="200"/>
  <c r="C28" i="200"/>
  <c r="F28" i="200" s="1"/>
  <c r="E22" i="200"/>
  <c r="E21" i="200"/>
  <c r="G20" i="200"/>
  <c r="E20" i="200"/>
  <c r="E19" i="200"/>
  <c r="F17" i="200"/>
  <c r="E17" i="200"/>
  <c r="D17" i="200"/>
  <c r="B17" i="200"/>
  <c r="F16" i="200"/>
  <c r="E16" i="200"/>
  <c r="D16" i="200"/>
  <c r="B16" i="200"/>
  <c r="F15" i="200"/>
  <c r="E15" i="200"/>
  <c r="D15" i="200"/>
  <c r="D18" i="200" s="1"/>
  <c r="B15" i="200"/>
  <c r="F13" i="200"/>
  <c r="F12" i="200"/>
  <c r="H16" i="215" l="1"/>
  <c r="I16" i="215" s="1"/>
  <c r="H17" i="215"/>
  <c r="I17" i="215" s="1"/>
  <c r="D18" i="211"/>
  <c r="G16" i="211"/>
  <c r="H16" i="211" s="1"/>
  <c r="I16" i="211" s="1"/>
  <c r="G17" i="211"/>
  <c r="H17" i="211" s="1"/>
  <c r="I17" i="211" s="1"/>
  <c r="G16" i="204"/>
  <c r="G17" i="204"/>
  <c r="H17" i="204" s="1"/>
  <c r="I17" i="204" s="1"/>
  <c r="D18" i="207"/>
  <c r="G15" i="200"/>
  <c r="G16" i="200"/>
  <c r="G17" i="200"/>
  <c r="H17" i="200" s="1"/>
  <c r="I17" i="200" s="1"/>
  <c r="G12" i="203"/>
  <c r="G17" i="219"/>
  <c r="H17" i="219" s="1"/>
  <c r="I17" i="219" s="1"/>
  <c r="B23" i="203"/>
  <c r="E23" i="203" s="1"/>
  <c r="B23" i="200"/>
  <c r="E23" i="200" s="1"/>
  <c r="G18" i="218"/>
  <c r="H18" i="218" s="1"/>
  <c r="I18" i="218" s="1"/>
  <c r="H18" i="223"/>
  <c r="I18" i="223" s="1"/>
  <c r="G18" i="216"/>
  <c r="H18" i="216" s="1"/>
  <c r="I18" i="216" s="1"/>
  <c r="G21" i="201"/>
  <c r="H21" i="201" s="1"/>
  <c r="I21" i="201" s="1"/>
  <c r="H18" i="220"/>
  <c r="I18" i="220" s="1"/>
  <c r="G18" i="219"/>
  <c r="H18" i="219" s="1"/>
  <c r="I18" i="219" s="1"/>
  <c r="H17" i="223"/>
  <c r="I17" i="223" s="1"/>
  <c r="B22" i="216"/>
  <c r="D22" i="216" s="1"/>
  <c r="B30" i="216"/>
  <c r="E30" i="216" s="1"/>
  <c r="G30" i="216" s="1"/>
  <c r="H31" i="216"/>
  <c r="H33" i="216"/>
  <c r="H14" i="218"/>
  <c r="I14" i="218" s="1"/>
  <c r="D21" i="219"/>
  <c r="E21" i="219"/>
  <c r="H14" i="216"/>
  <c r="I14" i="216" s="1"/>
  <c r="D28" i="216"/>
  <c r="E28" i="216"/>
  <c r="G28" i="216" s="1"/>
  <c r="B13" i="216"/>
  <c r="H17" i="216"/>
  <c r="I17" i="216" s="1"/>
  <c r="E25" i="219"/>
  <c r="B29" i="220"/>
  <c r="B30" i="220"/>
  <c r="B22" i="220"/>
  <c r="B28" i="220"/>
  <c r="B29" i="216"/>
  <c r="H17" i="218"/>
  <c r="I17" i="218" s="1"/>
  <c r="H14" i="219"/>
  <c r="I14" i="219" s="1"/>
  <c r="B30" i="219"/>
  <c r="B28" i="219"/>
  <c r="B13" i="219"/>
  <c r="B29" i="219"/>
  <c r="B13" i="220"/>
  <c r="E21" i="220"/>
  <c r="E25" i="220"/>
  <c r="H17" i="222"/>
  <c r="I17" i="222" s="1"/>
  <c r="H18" i="222"/>
  <c r="I18" i="222" s="1"/>
  <c r="E33" i="219"/>
  <c r="G33" i="219" s="1"/>
  <c r="H14" i="220"/>
  <c r="I14" i="220" s="1"/>
  <c r="E33" i="220"/>
  <c r="G33" i="220" s="1"/>
  <c r="D33" i="220"/>
  <c r="H31" i="222"/>
  <c r="B29" i="223"/>
  <c r="B30" i="223"/>
  <c r="B22" i="223"/>
  <c r="B28" i="223"/>
  <c r="B13" i="223"/>
  <c r="E25" i="223"/>
  <c r="E33" i="223"/>
  <c r="G33" i="223" s="1"/>
  <c r="D33" i="223"/>
  <c r="H31" i="223"/>
  <c r="H14" i="222"/>
  <c r="I14" i="222" s="1"/>
  <c r="H14" i="223"/>
  <c r="I14" i="223" s="1"/>
  <c r="E21" i="223"/>
  <c r="D20" i="223"/>
  <c r="H26" i="215"/>
  <c r="I26" i="215" s="1"/>
  <c r="H21" i="208"/>
  <c r="I21" i="208" s="1"/>
  <c r="H20" i="213"/>
  <c r="I20" i="213" s="1"/>
  <c r="H26" i="214"/>
  <c r="I26" i="214" s="1"/>
  <c r="B31" i="209"/>
  <c r="E31" i="209" s="1"/>
  <c r="B32" i="209"/>
  <c r="B13" i="211"/>
  <c r="E13" i="211" s="1"/>
  <c r="G13" i="211" s="1"/>
  <c r="G21" i="209"/>
  <c r="H21" i="209" s="1"/>
  <c r="I21" i="209" s="1"/>
  <c r="B12" i="213"/>
  <c r="E12" i="213" s="1"/>
  <c r="G12" i="213" s="1"/>
  <c r="B12" i="215"/>
  <c r="D12" i="215" s="1"/>
  <c r="B12" i="211"/>
  <c r="E12" i="211" s="1"/>
  <c r="G12" i="211" s="1"/>
  <c r="B12" i="212"/>
  <c r="E12" i="212" s="1"/>
  <c r="G12" i="212" s="1"/>
  <c r="B24" i="215"/>
  <c r="E24" i="215" s="1"/>
  <c r="B13" i="213"/>
  <c r="D13" i="213" s="1"/>
  <c r="B24" i="213"/>
  <c r="E24" i="213" s="1"/>
  <c r="B13" i="215"/>
  <c r="D13" i="215" s="1"/>
  <c r="E15" i="209"/>
  <c r="G15" i="209" s="1"/>
  <c r="D15" i="209"/>
  <c r="E17" i="208"/>
  <c r="G17" i="208" s="1"/>
  <c r="D17" i="208"/>
  <c r="B13" i="209"/>
  <c r="B12" i="209"/>
  <c r="E17" i="209"/>
  <c r="G17" i="209" s="1"/>
  <c r="D17" i="209"/>
  <c r="E15" i="208"/>
  <c r="G15" i="208" s="1"/>
  <c r="D15" i="208"/>
  <c r="B38" i="208"/>
  <c r="B37" i="208"/>
  <c r="B36" i="208"/>
  <c r="B32" i="208"/>
  <c r="B28" i="208"/>
  <c r="B31" i="208"/>
  <c r="B27" i="208"/>
  <c r="B13" i="208"/>
  <c r="B12" i="208"/>
  <c r="E16" i="208"/>
  <c r="G16" i="208" s="1"/>
  <c r="D16" i="208"/>
  <c r="E23" i="208"/>
  <c r="H39" i="208"/>
  <c r="E16" i="209"/>
  <c r="G16" i="209" s="1"/>
  <c r="D16" i="209"/>
  <c r="E23" i="209"/>
  <c r="B24" i="212"/>
  <c r="B23" i="212"/>
  <c r="H20" i="208"/>
  <c r="I20" i="208" s="1"/>
  <c r="B24" i="208"/>
  <c r="H26" i="208"/>
  <c r="I26" i="208" s="1"/>
  <c r="H20" i="209"/>
  <c r="I20" i="209" s="1"/>
  <c r="B24" i="209"/>
  <c r="H26" i="209"/>
  <c r="I26" i="209" s="1"/>
  <c r="B27" i="209"/>
  <c r="H26" i="210"/>
  <c r="I26" i="210" s="1"/>
  <c r="H15" i="211"/>
  <c r="I15" i="211" s="1"/>
  <c r="B38" i="213"/>
  <c r="B37" i="213"/>
  <c r="B36" i="213"/>
  <c r="B32" i="213"/>
  <c r="B28" i="213"/>
  <c r="B27" i="213"/>
  <c r="H39" i="210"/>
  <c r="H26" i="211"/>
  <c r="I26" i="211" s="1"/>
  <c r="B38" i="209"/>
  <c r="B37" i="209"/>
  <c r="B28" i="209"/>
  <c r="H20" i="210"/>
  <c r="I20" i="210" s="1"/>
  <c r="H21" i="210"/>
  <c r="I21" i="210" s="1"/>
  <c r="H39" i="211"/>
  <c r="H41" i="211"/>
  <c r="E31" i="213"/>
  <c r="B38" i="211"/>
  <c r="B37" i="211"/>
  <c r="B36" i="211"/>
  <c r="B32" i="211"/>
  <c r="B28" i="211"/>
  <c r="B31" i="211"/>
  <c r="B27" i="211"/>
  <c r="H16" i="212"/>
  <c r="I16" i="212" s="1"/>
  <c r="B36" i="209"/>
  <c r="B23" i="211"/>
  <c r="B24" i="211"/>
  <c r="H20" i="211"/>
  <c r="I20" i="211" s="1"/>
  <c r="H21" i="211"/>
  <c r="I21" i="211" s="1"/>
  <c r="D38" i="212"/>
  <c r="E38" i="212"/>
  <c r="G38" i="212" s="1"/>
  <c r="D18" i="212"/>
  <c r="H17" i="212"/>
  <c r="I17" i="212" s="1"/>
  <c r="H26" i="212"/>
  <c r="I26" i="212" s="1"/>
  <c r="B37" i="212"/>
  <c r="B31" i="212"/>
  <c r="B27" i="212"/>
  <c r="B32" i="212"/>
  <c r="B28" i="212"/>
  <c r="E15" i="212"/>
  <c r="G15" i="212" s="1"/>
  <c r="B36" i="212"/>
  <c r="D41" i="212"/>
  <c r="E41" i="212"/>
  <c r="G41" i="212" s="1"/>
  <c r="B13" i="212"/>
  <c r="H20" i="212"/>
  <c r="I20" i="212" s="1"/>
  <c r="H21" i="212"/>
  <c r="I21" i="212" s="1"/>
  <c r="H26" i="213"/>
  <c r="I26" i="213" s="1"/>
  <c r="G15" i="213"/>
  <c r="G16" i="213"/>
  <c r="G17" i="213"/>
  <c r="H21" i="213"/>
  <c r="I21" i="213" s="1"/>
  <c r="H39" i="213"/>
  <c r="G18" i="215"/>
  <c r="H15" i="215"/>
  <c r="I15" i="215" s="1"/>
  <c r="H39" i="215"/>
  <c r="H20" i="214"/>
  <c r="I20" i="214" s="1"/>
  <c r="H21" i="214"/>
  <c r="I21" i="214" s="1"/>
  <c r="B38" i="215"/>
  <c r="B37" i="215"/>
  <c r="B36" i="215"/>
  <c r="B32" i="215"/>
  <c r="B28" i="215"/>
  <c r="H21" i="215"/>
  <c r="I21" i="215" s="1"/>
  <c r="B31" i="215"/>
  <c r="E41" i="215"/>
  <c r="G41" i="215" s="1"/>
  <c r="D41" i="215"/>
  <c r="H39" i="214"/>
  <c r="B27" i="215"/>
  <c r="G21" i="206"/>
  <c r="H21" i="206" s="1"/>
  <c r="I21" i="206" s="1"/>
  <c r="C27" i="203"/>
  <c r="F27" i="203" s="1"/>
  <c r="H26" i="207"/>
  <c r="I26" i="207" s="1"/>
  <c r="H26" i="200"/>
  <c r="I26" i="200" s="1"/>
  <c r="B13" i="200"/>
  <c r="E13" i="200" s="1"/>
  <c r="G13" i="200" s="1"/>
  <c r="B12" i="200"/>
  <c r="E12" i="200" s="1"/>
  <c r="G12" i="200" s="1"/>
  <c r="B37" i="204"/>
  <c r="D37" i="204" s="1"/>
  <c r="B36" i="204"/>
  <c r="E36" i="204" s="1"/>
  <c r="G36" i="204" s="1"/>
  <c r="B38" i="204"/>
  <c r="E38" i="204" s="1"/>
  <c r="G38" i="204" s="1"/>
  <c r="B13" i="207"/>
  <c r="D13" i="207" s="1"/>
  <c r="B13" i="203"/>
  <c r="E13" i="203" s="1"/>
  <c r="G13" i="203" s="1"/>
  <c r="B24" i="207"/>
  <c r="E24" i="207" s="1"/>
  <c r="D12" i="203"/>
  <c r="B23" i="204"/>
  <c r="E23" i="204" s="1"/>
  <c r="E24" i="204"/>
  <c r="H21" i="203"/>
  <c r="I21" i="203" s="1"/>
  <c r="B32" i="205"/>
  <c r="E32" i="205" s="1"/>
  <c r="B12" i="207"/>
  <c r="E12" i="207" s="1"/>
  <c r="G12" i="207" s="1"/>
  <c r="B23" i="201"/>
  <c r="H16" i="200"/>
  <c r="I16" i="200" s="1"/>
  <c r="B31" i="200"/>
  <c r="B38" i="200"/>
  <c r="B37" i="200"/>
  <c r="B36" i="200"/>
  <c r="B32" i="200"/>
  <c r="B28" i="200"/>
  <c r="B27" i="200"/>
  <c r="G18" i="200"/>
  <c r="H15" i="200"/>
  <c r="I15" i="200" s="1"/>
  <c r="E24" i="200"/>
  <c r="B38" i="201"/>
  <c r="B37" i="201"/>
  <c r="B36" i="201"/>
  <c r="B31" i="201"/>
  <c r="B27" i="201"/>
  <c r="G18" i="201"/>
  <c r="H20" i="201"/>
  <c r="I20" i="201" s="1"/>
  <c r="H26" i="201"/>
  <c r="I26" i="201" s="1"/>
  <c r="B28" i="201"/>
  <c r="E41" i="201"/>
  <c r="G41" i="201" s="1"/>
  <c r="D41" i="201"/>
  <c r="H21" i="200"/>
  <c r="I21" i="200" s="1"/>
  <c r="H41" i="200"/>
  <c r="D18" i="201"/>
  <c r="H16" i="201"/>
  <c r="I16" i="201" s="1"/>
  <c r="H16" i="204"/>
  <c r="I16" i="204" s="1"/>
  <c r="H17" i="205"/>
  <c r="I17" i="205" s="1"/>
  <c r="G18" i="205"/>
  <c r="H17" i="201"/>
  <c r="I17" i="201" s="1"/>
  <c r="B32" i="201"/>
  <c r="B24" i="205"/>
  <c r="B23" i="205"/>
  <c r="H39" i="201"/>
  <c r="E16" i="203"/>
  <c r="G16" i="203" s="1"/>
  <c r="D16" i="203"/>
  <c r="H26" i="203"/>
  <c r="I26" i="203" s="1"/>
  <c r="H20" i="205"/>
  <c r="I20" i="205" s="1"/>
  <c r="B12" i="201"/>
  <c r="B13" i="201"/>
  <c r="G21" i="202"/>
  <c r="B38" i="203"/>
  <c r="B37" i="203"/>
  <c r="B36" i="203"/>
  <c r="B32" i="203"/>
  <c r="B28" i="203"/>
  <c r="B27" i="203"/>
  <c r="H20" i="202"/>
  <c r="I20" i="202" s="1"/>
  <c r="H39" i="202"/>
  <c r="E15" i="203"/>
  <c r="G15" i="203" s="1"/>
  <c r="D15" i="203"/>
  <c r="E17" i="203"/>
  <c r="G17" i="203" s="1"/>
  <c r="D17" i="203"/>
  <c r="B31" i="203"/>
  <c r="H20" i="204"/>
  <c r="I20" i="204" s="1"/>
  <c r="E38" i="205"/>
  <c r="G38" i="205" s="1"/>
  <c r="D38" i="205"/>
  <c r="G21" i="205"/>
  <c r="H26" i="205"/>
  <c r="I26" i="205" s="1"/>
  <c r="H39" i="203"/>
  <c r="H26" i="204"/>
  <c r="I26" i="204" s="1"/>
  <c r="B28" i="204"/>
  <c r="D18" i="205"/>
  <c r="H26" i="202"/>
  <c r="I26" i="202" s="1"/>
  <c r="E24" i="203"/>
  <c r="B31" i="204"/>
  <c r="B27" i="204"/>
  <c r="B32" i="204"/>
  <c r="G41" i="204"/>
  <c r="H15" i="205"/>
  <c r="I15" i="205" s="1"/>
  <c r="H41" i="205"/>
  <c r="H20" i="206"/>
  <c r="I20" i="206" s="1"/>
  <c r="H41" i="203"/>
  <c r="D18" i="204"/>
  <c r="G21" i="204"/>
  <c r="B31" i="205"/>
  <c r="B27" i="205"/>
  <c r="B28" i="205"/>
  <c r="B36" i="205"/>
  <c r="B37" i="205"/>
  <c r="H26" i="206"/>
  <c r="I26" i="206" s="1"/>
  <c r="B12" i="204"/>
  <c r="B13" i="204"/>
  <c r="B12" i="205"/>
  <c r="B13" i="205"/>
  <c r="H21" i="207"/>
  <c r="I21" i="207" s="1"/>
  <c r="B38" i="207"/>
  <c r="B37" i="207"/>
  <c r="B36" i="207"/>
  <c r="B32" i="207"/>
  <c r="B28" i="207"/>
  <c r="B31" i="207"/>
  <c r="B27" i="207"/>
  <c r="H39" i="207"/>
  <c r="H39" i="206"/>
  <c r="G15" i="207"/>
  <c r="G16" i="207"/>
  <c r="G17" i="207"/>
  <c r="E41" i="207"/>
  <c r="G41" i="207" s="1"/>
  <c r="D41" i="207"/>
  <c r="U16" i="3"/>
  <c r="U17" i="3"/>
  <c r="U18" i="3"/>
  <c r="U19" i="3"/>
  <c r="U20" i="3"/>
  <c r="U21" i="3"/>
  <c r="F22" i="220" s="1"/>
  <c r="H12" i="203" l="1"/>
  <c r="I12" i="203" s="1"/>
  <c r="G14" i="203"/>
  <c r="G18" i="211"/>
  <c r="G18" i="204"/>
  <c r="D18" i="203"/>
  <c r="F22" i="223"/>
  <c r="F22" i="216"/>
  <c r="F20" i="219"/>
  <c r="G20" i="219" s="1"/>
  <c r="H20" i="219" s="1"/>
  <c r="I20" i="219" s="1"/>
  <c r="F21" i="219"/>
  <c r="G21" i="219" s="1"/>
  <c r="H21" i="219" s="1"/>
  <c r="I21" i="219" s="1"/>
  <c r="F22" i="222"/>
  <c r="F22" i="218"/>
  <c r="D13" i="211"/>
  <c r="H13" i="211" s="1"/>
  <c r="I13" i="211" s="1"/>
  <c r="E13" i="207"/>
  <c r="G13" i="207" s="1"/>
  <c r="H13" i="207" s="1"/>
  <c r="I13" i="207" s="1"/>
  <c r="D12" i="207"/>
  <c r="H12" i="207" s="1"/>
  <c r="I12" i="207" s="1"/>
  <c r="D36" i="204"/>
  <c r="H36" i="204" s="1"/>
  <c r="I36" i="204" s="1"/>
  <c r="D12" i="200"/>
  <c r="H12" i="200" s="1"/>
  <c r="I12" i="200" s="1"/>
  <c r="E12" i="215"/>
  <c r="G12" i="215" s="1"/>
  <c r="H12" i="215" s="1"/>
  <c r="I12" i="215" s="1"/>
  <c r="D12" i="212"/>
  <c r="H12" i="212" s="1"/>
  <c r="I12" i="212" s="1"/>
  <c r="W21" i="3"/>
  <c r="F21" i="220" s="1"/>
  <c r="G21" i="220" s="1"/>
  <c r="C21" i="220"/>
  <c r="D21" i="220" s="1"/>
  <c r="V18" i="3"/>
  <c r="C19" i="218"/>
  <c r="D19" i="218" s="1"/>
  <c r="C19" i="223"/>
  <c r="D19" i="223" s="1"/>
  <c r="C19" i="216"/>
  <c r="D19" i="216" s="1"/>
  <c r="C19" i="219"/>
  <c r="D19" i="219" s="1"/>
  <c r="C19" i="222"/>
  <c r="D19" i="222" s="1"/>
  <c r="W20" i="3"/>
  <c r="C24" i="215"/>
  <c r="D24" i="215" s="1"/>
  <c r="C24" i="212"/>
  <c r="D24" i="212" s="1"/>
  <c r="C24" i="214"/>
  <c r="C24" i="213"/>
  <c r="D24" i="213" s="1"/>
  <c r="D12" i="213"/>
  <c r="H12" i="213" s="1"/>
  <c r="I12" i="213" s="1"/>
  <c r="V20" i="3"/>
  <c r="C22" i="213"/>
  <c r="D22" i="213" s="1"/>
  <c r="C22" i="215"/>
  <c r="D22" i="215" s="1"/>
  <c r="C22" i="212"/>
  <c r="D22" i="212" s="1"/>
  <c r="C22" i="214"/>
  <c r="D22" i="214" s="1"/>
  <c r="E37" i="204"/>
  <c r="G37" i="204" s="1"/>
  <c r="G40" i="204" s="1"/>
  <c r="V19" i="3"/>
  <c r="C22" i="207"/>
  <c r="D22" i="207" s="1"/>
  <c r="C22" i="204"/>
  <c r="D22" i="204" s="1"/>
  <c r="C22" i="206"/>
  <c r="D22" i="206" s="1"/>
  <c r="C22" i="205"/>
  <c r="D22" i="205" s="1"/>
  <c r="V21" i="3"/>
  <c r="F19" i="220" s="1"/>
  <c r="G19" i="220" s="1"/>
  <c r="C19" i="220"/>
  <c r="D19" i="220" s="1"/>
  <c r="V17" i="3"/>
  <c r="C22" i="211"/>
  <c r="D22" i="211" s="1"/>
  <c r="C22" i="209"/>
  <c r="D22" i="209" s="1"/>
  <c r="C22" i="210"/>
  <c r="D22" i="210" s="1"/>
  <c r="C22" i="208"/>
  <c r="D22" i="208" s="1"/>
  <c r="W19" i="3"/>
  <c r="C24" i="206"/>
  <c r="C24" i="205"/>
  <c r="D24" i="205" s="1"/>
  <c r="C24" i="204"/>
  <c r="D24" i="204" s="1"/>
  <c r="C24" i="207"/>
  <c r="D24" i="207" s="1"/>
  <c r="V16" i="3"/>
  <c r="C22" i="202"/>
  <c r="D22" i="202" s="1"/>
  <c r="C22" i="201"/>
  <c r="D22" i="201" s="1"/>
  <c r="C22" i="200"/>
  <c r="D22" i="200" s="1"/>
  <c r="C22" i="203"/>
  <c r="D22" i="203" s="1"/>
  <c r="W18" i="3"/>
  <c r="C21" i="216"/>
  <c r="D21" i="216" s="1"/>
  <c r="C21" i="222"/>
  <c r="C21" i="218"/>
  <c r="C22" i="219"/>
  <c r="D22" i="219" s="1"/>
  <c r="C21" i="223"/>
  <c r="D21" i="223" s="1"/>
  <c r="W16" i="3"/>
  <c r="C24" i="203"/>
  <c r="D24" i="203" s="1"/>
  <c r="C24" i="200"/>
  <c r="D24" i="200" s="1"/>
  <c r="C24" i="202"/>
  <c r="C24" i="201"/>
  <c r="D24" i="201" s="1"/>
  <c r="W17" i="3"/>
  <c r="C24" i="208"/>
  <c r="D24" i="208" s="1"/>
  <c r="C24" i="211"/>
  <c r="D24" i="211" s="1"/>
  <c r="C24" i="210"/>
  <c r="C24" i="209"/>
  <c r="D24" i="209" s="1"/>
  <c r="D13" i="200"/>
  <c r="H13" i="200" s="1"/>
  <c r="I13" i="200" s="1"/>
  <c r="E22" i="216"/>
  <c r="D30" i="216"/>
  <c r="H30" i="216" s="1"/>
  <c r="I30" i="216" s="1"/>
  <c r="H33" i="223"/>
  <c r="E28" i="223"/>
  <c r="G28" i="223" s="1"/>
  <c r="D28" i="223"/>
  <c r="E29" i="219"/>
  <c r="G29" i="219" s="1"/>
  <c r="D29" i="219"/>
  <c r="E13" i="219"/>
  <c r="G13" i="219" s="1"/>
  <c r="D13" i="219"/>
  <c r="D15" i="219" s="1"/>
  <c r="D30" i="220"/>
  <c r="E30" i="220"/>
  <c r="G30" i="220" s="1"/>
  <c r="D22" i="223"/>
  <c r="E22" i="223"/>
  <c r="E28" i="219"/>
  <c r="G28" i="219" s="1"/>
  <c r="D28" i="219"/>
  <c r="D29" i="220"/>
  <c r="E29" i="220"/>
  <c r="G29" i="220" s="1"/>
  <c r="H20" i="223"/>
  <c r="I20" i="223" s="1"/>
  <c r="D30" i="223"/>
  <c r="E30" i="223"/>
  <c r="G30" i="223" s="1"/>
  <c r="D30" i="219"/>
  <c r="E30" i="219"/>
  <c r="G30" i="219" s="1"/>
  <c r="E28" i="220"/>
  <c r="G28" i="220" s="1"/>
  <c r="D28" i="220"/>
  <c r="E13" i="216"/>
  <c r="G13" i="216" s="1"/>
  <c r="D13" i="216"/>
  <c r="D15" i="216" s="1"/>
  <c r="H33" i="219"/>
  <c r="D29" i="216"/>
  <c r="E29" i="216"/>
  <c r="G29" i="216" s="1"/>
  <c r="H28" i="216"/>
  <c r="I28" i="216" s="1"/>
  <c r="E13" i="223"/>
  <c r="G13" i="223" s="1"/>
  <c r="D13" i="223"/>
  <c r="D15" i="223" s="1"/>
  <c r="D29" i="223"/>
  <c r="E29" i="223"/>
  <c r="G29" i="223" s="1"/>
  <c r="H33" i="220"/>
  <c r="E13" i="220"/>
  <c r="G13" i="220" s="1"/>
  <c r="D13" i="220"/>
  <c r="D15" i="220" s="1"/>
  <c r="D22" i="220"/>
  <c r="E22" i="220"/>
  <c r="G22" i="220" s="1"/>
  <c r="E13" i="213"/>
  <c r="G13" i="213" s="1"/>
  <c r="G14" i="213" s="1"/>
  <c r="E32" i="209"/>
  <c r="E13" i="215"/>
  <c r="G13" i="215" s="1"/>
  <c r="H13" i="215" s="1"/>
  <c r="I13" i="215" s="1"/>
  <c r="D14" i="215"/>
  <c r="D12" i="211"/>
  <c r="H12" i="211" s="1"/>
  <c r="I12" i="211" s="1"/>
  <c r="D36" i="209"/>
  <c r="E36" i="209"/>
  <c r="G36" i="209" s="1"/>
  <c r="E37" i="211"/>
  <c r="G37" i="211" s="1"/>
  <c r="D37" i="211"/>
  <c r="E28" i="213"/>
  <c r="G28" i="213" s="1"/>
  <c r="D28" i="213"/>
  <c r="D38" i="213"/>
  <c r="E38" i="213"/>
  <c r="G38" i="213" s="1"/>
  <c r="E27" i="208"/>
  <c r="G27" i="208" s="1"/>
  <c r="D27" i="208"/>
  <c r="D18" i="209"/>
  <c r="E31" i="215"/>
  <c r="D36" i="215"/>
  <c r="E36" i="215"/>
  <c r="G36" i="215" s="1"/>
  <c r="G18" i="213"/>
  <c r="H15" i="213"/>
  <c r="I15" i="213" s="1"/>
  <c r="E13" i="212"/>
  <c r="G13" i="212" s="1"/>
  <c r="D13" i="212"/>
  <c r="D36" i="212"/>
  <c r="E36" i="212"/>
  <c r="G36" i="212" s="1"/>
  <c r="E32" i="212"/>
  <c r="H38" i="212"/>
  <c r="I38" i="212" s="1"/>
  <c r="E28" i="211"/>
  <c r="G28" i="211" s="1"/>
  <c r="D28" i="211"/>
  <c r="E38" i="211"/>
  <c r="G38" i="211" s="1"/>
  <c r="D38" i="211"/>
  <c r="D37" i="209"/>
  <c r="E37" i="209"/>
  <c r="G37" i="209" s="1"/>
  <c r="E32" i="213"/>
  <c r="E23" i="212"/>
  <c r="E12" i="208"/>
  <c r="G12" i="208" s="1"/>
  <c r="D12" i="208"/>
  <c r="E31" i="208"/>
  <c r="D37" i="208"/>
  <c r="E37" i="208"/>
  <c r="G37" i="208" s="1"/>
  <c r="D18" i="208"/>
  <c r="H17" i="209"/>
  <c r="I17" i="209" s="1"/>
  <c r="G18" i="209"/>
  <c r="H15" i="209"/>
  <c r="I15" i="209" s="1"/>
  <c r="E28" i="212"/>
  <c r="G28" i="212" s="1"/>
  <c r="D28" i="212"/>
  <c r="E31" i="211"/>
  <c r="D37" i="215"/>
  <c r="E37" i="215"/>
  <c r="G37" i="215" s="1"/>
  <c r="G18" i="212"/>
  <c r="H15" i="212"/>
  <c r="I15" i="212" s="1"/>
  <c r="D27" i="212"/>
  <c r="E27" i="212"/>
  <c r="G27" i="212" s="1"/>
  <c r="E32" i="211"/>
  <c r="D28" i="209"/>
  <c r="E28" i="209"/>
  <c r="G28" i="209" s="1"/>
  <c r="D38" i="209"/>
  <c r="E38" i="209"/>
  <c r="G38" i="209" s="1"/>
  <c r="D36" i="213"/>
  <c r="E36" i="213"/>
  <c r="G36" i="213" s="1"/>
  <c r="H18" i="211"/>
  <c r="I18" i="211" s="1"/>
  <c r="E27" i="209"/>
  <c r="G27" i="209" s="1"/>
  <c r="D27" i="209"/>
  <c r="E24" i="212"/>
  <c r="H16" i="209"/>
  <c r="I16" i="209" s="1"/>
  <c r="E13" i="208"/>
  <c r="G13" i="208" s="1"/>
  <c r="D13" i="208"/>
  <c r="D28" i="208"/>
  <c r="E28" i="208"/>
  <c r="G28" i="208" s="1"/>
  <c r="D38" i="208"/>
  <c r="E38" i="208"/>
  <c r="G38" i="208" s="1"/>
  <c r="G18" i="208"/>
  <c r="H15" i="208"/>
  <c r="I15" i="208" s="1"/>
  <c r="E12" i="209"/>
  <c r="G12" i="209" s="1"/>
  <c r="D12" i="209"/>
  <c r="H17" i="208"/>
  <c r="I17" i="208" s="1"/>
  <c r="H41" i="215"/>
  <c r="E32" i="215"/>
  <c r="H18" i="215"/>
  <c r="I18" i="215" s="1"/>
  <c r="H16" i="213"/>
  <c r="I16" i="213" s="1"/>
  <c r="D37" i="212"/>
  <c r="E37" i="212"/>
  <c r="G37" i="212" s="1"/>
  <c r="E23" i="211"/>
  <c r="E24" i="209"/>
  <c r="H16" i="208"/>
  <c r="I16" i="208" s="1"/>
  <c r="D36" i="208"/>
  <c r="E36" i="208"/>
  <c r="G36" i="208" s="1"/>
  <c r="D27" i="215"/>
  <c r="E27" i="215"/>
  <c r="G27" i="215" s="1"/>
  <c r="E28" i="215"/>
  <c r="G28" i="215" s="1"/>
  <c r="D28" i="215"/>
  <c r="D38" i="215"/>
  <c r="E38" i="215"/>
  <c r="G38" i="215" s="1"/>
  <c r="H17" i="213"/>
  <c r="I17" i="213" s="1"/>
  <c r="H41" i="212"/>
  <c r="E31" i="212"/>
  <c r="E24" i="211"/>
  <c r="D27" i="211"/>
  <c r="E27" i="211"/>
  <c r="G27" i="211" s="1"/>
  <c r="E36" i="211"/>
  <c r="G36" i="211" s="1"/>
  <c r="D36" i="211"/>
  <c r="E27" i="213"/>
  <c r="G27" i="213" s="1"/>
  <c r="D27" i="213"/>
  <c r="D37" i="213"/>
  <c r="E37" i="213"/>
  <c r="G37" i="213" s="1"/>
  <c r="G14" i="211"/>
  <c r="E24" i="208"/>
  <c r="E32" i="208"/>
  <c r="E13" i="209"/>
  <c r="G13" i="209" s="1"/>
  <c r="D13" i="209"/>
  <c r="D13" i="203"/>
  <c r="D14" i="203" s="1"/>
  <c r="E23" i="201"/>
  <c r="G14" i="200"/>
  <c r="D38" i="204"/>
  <c r="H38" i="204" s="1"/>
  <c r="I38" i="204" s="1"/>
  <c r="D27" i="207"/>
  <c r="E27" i="207"/>
  <c r="G27" i="207" s="1"/>
  <c r="D36" i="207"/>
  <c r="E36" i="207"/>
  <c r="G36" i="207" s="1"/>
  <c r="D27" i="205"/>
  <c r="E27" i="205"/>
  <c r="G27" i="205" s="1"/>
  <c r="H21" i="204"/>
  <c r="I21" i="204" s="1"/>
  <c r="H16" i="207"/>
  <c r="I16" i="207" s="1"/>
  <c r="G18" i="207"/>
  <c r="H15" i="207"/>
  <c r="I15" i="207" s="1"/>
  <c r="E32" i="207"/>
  <c r="D13" i="204"/>
  <c r="E13" i="204"/>
  <c r="G13" i="204" s="1"/>
  <c r="E36" i="205"/>
  <c r="G36" i="205" s="1"/>
  <c r="D36" i="205"/>
  <c r="E27" i="204"/>
  <c r="G27" i="204" s="1"/>
  <c r="D27" i="204"/>
  <c r="H38" i="205"/>
  <c r="I38" i="205" s="1"/>
  <c r="H17" i="203"/>
  <c r="I17" i="203" s="1"/>
  <c r="D36" i="203"/>
  <c r="E36" i="203"/>
  <c r="G36" i="203" s="1"/>
  <c r="D13" i="201"/>
  <c r="E13" i="201"/>
  <c r="G13" i="201" s="1"/>
  <c r="E24" i="205"/>
  <c r="E32" i="201"/>
  <c r="H18" i="205"/>
  <c r="I18" i="205" s="1"/>
  <c r="H18" i="201"/>
  <c r="I18" i="201" s="1"/>
  <c r="E36" i="201"/>
  <c r="G36" i="201" s="1"/>
  <c r="D36" i="201"/>
  <c r="H18" i="200"/>
  <c r="I18" i="200" s="1"/>
  <c r="E36" i="200"/>
  <c r="G36" i="200" s="1"/>
  <c r="D36" i="200"/>
  <c r="D12" i="204"/>
  <c r="E12" i="204"/>
  <c r="G12" i="204" s="1"/>
  <c r="E28" i="205"/>
  <c r="G28" i="205" s="1"/>
  <c r="D28" i="205"/>
  <c r="E27" i="203"/>
  <c r="G27" i="203" s="1"/>
  <c r="D27" i="203"/>
  <c r="D12" i="201"/>
  <c r="E12" i="201"/>
  <c r="G12" i="201" s="1"/>
  <c r="H41" i="207"/>
  <c r="H17" i="207"/>
  <c r="I17" i="207" s="1"/>
  <c r="E31" i="207"/>
  <c r="D37" i="207"/>
  <c r="E37" i="207"/>
  <c r="G37" i="207" s="1"/>
  <c r="D13" i="205"/>
  <c r="E13" i="205"/>
  <c r="G13" i="205" s="1"/>
  <c r="E31" i="205"/>
  <c r="E28" i="204"/>
  <c r="G28" i="204" s="1"/>
  <c r="D28" i="204"/>
  <c r="H21" i="205"/>
  <c r="I21" i="205" s="1"/>
  <c r="G18" i="203"/>
  <c r="H15" i="203"/>
  <c r="I15" i="203" s="1"/>
  <c r="D28" i="203"/>
  <c r="E28" i="203"/>
  <c r="G28" i="203" s="1"/>
  <c r="E38" i="203"/>
  <c r="G38" i="203" s="1"/>
  <c r="D38" i="203"/>
  <c r="H41" i="201"/>
  <c r="E27" i="201"/>
  <c r="G27" i="201" s="1"/>
  <c r="D27" i="201"/>
  <c r="E38" i="201"/>
  <c r="G38" i="201" s="1"/>
  <c r="D38" i="201"/>
  <c r="D28" i="200"/>
  <c r="E28" i="200"/>
  <c r="G28" i="200" s="1"/>
  <c r="E38" i="200"/>
  <c r="G38" i="200" s="1"/>
  <c r="D38" i="200"/>
  <c r="E31" i="204"/>
  <c r="E31" i="203"/>
  <c r="D37" i="203"/>
  <c r="E37" i="203"/>
  <c r="G37" i="203" s="1"/>
  <c r="H16" i="203"/>
  <c r="I16" i="203" s="1"/>
  <c r="E37" i="201"/>
  <c r="G37" i="201" s="1"/>
  <c r="D37" i="201"/>
  <c r="D27" i="200"/>
  <c r="E27" i="200"/>
  <c r="G27" i="200" s="1"/>
  <c r="E37" i="200"/>
  <c r="G37" i="200" s="1"/>
  <c r="D37" i="200"/>
  <c r="E28" i="207"/>
  <c r="G28" i="207" s="1"/>
  <c r="D28" i="207"/>
  <c r="D38" i="207"/>
  <c r="E38" i="207"/>
  <c r="G38" i="207" s="1"/>
  <c r="D12" i="205"/>
  <c r="E12" i="205"/>
  <c r="G12" i="205" s="1"/>
  <c r="E37" i="205"/>
  <c r="G37" i="205" s="1"/>
  <c r="D37" i="205"/>
  <c r="H18" i="204"/>
  <c r="I18" i="204" s="1"/>
  <c r="H41" i="204"/>
  <c r="E32" i="204"/>
  <c r="E32" i="203"/>
  <c r="H21" i="202"/>
  <c r="I21" i="202" s="1"/>
  <c r="E23" i="205"/>
  <c r="E28" i="201"/>
  <c r="G28" i="201" s="1"/>
  <c r="D28" i="201"/>
  <c r="E31" i="201"/>
  <c r="E32" i="200"/>
  <c r="E31" i="200"/>
  <c r="H14" i="203" l="1"/>
  <c r="I14" i="203" s="1"/>
  <c r="G22" i="216"/>
  <c r="H22" i="216" s="1"/>
  <c r="I22" i="216" s="1"/>
  <c r="G22" i="223"/>
  <c r="H22" i="223" s="1"/>
  <c r="I22" i="223" s="1"/>
  <c r="H37" i="204"/>
  <c r="I37" i="204" s="1"/>
  <c r="G14" i="207"/>
  <c r="D14" i="200"/>
  <c r="H14" i="200" s="1"/>
  <c r="I14" i="200" s="1"/>
  <c r="H13" i="213"/>
  <c r="I13" i="213" s="1"/>
  <c r="H21" i="220"/>
  <c r="I21" i="220" s="1"/>
  <c r="D14" i="207"/>
  <c r="D14" i="212"/>
  <c r="D32" i="216"/>
  <c r="D14" i="211"/>
  <c r="H14" i="211" s="1"/>
  <c r="I14" i="211" s="1"/>
  <c r="D14" i="213"/>
  <c r="H14" i="213" s="1"/>
  <c r="I14" i="213" s="1"/>
  <c r="D40" i="211"/>
  <c r="F19" i="218"/>
  <c r="G19" i="218" s="1"/>
  <c r="H19" i="218" s="1"/>
  <c r="I19" i="218" s="1"/>
  <c r="F19" i="223"/>
  <c r="G19" i="223" s="1"/>
  <c r="H19" i="223" s="1"/>
  <c r="I19" i="223" s="1"/>
  <c r="F19" i="219"/>
  <c r="G19" i="219" s="1"/>
  <c r="H19" i="219" s="1"/>
  <c r="I19" i="219" s="1"/>
  <c r="F19" i="222"/>
  <c r="G19" i="222" s="1"/>
  <c r="H19" i="222" s="1"/>
  <c r="I19" i="222" s="1"/>
  <c r="F19" i="216"/>
  <c r="G19" i="216" s="1"/>
  <c r="H19" i="216" s="1"/>
  <c r="I19" i="216" s="1"/>
  <c r="F22" i="209"/>
  <c r="G22" i="209" s="1"/>
  <c r="H22" i="209" s="1"/>
  <c r="I22" i="209" s="1"/>
  <c r="F22" i="210"/>
  <c r="G22" i="210" s="1"/>
  <c r="H22" i="210" s="1"/>
  <c r="I22" i="210" s="1"/>
  <c r="F22" i="211"/>
  <c r="G22" i="211" s="1"/>
  <c r="H22" i="211" s="1"/>
  <c r="I22" i="211" s="1"/>
  <c r="F22" i="208"/>
  <c r="G22" i="208" s="1"/>
  <c r="H22" i="208" s="1"/>
  <c r="I22" i="208" s="1"/>
  <c r="F21" i="216"/>
  <c r="G21" i="216" s="1"/>
  <c r="H21" i="216" s="1"/>
  <c r="I21" i="216" s="1"/>
  <c r="F21" i="222"/>
  <c r="F21" i="218"/>
  <c r="F22" i="219"/>
  <c r="G22" i="219" s="1"/>
  <c r="H22" i="219" s="1"/>
  <c r="I22" i="219" s="1"/>
  <c r="F21" i="223"/>
  <c r="G21" i="223" s="1"/>
  <c r="H21" i="223" s="1"/>
  <c r="I21" i="223" s="1"/>
  <c r="F24" i="208"/>
  <c r="G24" i="208" s="1"/>
  <c r="H24" i="208" s="1"/>
  <c r="I24" i="208" s="1"/>
  <c r="F24" i="211"/>
  <c r="G24" i="211" s="1"/>
  <c r="H24" i="211" s="1"/>
  <c r="I24" i="211" s="1"/>
  <c r="F24" i="210"/>
  <c r="F24" i="209"/>
  <c r="G24" i="209" s="1"/>
  <c r="F24" i="205"/>
  <c r="G24" i="205" s="1"/>
  <c r="H24" i="205" s="1"/>
  <c r="I24" i="205" s="1"/>
  <c r="F24" i="206"/>
  <c r="F24" i="207"/>
  <c r="G24" i="207" s="1"/>
  <c r="H24" i="207" s="1"/>
  <c r="I24" i="207" s="1"/>
  <c r="F24" i="204"/>
  <c r="G24" i="204" s="1"/>
  <c r="H24" i="204" s="1"/>
  <c r="I24" i="204" s="1"/>
  <c r="F24" i="212"/>
  <c r="G24" i="212" s="1"/>
  <c r="H24" i="212" s="1"/>
  <c r="I24" i="212" s="1"/>
  <c r="F24" i="214"/>
  <c r="F24" i="213"/>
  <c r="G24" i="213" s="1"/>
  <c r="F24" i="215"/>
  <c r="G24" i="215" s="1"/>
  <c r="H24" i="215" s="1"/>
  <c r="I24" i="215" s="1"/>
  <c r="D40" i="204"/>
  <c r="H40" i="204" s="1"/>
  <c r="I40" i="204" s="1"/>
  <c r="F22" i="213"/>
  <c r="G22" i="213" s="1"/>
  <c r="H22" i="213" s="1"/>
  <c r="I22" i="213" s="1"/>
  <c r="F22" i="215"/>
  <c r="G22" i="215" s="1"/>
  <c r="H22" i="215" s="1"/>
  <c r="I22" i="215" s="1"/>
  <c r="F22" i="212"/>
  <c r="G22" i="212" s="1"/>
  <c r="H22" i="212" s="1"/>
  <c r="I22" i="212" s="1"/>
  <c r="F22" i="214"/>
  <c r="G22" i="214" s="1"/>
  <c r="H22" i="214" s="1"/>
  <c r="I22" i="214" s="1"/>
  <c r="F22" i="201"/>
  <c r="G22" i="201" s="1"/>
  <c r="H22" i="201" s="1"/>
  <c r="I22" i="201" s="1"/>
  <c r="F22" i="200"/>
  <c r="G22" i="200" s="1"/>
  <c r="H22" i="200" s="1"/>
  <c r="I22" i="200" s="1"/>
  <c r="F22" i="202"/>
  <c r="G22" i="202" s="1"/>
  <c r="H22" i="202" s="1"/>
  <c r="I22" i="202" s="1"/>
  <c r="F22" i="203"/>
  <c r="G22" i="203" s="1"/>
  <c r="H22" i="203" s="1"/>
  <c r="I22" i="203" s="1"/>
  <c r="D14" i="205"/>
  <c r="F24" i="203"/>
  <c r="G24" i="203" s="1"/>
  <c r="F24" i="200"/>
  <c r="G24" i="200" s="1"/>
  <c r="F24" i="202"/>
  <c r="F24" i="201"/>
  <c r="G24" i="201" s="1"/>
  <c r="H24" i="201" s="1"/>
  <c r="I24" i="201" s="1"/>
  <c r="H19" i="220"/>
  <c r="I19" i="220" s="1"/>
  <c r="F22" i="207"/>
  <c r="G22" i="207" s="1"/>
  <c r="H22" i="207" s="1"/>
  <c r="I22" i="207" s="1"/>
  <c r="F22" i="204"/>
  <c r="G22" i="204" s="1"/>
  <c r="H22" i="204" s="1"/>
  <c r="I22" i="204" s="1"/>
  <c r="F22" i="206"/>
  <c r="G22" i="206" s="1"/>
  <c r="H22" i="206" s="1"/>
  <c r="I22" i="206" s="1"/>
  <c r="F22" i="205"/>
  <c r="G22" i="205" s="1"/>
  <c r="H22" i="205" s="1"/>
  <c r="I22" i="205" s="1"/>
  <c r="D32" i="223"/>
  <c r="H29" i="216"/>
  <c r="I29" i="216" s="1"/>
  <c r="H28" i="220"/>
  <c r="I28" i="220" s="1"/>
  <c r="G32" i="220"/>
  <c r="G32" i="219"/>
  <c r="H28" i="219"/>
  <c r="I28" i="219" s="1"/>
  <c r="H30" i="220"/>
  <c r="I30" i="220" s="1"/>
  <c r="H29" i="220"/>
  <c r="I29" i="220" s="1"/>
  <c r="G15" i="220"/>
  <c r="H13" i="220"/>
  <c r="I13" i="220" s="1"/>
  <c r="H30" i="219"/>
  <c r="I30" i="219" s="1"/>
  <c r="H30" i="223"/>
  <c r="I30" i="223" s="1"/>
  <c r="H28" i="223"/>
  <c r="I28" i="223" s="1"/>
  <c r="G32" i="223"/>
  <c r="G15" i="223"/>
  <c r="H13" i="223"/>
  <c r="I13" i="223" s="1"/>
  <c r="H22" i="220"/>
  <c r="I22" i="220" s="1"/>
  <c r="H29" i="223"/>
  <c r="I29" i="223" s="1"/>
  <c r="H13" i="216"/>
  <c r="I13" i="216" s="1"/>
  <c r="G15" i="216"/>
  <c r="G15" i="219"/>
  <c r="H13" i="219"/>
  <c r="I13" i="219" s="1"/>
  <c r="G32" i="216"/>
  <c r="D32" i="220"/>
  <c r="D32" i="219"/>
  <c r="H29" i="219"/>
  <c r="I29" i="219" s="1"/>
  <c r="G14" i="215"/>
  <c r="H14" i="215" s="1"/>
  <c r="I14" i="215" s="1"/>
  <c r="D14" i="209"/>
  <c r="H27" i="215"/>
  <c r="I27" i="215" s="1"/>
  <c r="H37" i="212"/>
  <c r="I37" i="212" s="1"/>
  <c r="H28" i="209"/>
  <c r="I28" i="209" s="1"/>
  <c r="H13" i="212"/>
  <c r="I13" i="212" s="1"/>
  <c r="G14" i="212"/>
  <c r="G40" i="211"/>
  <c r="H36" i="211"/>
  <c r="I36" i="211" s="1"/>
  <c r="H38" i="215"/>
  <c r="I38" i="215" s="1"/>
  <c r="G40" i="208"/>
  <c r="H36" i="208"/>
  <c r="I36" i="208" s="1"/>
  <c r="G14" i="209"/>
  <c r="H12" i="209"/>
  <c r="I12" i="209" s="1"/>
  <c r="H38" i="208"/>
  <c r="I38" i="208" s="1"/>
  <c r="G40" i="213"/>
  <c r="H36" i="213"/>
  <c r="I36" i="213" s="1"/>
  <c r="H27" i="212"/>
  <c r="I27" i="212" s="1"/>
  <c r="H18" i="212"/>
  <c r="I18" i="212" s="1"/>
  <c r="H37" i="215"/>
  <c r="I37" i="215" s="1"/>
  <c r="H28" i="212"/>
  <c r="I28" i="212" s="1"/>
  <c r="H37" i="209"/>
  <c r="I37" i="209" s="1"/>
  <c r="H38" i="211"/>
  <c r="I38" i="211" s="1"/>
  <c r="G40" i="212"/>
  <c r="H36" i="212"/>
  <c r="I36" i="212" s="1"/>
  <c r="H36" i="215"/>
  <c r="I36" i="215" s="1"/>
  <c r="G40" i="215"/>
  <c r="H28" i="213"/>
  <c r="I28" i="213" s="1"/>
  <c r="D40" i="209"/>
  <c r="H13" i="209"/>
  <c r="I13" i="209" s="1"/>
  <c r="H37" i="213"/>
  <c r="I37" i="213" s="1"/>
  <c r="H28" i="215"/>
  <c r="I28" i="215" s="1"/>
  <c r="G14" i="208"/>
  <c r="H12" i="208"/>
  <c r="I12" i="208" s="1"/>
  <c r="D40" i="208"/>
  <c r="H13" i="208"/>
  <c r="I13" i="208" s="1"/>
  <c r="D40" i="213"/>
  <c r="H38" i="209"/>
  <c r="I38" i="209" s="1"/>
  <c r="D40" i="212"/>
  <c r="D40" i="215"/>
  <c r="H38" i="213"/>
  <c r="I38" i="213" s="1"/>
  <c r="H18" i="208"/>
  <c r="I18" i="208" s="1"/>
  <c r="H27" i="209"/>
  <c r="I27" i="209" s="1"/>
  <c r="G40" i="209"/>
  <c r="H36" i="209"/>
  <c r="I36" i="209" s="1"/>
  <c r="H27" i="211"/>
  <c r="I27" i="211" s="1"/>
  <c r="H27" i="213"/>
  <c r="I27" i="213" s="1"/>
  <c r="H28" i="208"/>
  <c r="I28" i="208" s="1"/>
  <c r="H18" i="209"/>
  <c r="I18" i="209" s="1"/>
  <c r="H37" i="208"/>
  <c r="I37" i="208" s="1"/>
  <c r="D14" i="208"/>
  <c r="H28" i="211"/>
  <c r="I28" i="211" s="1"/>
  <c r="H18" i="213"/>
  <c r="I18" i="213" s="1"/>
  <c r="H27" i="208"/>
  <c r="I27" i="208" s="1"/>
  <c r="H37" i="211"/>
  <c r="I37" i="211" s="1"/>
  <c r="D14" i="204"/>
  <c r="H13" i="203"/>
  <c r="I13" i="203" s="1"/>
  <c r="D14" i="201"/>
  <c r="H37" i="207"/>
  <c r="I37" i="207" s="1"/>
  <c r="H18" i="207"/>
  <c r="I18" i="207" s="1"/>
  <c r="G14" i="205"/>
  <c r="H12" i="205"/>
  <c r="I12" i="205" s="1"/>
  <c r="H38" i="201"/>
  <c r="I38" i="201" s="1"/>
  <c r="D40" i="201"/>
  <c r="H28" i="207"/>
  <c r="I28" i="207" s="1"/>
  <c r="H38" i="200"/>
  <c r="I38" i="200" s="1"/>
  <c r="H13" i="205"/>
  <c r="I13" i="205" s="1"/>
  <c r="H27" i="203"/>
  <c r="I27" i="203" s="1"/>
  <c r="H36" i="201"/>
  <c r="I36" i="201" s="1"/>
  <c r="G40" i="201"/>
  <c r="H36" i="203"/>
  <c r="I36" i="203" s="1"/>
  <c r="G40" i="203"/>
  <c r="H27" i="207"/>
  <c r="I27" i="207" s="1"/>
  <c r="H37" i="205"/>
  <c r="I37" i="205" s="1"/>
  <c r="H27" i="200"/>
  <c r="I27" i="200" s="1"/>
  <c r="H37" i="203"/>
  <c r="I37" i="203" s="1"/>
  <c r="H38" i="203"/>
  <c r="I38" i="203" s="1"/>
  <c r="H28" i="205"/>
  <c r="I28" i="205" s="1"/>
  <c r="G40" i="200"/>
  <c r="H36" i="200"/>
  <c r="I36" i="200" s="1"/>
  <c r="G40" i="205"/>
  <c r="H36" i="205"/>
  <c r="I36" i="205" s="1"/>
  <c r="H36" i="207"/>
  <c r="I36" i="207" s="1"/>
  <c r="G40" i="207"/>
  <c r="H28" i="203"/>
  <c r="I28" i="203" s="1"/>
  <c r="G14" i="204"/>
  <c r="H12" i="204"/>
  <c r="I12" i="204" s="1"/>
  <c r="H13" i="201"/>
  <c r="I13" i="201" s="1"/>
  <c r="H13" i="204"/>
  <c r="I13" i="204" s="1"/>
  <c r="D40" i="207"/>
  <c r="H28" i="201"/>
  <c r="I28" i="201" s="1"/>
  <c r="H38" i="207"/>
  <c r="I38" i="207" s="1"/>
  <c r="H37" i="200"/>
  <c r="I37" i="200" s="1"/>
  <c r="H37" i="201"/>
  <c r="I37" i="201" s="1"/>
  <c r="H28" i="200"/>
  <c r="I28" i="200" s="1"/>
  <c r="H27" i="201"/>
  <c r="I27" i="201" s="1"/>
  <c r="H18" i="203"/>
  <c r="I18" i="203" s="1"/>
  <c r="H28" i="204"/>
  <c r="I28" i="204" s="1"/>
  <c r="G14" i="201"/>
  <c r="H12" i="201"/>
  <c r="I12" i="201" s="1"/>
  <c r="D40" i="200"/>
  <c r="D40" i="203"/>
  <c r="H27" i="204"/>
  <c r="I27" i="204" s="1"/>
  <c r="D40" i="205"/>
  <c r="H27" i="205"/>
  <c r="I27" i="205" s="1"/>
  <c r="H14" i="207" l="1"/>
  <c r="I14" i="207" s="1"/>
  <c r="H24" i="209"/>
  <c r="I24" i="209" s="1"/>
  <c r="H24" i="200"/>
  <c r="I24" i="200" s="1"/>
  <c r="H24" i="203"/>
  <c r="I24" i="203" s="1"/>
  <c r="H24" i="213"/>
  <c r="I24" i="213" s="1"/>
  <c r="H32" i="220"/>
  <c r="I32" i="220" s="1"/>
  <c r="H32" i="216"/>
  <c r="I32" i="216" s="1"/>
  <c r="H15" i="223"/>
  <c r="I15" i="223" s="1"/>
  <c r="H15" i="216"/>
  <c r="I15" i="216" s="1"/>
  <c r="H15" i="220"/>
  <c r="I15" i="220" s="1"/>
  <c r="H32" i="219"/>
  <c r="I32" i="219" s="1"/>
  <c r="H15" i="219"/>
  <c r="I15" i="219" s="1"/>
  <c r="H32" i="223"/>
  <c r="I32" i="223" s="1"/>
  <c r="H14" i="209"/>
  <c r="I14" i="209" s="1"/>
  <c r="H40" i="215"/>
  <c r="I40" i="215" s="1"/>
  <c r="H14" i="212"/>
  <c r="I14" i="212" s="1"/>
  <c r="H14" i="208"/>
  <c r="I14" i="208" s="1"/>
  <c r="H40" i="212"/>
  <c r="I40" i="212" s="1"/>
  <c r="H40" i="209"/>
  <c r="I40" i="209" s="1"/>
  <c r="H40" i="213"/>
  <c r="I40" i="213" s="1"/>
  <c r="H40" i="208"/>
  <c r="I40" i="208" s="1"/>
  <c r="H40" i="211"/>
  <c r="I40" i="211" s="1"/>
  <c r="H40" i="201"/>
  <c r="I40" i="201" s="1"/>
  <c r="H14" i="205"/>
  <c r="I14" i="205" s="1"/>
  <c r="H14" i="201"/>
  <c r="I14" i="201" s="1"/>
  <c r="H40" i="205"/>
  <c r="I40" i="205" s="1"/>
  <c r="H40" i="200"/>
  <c r="I40" i="200" s="1"/>
  <c r="H40" i="203"/>
  <c r="I40" i="203" s="1"/>
  <c r="H14" i="204"/>
  <c r="I14" i="204" s="1"/>
  <c r="H40" i="207"/>
  <c r="I40" i="207" s="1"/>
  <c r="E10" i="167" l="1"/>
  <c r="E4" i="167"/>
  <c r="E11" i="167"/>
  <c r="E9" i="167"/>
  <c r="E7" i="167"/>
  <c r="E6" i="167"/>
  <c r="E3" i="167"/>
  <c r="E5" i="167"/>
  <c r="E8" i="167"/>
  <c r="B4" i="218" l="1"/>
  <c r="B4" i="222"/>
  <c r="B5" i="222"/>
  <c r="B5" i="218"/>
  <c r="C66" i="7" l="1"/>
  <c r="B9" i="222"/>
  <c r="B7" i="222"/>
  <c r="B33" i="222"/>
  <c r="B24" i="218"/>
  <c r="B21" i="218"/>
  <c r="B20" i="218"/>
  <c r="D55" i="7"/>
  <c r="B25" i="218"/>
  <c r="C55" i="7"/>
  <c r="B33" i="218"/>
  <c r="B9" i="218"/>
  <c r="B7" i="218"/>
  <c r="B20" i="222"/>
  <c r="B25" i="222"/>
  <c r="B24" i="222"/>
  <c r="D66" i="7"/>
  <c r="B21" i="222"/>
  <c r="B29" i="222" l="1"/>
  <c r="B28" i="222"/>
  <c r="B22" i="222"/>
  <c r="B13" i="222"/>
  <c r="B30" i="222"/>
  <c r="D21" i="218"/>
  <c r="E21" i="218"/>
  <c r="G21" i="218" s="1"/>
  <c r="E24" i="218"/>
  <c r="E24" i="222"/>
  <c r="E25" i="218"/>
  <c r="E33" i="218"/>
  <c r="G33" i="218" s="1"/>
  <c r="D33" i="218"/>
  <c r="D33" i="222"/>
  <c r="E33" i="222"/>
  <c r="G33" i="222" s="1"/>
  <c r="D21" i="222"/>
  <c r="E21" i="222"/>
  <c r="G21" i="222" s="1"/>
  <c r="E25" i="222"/>
  <c r="E20" i="222"/>
  <c r="B29" i="218"/>
  <c r="B22" i="218"/>
  <c r="B30" i="218"/>
  <c r="B28" i="218"/>
  <c r="B13" i="218"/>
  <c r="E20" i="218"/>
  <c r="E29" i="222" l="1"/>
  <c r="G29" i="222" s="1"/>
  <c r="D29" i="222"/>
  <c r="D22" i="218"/>
  <c r="E22" i="218"/>
  <c r="G22" i="218" s="1"/>
  <c r="H21" i="222"/>
  <c r="I21" i="222" s="1"/>
  <c r="D29" i="218"/>
  <c r="E29" i="218"/>
  <c r="G29" i="218" s="1"/>
  <c r="H33" i="218"/>
  <c r="I33" i="218" s="1"/>
  <c r="H21" i="218"/>
  <c r="I21" i="218" s="1"/>
  <c r="D30" i="222"/>
  <c r="E30" i="222"/>
  <c r="G30" i="222" s="1"/>
  <c r="D28" i="222"/>
  <c r="E28" i="222"/>
  <c r="G28" i="222" s="1"/>
  <c r="D13" i="222"/>
  <c r="D15" i="222" s="1"/>
  <c r="E13" i="222"/>
  <c r="G13" i="222" s="1"/>
  <c r="D28" i="218"/>
  <c r="E28" i="218"/>
  <c r="G28" i="218" s="1"/>
  <c r="H33" i="222"/>
  <c r="I33" i="222" s="1"/>
  <c r="D30" i="218"/>
  <c r="E30" i="218"/>
  <c r="G30" i="218" s="1"/>
  <c r="E13" i="218"/>
  <c r="G13" i="218" s="1"/>
  <c r="D13" i="218"/>
  <c r="D15" i="218" s="1"/>
  <c r="E22" i="222"/>
  <c r="G22" i="222" s="1"/>
  <c r="D22" i="222"/>
  <c r="D32" i="218" l="1"/>
  <c r="H29" i="218"/>
  <c r="I29" i="218" s="1"/>
  <c r="H30" i="222"/>
  <c r="I30" i="222" s="1"/>
  <c r="H13" i="218"/>
  <c r="I13" i="218" s="1"/>
  <c r="G15" i="218"/>
  <c r="G32" i="222"/>
  <c r="H28" i="222"/>
  <c r="I28" i="222" s="1"/>
  <c r="H30" i="218"/>
  <c r="I30" i="218" s="1"/>
  <c r="H22" i="218"/>
  <c r="I22" i="218" s="1"/>
  <c r="H13" i="222"/>
  <c r="I13" i="222" s="1"/>
  <c r="G15" i="222"/>
  <c r="D32" i="222"/>
  <c r="H29" i="222"/>
  <c r="I29" i="222" s="1"/>
  <c r="H22" i="222"/>
  <c r="I22" i="222" s="1"/>
  <c r="H28" i="218"/>
  <c r="I28" i="218" s="1"/>
  <c r="G32" i="218"/>
  <c r="H15" i="218" l="1"/>
  <c r="I15" i="218" s="1"/>
  <c r="H32" i="222"/>
  <c r="I32" i="222" s="1"/>
  <c r="H32" i="218"/>
  <c r="I32" i="218" s="1"/>
  <c r="H15" i="222"/>
  <c r="I15" i="222" s="1"/>
  <c r="C22" i="7"/>
  <c r="F37" i="72" l="1"/>
  <c r="F35" i="72"/>
  <c r="F33" i="72"/>
  <c r="B33" i="72"/>
  <c r="D33" i="72" s="1"/>
  <c r="E33" i="72" l="1"/>
  <c r="G33" i="72" s="1"/>
  <c r="H33" i="72" l="1"/>
  <c r="B33" i="75" l="1"/>
  <c r="F37" i="75"/>
  <c r="F35" i="75"/>
  <c r="F33" i="75"/>
  <c r="E33" i="75"/>
  <c r="G33" i="75" s="1"/>
  <c r="F37" i="170"/>
  <c r="F35" i="170"/>
  <c r="F33" i="170"/>
  <c r="F20" i="72"/>
  <c r="F25" i="220"/>
  <c r="G25" i="220" s="1"/>
  <c r="F24" i="220"/>
  <c r="G24" i="220" s="1"/>
  <c r="F25" i="219" l="1"/>
  <c r="G25" i="219" s="1"/>
  <c r="F25" i="216"/>
  <c r="G25" i="216" s="1"/>
  <c r="F25" i="222"/>
  <c r="G25" i="222" s="1"/>
  <c r="F25" i="223"/>
  <c r="G25" i="223" s="1"/>
  <c r="F25" i="218"/>
  <c r="G25" i="218" s="1"/>
  <c r="G26" i="220"/>
  <c r="F24" i="218"/>
  <c r="G24" i="218" s="1"/>
  <c r="F24" i="223"/>
  <c r="G24" i="223" s="1"/>
  <c r="F24" i="219"/>
  <c r="G24" i="219" s="1"/>
  <c r="F24" i="216"/>
  <c r="G24" i="216" s="1"/>
  <c r="F24" i="222"/>
  <c r="G24" i="222" s="1"/>
  <c r="D33" i="75"/>
  <c r="G26" i="218" l="1"/>
  <c r="G26" i="219"/>
  <c r="G26" i="216"/>
  <c r="G26" i="223"/>
  <c r="G26" i="222"/>
  <c r="H33" i="75"/>
  <c r="F18" i="79" l="1"/>
  <c r="F18" i="173"/>
  <c r="F18" i="81"/>
  <c r="F18" i="170"/>
  <c r="F17" i="75"/>
  <c r="F18" i="5"/>
  <c r="F18" i="171"/>
  <c r="F17" i="72"/>
  <c r="F18" i="76"/>
  <c r="F18" i="172"/>
  <c r="F18" i="78"/>
  <c r="F18" i="73"/>
  <c r="F21" i="61"/>
  <c r="F21" i="183"/>
  <c r="F21" i="62"/>
  <c r="F21" i="57"/>
  <c r="F21" i="58"/>
  <c r="F21" i="184"/>
  <c r="F21" i="59"/>
  <c r="F21" i="60"/>
  <c r="F21" i="46"/>
  <c r="F21" i="180"/>
  <c r="F21" i="47"/>
  <c r="F21" i="48"/>
  <c r="F21" i="49"/>
  <c r="F21" i="50"/>
  <c r="F21" i="182"/>
  <c r="F21" i="51"/>
  <c r="F21" i="52"/>
  <c r="F21" i="181"/>
  <c r="F21" i="53"/>
  <c r="F21" i="54"/>
  <c r="F21" i="168"/>
  <c r="F21" i="56"/>
  <c r="F21" i="4"/>
  <c r="C20" i="46"/>
  <c r="C20" i="180"/>
  <c r="C20" i="47"/>
  <c r="C20" i="48"/>
  <c r="C20" i="49"/>
  <c r="C20" i="50"/>
  <c r="C20" i="182"/>
  <c r="C20" i="51"/>
  <c r="C20" i="52"/>
  <c r="C20" i="181"/>
  <c r="C20" i="53"/>
  <c r="C20" i="54"/>
  <c r="C20" i="168"/>
  <c r="C20" i="56"/>
  <c r="C20" i="4"/>
  <c r="F31" i="201" l="1"/>
  <c r="G31" i="201" s="1"/>
  <c r="F31" i="203"/>
  <c r="G31" i="203" s="1"/>
  <c r="F31" i="200"/>
  <c r="G31" i="200" s="1"/>
  <c r="F31" i="202"/>
  <c r="F31" i="207"/>
  <c r="G31" i="207" s="1"/>
  <c r="F31" i="204"/>
  <c r="G31" i="204" s="1"/>
  <c r="F31" i="206"/>
  <c r="F31" i="205"/>
  <c r="G31" i="205" s="1"/>
  <c r="F32" i="201"/>
  <c r="G32" i="201" s="1"/>
  <c r="F32" i="203"/>
  <c r="G32" i="203" s="1"/>
  <c r="F32" i="200"/>
  <c r="G32" i="200" s="1"/>
  <c r="F32" i="202"/>
  <c r="F32" i="206"/>
  <c r="F32" i="207"/>
  <c r="G32" i="207" s="1"/>
  <c r="F32" i="205"/>
  <c r="G32" i="205" s="1"/>
  <c r="F32" i="204"/>
  <c r="G32" i="204" s="1"/>
  <c r="F32" i="215"/>
  <c r="G32" i="215" s="1"/>
  <c r="F32" i="212"/>
  <c r="G32" i="212" s="1"/>
  <c r="F32" i="214"/>
  <c r="F32" i="213"/>
  <c r="G32" i="213" s="1"/>
  <c r="F31" i="209"/>
  <c r="G31" i="209" s="1"/>
  <c r="F31" i="210"/>
  <c r="F31" i="208"/>
  <c r="G31" i="208" s="1"/>
  <c r="F31" i="211"/>
  <c r="G31" i="211" s="1"/>
  <c r="F31" i="213"/>
  <c r="G31" i="213" s="1"/>
  <c r="F31" i="215"/>
  <c r="G31" i="215" s="1"/>
  <c r="F31" i="214"/>
  <c r="F31" i="212"/>
  <c r="G31" i="212" s="1"/>
  <c r="F32" i="210"/>
  <c r="F32" i="208"/>
  <c r="G32" i="208" s="1"/>
  <c r="F32" i="209"/>
  <c r="G32" i="209" s="1"/>
  <c r="F32" i="211"/>
  <c r="G32" i="211" s="1"/>
  <c r="G33" i="203" l="1"/>
  <c r="G33" i="215"/>
  <c r="G33" i="204"/>
  <c r="G33" i="201"/>
  <c r="G33" i="209"/>
  <c r="G33" i="200"/>
  <c r="G33" i="211"/>
  <c r="G33" i="208"/>
  <c r="G33" i="212"/>
  <c r="G33" i="205"/>
  <c r="G33" i="213"/>
  <c r="G33" i="207"/>
  <c r="D44" i="7" l="1"/>
  <c r="D41" i="7"/>
  <c r="F50" i="184" l="1"/>
  <c r="F48" i="184"/>
  <c r="F45" i="184"/>
  <c r="F43" i="184"/>
  <c r="F41" i="184"/>
  <c r="F39" i="184"/>
  <c r="E39" i="184"/>
  <c r="G39" i="184" s="1"/>
  <c r="H39" i="184" s="1"/>
  <c r="D39" i="184"/>
  <c r="C28" i="184"/>
  <c r="F28" i="184" s="1"/>
  <c r="F26" i="184"/>
  <c r="G26" i="184" s="1"/>
  <c r="C26" i="184"/>
  <c r="D26" i="184" s="1"/>
  <c r="E22" i="184"/>
  <c r="E21" i="184"/>
  <c r="C21" i="184"/>
  <c r="D21" i="184" s="1"/>
  <c r="E20" i="184"/>
  <c r="G20" i="184" s="1"/>
  <c r="C20" i="184"/>
  <c r="D20" i="184" s="1"/>
  <c r="E19" i="184"/>
  <c r="F17" i="184"/>
  <c r="F16" i="184"/>
  <c r="F15" i="184"/>
  <c r="F13" i="184"/>
  <c r="F12" i="184"/>
  <c r="B9" i="184"/>
  <c r="B7" i="184"/>
  <c r="B6" i="184"/>
  <c r="B5" i="184"/>
  <c r="F50" i="183"/>
  <c r="F48" i="183"/>
  <c r="F45" i="183"/>
  <c r="F43" i="183"/>
  <c r="F41" i="183"/>
  <c r="F39" i="183"/>
  <c r="E39" i="183"/>
  <c r="G39" i="183" s="1"/>
  <c r="D39" i="183"/>
  <c r="C28" i="183"/>
  <c r="F28" i="183" s="1"/>
  <c r="F26" i="183"/>
  <c r="G26" i="183" s="1"/>
  <c r="C26" i="183"/>
  <c r="D26" i="183" s="1"/>
  <c r="E22" i="183"/>
  <c r="E21" i="183"/>
  <c r="C21" i="183"/>
  <c r="D21" i="183" s="1"/>
  <c r="E20" i="183"/>
  <c r="G20" i="183" s="1"/>
  <c r="C20" i="183"/>
  <c r="D20" i="183" s="1"/>
  <c r="E19" i="183"/>
  <c r="F17" i="183"/>
  <c r="F16" i="183"/>
  <c r="F15" i="183"/>
  <c r="F13" i="183"/>
  <c r="F12" i="183"/>
  <c r="B9" i="183"/>
  <c r="B7" i="183"/>
  <c r="B6" i="183"/>
  <c r="B5" i="183"/>
  <c r="F50" i="181"/>
  <c r="F48" i="181"/>
  <c r="F45" i="181"/>
  <c r="F43" i="181"/>
  <c r="F41" i="181"/>
  <c r="F39" i="181"/>
  <c r="E39" i="181"/>
  <c r="G39" i="181" s="1"/>
  <c r="D39" i="181"/>
  <c r="C28" i="181"/>
  <c r="F28" i="181" s="1"/>
  <c r="F26" i="181"/>
  <c r="G26" i="181" s="1"/>
  <c r="C26" i="181"/>
  <c r="D26" i="181" s="1"/>
  <c r="E22" i="181"/>
  <c r="E21" i="181"/>
  <c r="C21" i="181"/>
  <c r="D21" i="181" s="1"/>
  <c r="E20" i="181"/>
  <c r="G20" i="181" s="1"/>
  <c r="D20" i="181"/>
  <c r="E19" i="181"/>
  <c r="F17" i="181"/>
  <c r="F16" i="181"/>
  <c r="F15" i="181"/>
  <c r="F13" i="181"/>
  <c r="F12" i="181"/>
  <c r="B9" i="181"/>
  <c r="B7" i="181"/>
  <c r="B6" i="181"/>
  <c r="B5" i="181"/>
  <c r="F50" i="182"/>
  <c r="F48" i="182"/>
  <c r="F45" i="182"/>
  <c r="F43" i="182"/>
  <c r="F41" i="182"/>
  <c r="F39" i="182"/>
  <c r="E39" i="182"/>
  <c r="D39" i="182"/>
  <c r="C28" i="182"/>
  <c r="F28" i="182" s="1"/>
  <c r="F26" i="182"/>
  <c r="G26" i="182" s="1"/>
  <c r="C26" i="182"/>
  <c r="D26" i="182" s="1"/>
  <c r="E22" i="182"/>
  <c r="E21" i="182"/>
  <c r="C21" i="182"/>
  <c r="D21" i="182" s="1"/>
  <c r="E20" i="182"/>
  <c r="G20" i="182" s="1"/>
  <c r="D20" i="182"/>
  <c r="E19" i="182"/>
  <c r="F17" i="182"/>
  <c r="F16" i="182"/>
  <c r="F15" i="182"/>
  <c r="F13" i="182"/>
  <c r="F12" i="182"/>
  <c r="B9" i="182"/>
  <c r="B7" i="182"/>
  <c r="B6" i="182"/>
  <c r="B5" i="182"/>
  <c r="F50" i="180"/>
  <c r="F48" i="180"/>
  <c r="F45" i="180"/>
  <c r="F43" i="180"/>
  <c r="F41" i="180"/>
  <c r="F39" i="180"/>
  <c r="E39" i="180"/>
  <c r="D39" i="180"/>
  <c r="C28" i="180"/>
  <c r="F28" i="180" s="1"/>
  <c r="F26" i="180"/>
  <c r="G26" i="180" s="1"/>
  <c r="C26" i="180"/>
  <c r="D26" i="180" s="1"/>
  <c r="E22" i="180"/>
  <c r="E21" i="180"/>
  <c r="C21" i="180"/>
  <c r="D21" i="180" s="1"/>
  <c r="E20" i="180"/>
  <c r="G20" i="180" s="1"/>
  <c r="D20" i="180"/>
  <c r="E19" i="180"/>
  <c r="F17" i="180"/>
  <c r="F16" i="180"/>
  <c r="F15" i="180"/>
  <c r="F13" i="180"/>
  <c r="F12" i="180"/>
  <c r="B9" i="180"/>
  <c r="B7" i="180"/>
  <c r="B6" i="180"/>
  <c r="B5" i="180"/>
  <c r="G21" i="184" l="1"/>
  <c r="H21" i="184" s="1"/>
  <c r="I21" i="184" s="1"/>
  <c r="G39" i="182"/>
  <c r="G39" i="180"/>
  <c r="G21" i="182"/>
  <c r="H21" i="182" s="1"/>
  <c r="I21" i="182" s="1"/>
  <c r="H26" i="183"/>
  <c r="I26" i="183" s="1"/>
  <c r="G21" i="181"/>
  <c r="H21" i="181" s="1"/>
  <c r="I21" i="181" s="1"/>
  <c r="H26" i="184"/>
  <c r="I26" i="184" s="1"/>
  <c r="G21" i="180"/>
  <c r="H21" i="180" s="1"/>
  <c r="I21" i="180" s="1"/>
  <c r="H26" i="180"/>
  <c r="I26" i="180" s="1"/>
  <c r="G21" i="183"/>
  <c r="H21" i="183" s="1"/>
  <c r="I21" i="183" s="1"/>
  <c r="H20" i="184"/>
  <c r="I20" i="184" s="1"/>
  <c r="H20" i="183"/>
  <c r="I20" i="183" s="1"/>
  <c r="H39" i="183"/>
  <c r="H20" i="181"/>
  <c r="I20" i="181" s="1"/>
  <c r="H39" i="181"/>
  <c r="H26" i="181"/>
  <c r="I26" i="181" s="1"/>
  <c r="H20" i="182"/>
  <c r="I20" i="182" s="1"/>
  <c r="H26" i="182"/>
  <c r="I26" i="182" s="1"/>
  <c r="H39" i="182"/>
  <c r="H39" i="180"/>
  <c r="H20" i="180"/>
  <c r="I20" i="180" s="1"/>
  <c r="F38" i="175" l="1"/>
  <c r="F36" i="175"/>
  <c r="F34" i="175"/>
  <c r="F32" i="175"/>
  <c r="E32" i="175"/>
  <c r="G32" i="175" s="1"/>
  <c r="D32" i="175"/>
  <c r="E18" i="175"/>
  <c r="E17" i="175"/>
  <c r="D17" i="175"/>
  <c r="E16" i="175"/>
  <c r="G16" i="175" s="1"/>
  <c r="D16" i="175"/>
  <c r="E15" i="175"/>
  <c r="F13" i="175"/>
  <c r="F12" i="175"/>
  <c r="B9" i="175"/>
  <c r="B7" i="175"/>
  <c r="B6" i="175"/>
  <c r="B5" i="175"/>
  <c r="F38" i="174"/>
  <c r="F36" i="174"/>
  <c r="F34" i="174"/>
  <c r="F32" i="174"/>
  <c r="E32" i="174"/>
  <c r="D32" i="174"/>
  <c r="E18" i="174"/>
  <c r="E17" i="174"/>
  <c r="D17" i="174"/>
  <c r="E16" i="174"/>
  <c r="G16" i="174" s="1"/>
  <c r="D16" i="174"/>
  <c r="E15" i="174"/>
  <c r="F13" i="174"/>
  <c r="F12" i="174"/>
  <c r="B9" i="174"/>
  <c r="B7" i="174"/>
  <c r="B6" i="174"/>
  <c r="B5" i="174"/>
  <c r="F37" i="173"/>
  <c r="F35" i="173"/>
  <c r="F33" i="173"/>
  <c r="F31" i="173"/>
  <c r="E31" i="173"/>
  <c r="G31" i="173" s="1"/>
  <c r="D31" i="173"/>
  <c r="B25" i="173"/>
  <c r="B24" i="173"/>
  <c r="E24" i="173" s="1"/>
  <c r="B21" i="173"/>
  <c r="E21" i="173" s="1"/>
  <c r="B20" i="173"/>
  <c r="E20" i="173" s="1"/>
  <c r="E19" i="173"/>
  <c r="E18" i="173"/>
  <c r="C18" i="173"/>
  <c r="D18" i="173" s="1"/>
  <c r="E17" i="173"/>
  <c r="G17" i="173" s="1"/>
  <c r="C17" i="173"/>
  <c r="D17" i="173" s="1"/>
  <c r="E16" i="173"/>
  <c r="F14" i="173"/>
  <c r="E14" i="173"/>
  <c r="G14" i="173" s="1"/>
  <c r="D14" i="173"/>
  <c r="F13" i="173"/>
  <c r="B8" i="173"/>
  <c r="B6" i="173"/>
  <c r="F37" i="172"/>
  <c r="F35" i="172"/>
  <c r="F33" i="172"/>
  <c r="F31" i="172"/>
  <c r="E31" i="172"/>
  <c r="D31" i="172"/>
  <c r="E25" i="172"/>
  <c r="B25" i="172"/>
  <c r="B24" i="172"/>
  <c r="E24" i="172" s="1"/>
  <c r="B21" i="172"/>
  <c r="E21" i="172" s="1"/>
  <c r="B20" i="172"/>
  <c r="E20" i="172" s="1"/>
  <c r="E19" i="172"/>
  <c r="E18" i="172"/>
  <c r="C18" i="172"/>
  <c r="D18" i="172" s="1"/>
  <c r="E17" i="172"/>
  <c r="G17" i="172" s="1"/>
  <c r="C17" i="172"/>
  <c r="D17" i="172" s="1"/>
  <c r="E16" i="172"/>
  <c r="F14" i="172"/>
  <c r="E14" i="172"/>
  <c r="D14" i="172"/>
  <c r="F13" i="172"/>
  <c r="B8" i="172"/>
  <c r="B6" i="172"/>
  <c r="F35" i="171"/>
  <c r="F33" i="171"/>
  <c r="F31" i="171"/>
  <c r="E31" i="171"/>
  <c r="D31" i="171"/>
  <c r="B25" i="171"/>
  <c r="E25" i="171" s="1"/>
  <c r="B24" i="171"/>
  <c r="B21" i="171"/>
  <c r="B20" i="171"/>
  <c r="E19" i="171"/>
  <c r="E18" i="171"/>
  <c r="C18" i="171"/>
  <c r="D18" i="171" s="1"/>
  <c r="E17" i="171"/>
  <c r="G17" i="171" s="1"/>
  <c r="C17" i="171"/>
  <c r="D17" i="171" s="1"/>
  <c r="E16" i="171"/>
  <c r="F14" i="171"/>
  <c r="E14" i="171"/>
  <c r="D14" i="171"/>
  <c r="F13" i="171"/>
  <c r="B8" i="171"/>
  <c r="B6" i="171"/>
  <c r="F31" i="170"/>
  <c r="E31" i="170"/>
  <c r="G31" i="170" s="1"/>
  <c r="D31" i="170"/>
  <c r="B25" i="170"/>
  <c r="B24" i="170"/>
  <c r="E24" i="170" s="1"/>
  <c r="B21" i="170"/>
  <c r="E21" i="170" s="1"/>
  <c r="B20" i="170"/>
  <c r="E20" i="170" s="1"/>
  <c r="E19" i="170"/>
  <c r="E18" i="170"/>
  <c r="C18" i="170"/>
  <c r="D18" i="170" s="1"/>
  <c r="E17" i="170"/>
  <c r="G17" i="170" s="1"/>
  <c r="C17" i="170"/>
  <c r="D17" i="170" s="1"/>
  <c r="E16" i="170"/>
  <c r="F14" i="170"/>
  <c r="E14" i="170"/>
  <c r="D14" i="170"/>
  <c r="F13" i="170"/>
  <c r="B8" i="170"/>
  <c r="B6" i="170"/>
  <c r="F38" i="169"/>
  <c r="F36" i="169"/>
  <c r="F34" i="169"/>
  <c r="F32" i="169"/>
  <c r="E32" i="169"/>
  <c r="D32" i="169"/>
  <c r="E18" i="169"/>
  <c r="D18" i="169"/>
  <c r="E17" i="169"/>
  <c r="D17" i="169"/>
  <c r="E16" i="169"/>
  <c r="G16" i="169" s="1"/>
  <c r="D16" i="169"/>
  <c r="E15" i="169"/>
  <c r="F13" i="169"/>
  <c r="F12" i="169"/>
  <c r="B9" i="169"/>
  <c r="B7" i="169"/>
  <c r="B6" i="169"/>
  <c r="B5" i="169"/>
  <c r="F50" i="168"/>
  <c r="F48" i="168"/>
  <c r="F45" i="168"/>
  <c r="F43" i="168"/>
  <c r="F41" i="168"/>
  <c r="F39" i="168"/>
  <c r="E39" i="168"/>
  <c r="G39" i="168" s="1"/>
  <c r="D39" i="168"/>
  <c r="C28" i="168"/>
  <c r="F28" i="168" s="1"/>
  <c r="F26" i="168"/>
  <c r="G26" i="168" s="1"/>
  <c r="C26" i="168"/>
  <c r="D26" i="168" s="1"/>
  <c r="E22" i="168"/>
  <c r="E21" i="168"/>
  <c r="C21" i="168"/>
  <c r="D21" i="168" s="1"/>
  <c r="E20" i="168"/>
  <c r="G20" i="168" s="1"/>
  <c r="D20" i="168"/>
  <c r="E19" i="168"/>
  <c r="F17" i="168"/>
  <c r="F16" i="168"/>
  <c r="F15" i="168"/>
  <c r="F13" i="168"/>
  <c r="F12" i="168"/>
  <c r="B9" i="168"/>
  <c r="B7" i="168"/>
  <c r="B6" i="168"/>
  <c r="B5" i="168"/>
  <c r="G14" i="170" l="1"/>
  <c r="H14" i="170" s="1"/>
  <c r="I14" i="170" s="1"/>
  <c r="G32" i="169"/>
  <c r="G32" i="174"/>
  <c r="H32" i="174" s="1"/>
  <c r="G18" i="173"/>
  <c r="H18" i="173" s="1"/>
  <c r="I18" i="173" s="1"/>
  <c r="G31" i="172"/>
  <c r="G14" i="172"/>
  <c r="H14" i="172" s="1"/>
  <c r="I14" i="172" s="1"/>
  <c r="G18" i="171"/>
  <c r="H18" i="171" s="1"/>
  <c r="I18" i="171" s="1"/>
  <c r="G14" i="171"/>
  <c r="H14" i="171" s="1"/>
  <c r="I14" i="171" s="1"/>
  <c r="G31" i="171"/>
  <c r="H31" i="171" s="1"/>
  <c r="G18" i="170"/>
  <c r="H18" i="170" s="1"/>
  <c r="I18" i="170" s="1"/>
  <c r="G18" i="172"/>
  <c r="H18" i="172" s="1"/>
  <c r="I18" i="172" s="1"/>
  <c r="H16" i="175"/>
  <c r="G17" i="169"/>
  <c r="H17" i="169" s="1"/>
  <c r="G21" i="168"/>
  <c r="H21" i="168" s="1"/>
  <c r="I21" i="168" s="1"/>
  <c r="G17" i="174"/>
  <c r="H17" i="174" s="1"/>
  <c r="G17" i="175"/>
  <c r="H17" i="175" s="1"/>
  <c r="H32" i="175"/>
  <c r="H16" i="174"/>
  <c r="E21" i="171"/>
  <c r="E25" i="170"/>
  <c r="E25" i="173"/>
  <c r="H14" i="173"/>
  <c r="I14" i="173" s="1"/>
  <c r="H17" i="173"/>
  <c r="I17" i="173" s="1"/>
  <c r="H31" i="173"/>
  <c r="H17" i="172"/>
  <c r="I17" i="172" s="1"/>
  <c r="H31" i="172"/>
  <c r="H17" i="171"/>
  <c r="I17" i="171" s="1"/>
  <c r="E24" i="171"/>
  <c r="E20" i="171"/>
  <c r="H31" i="170"/>
  <c r="H17" i="170"/>
  <c r="I17" i="170" s="1"/>
  <c r="H16" i="169"/>
  <c r="H32" i="169"/>
  <c r="H39" i="168"/>
  <c r="H20" i="168"/>
  <c r="I20" i="168" s="1"/>
  <c r="H26" i="168"/>
  <c r="I26" i="168" s="1"/>
  <c r="F25" i="172"/>
  <c r="G25" i="172" s="1"/>
  <c r="F24" i="172"/>
  <c r="G24" i="172" s="1"/>
  <c r="F25" i="170"/>
  <c r="F24" i="170"/>
  <c r="G24" i="170" s="1"/>
  <c r="F25" i="171"/>
  <c r="G25" i="171" s="1"/>
  <c r="F24" i="171"/>
  <c r="F32" i="183"/>
  <c r="F31" i="183"/>
  <c r="F32" i="184"/>
  <c r="F31" i="184"/>
  <c r="F32" i="168"/>
  <c r="F31" i="168"/>
  <c r="F32" i="181"/>
  <c r="F31" i="181"/>
  <c r="F32" i="182"/>
  <c r="F31" i="182"/>
  <c r="F32" i="180"/>
  <c r="F31" i="180"/>
  <c r="F25" i="175" l="1"/>
  <c r="F26" i="175"/>
  <c r="F24" i="173"/>
  <c r="G24" i="173" s="1"/>
  <c r="F25" i="173"/>
  <c r="G25" i="173" s="1"/>
  <c r="G26" i="172"/>
  <c r="X10" i="3"/>
  <c r="F25" i="169"/>
  <c r="Y10" i="3"/>
  <c r="F26" i="169"/>
  <c r="G24" i="171"/>
  <c r="G26" i="171" s="1"/>
  <c r="G25" i="170"/>
  <c r="G26" i="173" l="1"/>
  <c r="F26" i="174"/>
  <c r="F25" i="174"/>
  <c r="G26" i="170"/>
  <c r="F43" i="60" l="1"/>
  <c r="F45" i="60"/>
  <c r="F48" i="60"/>
  <c r="C28" i="59" l="1"/>
  <c r="C28" i="58"/>
  <c r="C28" i="57"/>
  <c r="C28" i="62"/>
  <c r="C28" i="61"/>
  <c r="C28" i="60"/>
  <c r="C28" i="56"/>
  <c r="C28" i="54"/>
  <c r="C28" i="53"/>
  <c r="C28" i="52"/>
  <c r="C28" i="51"/>
  <c r="C28" i="50"/>
  <c r="C28" i="49"/>
  <c r="C28" i="48"/>
  <c r="C28" i="47"/>
  <c r="C28" i="46"/>
  <c r="C28" i="4"/>
  <c r="B16" i="59" l="1"/>
  <c r="B15" i="59"/>
  <c r="B16" i="58"/>
  <c r="B15" i="58"/>
  <c r="B16" i="57"/>
  <c r="B15" i="57"/>
  <c r="B16" i="62"/>
  <c r="B15" i="62"/>
  <c r="B16" i="61"/>
  <c r="B15" i="61"/>
  <c r="B16" i="60"/>
  <c r="B15" i="60"/>
  <c r="B16" i="56"/>
  <c r="B15" i="56"/>
  <c r="B16" i="54"/>
  <c r="B15" i="54"/>
  <c r="B16" i="53"/>
  <c r="B15" i="53"/>
  <c r="B16" i="52"/>
  <c r="B15" i="52"/>
  <c r="B16" i="51"/>
  <c r="B15" i="51"/>
  <c r="B16" i="50"/>
  <c r="B15" i="50"/>
  <c r="B16" i="49"/>
  <c r="B15" i="49"/>
  <c r="B16" i="48"/>
  <c r="B15" i="48"/>
  <c r="B16" i="47"/>
  <c r="B15" i="47"/>
  <c r="B16" i="46"/>
  <c r="B15" i="46"/>
  <c r="B16" i="4"/>
  <c r="B15" i="4"/>
  <c r="F50" i="59" l="1"/>
  <c r="F45" i="59"/>
  <c r="F50" i="62"/>
  <c r="F45" i="62"/>
  <c r="F50" i="4" l="1"/>
  <c r="F50" i="58"/>
  <c r="F50" i="57"/>
  <c r="F50" i="61"/>
  <c r="F50" i="60"/>
  <c r="F50" i="56"/>
  <c r="F50" i="54"/>
  <c r="F50" i="53"/>
  <c r="F50" i="52"/>
  <c r="F50" i="51"/>
  <c r="F50" i="50"/>
  <c r="F50" i="49"/>
  <c r="F50" i="48"/>
  <c r="F50" i="47"/>
  <c r="F50" i="46"/>
  <c r="C17" i="72" l="1"/>
  <c r="C17" i="73"/>
  <c r="C17" i="75"/>
  <c r="C17" i="76"/>
  <c r="C17" i="78"/>
  <c r="C17" i="79"/>
  <c r="C17" i="81"/>
  <c r="C17" i="5"/>
  <c r="B17" i="62" l="1"/>
  <c r="B17" i="61"/>
  <c r="B17" i="60"/>
  <c r="B17" i="59"/>
  <c r="B17" i="58"/>
  <c r="B17" i="57"/>
  <c r="B17" i="56"/>
  <c r="B17" i="54"/>
  <c r="B17" i="53"/>
  <c r="B17" i="52"/>
  <c r="B17" i="51"/>
  <c r="B17" i="50"/>
  <c r="B17" i="49"/>
  <c r="B17" i="48"/>
  <c r="B17" i="47"/>
  <c r="B17" i="46"/>
  <c r="B17" i="4"/>
  <c r="D45" i="7" l="1"/>
  <c r="D43" i="7"/>
  <c r="C45" i="7"/>
  <c r="C43" i="7"/>
  <c r="D42" i="7"/>
  <c r="D40" i="7"/>
  <c r="C42" i="7"/>
  <c r="C40" i="7"/>
  <c r="C39" i="7"/>
  <c r="C37" i="7"/>
  <c r="C36" i="7"/>
  <c r="C34" i="7"/>
  <c r="C33" i="7"/>
  <c r="C31" i="7"/>
  <c r="F33" i="81" l="1"/>
  <c r="F31" i="81"/>
  <c r="E31" i="81"/>
  <c r="G31" i="81" s="1"/>
  <c r="D31" i="81"/>
  <c r="E19" i="81"/>
  <c r="E18" i="81"/>
  <c r="G17" i="81"/>
  <c r="E17" i="81"/>
  <c r="D17" i="81"/>
  <c r="E16" i="81"/>
  <c r="F33" i="79"/>
  <c r="F31" i="79"/>
  <c r="E31" i="79"/>
  <c r="D31" i="79"/>
  <c r="E19" i="79"/>
  <c r="E18" i="79"/>
  <c r="E17" i="79"/>
  <c r="G17" i="79" s="1"/>
  <c r="D17" i="79"/>
  <c r="E16" i="79"/>
  <c r="F33" i="78"/>
  <c r="F31" i="78"/>
  <c r="E31" i="78"/>
  <c r="G31" i="78" s="1"/>
  <c r="D31" i="78"/>
  <c r="E19" i="78"/>
  <c r="E18" i="78"/>
  <c r="E17" i="78"/>
  <c r="G17" i="78" s="1"/>
  <c r="D17" i="78"/>
  <c r="E16" i="78"/>
  <c r="F33" i="76"/>
  <c r="F31" i="76"/>
  <c r="E31" i="76"/>
  <c r="G31" i="76" s="1"/>
  <c r="D31" i="76"/>
  <c r="E19" i="76"/>
  <c r="E18" i="76"/>
  <c r="E17" i="76"/>
  <c r="G17" i="76" s="1"/>
  <c r="D17" i="76"/>
  <c r="E16" i="76"/>
  <c r="F31" i="75"/>
  <c r="E31" i="75"/>
  <c r="D31" i="75"/>
  <c r="E19" i="75"/>
  <c r="E18" i="75"/>
  <c r="E17" i="75"/>
  <c r="G17" i="75" s="1"/>
  <c r="D17" i="75"/>
  <c r="E16" i="75"/>
  <c r="F33" i="73"/>
  <c r="F31" i="73"/>
  <c r="E31" i="73"/>
  <c r="D31" i="73"/>
  <c r="E19" i="73"/>
  <c r="E18" i="73"/>
  <c r="E17" i="73"/>
  <c r="G17" i="73" s="1"/>
  <c r="D17" i="73"/>
  <c r="E16" i="73"/>
  <c r="F31" i="72"/>
  <c r="E31" i="72"/>
  <c r="D31" i="72"/>
  <c r="E19" i="72"/>
  <c r="E18" i="72"/>
  <c r="E17" i="72"/>
  <c r="G17" i="72" s="1"/>
  <c r="D17" i="72"/>
  <c r="E16" i="72"/>
  <c r="F33" i="5"/>
  <c r="F31" i="5"/>
  <c r="E31" i="5"/>
  <c r="G31" i="5" s="1"/>
  <c r="D31" i="5"/>
  <c r="E19" i="5"/>
  <c r="E18" i="5"/>
  <c r="E17" i="5"/>
  <c r="G17" i="5" s="1"/>
  <c r="D17" i="5"/>
  <c r="E16" i="5"/>
  <c r="F34" i="70"/>
  <c r="F32" i="70"/>
  <c r="E32" i="70"/>
  <c r="G32" i="70" s="1"/>
  <c r="D32" i="70"/>
  <c r="E18" i="70"/>
  <c r="E17" i="70"/>
  <c r="E16" i="70"/>
  <c r="G16" i="70" s="1"/>
  <c r="D16" i="70"/>
  <c r="E15" i="70"/>
  <c r="F34" i="68"/>
  <c r="F32" i="68"/>
  <c r="E32" i="68"/>
  <c r="G32" i="68" s="1"/>
  <c r="D32" i="68"/>
  <c r="E18" i="68"/>
  <c r="E17" i="68"/>
  <c r="E16" i="68"/>
  <c r="G16" i="68" s="1"/>
  <c r="D16" i="68"/>
  <c r="E15" i="68"/>
  <c r="F34" i="67"/>
  <c r="F32" i="67"/>
  <c r="E32" i="67"/>
  <c r="G32" i="67" s="1"/>
  <c r="D32" i="67"/>
  <c r="E18" i="67"/>
  <c r="E17" i="67"/>
  <c r="E16" i="67"/>
  <c r="G16" i="67" s="1"/>
  <c r="D16" i="67"/>
  <c r="E15" i="67"/>
  <c r="F34" i="65"/>
  <c r="F32" i="65"/>
  <c r="E32" i="65"/>
  <c r="D32" i="65"/>
  <c r="E18" i="65"/>
  <c r="E17" i="65"/>
  <c r="E16" i="65"/>
  <c r="G16" i="65" s="1"/>
  <c r="D16" i="65"/>
  <c r="E15" i="65"/>
  <c r="F34" i="64"/>
  <c r="F32" i="64"/>
  <c r="E32" i="64"/>
  <c r="D32" i="64"/>
  <c r="E18" i="64"/>
  <c r="E17" i="64"/>
  <c r="E16" i="64"/>
  <c r="G16" i="64" s="1"/>
  <c r="D16" i="64"/>
  <c r="E15" i="64"/>
  <c r="F41" i="62"/>
  <c r="F39" i="62"/>
  <c r="E39" i="62"/>
  <c r="G39" i="62" s="1"/>
  <c r="D39" i="62"/>
  <c r="F28" i="62"/>
  <c r="F26" i="62"/>
  <c r="G26" i="62" s="1"/>
  <c r="C26" i="62"/>
  <c r="D26" i="62" s="1"/>
  <c r="E22" i="62"/>
  <c r="E21" i="62"/>
  <c r="E20" i="62"/>
  <c r="G20" i="62" s="1"/>
  <c r="C20" i="62"/>
  <c r="D20" i="62" s="1"/>
  <c r="E19" i="62"/>
  <c r="F41" i="61"/>
  <c r="F39" i="61"/>
  <c r="E39" i="61"/>
  <c r="G39" i="61" s="1"/>
  <c r="D39" i="61"/>
  <c r="F28" i="61"/>
  <c r="F26" i="61"/>
  <c r="G26" i="61" s="1"/>
  <c r="C26" i="61"/>
  <c r="D26" i="61" s="1"/>
  <c r="E22" i="61"/>
  <c r="E21" i="61"/>
  <c r="E20" i="61"/>
  <c r="G20" i="61" s="1"/>
  <c r="C20" i="61"/>
  <c r="D20" i="61" s="1"/>
  <c r="E19" i="61"/>
  <c r="F41" i="60"/>
  <c r="F39" i="60"/>
  <c r="E39" i="60"/>
  <c r="G39" i="60" s="1"/>
  <c r="D39" i="60"/>
  <c r="F28" i="60"/>
  <c r="F26" i="60"/>
  <c r="G26" i="60" s="1"/>
  <c r="C26" i="60"/>
  <c r="D26" i="60" s="1"/>
  <c r="E22" i="60"/>
  <c r="E21" i="60"/>
  <c r="E20" i="60"/>
  <c r="G20" i="60" s="1"/>
  <c r="C20" i="60"/>
  <c r="D20" i="60" s="1"/>
  <c r="E19" i="60"/>
  <c r="F41" i="59"/>
  <c r="F39" i="59"/>
  <c r="E39" i="59"/>
  <c r="G39" i="59" s="1"/>
  <c r="D39" i="59"/>
  <c r="F28" i="59"/>
  <c r="F26" i="59"/>
  <c r="G26" i="59" s="1"/>
  <c r="C26" i="59"/>
  <c r="D26" i="59" s="1"/>
  <c r="E22" i="59"/>
  <c r="E21" i="59"/>
  <c r="E20" i="59"/>
  <c r="G20" i="59" s="1"/>
  <c r="C20" i="59"/>
  <c r="D20" i="59" s="1"/>
  <c r="E19" i="59"/>
  <c r="F41" i="58"/>
  <c r="F39" i="58"/>
  <c r="E39" i="58"/>
  <c r="G39" i="58" s="1"/>
  <c r="D39" i="58"/>
  <c r="F28" i="58"/>
  <c r="F26" i="58"/>
  <c r="G26" i="58" s="1"/>
  <c r="C26" i="58"/>
  <c r="D26" i="58" s="1"/>
  <c r="E22" i="58"/>
  <c r="E21" i="58"/>
  <c r="E20" i="58"/>
  <c r="G20" i="58" s="1"/>
  <c r="C20" i="58"/>
  <c r="D20" i="58" s="1"/>
  <c r="E19" i="58"/>
  <c r="F41" i="57"/>
  <c r="F39" i="57"/>
  <c r="E39" i="57"/>
  <c r="D39" i="57"/>
  <c r="F28" i="57"/>
  <c r="F26" i="57"/>
  <c r="G26" i="57" s="1"/>
  <c r="C26" i="57"/>
  <c r="D26" i="57" s="1"/>
  <c r="E22" i="57"/>
  <c r="E21" i="57"/>
  <c r="E20" i="57"/>
  <c r="G20" i="57" s="1"/>
  <c r="C20" i="57"/>
  <c r="D20" i="57" s="1"/>
  <c r="E19" i="57"/>
  <c r="F41" i="56"/>
  <c r="F39" i="56"/>
  <c r="E39" i="56"/>
  <c r="G39" i="56" s="1"/>
  <c r="D39" i="56"/>
  <c r="F28" i="56"/>
  <c r="F26" i="56"/>
  <c r="G26" i="56" s="1"/>
  <c r="C26" i="56"/>
  <c r="D26" i="56" s="1"/>
  <c r="E22" i="56"/>
  <c r="E21" i="56"/>
  <c r="E20" i="56"/>
  <c r="G20" i="56" s="1"/>
  <c r="D20" i="56"/>
  <c r="E19" i="56"/>
  <c r="F41" i="54"/>
  <c r="F39" i="54"/>
  <c r="E39" i="54"/>
  <c r="D39" i="54"/>
  <c r="F28" i="54"/>
  <c r="F26" i="54"/>
  <c r="G26" i="54" s="1"/>
  <c r="C26" i="54"/>
  <c r="D26" i="54" s="1"/>
  <c r="E22" i="54"/>
  <c r="E21" i="54"/>
  <c r="E20" i="54"/>
  <c r="G20" i="54" s="1"/>
  <c r="D20" i="54"/>
  <c r="E19" i="54"/>
  <c r="F41" i="53"/>
  <c r="F39" i="53"/>
  <c r="E39" i="53"/>
  <c r="G39" i="53" s="1"/>
  <c r="D39" i="53"/>
  <c r="F28" i="53"/>
  <c r="F26" i="53"/>
  <c r="G26" i="53" s="1"/>
  <c r="C26" i="53"/>
  <c r="D26" i="53" s="1"/>
  <c r="E22" i="53"/>
  <c r="E21" i="53"/>
  <c r="E20" i="53"/>
  <c r="G20" i="53" s="1"/>
  <c r="D20" i="53"/>
  <c r="E19" i="53"/>
  <c r="F41" i="52"/>
  <c r="F39" i="52"/>
  <c r="E39" i="52"/>
  <c r="D39" i="52"/>
  <c r="F28" i="52"/>
  <c r="F26" i="52"/>
  <c r="G26" i="52" s="1"/>
  <c r="C26" i="52"/>
  <c r="D26" i="52" s="1"/>
  <c r="E22" i="52"/>
  <c r="E21" i="52"/>
  <c r="E20" i="52"/>
  <c r="G20" i="52" s="1"/>
  <c r="D20" i="52"/>
  <c r="E19" i="52"/>
  <c r="F41" i="51"/>
  <c r="F39" i="51"/>
  <c r="E39" i="51"/>
  <c r="D39" i="51"/>
  <c r="F28" i="51"/>
  <c r="F26" i="51"/>
  <c r="G26" i="51" s="1"/>
  <c r="C26" i="51"/>
  <c r="D26" i="51" s="1"/>
  <c r="E22" i="51"/>
  <c r="E21" i="51"/>
  <c r="E20" i="51"/>
  <c r="G20" i="51" s="1"/>
  <c r="D20" i="51"/>
  <c r="E19" i="51"/>
  <c r="F41" i="50"/>
  <c r="F39" i="50"/>
  <c r="E39" i="50"/>
  <c r="D39" i="50"/>
  <c r="F28" i="50"/>
  <c r="F26" i="50"/>
  <c r="G26" i="50" s="1"/>
  <c r="C26" i="50"/>
  <c r="D26" i="50" s="1"/>
  <c r="E22" i="50"/>
  <c r="E21" i="50"/>
  <c r="E20" i="50"/>
  <c r="G20" i="50" s="1"/>
  <c r="D20" i="50"/>
  <c r="E19" i="50"/>
  <c r="F41" i="49"/>
  <c r="F39" i="49"/>
  <c r="E39" i="49"/>
  <c r="G39" i="49" s="1"/>
  <c r="D39" i="49"/>
  <c r="F28" i="49"/>
  <c r="F26" i="49"/>
  <c r="G26" i="49" s="1"/>
  <c r="C26" i="49"/>
  <c r="D26" i="49" s="1"/>
  <c r="E22" i="49"/>
  <c r="E21" i="49"/>
  <c r="E20" i="49"/>
  <c r="G20" i="49" s="1"/>
  <c r="D20" i="49"/>
  <c r="E19" i="49"/>
  <c r="F41" i="48"/>
  <c r="F39" i="48"/>
  <c r="E39" i="48"/>
  <c r="D39" i="48"/>
  <c r="F28" i="48"/>
  <c r="F26" i="48"/>
  <c r="G26" i="48" s="1"/>
  <c r="C26" i="48"/>
  <c r="D26" i="48" s="1"/>
  <c r="E22" i="48"/>
  <c r="E21" i="48"/>
  <c r="E20" i="48"/>
  <c r="G20" i="48" s="1"/>
  <c r="D20" i="48"/>
  <c r="E19" i="48"/>
  <c r="F41" i="47"/>
  <c r="F39" i="47"/>
  <c r="E39" i="47"/>
  <c r="G39" i="47" s="1"/>
  <c r="D39" i="47"/>
  <c r="F28" i="47"/>
  <c r="F26" i="47"/>
  <c r="G26" i="47" s="1"/>
  <c r="C26" i="47"/>
  <c r="D26" i="47" s="1"/>
  <c r="E22" i="47"/>
  <c r="E21" i="47"/>
  <c r="E20" i="47"/>
  <c r="G20" i="47" s="1"/>
  <c r="D20" i="47"/>
  <c r="E19" i="47"/>
  <c r="F41" i="46"/>
  <c r="F39" i="46"/>
  <c r="E39" i="46"/>
  <c r="D39" i="46"/>
  <c r="F28" i="46"/>
  <c r="F26" i="46"/>
  <c r="G26" i="46" s="1"/>
  <c r="C26" i="46"/>
  <c r="D26" i="46" s="1"/>
  <c r="E22" i="46"/>
  <c r="E21" i="46"/>
  <c r="E20" i="46"/>
  <c r="G20" i="46" s="1"/>
  <c r="D20" i="46"/>
  <c r="E19" i="46"/>
  <c r="F26" i="4"/>
  <c r="F32" i="46"/>
  <c r="F31" i="46"/>
  <c r="G32" i="65" l="1"/>
  <c r="G32" i="64"/>
  <c r="G31" i="79"/>
  <c r="G31" i="72"/>
  <c r="G39" i="57"/>
  <c r="G39" i="46"/>
  <c r="G39" i="48"/>
  <c r="G39" i="50"/>
  <c r="G39" i="52"/>
  <c r="G39" i="54"/>
  <c r="G39" i="51"/>
  <c r="G31" i="75"/>
  <c r="G31" i="73"/>
  <c r="F32" i="4"/>
  <c r="F31" i="47"/>
  <c r="F32" i="47"/>
  <c r="F31" i="4"/>
  <c r="F25" i="81" l="1"/>
  <c r="F25" i="79"/>
  <c r="F25" i="75"/>
  <c r="F25" i="73"/>
  <c r="F26" i="70"/>
  <c r="F26" i="68"/>
  <c r="F26" i="64"/>
  <c r="F26" i="25"/>
  <c r="F32" i="58"/>
  <c r="F32" i="59"/>
  <c r="F32" i="57"/>
  <c r="F32" i="52"/>
  <c r="F32" i="53"/>
  <c r="F32" i="51"/>
  <c r="F24" i="78"/>
  <c r="F24" i="76"/>
  <c r="F24" i="72"/>
  <c r="F24" i="5"/>
  <c r="F25" i="67"/>
  <c r="F25" i="65"/>
  <c r="F31" i="62"/>
  <c r="F31" i="60"/>
  <c r="F31" i="61"/>
  <c r="F31" i="56"/>
  <c r="F31" i="54"/>
  <c r="F31" i="50"/>
  <c r="F31" i="48"/>
  <c r="F31" i="49"/>
  <c r="F25" i="78"/>
  <c r="F25" i="76"/>
  <c r="F25" i="72"/>
  <c r="F25" i="5"/>
  <c r="F26" i="67"/>
  <c r="F26" i="65"/>
  <c r="F32" i="62"/>
  <c r="F32" i="60"/>
  <c r="F32" i="61"/>
  <c r="F32" i="56"/>
  <c r="F32" i="54"/>
  <c r="F32" i="50"/>
  <c r="F32" i="48"/>
  <c r="F32" i="49"/>
  <c r="F24" i="81"/>
  <c r="F24" i="79"/>
  <c r="F24" i="75"/>
  <c r="F24" i="73"/>
  <c r="F25" i="70"/>
  <c r="F25" i="68"/>
  <c r="F25" i="64"/>
  <c r="F25" i="25"/>
  <c r="F31" i="58"/>
  <c r="F31" i="59"/>
  <c r="F31" i="57"/>
  <c r="F31" i="52"/>
  <c r="F31" i="53"/>
  <c r="F31" i="51"/>
  <c r="F37" i="81" l="1"/>
  <c r="F35" i="81"/>
  <c r="B33" i="81"/>
  <c r="B25" i="81"/>
  <c r="B24" i="81"/>
  <c r="B21" i="81"/>
  <c r="B20" i="81"/>
  <c r="F14" i="81"/>
  <c r="E14" i="81"/>
  <c r="D14" i="81"/>
  <c r="F13" i="81"/>
  <c r="B8" i="81"/>
  <c r="B7" i="81"/>
  <c r="B6" i="81"/>
  <c r="B9" i="81" s="1"/>
  <c r="B22" i="81" s="1"/>
  <c r="F37" i="79"/>
  <c r="F35" i="79"/>
  <c r="B33" i="79"/>
  <c r="B25" i="79"/>
  <c r="B24" i="79"/>
  <c r="B21" i="79"/>
  <c r="B20" i="79"/>
  <c r="F14" i="79"/>
  <c r="E14" i="79"/>
  <c r="D14" i="79"/>
  <c r="F13" i="79"/>
  <c r="B8" i="79"/>
  <c r="B7" i="79"/>
  <c r="B6" i="79"/>
  <c r="B9" i="79" s="1"/>
  <c r="B22" i="79" s="1"/>
  <c r="F37" i="78"/>
  <c r="F35" i="78"/>
  <c r="B33" i="78"/>
  <c r="B25" i="78"/>
  <c r="B24" i="78"/>
  <c r="B21" i="78"/>
  <c r="B20" i="78"/>
  <c r="F14" i="78"/>
  <c r="E14" i="78"/>
  <c r="D14" i="78"/>
  <c r="F13" i="78"/>
  <c r="B8" i="78"/>
  <c r="B7" i="78"/>
  <c r="B6" i="78"/>
  <c r="B9" i="78" s="1"/>
  <c r="B22" i="78" s="1"/>
  <c r="F35" i="76"/>
  <c r="B33" i="76"/>
  <c r="B25" i="76"/>
  <c r="B24" i="76"/>
  <c r="B21" i="76"/>
  <c r="B20" i="76"/>
  <c r="F14" i="76"/>
  <c r="E14" i="76"/>
  <c r="D14" i="76"/>
  <c r="F13" i="76"/>
  <c r="B8" i="76"/>
  <c r="B7" i="76"/>
  <c r="B6" i="76"/>
  <c r="B9" i="76" s="1"/>
  <c r="B22" i="76" s="1"/>
  <c r="E22" i="76" s="1"/>
  <c r="B25" i="75"/>
  <c r="B24" i="75"/>
  <c r="B22" i="75"/>
  <c r="B20" i="75"/>
  <c r="F14" i="75"/>
  <c r="E14" i="75"/>
  <c r="D14" i="75"/>
  <c r="F13" i="75"/>
  <c r="B8" i="75"/>
  <c r="B7" i="75"/>
  <c r="B6" i="75"/>
  <c r="B9" i="75" s="1"/>
  <c r="B21" i="75" s="1"/>
  <c r="F37" i="73"/>
  <c r="F35" i="73"/>
  <c r="B33" i="73"/>
  <c r="B25" i="73"/>
  <c r="B24" i="73"/>
  <c r="B21" i="73"/>
  <c r="B20" i="73"/>
  <c r="F14" i="73"/>
  <c r="E14" i="73"/>
  <c r="D14" i="73"/>
  <c r="F13" i="73"/>
  <c r="B8" i="73"/>
  <c r="B7" i="73"/>
  <c r="B6" i="73"/>
  <c r="B9" i="73" s="1"/>
  <c r="B22" i="73" s="1"/>
  <c r="E22" i="73" s="1"/>
  <c r="B7" i="72"/>
  <c r="B7" i="5"/>
  <c r="B25" i="72"/>
  <c r="B24" i="72"/>
  <c r="B21" i="72"/>
  <c r="B20" i="72"/>
  <c r="F14" i="72"/>
  <c r="E14" i="72"/>
  <c r="D14" i="72"/>
  <c r="F13" i="72"/>
  <c r="B8" i="72"/>
  <c r="B6" i="72"/>
  <c r="F38" i="70"/>
  <c r="F36" i="70"/>
  <c r="B34" i="70"/>
  <c r="H16" i="70"/>
  <c r="F13" i="70"/>
  <c r="F12" i="70"/>
  <c r="B9" i="70"/>
  <c r="B20" i="70" s="1"/>
  <c r="B7" i="70"/>
  <c r="B6" i="70"/>
  <c r="B8" i="70" s="1"/>
  <c r="B31" i="70" s="1"/>
  <c r="B5" i="70"/>
  <c r="F38" i="68"/>
  <c r="F36" i="68"/>
  <c r="B34" i="68"/>
  <c r="H16" i="68"/>
  <c r="F13" i="68"/>
  <c r="F12" i="68"/>
  <c r="B9" i="68"/>
  <c r="B20" i="68" s="1"/>
  <c r="B7" i="68"/>
  <c r="B6" i="68"/>
  <c r="B8" i="68" s="1"/>
  <c r="B31" i="68" s="1"/>
  <c r="B5" i="68"/>
  <c r="F38" i="67"/>
  <c r="F36" i="67"/>
  <c r="B34" i="67"/>
  <c r="H16" i="67"/>
  <c r="F13" i="67"/>
  <c r="F12" i="67"/>
  <c r="B9" i="67"/>
  <c r="B20" i="67" s="1"/>
  <c r="B7" i="67"/>
  <c r="B6" i="67"/>
  <c r="B8" i="67" s="1"/>
  <c r="B31" i="67" s="1"/>
  <c r="B5" i="67"/>
  <c r="F38" i="65"/>
  <c r="F36" i="65"/>
  <c r="B34" i="65"/>
  <c r="H16" i="65"/>
  <c r="F13" i="65"/>
  <c r="F12" i="65"/>
  <c r="B9" i="65"/>
  <c r="B20" i="65" s="1"/>
  <c r="B7" i="65"/>
  <c r="B6" i="65"/>
  <c r="B8" i="65" s="1"/>
  <c r="B31" i="65" s="1"/>
  <c r="B5" i="65"/>
  <c r="F38" i="64"/>
  <c r="F36" i="64"/>
  <c r="B34" i="64"/>
  <c r="H16" i="64"/>
  <c r="F13" i="64"/>
  <c r="F12" i="64"/>
  <c r="B9" i="64"/>
  <c r="B20" i="64" s="1"/>
  <c r="B7" i="64"/>
  <c r="B6" i="64"/>
  <c r="B8" i="64" s="1"/>
  <c r="B31" i="64" s="1"/>
  <c r="B5" i="64"/>
  <c r="E17" i="25"/>
  <c r="E18" i="25"/>
  <c r="F48" i="62"/>
  <c r="F43" i="62"/>
  <c r="B41" i="62"/>
  <c r="F17" i="62"/>
  <c r="F16" i="62"/>
  <c r="F15" i="62"/>
  <c r="F13" i="62"/>
  <c r="F12" i="62"/>
  <c r="B9" i="62"/>
  <c r="B24" i="62" s="1"/>
  <c r="B7" i="62"/>
  <c r="B6" i="62"/>
  <c r="B8" i="62" s="1"/>
  <c r="B38" i="62" s="1"/>
  <c r="B5" i="62"/>
  <c r="F48" i="61"/>
  <c r="F45" i="61"/>
  <c r="F43" i="61"/>
  <c r="B41" i="61"/>
  <c r="F17" i="61"/>
  <c r="F16" i="61"/>
  <c r="F15" i="61"/>
  <c r="F13" i="61"/>
  <c r="F12" i="61"/>
  <c r="B9" i="61"/>
  <c r="B24" i="61" s="1"/>
  <c r="B7" i="61"/>
  <c r="B6" i="61"/>
  <c r="B5" i="61"/>
  <c r="B41" i="60"/>
  <c r="F17" i="60"/>
  <c r="F16" i="60"/>
  <c r="F15" i="60"/>
  <c r="F13" i="60"/>
  <c r="F12" i="60"/>
  <c r="B9" i="60"/>
  <c r="B24" i="60" s="1"/>
  <c r="B7" i="60"/>
  <c r="B6" i="60"/>
  <c r="B5" i="60"/>
  <c r="F48" i="59"/>
  <c r="F43" i="59"/>
  <c r="B41" i="59"/>
  <c r="F17" i="59"/>
  <c r="F16" i="59"/>
  <c r="F15" i="59"/>
  <c r="F13" i="59"/>
  <c r="F12" i="59"/>
  <c r="B9" i="59"/>
  <c r="B24" i="59" s="1"/>
  <c r="B7" i="59"/>
  <c r="B6" i="59"/>
  <c r="B8" i="59" s="1"/>
  <c r="B38" i="59" s="1"/>
  <c r="B5" i="59"/>
  <c r="F48" i="58"/>
  <c r="F45" i="58"/>
  <c r="F43" i="58"/>
  <c r="B41" i="58"/>
  <c r="F17" i="58"/>
  <c r="F16" i="58"/>
  <c r="F15" i="58"/>
  <c r="F13" i="58"/>
  <c r="F12" i="58"/>
  <c r="B9" i="58"/>
  <c r="B24" i="58" s="1"/>
  <c r="B7" i="58"/>
  <c r="B6" i="58"/>
  <c r="B5" i="58"/>
  <c r="F48" i="57"/>
  <c r="F45" i="57"/>
  <c r="F43" i="57"/>
  <c r="B41" i="57"/>
  <c r="F17" i="57"/>
  <c r="F16" i="57"/>
  <c r="F15" i="57"/>
  <c r="F13" i="57"/>
  <c r="F12" i="57"/>
  <c r="B9" i="57"/>
  <c r="B24" i="57" s="1"/>
  <c r="B7" i="57"/>
  <c r="B6" i="57"/>
  <c r="B8" i="57" s="1"/>
  <c r="B38" i="57" s="1"/>
  <c r="B5" i="57"/>
  <c r="F48" i="56"/>
  <c r="F45" i="56"/>
  <c r="F43" i="56"/>
  <c r="B41" i="56"/>
  <c r="F17" i="56"/>
  <c r="F16" i="56"/>
  <c r="F15" i="56"/>
  <c r="F13" i="56"/>
  <c r="F12" i="56"/>
  <c r="B9" i="56"/>
  <c r="B24" i="56" s="1"/>
  <c r="B7" i="56"/>
  <c r="B6" i="56"/>
  <c r="B5" i="56"/>
  <c r="F48" i="54"/>
  <c r="F45" i="54"/>
  <c r="F43" i="54"/>
  <c r="B41" i="54"/>
  <c r="F17" i="54"/>
  <c r="F16" i="54"/>
  <c r="F15" i="54"/>
  <c r="F13" i="54"/>
  <c r="F12" i="54"/>
  <c r="B9" i="54"/>
  <c r="B24" i="54" s="1"/>
  <c r="B7" i="54"/>
  <c r="B6" i="54"/>
  <c r="B5" i="54"/>
  <c r="F48" i="53"/>
  <c r="F45" i="53"/>
  <c r="F43" i="53"/>
  <c r="B41" i="53"/>
  <c r="F17" i="53"/>
  <c r="F16" i="53"/>
  <c r="F15" i="53"/>
  <c r="F13" i="53"/>
  <c r="F12" i="53"/>
  <c r="B9" i="53"/>
  <c r="B24" i="53" s="1"/>
  <c r="B7" i="53"/>
  <c r="B6" i="53"/>
  <c r="B8" i="53" s="1"/>
  <c r="B38" i="53" s="1"/>
  <c r="B5" i="53"/>
  <c r="F48" i="52"/>
  <c r="F45" i="52"/>
  <c r="F43" i="52"/>
  <c r="B41" i="52"/>
  <c r="F17" i="52"/>
  <c r="F16" i="52"/>
  <c r="F15" i="52"/>
  <c r="F13" i="52"/>
  <c r="F12" i="52"/>
  <c r="B9" i="52"/>
  <c r="B24" i="52" s="1"/>
  <c r="B7" i="52"/>
  <c r="B6" i="52"/>
  <c r="B5" i="52"/>
  <c r="F48" i="51"/>
  <c r="F45" i="51"/>
  <c r="F43" i="51"/>
  <c r="B41" i="51"/>
  <c r="F17" i="51"/>
  <c r="F16" i="51"/>
  <c r="F15" i="51"/>
  <c r="F13" i="51"/>
  <c r="F12" i="51"/>
  <c r="B9" i="51"/>
  <c r="B7" i="51"/>
  <c r="B6" i="51"/>
  <c r="B8" i="51" s="1"/>
  <c r="B38" i="51" s="1"/>
  <c r="B5" i="51"/>
  <c r="F48" i="50"/>
  <c r="F45" i="50"/>
  <c r="F43" i="50"/>
  <c r="B41" i="50"/>
  <c r="F17" i="50"/>
  <c r="F16" i="50"/>
  <c r="F15" i="50"/>
  <c r="F13" i="50"/>
  <c r="F12" i="50"/>
  <c r="B9" i="50"/>
  <c r="B24" i="50" s="1"/>
  <c r="B7" i="50"/>
  <c r="B6" i="50"/>
  <c r="B5" i="50"/>
  <c r="F48" i="49"/>
  <c r="F45" i="49"/>
  <c r="F43" i="49"/>
  <c r="B41" i="49"/>
  <c r="F17" i="49"/>
  <c r="F16" i="49"/>
  <c r="F15" i="49"/>
  <c r="F13" i="49"/>
  <c r="F12" i="49"/>
  <c r="B9" i="49"/>
  <c r="B24" i="49" s="1"/>
  <c r="B7" i="49"/>
  <c r="B6" i="49"/>
  <c r="B5" i="49"/>
  <c r="F48" i="48"/>
  <c r="F45" i="48"/>
  <c r="F43" i="48"/>
  <c r="B41" i="48"/>
  <c r="F17" i="48"/>
  <c r="F16" i="48"/>
  <c r="F15" i="48"/>
  <c r="F13" i="48"/>
  <c r="F12" i="48"/>
  <c r="B9" i="48"/>
  <c r="B24" i="48" s="1"/>
  <c r="B7" i="48"/>
  <c r="B6" i="48"/>
  <c r="B8" i="48" s="1"/>
  <c r="B38" i="48" s="1"/>
  <c r="B5" i="48"/>
  <c r="F48" i="47"/>
  <c r="F45" i="47"/>
  <c r="F43" i="47"/>
  <c r="B41" i="47"/>
  <c r="F17" i="47"/>
  <c r="F16" i="47"/>
  <c r="F15" i="47"/>
  <c r="F13" i="47"/>
  <c r="F12" i="47"/>
  <c r="B9" i="47"/>
  <c r="B7" i="47"/>
  <c r="B6" i="47"/>
  <c r="B8" i="47" s="1"/>
  <c r="B38" i="47" s="1"/>
  <c r="B5" i="47"/>
  <c r="F48" i="46"/>
  <c r="F45" i="46"/>
  <c r="F43" i="46"/>
  <c r="B41" i="46"/>
  <c r="F17" i="46"/>
  <c r="F16" i="46"/>
  <c r="F15" i="46"/>
  <c r="F13" i="46"/>
  <c r="F12" i="46"/>
  <c r="B9" i="46"/>
  <c r="B24" i="46" s="1"/>
  <c r="B7" i="46"/>
  <c r="B6" i="46"/>
  <c r="B5" i="46"/>
  <c r="E21" i="4"/>
  <c r="E22" i="4"/>
  <c r="D34" i="70" l="1"/>
  <c r="E34" i="70"/>
  <c r="G34" i="70" s="1"/>
  <c r="H34" i="70" s="1"/>
  <c r="D34" i="64"/>
  <c r="E34" i="64"/>
  <c r="G34" i="64" s="1"/>
  <c r="H34" i="64" s="1"/>
  <c r="E34" i="68"/>
  <c r="G34" i="68" s="1"/>
  <c r="D34" i="68"/>
  <c r="H34" i="68" s="1"/>
  <c r="E34" i="67"/>
  <c r="G34" i="67" s="1"/>
  <c r="D34" i="67"/>
  <c r="H34" i="67" s="1"/>
  <c r="D34" i="65"/>
  <c r="E34" i="65"/>
  <c r="G34" i="65" s="1"/>
  <c r="D41" i="57"/>
  <c r="E41" i="57"/>
  <c r="G41" i="57" s="1"/>
  <c r="E41" i="61"/>
  <c r="G41" i="61" s="1"/>
  <c r="D41" i="61"/>
  <c r="H41" i="61" s="1"/>
  <c r="E41" i="58"/>
  <c r="G41" i="58" s="1"/>
  <c r="H41" i="58" s="1"/>
  <c r="D41" i="58"/>
  <c r="D41" i="60"/>
  <c r="H41" i="60" s="1"/>
  <c r="E41" i="60"/>
  <c r="G41" i="60" s="1"/>
  <c r="D41" i="54"/>
  <c r="E41" i="54"/>
  <c r="G41" i="54" s="1"/>
  <c r="E41" i="52"/>
  <c r="G41" i="52" s="1"/>
  <c r="D41" i="52"/>
  <c r="H41" i="52" s="1"/>
  <c r="D41" i="49"/>
  <c r="E41" i="49"/>
  <c r="G41" i="49" s="1"/>
  <c r="H41" i="49" s="1"/>
  <c r="E41" i="46"/>
  <c r="G41" i="46" s="1"/>
  <c r="D41" i="46"/>
  <c r="G14" i="76"/>
  <c r="H14" i="76" s="1"/>
  <c r="I14" i="76" s="1"/>
  <c r="E31" i="67"/>
  <c r="G31" i="67" s="1"/>
  <c r="D31" i="67"/>
  <c r="B13" i="75"/>
  <c r="B30" i="75"/>
  <c r="B13" i="79"/>
  <c r="B30" i="79"/>
  <c r="B13" i="78"/>
  <c r="B30" i="78"/>
  <c r="E31" i="64"/>
  <c r="G31" i="64" s="1"/>
  <c r="D31" i="64"/>
  <c r="E31" i="68"/>
  <c r="G31" i="68" s="1"/>
  <c r="D31" i="68"/>
  <c r="E31" i="70"/>
  <c r="G31" i="70" s="1"/>
  <c r="D31" i="70"/>
  <c r="B13" i="73"/>
  <c r="B30" i="73"/>
  <c r="B13" i="81"/>
  <c r="B30" i="81"/>
  <c r="D31" i="65"/>
  <c r="E31" i="65"/>
  <c r="G31" i="65" s="1"/>
  <c r="B13" i="76"/>
  <c r="B30" i="76"/>
  <c r="E38" i="48"/>
  <c r="G38" i="48" s="1"/>
  <c r="D38" i="48"/>
  <c r="E38" i="47"/>
  <c r="G38" i="47" s="1"/>
  <c r="D38" i="47"/>
  <c r="D38" i="51"/>
  <c r="E38" i="51"/>
  <c r="G38" i="51" s="1"/>
  <c r="E38" i="59"/>
  <c r="G38" i="59" s="1"/>
  <c r="D38" i="59"/>
  <c r="E38" i="53"/>
  <c r="G38" i="53" s="1"/>
  <c r="D38" i="53"/>
  <c r="E38" i="57"/>
  <c r="G38" i="57" s="1"/>
  <c r="D38" i="57"/>
  <c r="D38" i="62"/>
  <c r="E38" i="62"/>
  <c r="G38" i="62" s="1"/>
  <c r="D41" i="56"/>
  <c r="E41" i="56"/>
  <c r="G41" i="56" s="1"/>
  <c r="E41" i="53"/>
  <c r="G41" i="53" s="1"/>
  <c r="D41" i="53"/>
  <c r="E41" i="51"/>
  <c r="G41" i="51" s="1"/>
  <c r="D41" i="51"/>
  <c r="D41" i="50"/>
  <c r="E41" i="50"/>
  <c r="G41" i="50" s="1"/>
  <c r="D41" i="48"/>
  <c r="E41" i="48"/>
  <c r="G41" i="48" s="1"/>
  <c r="E41" i="47"/>
  <c r="G41" i="47" s="1"/>
  <c r="D41" i="47"/>
  <c r="G14" i="72"/>
  <c r="H14" i="72" s="1"/>
  <c r="I14" i="72" s="1"/>
  <c r="G14" i="78"/>
  <c r="H14" i="78" s="1"/>
  <c r="I14" i="78" s="1"/>
  <c r="E24" i="76"/>
  <c r="G24" i="76" s="1"/>
  <c r="D33" i="76"/>
  <c r="E33" i="76"/>
  <c r="G33" i="76" s="1"/>
  <c r="E20" i="76"/>
  <c r="E21" i="76"/>
  <c r="E25" i="76"/>
  <c r="G25" i="76" s="1"/>
  <c r="E20" i="73"/>
  <c r="E21" i="73"/>
  <c r="E25" i="73"/>
  <c r="G25" i="73" s="1"/>
  <c r="E24" i="73"/>
  <c r="G24" i="73" s="1"/>
  <c r="E33" i="73"/>
  <c r="G33" i="73" s="1"/>
  <c r="D33" i="73"/>
  <c r="G14" i="81"/>
  <c r="H14" i="81" s="1"/>
  <c r="I14" i="81" s="1"/>
  <c r="G14" i="79"/>
  <c r="H14" i="79" s="1"/>
  <c r="I14" i="79" s="1"/>
  <c r="G14" i="75"/>
  <c r="H14" i="75" s="1"/>
  <c r="I14" i="75" s="1"/>
  <c r="G14" i="73"/>
  <c r="H14" i="73" s="1"/>
  <c r="I14" i="73" s="1"/>
  <c r="C27" i="46"/>
  <c r="F27" i="46" s="1"/>
  <c r="B12" i="46"/>
  <c r="B13" i="46"/>
  <c r="D13" i="46" s="1"/>
  <c r="C27" i="47"/>
  <c r="F27" i="47" s="1"/>
  <c r="B13" i="47"/>
  <c r="B12" i="47"/>
  <c r="C27" i="48"/>
  <c r="F27" i="48" s="1"/>
  <c r="B12" i="48"/>
  <c r="B13" i="48"/>
  <c r="C27" i="49"/>
  <c r="F27" i="49" s="1"/>
  <c r="B13" i="49"/>
  <c r="D13" i="49" s="1"/>
  <c r="B12" i="49"/>
  <c r="C27" i="50"/>
  <c r="F27" i="50" s="1"/>
  <c r="B12" i="50"/>
  <c r="D12" i="50" s="1"/>
  <c r="B13" i="50"/>
  <c r="C27" i="51"/>
  <c r="F27" i="51" s="1"/>
  <c r="B13" i="51"/>
  <c r="B12" i="51"/>
  <c r="C27" i="52"/>
  <c r="F27" i="52" s="1"/>
  <c r="B12" i="52"/>
  <c r="B13" i="52"/>
  <c r="D13" i="52" s="1"/>
  <c r="C27" i="53"/>
  <c r="F27" i="53" s="1"/>
  <c r="B13" i="53"/>
  <c r="B12" i="53"/>
  <c r="C27" i="54"/>
  <c r="F27" i="54" s="1"/>
  <c r="B12" i="54"/>
  <c r="B13" i="54"/>
  <c r="D13" i="54" s="1"/>
  <c r="C27" i="56"/>
  <c r="F27" i="56" s="1"/>
  <c r="B12" i="56"/>
  <c r="B13" i="56"/>
  <c r="D13" i="56" s="1"/>
  <c r="C27" i="57"/>
  <c r="F27" i="57" s="1"/>
  <c r="B13" i="57"/>
  <c r="B12" i="57"/>
  <c r="C27" i="58"/>
  <c r="F27" i="58" s="1"/>
  <c r="B12" i="58"/>
  <c r="B13" i="58"/>
  <c r="C27" i="59"/>
  <c r="F27" i="59" s="1"/>
  <c r="B13" i="59"/>
  <c r="B12" i="59"/>
  <c r="C27" i="60"/>
  <c r="F27" i="60" s="1"/>
  <c r="B12" i="60"/>
  <c r="D12" i="60" s="1"/>
  <c r="B13" i="60"/>
  <c r="C27" i="61"/>
  <c r="F27" i="61" s="1"/>
  <c r="B13" i="61"/>
  <c r="B12" i="61"/>
  <c r="C27" i="62"/>
  <c r="F27" i="62" s="1"/>
  <c r="B12" i="62"/>
  <c r="B13" i="62"/>
  <c r="C23" i="64"/>
  <c r="F23" i="64" s="1"/>
  <c r="B13" i="64"/>
  <c r="D13" i="64" s="1"/>
  <c r="B12" i="64"/>
  <c r="C23" i="65"/>
  <c r="F23" i="65" s="1"/>
  <c r="B13" i="65"/>
  <c r="D13" i="65" s="1"/>
  <c r="B12" i="65"/>
  <c r="B13" i="67"/>
  <c r="E13" i="67" s="1"/>
  <c r="G13" i="67" s="1"/>
  <c r="B12" i="67"/>
  <c r="B13" i="68"/>
  <c r="E13" i="68" s="1"/>
  <c r="G13" i="68" s="1"/>
  <c r="B12" i="68"/>
  <c r="C23" i="70"/>
  <c r="F23" i="70" s="1"/>
  <c r="B13" i="70"/>
  <c r="D13" i="70" s="1"/>
  <c r="B12" i="70"/>
  <c r="E41" i="62"/>
  <c r="G41" i="62" s="1"/>
  <c r="H41" i="62" s="1"/>
  <c r="D41" i="62"/>
  <c r="D41" i="59"/>
  <c r="E41" i="59"/>
  <c r="G41" i="59" s="1"/>
  <c r="D33" i="81"/>
  <c r="E33" i="81"/>
  <c r="G33" i="81" s="1"/>
  <c r="E20" i="81"/>
  <c r="E21" i="81"/>
  <c r="E25" i="81"/>
  <c r="G25" i="81" s="1"/>
  <c r="E22" i="81"/>
  <c r="E24" i="81"/>
  <c r="G24" i="81" s="1"/>
  <c r="D33" i="79"/>
  <c r="E33" i="79"/>
  <c r="G33" i="79" s="1"/>
  <c r="E20" i="79"/>
  <c r="E21" i="79"/>
  <c r="E25" i="79"/>
  <c r="G25" i="79" s="1"/>
  <c r="E22" i="79"/>
  <c r="E24" i="79"/>
  <c r="G24" i="79" s="1"/>
  <c r="E33" i="78"/>
  <c r="G33" i="78" s="1"/>
  <c r="H33" i="78" s="1"/>
  <c r="D33" i="78"/>
  <c r="E20" i="78"/>
  <c r="E21" i="78"/>
  <c r="E25" i="78"/>
  <c r="G25" i="78" s="1"/>
  <c r="E22" i="78"/>
  <c r="E24" i="78"/>
  <c r="G24" i="78" s="1"/>
  <c r="E21" i="75"/>
  <c r="E22" i="75"/>
  <c r="E25" i="75"/>
  <c r="G25" i="75" s="1"/>
  <c r="E20" i="75"/>
  <c r="E24" i="75"/>
  <c r="G24" i="75" s="1"/>
  <c r="E20" i="72"/>
  <c r="E24" i="72"/>
  <c r="G24" i="72" s="1"/>
  <c r="E21" i="72"/>
  <c r="E25" i="72"/>
  <c r="G25" i="72" s="1"/>
  <c r="E20" i="64"/>
  <c r="E20" i="65"/>
  <c r="E20" i="67"/>
  <c r="E20" i="68"/>
  <c r="E20" i="70"/>
  <c r="E24" i="46"/>
  <c r="E24" i="48"/>
  <c r="E24" i="49"/>
  <c r="E24" i="50"/>
  <c r="E24" i="52"/>
  <c r="E24" i="53"/>
  <c r="E24" i="54"/>
  <c r="E24" i="56"/>
  <c r="E24" i="57"/>
  <c r="E24" i="58"/>
  <c r="E24" i="59"/>
  <c r="E24" i="60"/>
  <c r="E24" i="61"/>
  <c r="E24" i="62"/>
  <c r="C23" i="67"/>
  <c r="F23" i="67" s="1"/>
  <c r="C23" i="68"/>
  <c r="F23" i="68" s="1"/>
  <c r="B28" i="81"/>
  <c r="B29" i="81"/>
  <c r="H31" i="81"/>
  <c r="H17" i="81"/>
  <c r="I17" i="81" s="1"/>
  <c r="H33" i="81"/>
  <c r="H17" i="79"/>
  <c r="I17" i="79" s="1"/>
  <c r="B28" i="79"/>
  <c r="B29" i="79"/>
  <c r="H31" i="79"/>
  <c r="H33" i="79"/>
  <c r="E15" i="53"/>
  <c r="G15" i="53" s="1"/>
  <c r="E16" i="53"/>
  <c r="G16" i="53" s="1"/>
  <c r="E17" i="53"/>
  <c r="G17" i="53" s="1"/>
  <c r="D15" i="47"/>
  <c r="B23" i="49"/>
  <c r="E15" i="61"/>
  <c r="G15" i="61" s="1"/>
  <c r="E15" i="62"/>
  <c r="G15" i="62" s="1"/>
  <c r="E16" i="62"/>
  <c r="G16" i="62" s="1"/>
  <c r="E17" i="62"/>
  <c r="G17" i="62" s="1"/>
  <c r="B28" i="78"/>
  <c r="B29" i="78"/>
  <c r="H31" i="78"/>
  <c r="H17" i="78"/>
  <c r="I17" i="78" s="1"/>
  <c r="H17" i="76"/>
  <c r="I17" i="76" s="1"/>
  <c r="B28" i="76"/>
  <c r="B29" i="76"/>
  <c r="H31" i="76"/>
  <c r="H33" i="76"/>
  <c r="B28" i="75"/>
  <c r="B29" i="75"/>
  <c r="H31" i="75"/>
  <c r="H17" i="75"/>
  <c r="I17" i="75" s="1"/>
  <c r="H31" i="73"/>
  <c r="B28" i="73"/>
  <c r="B29" i="73"/>
  <c r="H33" i="73"/>
  <c r="H17" i="73"/>
  <c r="I17" i="73" s="1"/>
  <c r="H17" i="72"/>
  <c r="I17" i="72" s="1"/>
  <c r="H31" i="72"/>
  <c r="B9" i="72"/>
  <c r="B22" i="72" s="1"/>
  <c r="E22" i="72" s="1"/>
  <c r="B29" i="70"/>
  <c r="B25" i="70"/>
  <c r="B23" i="70"/>
  <c r="B30" i="70"/>
  <c r="B26" i="70"/>
  <c r="H32" i="70"/>
  <c r="B19" i="70"/>
  <c r="B21" i="70"/>
  <c r="B29" i="68"/>
  <c r="B25" i="68"/>
  <c r="B23" i="68"/>
  <c r="B30" i="68"/>
  <c r="B26" i="68"/>
  <c r="H32" i="68"/>
  <c r="B19" i="68"/>
  <c r="B21" i="68"/>
  <c r="B29" i="67"/>
  <c r="B25" i="67"/>
  <c r="B23" i="67"/>
  <c r="B30" i="67"/>
  <c r="B26" i="67"/>
  <c r="H32" i="67"/>
  <c r="B19" i="67"/>
  <c r="B21" i="67"/>
  <c r="B29" i="65"/>
  <c r="B25" i="65"/>
  <c r="B23" i="65"/>
  <c r="B30" i="65"/>
  <c r="B26" i="65"/>
  <c r="H32" i="65"/>
  <c r="B19" i="65"/>
  <c r="H34" i="65"/>
  <c r="B21" i="65"/>
  <c r="B29" i="64"/>
  <c r="B25" i="64"/>
  <c r="B23" i="64"/>
  <c r="B30" i="64"/>
  <c r="B26" i="64"/>
  <c r="H32" i="64"/>
  <c r="B19" i="64"/>
  <c r="B21" i="64"/>
  <c r="B37" i="62"/>
  <c r="B36" i="62"/>
  <c r="B32" i="62"/>
  <c r="B31" i="62"/>
  <c r="B28" i="62"/>
  <c r="B27" i="62"/>
  <c r="H20" i="62"/>
  <c r="I20" i="62" s="1"/>
  <c r="B23" i="62"/>
  <c r="H39" i="62"/>
  <c r="H26" i="62"/>
  <c r="I26" i="62" s="1"/>
  <c r="E17" i="61"/>
  <c r="G17" i="61" s="1"/>
  <c r="D17" i="61"/>
  <c r="B8" i="61"/>
  <c r="B38" i="61" s="1"/>
  <c r="H20" i="61"/>
  <c r="I20" i="61" s="1"/>
  <c r="B23" i="61"/>
  <c r="H39" i="61"/>
  <c r="H26" i="61"/>
  <c r="I26" i="61" s="1"/>
  <c r="E17" i="60"/>
  <c r="G17" i="60" s="1"/>
  <c r="D17" i="60"/>
  <c r="H20" i="60"/>
  <c r="I20" i="60" s="1"/>
  <c r="B8" i="60"/>
  <c r="B38" i="60" s="1"/>
  <c r="B23" i="60"/>
  <c r="H39" i="60"/>
  <c r="H26" i="60"/>
  <c r="I26" i="60" s="1"/>
  <c r="H20" i="59"/>
  <c r="I20" i="59" s="1"/>
  <c r="B37" i="59"/>
  <c r="B36" i="59"/>
  <c r="B32" i="59"/>
  <c r="B31" i="59"/>
  <c r="B28" i="59"/>
  <c r="B27" i="59"/>
  <c r="H39" i="59"/>
  <c r="B23" i="59"/>
  <c r="H26" i="59"/>
  <c r="I26" i="59" s="1"/>
  <c r="E17" i="58"/>
  <c r="G17" i="58" s="1"/>
  <c r="D17" i="58"/>
  <c r="B8" i="58"/>
  <c r="B38" i="58" s="1"/>
  <c r="H20" i="58"/>
  <c r="I20" i="58" s="1"/>
  <c r="B23" i="58"/>
  <c r="H39" i="58"/>
  <c r="H26" i="58"/>
  <c r="I26" i="58" s="1"/>
  <c r="E15" i="57"/>
  <c r="G15" i="57" s="1"/>
  <c r="E16" i="57"/>
  <c r="G16" i="57" s="1"/>
  <c r="E17" i="57"/>
  <c r="G17" i="57" s="1"/>
  <c r="B37" i="57"/>
  <c r="B36" i="57"/>
  <c r="B32" i="57"/>
  <c r="B31" i="57"/>
  <c r="B28" i="57"/>
  <c r="B27" i="57"/>
  <c r="H20" i="57"/>
  <c r="I20" i="57" s="1"/>
  <c r="B23" i="57"/>
  <c r="H39" i="57"/>
  <c r="H26" i="57"/>
  <c r="I26" i="57" s="1"/>
  <c r="H41" i="57"/>
  <c r="E17" i="56"/>
  <c r="G17" i="56" s="1"/>
  <c r="D17" i="56"/>
  <c r="H20" i="56"/>
  <c r="I20" i="56" s="1"/>
  <c r="B8" i="56"/>
  <c r="B38" i="56" s="1"/>
  <c r="B23" i="56"/>
  <c r="H26" i="56"/>
  <c r="I26" i="56" s="1"/>
  <c r="H39" i="56"/>
  <c r="B23" i="54"/>
  <c r="E17" i="54"/>
  <c r="G17" i="54" s="1"/>
  <c r="D17" i="54"/>
  <c r="H20" i="54"/>
  <c r="I20" i="54" s="1"/>
  <c r="B8" i="54"/>
  <c r="B38" i="54" s="1"/>
  <c r="H39" i="54"/>
  <c r="H26" i="54"/>
  <c r="I26" i="54" s="1"/>
  <c r="H41" i="54"/>
  <c r="B37" i="53"/>
  <c r="B36" i="53"/>
  <c r="B32" i="53"/>
  <c r="B31" i="53"/>
  <c r="B28" i="53"/>
  <c r="B27" i="53"/>
  <c r="H20" i="53"/>
  <c r="I20" i="53" s="1"/>
  <c r="B23" i="53"/>
  <c r="H39" i="53"/>
  <c r="H26" i="53"/>
  <c r="I26" i="53" s="1"/>
  <c r="E17" i="52"/>
  <c r="G17" i="52" s="1"/>
  <c r="D17" i="52"/>
  <c r="H20" i="52"/>
  <c r="I20" i="52" s="1"/>
  <c r="B8" i="52"/>
  <c r="B38" i="52" s="1"/>
  <c r="B23" i="52"/>
  <c r="H39" i="52"/>
  <c r="H26" i="52"/>
  <c r="I26" i="52" s="1"/>
  <c r="D15" i="51"/>
  <c r="D16" i="51"/>
  <c r="D17" i="51"/>
  <c r="B37" i="51"/>
  <c r="B36" i="51"/>
  <c r="B32" i="51"/>
  <c r="B31" i="51"/>
  <c r="B28" i="51"/>
  <c r="B27" i="51"/>
  <c r="B24" i="51"/>
  <c r="H39" i="51"/>
  <c r="H20" i="51"/>
  <c r="I20" i="51" s="1"/>
  <c r="B23" i="51"/>
  <c r="H26" i="51"/>
  <c r="I26" i="51" s="1"/>
  <c r="E17" i="50"/>
  <c r="G17" i="50" s="1"/>
  <c r="D17" i="50"/>
  <c r="H20" i="50"/>
  <c r="I20" i="50" s="1"/>
  <c r="B8" i="50"/>
  <c r="B38" i="50" s="1"/>
  <c r="B23" i="50"/>
  <c r="H39" i="50"/>
  <c r="H26" i="50"/>
  <c r="I26" i="50" s="1"/>
  <c r="E17" i="49"/>
  <c r="G17" i="49" s="1"/>
  <c r="D17" i="49"/>
  <c r="H20" i="49"/>
  <c r="I20" i="49" s="1"/>
  <c r="B8" i="49"/>
  <c r="B38" i="49" s="1"/>
  <c r="H39" i="49"/>
  <c r="H26" i="49"/>
  <c r="I26" i="49" s="1"/>
  <c r="E15" i="48"/>
  <c r="G15" i="48" s="1"/>
  <c r="E16" i="48"/>
  <c r="G16" i="48" s="1"/>
  <c r="E17" i="48"/>
  <c r="G17" i="48" s="1"/>
  <c r="B37" i="48"/>
  <c r="B36" i="48"/>
  <c r="B32" i="48"/>
  <c r="B31" i="48"/>
  <c r="B28" i="48"/>
  <c r="B27" i="48"/>
  <c r="H20" i="48"/>
  <c r="I20" i="48" s="1"/>
  <c r="B23" i="48"/>
  <c r="H39" i="48"/>
  <c r="H26" i="48"/>
  <c r="I26" i="48" s="1"/>
  <c r="B37" i="47"/>
  <c r="B36" i="47"/>
  <c r="B32" i="47"/>
  <c r="B31" i="47"/>
  <c r="B28" i="47"/>
  <c r="B27" i="47"/>
  <c r="B24" i="47"/>
  <c r="H20" i="47"/>
  <c r="I20" i="47" s="1"/>
  <c r="B23" i="47"/>
  <c r="H39" i="47"/>
  <c r="H26" i="47"/>
  <c r="I26" i="47" s="1"/>
  <c r="E17" i="46"/>
  <c r="G17" i="46" s="1"/>
  <c r="D17" i="46"/>
  <c r="H20" i="46"/>
  <c r="I20" i="46" s="1"/>
  <c r="B8" i="46"/>
  <c r="B38" i="46" s="1"/>
  <c r="B23" i="46"/>
  <c r="H39" i="46"/>
  <c r="H26" i="46"/>
  <c r="I26" i="46" s="1"/>
  <c r="H41" i="46" l="1"/>
  <c r="H41" i="50"/>
  <c r="H41" i="51"/>
  <c r="H41" i="53"/>
  <c r="H31" i="70"/>
  <c r="I31" i="70" s="1"/>
  <c r="H31" i="67"/>
  <c r="I31" i="67" s="1"/>
  <c r="E30" i="76"/>
  <c r="G30" i="76" s="1"/>
  <c r="D30" i="76"/>
  <c r="E30" i="73"/>
  <c r="G30" i="73" s="1"/>
  <c r="D30" i="73"/>
  <c r="H38" i="53"/>
  <c r="I38" i="53" s="1"/>
  <c r="H38" i="48"/>
  <c r="I38" i="48" s="1"/>
  <c r="H31" i="68"/>
  <c r="I31" i="68" s="1"/>
  <c r="H31" i="64"/>
  <c r="I31" i="64" s="1"/>
  <c r="E30" i="81"/>
  <c r="G30" i="81" s="1"/>
  <c r="D30" i="81"/>
  <c r="E30" i="79"/>
  <c r="G30" i="79" s="1"/>
  <c r="D30" i="79"/>
  <c r="B13" i="72"/>
  <c r="B30" i="72"/>
  <c r="H31" i="65"/>
  <c r="I31" i="65" s="1"/>
  <c r="E30" i="78"/>
  <c r="G30" i="78" s="1"/>
  <c r="D30" i="78"/>
  <c r="E30" i="75"/>
  <c r="G30" i="75" s="1"/>
  <c r="D30" i="75"/>
  <c r="E38" i="54"/>
  <c r="G38" i="54" s="1"/>
  <c r="D38" i="54"/>
  <c r="D38" i="46"/>
  <c r="E38" i="46"/>
  <c r="G38" i="46" s="1"/>
  <c r="H38" i="47"/>
  <c r="I38" i="47" s="1"/>
  <c r="E38" i="49"/>
  <c r="G38" i="49" s="1"/>
  <c r="D38" i="49"/>
  <c r="E38" i="50"/>
  <c r="G38" i="50" s="1"/>
  <c r="D38" i="50"/>
  <c r="E38" i="52"/>
  <c r="G38" i="52" s="1"/>
  <c r="D38" i="52"/>
  <c r="E38" i="56"/>
  <c r="G38" i="56" s="1"/>
  <c r="D38" i="56"/>
  <c r="E38" i="60"/>
  <c r="G38" i="60" s="1"/>
  <c r="D38" i="60"/>
  <c r="H38" i="62"/>
  <c r="I38" i="62" s="1"/>
  <c r="H38" i="51"/>
  <c r="I38" i="51" s="1"/>
  <c r="E38" i="61"/>
  <c r="G38" i="61" s="1"/>
  <c r="D38" i="61"/>
  <c r="H38" i="57"/>
  <c r="I38" i="57" s="1"/>
  <c r="H38" i="59"/>
  <c r="I38" i="59" s="1"/>
  <c r="D38" i="58"/>
  <c r="E38" i="58"/>
  <c r="G38" i="58" s="1"/>
  <c r="H41" i="48"/>
  <c r="H41" i="56"/>
  <c r="H41" i="47"/>
  <c r="H41" i="59"/>
  <c r="D13" i="68"/>
  <c r="H13" i="68" s="1"/>
  <c r="I13" i="68" s="1"/>
  <c r="G26" i="73"/>
  <c r="D13" i="67"/>
  <c r="H13" i="67" s="1"/>
  <c r="I13" i="67" s="1"/>
  <c r="G26" i="76"/>
  <c r="E13" i="56"/>
  <c r="G13" i="56" s="1"/>
  <c r="H13" i="56" s="1"/>
  <c r="I13" i="56" s="1"/>
  <c r="E13" i="70"/>
  <c r="G13" i="70" s="1"/>
  <c r="H13" i="70" s="1"/>
  <c r="I13" i="70" s="1"/>
  <c r="G26" i="75"/>
  <c r="G26" i="79"/>
  <c r="G26" i="81"/>
  <c r="G26" i="78"/>
  <c r="E13" i="64"/>
  <c r="G13" i="64" s="1"/>
  <c r="H13" i="64" s="1"/>
  <c r="I13" i="64" s="1"/>
  <c r="G26" i="72"/>
  <c r="E23" i="46"/>
  <c r="E23" i="47"/>
  <c r="E27" i="47"/>
  <c r="G27" i="47" s="1"/>
  <c r="D27" i="47"/>
  <c r="E31" i="47"/>
  <c r="G31" i="47" s="1"/>
  <c r="D36" i="47"/>
  <c r="E36" i="47"/>
  <c r="G36" i="47" s="1"/>
  <c r="E23" i="48"/>
  <c r="E27" i="48"/>
  <c r="G27" i="48" s="1"/>
  <c r="D27" i="48"/>
  <c r="E31" i="48"/>
  <c r="G31" i="48" s="1"/>
  <c r="E36" i="48"/>
  <c r="G36" i="48" s="1"/>
  <c r="D36" i="48"/>
  <c r="E27" i="51"/>
  <c r="G27" i="51" s="1"/>
  <c r="D27" i="51"/>
  <c r="E31" i="51"/>
  <c r="G31" i="51" s="1"/>
  <c r="D36" i="51"/>
  <c r="E36" i="51"/>
  <c r="G36" i="51" s="1"/>
  <c r="E28" i="53"/>
  <c r="G28" i="53" s="1"/>
  <c r="D28" i="53"/>
  <c r="E32" i="53"/>
  <c r="G32" i="53" s="1"/>
  <c r="D37" i="53"/>
  <c r="E37" i="53"/>
  <c r="G37" i="53" s="1"/>
  <c r="E23" i="57"/>
  <c r="E27" i="57"/>
  <c r="G27" i="57" s="1"/>
  <c r="D27" i="57"/>
  <c r="E31" i="57"/>
  <c r="G31" i="57" s="1"/>
  <c r="E36" i="57"/>
  <c r="G36" i="57" s="1"/>
  <c r="D36" i="57"/>
  <c r="E27" i="59"/>
  <c r="G27" i="59" s="1"/>
  <c r="D27" i="59"/>
  <c r="E31" i="59"/>
  <c r="G31" i="59" s="1"/>
  <c r="E36" i="59"/>
  <c r="G36" i="59" s="1"/>
  <c r="D36" i="59"/>
  <c r="E23" i="62"/>
  <c r="E27" i="62"/>
  <c r="G27" i="62" s="1"/>
  <c r="D27" i="62"/>
  <c r="E31" i="62"/>
  <c r="G31" i="62" s="1"/>
  <c r="D36" i="62"/>
  <c r="E36" i="62"/>
  <c r="G36" i="62" s="1"/>
  <c r="E19" i="64"/>
  <c r="E30" i="64"/>
  <c r="G30" i="64" s="1"/>
  <c r="D30" i="64"/>
  <c r="E25" i="64"/>
  <c r="G25" i="64" s="1"/>
  <c r="E21" i="65"/>
  <c r="D30" i="65"/>
  <c r="E30" i="65"/>
  <c r="G30" i="65" s="1"/>
  <c r="E25" i="65"/>
  <c r="G25" i="65" s="1"/>
  <c r="E26" i="67"/>
  <c r="G26" i="67" s="1"/>
  <c r="E23" i="67"/>
  <c r="G23" i="67" s="1"/>
  <c r="D23" i="67"/>
  <c r="D29" i="67"/>
  <c r="E29" i="67"/>
  <c r="G29" i="67" s="1"/>
  <c r="E19" i="68"/>
  <c r="E26" i="68"/>
  <c r="G26" i="68" s="1"/>
  <c r="E23" i="68"/>
  <c r="G23" i="68" s="1"/>
  <c r="D23" i="68"/>
  <c r="E29" i="68"/>
  <c r="G29" i="68" s="1"/>
  <c r="D29" i="68"/>
  <c r="E19" i="70"/>
  <c r="D30" i="70"/>
  <c r="E30" i="70"/>
  <c r="G30" i="70" s="1"/>
  <c r="E25" i="70"/>
  <c r="G25" i="70" s="1"/>
  <c r="E29" i="73"/>
  <c r="G29" i="73" s="1"/>
  <c r="D29" i="73"/>
  <c r="E29" i="75"/>
  <c r="G29" i="75" s="1"/>
  <c r="D29" i="75"/>
  <c r="D29" i="76"/>
  <c r="E29" i="76"/>
  <c r="G29" i="76" s="1"/>
  <c r="D29" i="78"/>
  <c r="E29" i="78"/>
  <c r="G29" i="78" s="1"/>
  <c r="E29" i="79"/>
  <c r="G29" i="79" s="1"/>
  <c r="D29" i="79"/>
  <c r="D28" i="81"/>
  <c r="E28" i="81"/>
  <c r="G28" i="81" s="1"/>
  <c r="E24" i="47"/>
  <c r="E28" i="47"/>
  <c r="G28" i="47" s="1"/>
  <c r="D28" i="47"/>
  <c r="E32" i="47"/>
  <c r="G32" i="47" s="1"/>
  <c r="D37" i="47"/>
  <c r="E37" i="47"/>
  <c r="G37" i="47" s="1"/>
  <c r="E28" i="48"/>
  <c r="G28" i="48" s="1"/>
  <c r="D28" i="48"/>
  <c r="E32" i="48"/>
  <c r="G32" i="48" s="1"/>
  <c r="E37" i="48"/>
  <c r="G37" i="48" s="1"/>
  <c r="D37" i="48"/>
  <c r="E23" i="50"/>
  <c r="E23" i="51"/>
  <c r="E24" i="51"/>
  <c r="E28" i="51"/>
  <c r="G28" i="51" s="1"/>
  <c r="D28" i="51"/>
  <c r="E32" i="51"/>
  <c r="G32" i="51" s="1"/>
  <c r="D37" i="51"/>
  <c r="E37" i="51"/>
  <c r="G37" i="51" s="1"/>
  <c r="E23" i="52"/>
  <c r="E23" i="53"/>
  <c r="E27" i="53"/>
  <c r="G27" i="53" s="1"/>
  <c r="D27" i="53"/>
  <c r="E31" i="53"/>
  <c r="G31" i="53" s="1"/>
  <c r="D36" i="53"/>
  <c r="E36" i="53"/>
  <c r="G36" i="53" s="1"/>
  <c r="E23" i="54"/>
  <c r="E23" i="56"/>
  <c r="E28" i="57"/>
  <c r="G28" i="57" s="1"/>
  <c r="D28" i="57"/>
  <c r="E32" i="57"/>
  <c r="G32" i="57" s="1"/>
  <c r="E37" i="57"/>
  <c r="G37" i="57" s="1"/>
  <c r="D37" i="57"/>
  <c r="E23" i="58"/>
  <c r="E23" i="59"/>
  <c r="E28" i="59"/>
  <c r="G28" i="59" s="1"/>
  <c r="D28" i="59"/>
  <c r="E32" i="59"/>
  <c r="G32" i="59" s="1"/>
  <c r="E37" i="59"/>
  <c r="G37" i="59" s="1"/>
  <c r="D37" i="59"/>
  <c r="E23" i="60"/>
  <c r="E23" i="61"/>
  <c r="E28" i="62"/>
  <c r="G28" i="62" s="1"/>
  <c r="D28" i="62"/>
  <c r="E32" i="62"/>
  <c r="G32" i="62" s="1"/>
  <c r="D37" i="62"/>
  <c r="E37" i="62"/>
  <c r="G37" i="62" s="1"/>
  <c r="E21" i="64"/>
  <c r="E26" i="64"/>
  <c r="G26" i="64" s="1"/>
  <c r="E23" i="64"/>
  <c r="G23" i="64" s="1"/>
  <c r="D23" i="64"/>
  <c r="E29" i="64"/>
  <c r="G29" i="64" s="1"/>
  <c r="D29" i="64"/>
  <c r="E19" i="65"/>
  <c r="E26" i="65"/>
  <c r="G26" i="65" s="1"/>
  <c r="E23" i="65"/>
  <c r="G23" i="65" s="1"/>
  <c r="D23" i="65"/>
  <c r="D29" i="65"/>
  <c r="E29" i="65"/>
  <c r="G29" i="65" s="1"/>
  <c r="E21" i="67"/>
  <c r="E19" i="67"/>
  <c r="D30" i="67"/>
  <c r="E30" i="67"/>
  <c r="G30" i="67" s="1"/>
  <c r="E25" i="67"/>
  <c r="G25" i="67" s="1"/>
  <c r="E21" i="68"/>
  <c r="E30" i="68"/>
  <c r="G30" i="68" s="1"/>
  <c r="D30" i="68"/>
  <c r="E25" i="68"/>
  <c r="G25" i="68" s="1"/>
  <c r="E21" i="70"/>
  <c r="E26" i="70"/>
  <c r="G26" i="70" s="1"/>
  <c r="E23" i="70"/>
  <c r="G23" i="70" s="1"/>
  <c r="D23" i="70"/>
  <c r="D29" i="70"/>
  <c r="E29" i="70"/>
  <c r="G29" i="70" s="1"/>
  <c r="E28" i="73"/>
  <c r="G28" i="73" s="1"/>
  <c r="D28" i="73"/>
  <c r="E28" i="75"/>
  <c r="G28" i="75" s="1"/>
  <c r="D28" i="75"/>
  <c r="D28" i="76"/>
  <c r="E28" i="76"/>
  <c r="G28" i="76" s="1"/>
  <c r="D28" i="78"/>
  <c r="E28" i="78"/>
  <c r="G28" i="78" s="1"/>
  <c r="E23" i="49"/>
  <c r="E28" i="79"/>
  <c r="G28" i="79" s="1"/>
  <c r="D28" i="79"/>
  <c r="D29" i="81"/>
  <c r="E29" i="81"/>
  <c r="G29" i="81" s="1"/>
  <c r="D15" i="61"/>
  <c r="H15" i="61" s="1"/>
  <c r="I15" i="61" s="1"/>
  <c r="E13" i="49"/>
  <c r="G13" i="49" s="1"/>
  <c r="H13" i="49" s="1"/>
  <c r="I13" i="49" s="1"/>
  <c r="D15" i="53"/>
  <c r="H15" i="53" s="1"/>
  <c r="I15" i="53" s="1"/>
  <c r="D15" i="62"/>
  <c r="H15" i="62" s="1"/>
  <c r="I15" i="62" s="1"/>
  <c r="G18" i="62"/>
  <c r="G18" i="53"/>
  <c r="E13" i="46"/>
  <c r="G13" i="46" s="1"/>
  <c r="H13" i="46" s="1"/>
  <c r="I13" i="46" s="1"/>
  <c r="E15" i="47"/>
  <c r="G15" i="47" s="1"/>
  <c r="H15" i="47" s="1"/>
  <c r="I15" i="47" s="1"/>
  <c r="E13" i="52"/>
  <c r="G13" i="52" s="1"/>
  <c r="H13" i="52" s="1"/>
  <c r="I13" i="52" s="1"/>
  <c r="D17" i="53"/>
  <c r="H17" i="53" s="1"/>
  <c r="I17" i="53" s="1"/>
  <c r="D17" i="57"/>
  <c r="H17" i="57" s="1"/>
  <c r="I17" i="57" s="1"/>
  <c r="D17" i="62"/>
  <c r="H17" i="62" s="1"/>
  <c r="I17" i="62" s="1"/>
  <c r="E13" i="65"/>
  <c r="G13" i="65" s="1"/>
  <c r="H13" i="65" s="1"/>
  <c r="I13" i="65" s="1"/>
  <c r="E15" i="51"/>
  <c r="G15" i="51" s="1"/>
  <c r="H15" i="51" s="1"/>
  <c r="I15" i="51" s="1"/>
  <c r="E12" i="50"/>
  <c r="G12" i="50" s="1"/>
  <c r="H12" i="50" s="1"/>
  <c r="I12" i="50" s="1"/>
  <c r="E17" i="51"/>
  <c r="G17" i="51" s="1"/>
  <c r="H17" i="51" s="1"/>
  <c r="I17" i="51" s="1"/>
  <c r="D16" i="53"/>
  <c r="H16" i="53" s="1"/>
  <c r="I16" i="53" s="1"/>
  <c r="D15" i="57"/>
  <c r="H15" i="57" s="1"/>
  <c r="I15" i="57" s="1"/>
  <c r="D16" i="62"/>
  <c r="H16" i="62" s="1"/>
  <c r="I16" i="62" s="1"/>
  <c r="E13" i="81"/>
  <c r="G13" i="81" s="1"/>
  <c r="D13" i="81"/>
  <c r="D15" i="81" s="1"/>
  <c r="E13" i="79"/>
  <c r="G13" i="79" s="1"/>
  <c r="D13" i="79"/>
  <c r="D15" i="79" s="1"/>
  <c r="D17" i="48"/>
  <c r="H17" i="48" s="1"/>
  <c r="I17" i="48" s="1"/>
  <c r="G18" i="57"/>
  <c r="E12" i="60"/>
  <c r="G12" i="60" s="1"/>
  <c r="H12" i="60" s="1"/>
  <c r="I12" i="60" s="1"/>
  <c r="D15" i="48"/>
  <c r="H15" i="48" s="1"/>
  <c r="I15" i="48" s="1"/>
  <c r="G18" i="48"/>
  <c r="E13" i="78"/>
  <c r="G13" i="78" s="1"/>
  <c r="D13" i="78"/>
  <c r="D15" i="78" s="1"/>
  <c r="E13" i="76"/>
  <c r="G13" i="76" s="1"/>
  <c r="D13" i="76"/>
  <c r="D15" i="76" s="1"/>
  <c r="E13" i="75"/>
  <c r="D13" i="75"/>
  <c r="D15" i="75" s="1"/>
  <c r="E13" i="73"/>
  <c r="G13" i="73" s="1"/>
  <c r="D13" i="73"/>
  <c r="D15" i="73" s="1"/>
  <c r="B28" i="72"/>
  <c r="B29" i="72"/>
  <c r="E12" i="70"/>
  <c r="G12" i="70" s="1"/>
  <c r="D12" i="70"/>
  <c r="D14" i="70" s="1"/>
  <c r="E12" i="68"/>
  <c r="G12" i="68" s="1"/>
  <c r="D12" i="68"/>
  <c r="E12" i="67"/>
  <c r="G12" i="67" s="1"/>
  <c r="D12" i="67"/>
  <c r="E12" i="65"/>
  <c r="G12" i="65" s="1"/>
  <c r="D12" i="65"/>
  <c r="D14" i="65" s="1"/>
  <c r="E12" i="64"/>
  <c r="G12" i="64" s="1"/>
  <c r="D12" i="64"/>
  <c r="D14" i="64" s="1"/>
  <c r="D12" i="62"/>
  <c r="E12" i="62"/>
  <c r="G12" i="62" s="1"/>
  <c r="D13" i="62"/>
  <c r="E13" i="62"/>
  <c r="G13" i="62" s="1"/>
  <c r="E16" i="61"/>
  <c r="G16" i="61" s="1"/>
  <c r="D16" i="61"/>
  <c r="D13" i="61"/>
  <c r="E13" i="61"/>
  <c r="G13" i="61" s="1"/>
  <c r="B37" i="61"/>
  <c r="B36" i="61"/>
  <c r="B32" i="61"/>
  <c r="B31" i="61"/>
  <c r="B28" i="61"/>
  <c r="B27" i="61"/>
  <c r="D12" i="61"/>
  <c r="E12" i="61"/>
  <c r="G12" i="61" s="1"/>
  <c r="H17" i="61"/>
  <c r="I17" i="61" s="1"/>
  <c r="E16" i="60"/>
  <c r="G16" i="60" s="1"/>
  <c r="D16" i="60"/>
  <c r="E15" i="60"/>
  <c r="G15" i="60" s="1"/>
  <c r="D15" i="60"/>
  <c r="D13" i="60"/>
  <c r="D14" i="60" s="1"/>
  <c r="E13" i="60"/>
  <c r="G13" i="60" s="1"/>
  <c r="B37" i="60"/>
  <c r="B36" i="60"/>
  <c r="B32" i="60"/>
  <c r="B31" i="60"/>
  <c r="B28" i="60"/>
  <c r="B27" i="60"/>
  <c r="H17" i="60"/>
  <c r="I17" i="60" s="1"/>
  <c r="E13" i="59"/>
  <c r="G13" i="59" s="1"/>
  <c r="D13" i="59"/>
  <c r="D17" i="59"/>
  <c r="E17" i="59"/>
  <c r="G17" i="59" s="1"/>
  <c r="D15" i="59"/>
  <c r="E15" i="59"/>
  <c r="G15" i="59" s="1"/>
  <c r="E12" i="59"/>
  <c r="G12" i="59" s="1"/>
  <c r="D12" i="59"/>
  <c r="D16" i="59"/>
  <c r="E16" i="59"/>
  <c r="G16" i="59" s="1"/>
  <c r="E15" i="58"/>
  <c r="G15" i="58" s="1"/>
  <c r="D15" i="58"/>
  <c r="D12" i="58"/>
  <c r="E12" i="58"/>
  <c r="G12" i="58" s="1"/>
  <c r="H17" i="58"/>
  <c r="I17" i="58" s="1"/>
  <c r="E16" i="58"/>
  <c r="G16" i="58" s="1"/>
  <c r="D16" i="58"/>
  <c r="D13" i="58"/>
  <c r="E13" i="58"/>
  <c r="G13" i="58" s="1"/>
  <c r="B37" i="58"/>
  <c r="B36" i="58"/>
  <c r="B32" i="58"/>
  <c r="B31" i="58"/>
  <c r="B28" i="58"/>
  <c r="B27" i="58"/>
  <c r="D16" i="57"/>
  <c r="H16" i="57" s="1"/>
  <c r="I16" i="57" s="1"/>
  <c r="D12" i="57"/>
  <c r="E12" i="57"/>
  <c r="G12" i="57" s="1"/>
  <c r="D13" i="57"/>
  <c r="E13" i="57"/>
  <c r="G13" i="57" s="1"/>
  <c r="E16" i="56"/>
  <c r="G16" i="56" s="1"/>
  <c r="D16" i="56"/>
  <c r="B37" i="56"/>
  <c r="B36" i="56"/>
  <c r="B32" i="56"/>
  <c r="B31" i="56"/>
  <c r="B28" i="56"/>
  <c r="B27" i="56"/>
  <c r="H17" i="56"/>
  <c r="I17" i="56" s="1"/>
  <c r="E15" i="56"/>
  <c r="G15" i="56" s="1"/>
  <c r="D15" i="56"/>
  <c r="D12" i="56"/>
  <c r="D14" i="56" s="1"/>
  <c r="E12" i="56"/>
  <c r="G12" i="56" s="1"/>
  <c r="E13" i="54"/>
  <c r="G13" i="54" s="1"/>
  <c r="H13" i="54" s="1"/>
  <c r="I13" i="54" s="1"/>
  <c r="E16" i="54"/>
  <c r="G16" i="54" s="1"/>
  <c r="D16" i="54"/>
  <c r="D12" i="54"/>
  <c r="D14" i="54" s="1"/>
  <c r="E12" i="54"/>
  <c r="G12" i="54" s="1"/>
  <c r="E15" i="54"/>
  <c r="G15" i="54" s="1"/>
  <c r="D15" i="54"/>
  <c r="B37" i="54"/>
  <c r="B36" i="54"/>
  <c r="B32" i="54"/>
  <c r="B31" i="54"/>
  <c r="B28" i="54"/>
  <c r="B27" i="54"/>
  <c r="H17" i="54"/>
  <c r="I17" i="54" s="1"/>
  <c r="D12" i="53"/>
  <c r="E12" i="53"/>
  <c r="G12" i="53" s="1"/>
  <c r="D13" i="53"/>
  <c r="E13" i="53"/>
  <c r="G13" i="53" s="1"/>
  <c r="E15" i="52"/>
  <c r="G15" i="52" s="1"/>
  <c r="D15" i="52"/>
  <c r="B37" i="52"/>
  <c r="B36" i="52"/>
  <c r="B32" i="52"/>
  <c r="B31" i="52"/>
  <c r="B28" i="52"/>
  <c r="B27" i="52"/>
  <c r="E16" i="52"/>
  <c r="G16" i="52" s="1"/>
  <c r="D16" i="52"/>
  <c r="D12" i="52"/>
  <c r="D14" i="52" s="1"/>
  <c r="E12" i="52"/>
  <c r="G12" i="52" s="1"/>
  <c r="H17" i="52"/>
  <c r="I17" i="52" s="1"/>
  <c r="E16" i="51"/>
  <c r="G16" i="51" s="1"/>
  <c r="D18" i="51"/>
  <c r="E12" i="51"/>
  <c r="G12" i="51" s="1"/>
  <c r="D12" i="51"/>
  <c r="E13" i="51"/>
  <c r="G13" i="51" s="1"/>
  <c r="D13" i="51"/>
  <c r="E16" i="50"/>
  <c r="G16" i="50" s="1"/>
  <c r="D16" i="50"/>
  <c r="E15" i="50"/>
  <c r="G15" i="50" s="1"/>
  <c r="D15" i="50"/>
  <c r="D13" i="50"/>
  <c r="D14" i="50" s="1"/>
  <c r="E13" i="50"/>
  <c r="G13" i="50" s="1"/>
  <c r="B37" i="50"/>
  <c r="B36" i="50"/>
  <c r="B32" i="50"/>
  <c r="B31" i="50"/>
  <c r="B28" i="50"/>
  <c r="B27" i="50"/>
  <c r="H17" i="50"/>
  <c r="I17" i="50" s="1"/>
  <c r="E16" i="49"/>
  <c r="G16" i="49" s="1"/>
  <c r="D16" i="49"/>
  <c r="D12" i="49"/>
  <c r="D14" i="49" s="1"/>
  <c r="E12" i="49"/>
  <c r="G12" i="49" s="1"/>
  <c r="E15" i="49"/>
  <c r="G15" i="49" s="1"/>
  <c r="D15" i="49"/>
  <c r="B37" i="49"/>
  <c r="B36" i="49"/>
  <c r="B32" i="49"/>
  <c r="B31" i="49"/>
  <c r="B28" i="49"/>
  <c r="B27" i="49"/>
  <c r="H17" i="49"/>
  <c r="I17" i="49" s="1"/>
  <c r="D16" i="48"/>
  <c r="H16" i="48" s="1"/>
  <c r="I16" i="48" s="1"/>
  <c r="D12" i="48"/>
  <c r="E12" i="48"/>
  <c r="G12" i="48" s="1"/>
  <c r="D13" i="48"/>
  <c r="E13" i="48"/>
  <c r="G13" i="48" s="1"/>
  <c r="E13" i="47"/>
  <c r="G13" i="47" s="1"/>
  <c r="D13" i="47"/>
  <c r="D17" i="47"/>
  <c r="E17" i="47"/>
  <c r="G17" i="47" s="1"/>
  <c r="E12" i="47"/>
  <c r="G12" i="47" s="1"/>
  <c r="D12" i="47"/>
  <c r="D16" i="47"/>
  <c r="E16" i="47"/>
  <c r="G16" i="47" s="1"/>
  <c r="H17" i="46"/>
  <c r="I17" i="46" s="1"/>
  <c r="E15" i="46"/>
  <c r="G15" i="46" s="1"/>
  <c r="D15" i="46"/>
  <c r="D12" i="46"/>
  <c r="D14" i="46" s="1"/>
  <c r="E12" i="46"/>
  <c r="G12" i="46" s="1"/>
  <c r="B37" i="46"/>
  <c r="B36" i="46"/>
  <c r="B32" i="46"/>
  <c r="B31" i="46"/>
  <c r="B28" i="46"/>
  <c r="B27" i="46"/>
  <c r="E16" i="46"/>
  <c r="G16" i="46" s="1"/>
  <c r="D16" i="46"/>
  <c r="D18" i="47" l="1"/>
  <c r="G13" i="75"/>
  <c r="G15" i="75" s="1"/>
  <c r="G32" i="79"/>
  <c r="H38" i="60"/>
  <c r="I38" i="60" s="1"/>
  <c r="H38" i="52"/>
  <c r="I38" i="52" s="1"/>
  <c r="H38" i="49"/>
  <c r="I38" i="49" s="1"/>
  <c r="H30" i="76"/>
  <c r="I30" i="76" s="1"/>
  <c r="D32" i="79"/>
  <c r="H30" i="75"/>
  <c r="I30" i="75" s="1"/>
  <c r="H30" i="79"/>
  <c r="I30" i="79" s="1"/>
  <c r="H30" i="81"/>
  <c r="I30" i="81" s="1"/>
  <c r="H38" i="46"/>
  <c r="I38" i="46" s="1"/>
  <c r="H30" i="78"/>
  <c r="I30" i="78" s="1"/>
  <c r="E30" i="72"/>
  <c r="G30" i="72" s="1"/>
  <c r="D30" i="72"/>
  <c r="H30" i="73"/>
  <c r="I30" i="73" s="1"/>
  <c r="H38" i="54"/>
  <c r="I38" i="54" s="1"/>
  <c r="H38" i="58"/>
  <c r="I38" i="58" s="1"/>
  <c r="H38" i="61"/>
  <c r="I38" i="61" s="1"/>
  <c r="H38" i="56"/>
  <c r="I38" i="56" s="1"/>
  <c r="H38" i="50"/>
  <c r="I38" i="50" s="1"/>
  <c r="D14" i="61"/>
  <c r="D18" i="61"/>
  <c r="D14" i="68"/>
  <c r="D14" i="67"/>
  <c r="G27" i="67"/>
  <c r="D33" i="65"/>
  <c r="G33" i="53"/>
  <c r="G33" i="65"/>
  <c r="G40" i="53"/>
  <c r="D14" i="59"/>
  <c r="D40" i="53"/>
  <c r="G32" i="78"/>
  <c r="D32" i="75"/>
  <c r="D32" i="73"/>
  <c r="G33" i="70"/>
  <c r="G33" i="64"/>
  <c r="G32" i="76"/>
  <c r="D32" i="78"/>
  <c r="D32" i="76"/>
  <c r="G32" i="75"/>
  <c r="G32" i="73"/>
  <c r="D33" i="70"/>
  <c r="D33" i="64"/>
  <c r="G27" i="68"/>
  <c r="G18" i="51"/>
  <c r="H18" i="51" s="1"/>
  <c r="I18" i="51" s="1"/>
  <c r="E28" i="46"/>
  <c r="G28" i="46" s="1"/>
  <c r="D28" i="46"/>
  <c r="E32" i="46"/>
  <c r="G32" i="46" s="1"/>
  <c r="E37" i="46"/>
  <c r="G37" i="46" s="1"/>
  <c r="D37" i="46"/>
  <c r="E28" i="49"/>
  <c r="G28" i="49" s="1"/>
  <c r="D28" i="49"/>
  <c r="E32" i="49"/>
  <c r="G32" i="49" s="1"/>
  <c r="D37" i="49"/>
  <c r="E37" i="49"/>
  <c r="G37" i="49" s="1"/>
  <c r="E28" i="50"/>
  <c r="G28" i="50" s="1"/>
  <c r="D28" i="50"/>
  <c r="E32" i="50"/>
  <c r="G32" i="50" s="1"/>
  <c r="E37" i="50"/>
  <c r="G37" i="50" s="1"/>
  <c r="D37" i="50"/>
  <c r="E27" i="52"/>
  <c r="G27" i="52" s="1"/>
  <c r="D27" i="52"/>
  <c r="E31" i="52"/>
  <c r="G31" i="52" s="1"/>
  <c r="E36" i="52"/>
  <c r="G36" i="52" s="1"/>
  <c r="D36" i="52"/>
  <c r="E27" i="54"/>
  <c r="G27" i="54" s="1"/>
  <c r="D27" i="54"/>
  <c r="E31" i="54"/>
  <c r="G31" i="54" s="1"/>
  <c r="D36" i="54"/>
  <c r="E36" i="54"/>
  <c r="G36" i="54" s="1"/>
  <c r="E28" i="56"/>
  <c r="G28" i="56" s="1"/>
  <c r="D28" i="56"/>
  <c r="E32" i="56"/>
  <c r="G32" i="56" s="1"/>
  <c r="D37" i="56"/>
  <c r="E37" i="56"/>
  <c r="G37" i="56" s="1"/>
  <c r="E27" i="58"/>
  <c r="G27" i="58" s="1"/>
  <c r="D27" i="58"/>
  <c r="E31" i="58"/>
  <c r="G31" i="58" s="1"/>
  <c r="D36" i="58"/>
  <c r="E36" i="58"/>
  <c r="G36" i="58" s="1"/>
  <c r="E27" i="60"/>
  <c r="G27" i="60" s="1"/>
  <c r="D27" i="60"/>
  <c r="E31" i="60"/>
  <c r="G31" i="60" s="1"/>
  <c r="D36" i="60"/>
  <c r="E36" i="60"/>
  <c r="G36" i="60" s="1"/>
  <c r="E27" i="61"/>
  <c r="G27" i="61" s="1"/>
  <c r="D27" i="61"/>
  <c r="E31" i="61"/>
  <c r="G31" i="61" s="1"/>
  <c r="E36" i="61"/>
  <c r="G36" i="61" s="1"/>
  <c r="D36" i="61"/>
  <c r="D29" i="72"/>
  <c r="E29" i="72"/>
  <c r="G29" i="72" s="1"/>
  <c r="G32" i="81"/>
  <c r="D33" i="68"/>
  <c r="G33" i="67"/>
  <c r="G40" i="62"/>
  <c r="D40" i="59"/>
  <c r="D40" i="57"/>
  <c r="G40" i="51"/>
  <c r="D40" i="48"/>
  <c r="G40" i="47"/>
  <c r="E27" i="46"/>
  <c r="G27" i="46" s="1"/>
  <c r="D27" i="46"/>
  <c r="E31" i="46"/>
  <c r="G31" i="46" s="1"/>
  <c r="E36" i="46"/>
  <c r="G36" i="46" s="1"/>
  <c r="D36" i="46"/>
  <c r="E27" i="49"/>
  <c r="G27" i="49" s="1"/>
  <c r="D27" i="49"/>
  <c r="E31" i="49"/>
  <c r="G31" i="49" s="1"/>
  <c r="D36" i="49"/>
  <c r="E36" i="49"/>
  <c r="G36" i="49" s="1"/>
  <c r="E27" i="50"/>
  <c r="G27" i="50" s="1"/>
  <c r="D27" i="50"/>
  <c r="E31" i="50"/>
  <c r="G31" i="50" s="1"/>
  <c r="E36" i="50"/>
  <c r="G36" i="50" s="1"/>
  <c r="D36" i="50"/>
  <c r="E28" i="52"/>
  <c r="G28" i="52" s="1"/>
  <c r="D28" i="52"/>
  <c r="E32" i="52"/>
  <c r="G32" i="52" s="1"/>
  <c r="E37" i="52"/>
  <c r="G37" i="52" s="1"/>
  <c r="D37" i="52"/>
  <c r="E28" i="54"/>
  <c r="G28" i="54" s="1"/>
  <c r="D28" i="54"/>
  <c r="E32" i="54"/>
  <c r="G32" i="54" s="1"/>
  <c r="D37" i="54"/>
  <c r="E37" i="54"/>
  <c r="G37" i="54" s="1"/>
  <c r="E27" i="56"/>
  <c r="G27" i="56" s="1"/>
  <c r="D27" i="56"/>
  <c r="E31" i="56"/>
  <c r="G31" i="56" s="1"/>
  <c r="D36" i="56"/>
  <c r="E36" i="56"/>
  <c r="G36" i="56" s="1"/>
  <c r="E28" i="58"/>
  <c r="G28" i="58" s="1"/>
  <c r="D28" i="58"/>
  <c r="E32" i="58"/>
  <c r="G32" i="58" s="1"/>
  <c r="D37" i="58"/>
  <c r="E37" i="58"/>
  <c r="G37" i="58" s="1"/>
  <c r="E28" i="60"/>
  <c r="G28" i="60" s="1"/>
  <c r="D28" i="60"/>
  <c r="E32" i="60"/>
  <c r="G32" i="60" s="1"/>
  <c r="D37" i="60"/>
  <c r="E37" i="60"/>
  <c r="G37" i="60" s="1"/>
  <c r="E28" i="61"/>
  <c r="G28" i="61" s="1"/>
  <c r="D28" i="61"/>
  <c r="E32" i="61"/>
  <c r="G32" i="61" s="1"/>
  <c r="E37" i="61"/>
  <c r="G37" i="61" s="1"/>
  <c r="D37" i="61"/>
  <c r="D28" i="72"/>
  <c r="E28" i="72"/>
  <c r="G28" i="72" s="1"/>
  <c r="D32" i="81"/>
  <c r="G27" i="70"/>
  <c r="G33" i="68"/>
  <c r="D33" i="67"/>
  <c r="G27" i="65"/>
  <c r="G27" i="64"/>
  <c r="D40" i="62"/>
  <c r="G33" i="62"/>
  <c r="G40" i="59"/>
  <c r="G33" i="59"/>
  <c r="G40" i="57"/>
  <c r="G33" i="57"/>
  <c r="D40" i="51"/>
  <c r="G33" i="51"/>
  <c r="G40" i="48"/>
  <c r="G33" i="48"/>
  <c r="D40" i="47"/>
  <c r="G33" i="47"/>
  <c r="D18" i="53"/>
  <c r="H18" i="53" s="1"/>
  <c r="I18" i="53" s="1"/>
  <c r="D18" i="62"/>
  <c r="H18" i="62" s="1"/>
  <c r="I18" i="62" s="1"/>
  <c r="D18" i="48"/>
  <c r="H18" i="48" s="1"/>
  <c r="I18" i="48" s="1"/>
  <c r="D18" i="49"/>
  <c r="D18" i="50"/>
  <c r="D18" i="60"/>
  <c r="H28" i="81"/>
  <c r="I28" i="81" s="1"/>
  <c r="G15" i="81"/>
  <c r="H13" i="81"/>
  <c r="I13" i="81" s="1"/>
  <c r="H29" i="81"/>
  <c r="I29" i="81" s="1"/>
  <c r="H28" i="79"/>
  <c r="I28" i="79" s="1"/>
  <c r="G15" i="79"/>
  <c r="H13" i="79"/>
  <c r="I13" i="79" s="1"/>
  <c r="H29" i="79"/>
  <c r="I29" i="79" s="1"/>
  <c r="D18" i="57"/>
  <c r="H18" i="57" s="1"/>
  <c r="I18" i="57" s="1"/>
  <c r="H16" i="51"/>
  <c r="I16" i="51" s="1"/>
  <c r="D14" i="51"/>
  <c r="H28" i="78"/>
  <c r="I28" i="78" s="1"/>
  <c r="G15" i="78"/>
  <c r="H13" i="78"/>
  <c r="I13" i="78" s="1"/>
  <c r="H29" i="78"/>
  <c r="I29" i="78" s="1"/>
  <c r="H28" i="76"/>
  <c r="I28" i="76" s="1"/>
  <c r="G15" i="76"/>
  <c r="H13" i="76"/>
  <c r="I13" i="76" s="1"/>
  <c r="H29" i="76"/>
  <c r="I29" i="76" s="1"/>
  <c r="H28" i="75"/>
  <c r="I28" i="75" s="1"/>
  <c r="H29" i="75"/>
  <c r="I29" i="75" s="1"/>
  <c r="H28" i="73"/>
  <c r="I28" i="73" s="1"/>
  <c r="G15" i="73"/>
  <c r="H13" i="73"/>
  <c r="I13" i="73" s="1"/>
  <c r="H29" i="73"/>
  <c r="I29" i="73" s="1"/>
  <c r="E13" i="72"/>
  <c r="D13" i="72"/>
  <c r="D15" i="72" s="1"/>
  <c r="H23" i="70"/>
  <c r="I23" i="70" s="1"/>
  <c r="H30" i="70"/>
  <c r="I30" i="70" s="1"/>
  <c r="H29" i="70"/>
  <c r="I29" i="70" s="1"/>
  <c r="G14" i="70"/>
  <c r="H12" i="70"/>
  <c r="I12" i="70" s="1"/>
  <c r="H23" i="68"/>
  <c r="I23" i="68" s="1"/>
  <c r="H30" i="68"/>
  <c r="I30" i="68" s="1"/>
  <c r="H29" i="68"/>
  <c r="I29" i="68" s="1"/>
  <c r="G14" i="68"/>
  <c r="H12" i="68"/>
  <c r="I12" i="68" s="1"/>
  <c r="H30" i="67"/>
  <c r="I30" i="67" s="1"/>
  <c r="H23" i="67"/>
  <c r="I23" i="67" s="1"/>
  <c r="H29" i="67"/>
  <c r="I29" i="67" s="1"/>
  <c r="G14" i="67"/>
  <c r="H12" i="67"/>
  <c r="I12" i="67" s="1"/>
  <c r="H23" i="65"/>
  <c r="I23" i="65" s="1"/>
  <c r="H30" i="65"/>
  <c r="I30" i="65" s="1"/>
  <c r="H29" i="65"/>
  <c r="I29" i="65" s="1"/>
  <c r="G14" i="65"/>
  <c r="H12" i="65"/>
  <c r="I12" i="65" s="1"/>
  <c r="H23" i="64"/>
  <c r="I23" i="64" s="1"/>
  <c r="H30" i="64"/>
  <c r="I30" i="64" s="1"/>
  <c r="H29" i="64"/>
  <c r="I29" i="64" s="1"/>
  <c r="G14" i="64"/>
  <c r="H12" i="64"/>
  <c r="I12" i="64" s="1"/>
  <c r="D14" i="62"/>
  <c r="H37" i="62"/>
  <c r="I37" i="62" s="1"/>
  <c r="H36" i="62"/>
  <c r="I36" i="62" s="1"/>
  <c r="G14" i="62"/>
  <c r="H12" i="62"/>
  <c r="I12" i="62" s="1"/>
  <c r="H28" i="62"/>
  <c r="I28" i="62" s="1"/>
  <c r="H13" i="62"/>
  <c r="I13" i="62" s="1"/>
  <c r="H27" i="62"/>
  <c r="I27" i="62" s="1"/>
  <c r="G14" i="61"/>
  <c r="H12" i="61"/>
  <c r="I12" i="61" s="1"/>
  <c r="H13" i="61"/>
  <c r="I13" i="61" s="1"/>
  <c r="H16" i="61"/>
  <c r="I16" i="61" s="1"/>
  <c r="G18" i="61"/>
  <c r="H13" i="60"/>
  <c r="I13" i="60" s="1"/>
  <c r="G14" i="60"/>
  <c r="G18" i="60"/>
  <c r="H15" i="60"/>
  <c r="I15" i="60" s="1"/>
  <c r="H16" i="60"/>
  <c r="I16" i="60" s="1"/>
  <c r="D14" i="58"/>
  <c r="H37" i="59"/>
  <c r="I37" i="59" s="1"/>
  <c r="H16" i="59"/>
  <c r="I16" i="59" s="1"/>
  <c r="H27" i="59"/>
  <c r="I27" i="59" s="1"/>
  <c r="G18" i="59"/>
  <c r="H15" i="59"/>
  <c r="I15" i="59" s="1"/>
  <c r="H17" i="59"/>
  <c r="I17" i="59" s="1"/>
  <c r="H28" i="59"/>
  <c r="I28" i="59" s="1"/>
  <c r="G14" i="59"/>
  <c r="H12" i="59"/>
  <c r="I12" i="59" s="1"/>
  <c r="H36" i="59"/>
  <c r="I36" i="59" s="1"/>
  <c r="D18" i="59"/>
  <c r="H13" i="59"/>
  <c r="I13" i="59" s="1"/>
  <c r="G14" i="58"/>
  <c r="H12" i="58"/>
  <c r="I12" i="58" s="1"/>
  <c r="D18" i="58"/>
  <c r="H13" i="58"/>
  <c r="I13" i="58" s="1"/>
  <c r="H16" i="58"/>
  <c r="I16" i="58" s="1"/>
  <c r="G18" i="58"/>
  <c r="H15" i="58"/>
  <c r="I15" i="58" s="1"/>
  <c r="H28" i="57"/>
  <c r="I28" i="57" s="1"/>
  <c r="H13" i="57"/>
  <c r="I13" i="57" s="1"/>
  <c r="H27" i="57"/>
  <c r="I27" i="57" s="1"/>
  <c r="G14" i="57"/>
  <c r="H12" i="57"/>
  <c r="I12" i="57" s="1"/>
  <c r="H37" i="57"/>
  <c r="I37" i="57" s="1"/>
  <c r="H36" i="57"/>
  <c r="I36" i="57" s="1"/>
  <c r="D14" i="57"/>
  <c r="G18" i="56"/>
  <c r="H15" i="56"/>
  <c r="I15" i="56" s="1"/>
  <c r="G14" i="56"/>
  <c r="H12" i="56"/>
  <c r="I12" i="56" s="1"/>
  <c r="D18" i="56"/>
  <c r="H16" i="56"/>
  <c r="I16" i="56" s="1"/>
  <c r="D18" i="54"/>
  <c r="G18" i="54"/>
  <c r="H15" i="54"/>
  <c r="I15" i="54" s="1"/>
  <c r="G14" i="54"/>
  <c r="H12" i="54"/>
  <c r="I12" i="54" s="1"/>
  <c r="H16" i="54"/>
  <c r="I16" i="54" s="1"/>
  <c r="D14" i="53"/>
  <c r="H28" i="53"/>
  <c r="I28" i="53" s="1"/>
  <c r="H37" i="53"/>
  <c r="I37" i="53" s="1"/>
  <c r="H36" i="53"/>
  <c r="I36" i="53" s="1"/>
  <c r="G14" i="53"/>
  <c r="H12" i="53"/>
  <c r="I12" i="53" s="1"/>
  <c r="H13" i="53"/>
  <c r="I13" i="53" s="1"/>
  <c r="H27" i="53"/>
  <c r="I27" i="53" s="1"/>
  <c r="G14" i="52"/>
  <c r="H12" i="52"/>
  <c r="I12" i="52" s="1"/>
  <c r="D18" i="52"/>
  <c r="H16" i="52"/>
  <c r="I16" i="52" s="1"/>
  <c r="G18" i="52"/>
  <c r="H15" i="52"/>
  <c r="I15" i="52" s="1"/>
  <c r="H13" i="51"/>
  <c r="I13" i="51" s="1"/>
  <c r="H36" i="51"/>
  <c r="I36" i="51" s="1"/>
  <c r="H37" i="51"/>
  <c r="I37" i="51" s="1"/>
  <c r="H28" i="51"/>
  <c r="I28" i="51" s="1"/>
  <c r="H27" i="51"/>
  <c r="I27" i="51" s="1"/>
  <c r="G14" i="51"/>
  <c r="H12" i="51"/>
  <c r="I12" i="51" s="1"/>
  <c r="H13" i="50"/>
  <c r="I13" i="50" s="1"/>
  <c r="G18" i="50"/>
  <c r="H15" i="50"/>
  <c r="I15" i="50" s="1"/>
  <c r="G14" i="50"/>
  <c r="H16" i="50"/>
  <c r="I16" i="50" s="1"/>
  <c r="G14" i="49"/>
  <c r="H12" i="49"/>
  <c r="I12" i="49" s="1"/>
  <c r="G18" i="49"/>
  <c r="H15" i="49"/>
  <c r="I15" i="49" s="1"/>
  <c r="H16" i="49"/>
  <c r="I16" i="49" s="1"/>
  <c r="H36" i="48"/>
  <c r="I36" i="48" s="1"/>
  <c r="H27" i="48"/>
  <c r="I27" i="48" s="1"/>
  <c r="H13" i="48"/>
  <c r="I13" i="48" s="1"/>
  <c r="H28" i="48"/>
  <c r="I28" i="48" s="1"/>
  <c r="G14" i="48"/>
  <c r="H12" i="48"/>
  <c r="I12" i="48" s="1"/>
  <c r="H37" i="48"/>
  <c r="I37" i="48" s="1"/>
  <c r="D14" i="48"/>
  <c r="H37" i="47"/>
  <c r="I37" i="47" s="1"/>
  <c r="G14" i="47"/>
  <c r="H12" i="47"/>
  <c r="I12" i="47" s="1"/>
  <c r="H36" i="47"/>
  <c r="I36" i="47" s="1"/>
  <c r="H28" i="47"/>
  <c r="I28" i="47" s="1"/>
  <c r="H16" i="47"/>
  <c r="I16" i="47" s="1"/>
  <c r="D14" i="47"/>
  <c r="H17" i="47"/>
  <c r="I17" i="47" s="1"/>
  <c r="H27" i="47"/>
  <c r="I27" i="47" s="1"/>
  <c r="G18" i="47"/>
  <c r="H13" i="47"/>
  <c r="I13" i="47" s="1"/>
  <c r="G14" i="46"/>
  <c r="H12" i="46"/>
  <c r="I12" i="46" s="1"/>
  <c r="D18" i="46"/>
  <c r="H16" i="46"/>
  <c r="I16" i="46" s="1"/>
  <c r="G18" i="46"/>
  <c r="H15" i="46"/>
  <c r="I15" i="46" s="1"/>
  <c r="H13" i="75" l="1"/>
  <c r="I13" i="75" s="1"/>
  <c r="G13" i="72"/>
  <c r="H13" i="72" s="1"/>
  <c r="I13" i="72" s="1"/>
  <c r="H30" i="72"/>
  <c r="I30" i="72" s="1"/>
  <c r="D32" i="72"/>
  <c r="D40" i="56"/>
  <c r="G33" i="56"/>
  <c r="G40" i="50"/>
  <c r="D40" i="49"/>
  <c r="G33" i="49"/>
  <c r="G40" i="46"/>
  <c r="G33" i="50"/>
  <c r="G33" i="46"/>
  <c r="G32" i="72"/>
  <c r="G40" i="56"/>
  <c r="D40" i="50"/>
  <c r="G40" i="49"/>
  <c r="D40" i="46"/>
  <c r="D40" i="61"/>
  <c r="G40" i="60"/>
  <c r="G40" i="58"/>
  <c r="G40" i="54"/>
  <c r="D40" i="52"/>
  <c r="G40" i="61"/>
  <c r="G33" i="61"/>
  <c r="D40" i="60"/>
  <c r="G33" i="60"/>
  <c r="D40" i="58"/>
  <c r="G33" i="58"/>
  <c r="D40" i="54"/>
  <c r="G33" i="54"/>
  <c r="G40" i="52"/>
  <c r="G33" i="52"/>
  <c r="H32" i="81"/>
  <c r="I32" i="81" s="1"/>
  <c r="H15" i="81"/>
  <c r="I15" i="81" s="1"/>
  <c r="H32" i="79"/>
  <c r="I32" i="79" s="1"/>
  <c r="H15" i="79"/>
  <c r="I15" i="79" s="1"/>
  <c r="H15" i="78"/>
  <c r="I15" i="78" s="1"/>
  <c r="H32" i="78"/>
  <c r="I32" i="78" s="1"/>
  <c r="H15" i="76"/>
  <c r="I15" i="76" s="1"/>
  <c r="H32" i="76"/>
  <c r="I32" i="76" s="1"/>
  <c r="H32" i="75"/>
  <c r="I32" i="75" s="1"/>
  <c r="H15" i="75"/>
  <c r="I15" i="75" s="1"/>
  <c r="H15" i="73"/>
  <c r="I15" i="73" s="1"/>
  <c r="H32" i="73"/>
  <c r="I32" i="73" s="1"/>
  <c r="H29" i="72"/>
  <c r="I29" i="72" s="1"/>
  <c r="H28" i="72"/>
  <c r="I28" i="72" s="1"/>
  <c r="H33" i="70"/>
  <c r="I33" i="70" s="1"/>
  <c r="H14" i="70"/>
  <c r="I14" i="70" s="1"/>
  <c r="H14" i="68"/>
  <c r="I14" i="68" s="1"/>
  <c r="H33" i="68"/>
  <c r="I33" i="68" s="1"/>
  <c r="H14" i="67"/>
  <c r="I14" i="67" s="1"/>
  <c r="H33" i="67"/>
  <c r="I33" i="67" s="1"/>
  <c r="H33" i="65"/>
  <c r="I33" i="65" s="1"/>
  <c r="H14" i="65"/>
  <c r="I14" i="65" s="1"/>
  <c r="H33" i="64"/>
  <c r="I33" i="64" s="1"/>
  <c r="H14" i="64"/>
  <c r="I14" i="64" s="1"/>
  <c r="H40" i="62"/>
  <c r="I40" i="62" s="1"/>
  <c r="H14" i="62"/>
  <c r="I14" i="62" s="1"/>
  <c r="H18" i="61"/>
  <c r="I18" i="61" s="1"/>
  <c r="H37" i="61"/>
  <c r="I37" i="61" s="1"/>
  <c r="H27" i="61"/>
  <c r="I27" i="61" s="1"/>
  <c r="H28" i="61"/>
  <c r="I28" i="61" s="1"/>
  <c r="H36" i="61"/>
  <c r="I36" i="61" s="1"/>
  <c r="H14" i="61"/>
  <c r="I14" i="61" s="1"/>
  <c r="H37" i="60"/>
  <c r="I37" i="60" s="1"/>
  <c r="H27" i="60"/>
  <c r="I27" i="60" s="1"/>
  <c r="H18" i="60"/>
  <c r="I18" i="60" s="1"/>
  <c r="H28" i="60"/>
  <c r="I28" i="60" s="1"/>
  <c r="H14" i="60"/>
  <c r="I14" i="60" s="1"/>
  <c r="H36" i="60"/>
  <c r="I36" i="60" s="1"/>
  <c r="H18" i="59"/>
  <c r="I18" i="59" s="1"/>
  <c r="H40" i="59"/>
  <c r="I40" i="59" s="1"/>
  <c r="H14" i="59"/>
  <c r="I14" i="59" s="1"/>
  <c r="H18" i="58"/>
  <c r="I18" i="58" s="1"/>
  <c r="H27" i="58"/>
  <c r="I27" i="58" s="1"/>
  <c r="H14" i="58"/>
  <c r="I14" i="58" s="1"/>
  <c r="H28" i="58"/>
  <c r="I28" i="58" s="1"/>
  <c r="H36" i="58"/>
  <c r="I36" i="58" s="1"/>
  <c r="H37" i="58"/>
  <c r="I37" i="58" s="1"/>
  <c r="H14" i="57"/>
  <c r="I14" i="57" s="1"/>
  <c r="H40" i="57"/>
  <c r="I40" i="57" s="1"/>
  <c r="H36" i="56"/>
  <c r="I36" i="56" s="1"/>
  <c r="H14" i="56"/>
  <c r="I14" i="56" s="1"/>
  <c r="H37" i="56"/>
  <c r="I37" i="56" s="1"/>
  <c r="H27" i="56"/>
  <c r="I27" i="56" s="1"/>
  <c r="H28" i="56"/>
  <c r="I28" i="56" s="1"/>
  <c r="H18" i="56"/>
  <c r="I18" i="56" s="1"/>
  <c r="H14" i="54"/>
  <c r="I14" i="54" s="1"/>
  <c r="H27" i="54"/>
  <c r="I27" i="54" s="1"/>
  <c r="H28" i="54"/>
  <c r="I28" i="54" s="1"/>
  <c r="H36" i="54"/>
  <c r="I36" i="54" s="1"/>
  <c r="H18" i="54"/>
  <c r="I18" i="54" s="1"/>
  <c r="H37" i="54"/>
  <c r="I37" i="54" s="1"/>
  <c r="H40" i="53"/>
  <c r="I40" i="53" s="1"/>
  <c r="H14" i="53"/>
  <c r="I14" i="53" s="1"/>
  <c r="H27" i="52"/>
  <c r="I27" i="52" s="1"/>
  <c r="H18" i="52"/>
  <c r="I18" i="52" s="1"/>
  <c r="H37" i="52"/>
  <c r="I37" i="52" s="1"/>
  <c r="H28" i="52"/>
  <c r="I28" i="52" s="1"/>
  <c r="H36" i="52"/>
  <c r="I36" i="52" s="1"/>
  <c r="H14" i="52"/>
  <c r="I14" i="52" s="1"/>
  <c r="H40" i="51"/>
  <c r="I40" i="51" s="1"/>
  <c r="H14" i="51"/>
  <c r="I14" i="51" s="1"/>
  <c r="H18" i="50"/>
  <c r="I18" i="50" s="1"/>
  <c r="H28" i="50"/>
  <c r="I28" i="50" s="1"/>
  <c r="H36" i="50"/>
  <c r="I36" i="50" s="1"/>
  <c r="H14" i="50"/>
  <c r="I14" i="50" s="1"/>
  <c r="H37" i="50"/>
  <c r="I37" i="50" s="1"/>
  <c r="H27" i="50"/>
  <c r="I27" i="50" s="1"/>
  <c r="H18" i="49"/>
  <c r="I18" i="49" s="1"/>
  <c r="H37" i="49"/>
  <c r="I37" i="49" s="1"/>
  <c r="H14" i="49"/>
  <c r="I14" i="49" s="1"/>
  <c r="H27" i="49"/>
  <c r="I27" i="49" s="1"/>
  <c r="H28" i="49"/>
  <c r="I28" i="49" s="1"/>
  <c r="H36" i="49"/>
  <c r="I36" i="49" s="1"/>
  <c r="H40" i="48"/>
  <c r="I40" i="48" s="1"/>
  <c r="H14" i="48"/>
  <c r="I14" i="48" s="1"/>
  <c r="H40" i="47"/>
  <c r="I40" i="47" s="1"/>
  <c r="H14" i="47"/>
  <c r="I14" i="47" s="1"/>
  <c r="H18" i="47"/>
  <c r="I18" i="47" s="1"/>
  <c r="H18" i="46"/>
  <c r="I18" i="46" s="1"/>
  <c r="H28" i="46"/>
  <c r="I28" i="46" s="1"/>
  <c r="H27" i="46"/>
  <c r="I27" i="46" s="1"/>
  <c r="H37" i="46"/>
  <c r="I37" i="46" s="1"/>
  <c r="H14" i="46"/>
  <c r="I14" i="46" s="1"/>
  <c r="H36" i="46"/>
  <c r="I36" i="46" s="1"/>
  <c r="G15" i="72" l="1"/>
  <c r="H32" i="72"/>
  <c r="I32" i="72" s="1"/>
  <c r="H40" i="61"/>
  <c r="I40" i="61" s="1"/>
  <c r="H40" i="60"/>
  <c r="I40" i="60" s="1"/>
  <c r="H40" i="58"/>
  <c r="I40" i="58" s="1"/>
  <c r="H40" i="56"/>
  <c r="I40" i="56" s="1"/>
  <c r="H40" i="54"/>
  <c r="I40" i="54" s="1"/>
  <c r="H40" i="52"/>
  <c r="I40" i="52" s="1"/>
  <c r="H40" i="50"/>
  <c r="I40" i="50" s="1"/>
  <c r="H40" i="49"/>
  <c r="I40" i="49" s="1"/>
  <c r="H40" i="46"/>
  <c r="I40" i="46" s="1"/>
  <c r="H15" i="72" l="1"/>
  <c r="I15" i="72" s="1"/>
  <c r="F37" i="5"/>
  <c r="F35" i="5"/>
  <c r="B25" i="5" l="1"/>
  <c r="B24" i="5"/>
  <c r="H17" i="5"/>
  <c r="I17" i="5" s="1"/>
  <c r="F14" i="5"/>
  <c r="F13" i="5"/>
  <c r="F38" i="25"/>
  <c r="F36" i="25"/>
  <c r="F34" i="25"/>
  <c r="B34" i="25"/>
  <c r="E34" i="25" s="1"/>
  <c r="F32" i="25"/>
  <c r="E32" i="25"/>
  <c r="D32" i="25"/>
  <c r="E16" i="25"/>
  <c r="G16" i="25" s="1"/>
  <c r="D16" i="25"/>
  <c r="H16" i="25" s="1"/>
  <c r="E15" i="25"/>
  <c r="F13" i="25"/>
  <c r="F12" i="25"/>
  <c r="G32" i="25" l="1"/>
  <c r="G34" i="25"/>
  <c r="E25" i="5"/>
  <c r="G25" i="5" s="1"/>
  <c r="E24" i="5"/>
  <c r="G24" i="5" s="1"/>
  <c r="H31" i="5"/>
  <c r="H32" i="25"/>
  <c r="D34" i="25"/>
  <c r="H34" i="25" s="1"/>
  <c r="B9" i="4"/>
  <c r="C26" i="4"/>
  <c r="D26" i="4" s="1"/>
  <c r="G26" i="5" l="1"/>
  <c r="B23" i="4"/>
  <c r="B24" i="4"/>
  <c r="B9" i="25" l="1"/>
  <c r="B7" i="25"/>
  <c r="B6" i="25"/>
  <c r="B5" i="25"/>
  <c r="B13" i="25" l="1"/>
  <c r="B12" i="25"/>
  <c r="B20" i="25"/>
  <c r="B19" i="25"/>
  <c r="B21" i="25"/>
  <c r="C23" i="25"/>
  <c r="F23" i="25" s="1"/>
  <c r="B8" i="25"/>
  <c r="B31" i="25" s="1"/>
  <c r="E31" i="25" l="1"/>
  <c r="G31" i="25" s="1"/>
  <c r="D31" i="25"/>
  <c r="E13" i="25"/>
  <c r="G13" i="25" s="1"/>
  <c r="D13" i="25"/>
  <c r="E19" i="25"/>
  <c r="B30" i="25"/>
  <c r="B26" i="25"/>
  <c r="B29" i="25"/>
  <c r="B25" i="25"/>
  <c r="B23" i="25"/>
  <c r="E12" i="25"/>
  <c r="G12" i="25" s="1"/>
  <c r="D12" i="25"/>
  <c r="E21" i="25"/>
  <c r="E20" i="25"/>
  <c r="H31" i="25" l="1"/>
  <c r="I31" i="25" s="1"/>
  <c r="D14" i="25"/>
  <c r="D23" i="25"/>
  <c r="E23" i="25"/>
  <c r="G23" i="25" s="1"/>
  <c r="E25" i="25"/>
  <c r="E26" i="25"/>
  <c r="H12" i="25"/>
  <c r="I12" i="25" s="1"/>
  <c r="G14" i="25"/>
  <c r="E29" i="25"/>
  <c r="G29" i="25" s="1"/>
  <c r="D29" i="25"/>
  <c r="E30" i="25"/>
  <c r="G30" i="25" s="1"/>
  <c r="D30" i="25"/>
  <c r="H13" i="25"/>
  <c r="I13" i="25" s="1"/>
  <c r="B33" i="5"/>
  <c r="D33" i="5" l="1"/>
  <c r="E33" i="5"/>
  <c r="G33" i="5" s="1"/>
  <c r="H23" i="25"/>
  <c r="I23" i="25" s="1"/>
  <c r="G33" i="25"/>
  <c r="H29" i="25"/>
  <c r="I29" i="25" s="1"/>
  <c r="H30" i="25"/>
  <c r="I30" i="25" s="1"/>
  <c r="D33" i="25"/>
  <c r="H14" i="25"/>
  <c r="I14" i="25" s="1"/>
  <c r="H33" i="25" l="1"/>
  <c r="I33" i="25" s="1"/>
  <c r="H33" i="5"/>
  <c r="B8" i="5" l="1"/>
  <c r="B6" i="5"/>
  <c r="B7" i="4"/>
  <c r="B6" i="4"/>
  <c r="B5" i="4"/>
  <c r="B13" i="4" l="1"/>
  <c r="B12" i="4"/>
  <c r="B21" i="5"/>
  <c r="B20" i="5"/>
  <c r="E14" i="5"/>
  <c r="G14" i="5" s="1"/>
  <c r="D14" i="5"/>
  <c r="F28" i="4"/>
  <c r="C27" i="4"/>
  <c r="F27" i="4" s="1"/>
  <c r="E24" i="4"/>
  <c r="E21" i="5" l="1"/>
  <c r="E20" i="5"/>
  <c r="H14" i="5"/>
  <c r="I14" i="5" s="1"/>
  <c r="B9" i="5"/>
  <c r="B22" i="5" s="1"/>
  <c r="E22" i="5" s="1"/>
  <c r="B13" i="5" l="1"/>
  <c r="E13" i="5" s="1"/>
  <c r="G13" i="5" s="1"/>
  <c r="B30" i="5"/>
  <c r="B28" i="5"/>
  <c r="B29" i="5"/>
  <c r="F48" i="4"/>
  <c r="F45" i="4"/>
  <c r="F43" i="4"/>
  <c r="F41" i="4"/>
  <c r="F39" i="4"/>
  <c r="E39" i="4"/>
  <c r="D39" i="4"/>
  <c r="E20" i="4"/>
  <c r="G20" i="4" s="1"/>
  <c r="D20" i="4"/>
  <c r="E19" i="4"/>
  <c r="F17" i="4"/>
  <c r="F16" i="4"/>
  <c r="F15" i="4"/>
  <c r="F13" i="4"/>
  <c r="F12" i="4"/>
  <c r="D13" i="5" l="1"/>
  <c r="D15" i="5" s="1"/>
  <c r="E30" i="5"/>
  <c r="G30" i="5" s="1"/>
  <c r="D30" i="5"/>
  <c r="D28" i="5"/>
  <c r="E28" i="5"/>
  <c r="G28" i="5" s="1"/>
  <c r="D29" i="5"/>
  <c r="E29" i="5"/>
  <c r="G29" i="5" s="1"/>
  <c r="G39" i="4"/>
  <c r="H39" i="4" s="1"/>
  <c r="G15" i="5"/>
  <c r="E13" i="4"/>
  <c r="G13" i="4" s="1"/>
  <c r="D13" i="4"/>
  <c r="B41" i="4"/>
  <c r="B8" i="4"/>
  <c r="B38" i="4" s="1"/>
  <c r="H20" i="4"/>
  <c r="I20" i="4" s="1"/>
  <c r="H13" i="5" l="1"/>
  <c r="I13" i="5" s="1"/>
  <c r="H30" i="5"/>
  <c r="I30" i="5" s="1"/>
  <c r="E38" i="4"/>
  <c r="G38" i="4" s="1"/>
  <c r="D38" i="4"/>
  <c r="H15" i="5"/>
  <c r="I15" i="5" s="1"/>
  <c r="G32" i="5"/>
  <c r="D32" i="5"/>
  <c r="H28" i="5"/>
  <c r="I28" i="5" s="1"/>
  <c r="H29" i="5"/>
  <c r="I29" i="5" s="1"/>
  <c r="B27" i="4"/>
  <c r="D27" i="4" s="1"/>
  <c r="B28" i="4"/>
  <c r="D15" i="4"/>
  <c r="E15" i="4"/>
  <c r="G15" i="4" s="1"/>
  <c r="E16" i="4"/>
  <c r="G16" i="4" s="1"/>
  <c r="D16" i="4"/>
  <c r="E41" i="4"/>
  <c r="G41" i="4" s="1"/>
  <c r="D41" i="4"/>
  <c r="E23" i="4"/>
  <c r="B37" i="4"/>
  <c r="B36" i="4"/>
  <c r="B32" i="4"/>
  <c r="B31" i="4"/>
  <c r="E17" i="4"/>
  <c r="G17" i="4" s="1"/>
  <c r="D17" i="4"/>
  <c r="E12" i="4"/>
  <c r="G12" i="4" s="1"/>
  <c r="D12" i="4"/>
  <c r="D14" i="4" s="1"/>
  <c r="H13" i="4"/>
  <c r="I13" i="4" s="1"/>
  <c r="H38" i="4" l="1"/>
  <c r="I38" i="4" s="1"/>
  <c r="H32" i="5"/>
  <c r="I32" i="5" s="1"/>
  <c r="E27" i="4"/>
  <c r="G27" i="4" s="1"/>
  <c r="D28" i="4"/>
  <c r="E28" i="4"/>
  <c r="G28" i="4" s="1"/>
  <c r="D18" i="4"/>
  <c r="E31" i="4"/>
  <c r="E36" i="4"/>
  <c r="G36" i="4" s="1"/>
  <c r="D36" i="4"/>
  <c r="G18" i="4"/>
  <c r="H15" i="4"/>
  <c r="I15" i="4" s="1"/>
  <c r="G14" i="4"/>
  <c r="H12" i="4"/>
  <c r="I12" i="4" s="1"/>
  <c r="H17" i="4"/>
  <c r="I17" i="4" s="1"/>
  <c r="E32" i="4"/>
  <c r="E37" i="4"/>
  <c r="G37" i="4" s="1"/>
  <c r="D37" i="4"/>
  <c r="H41" i="4"/>
  <c r="H16" i="4"/>
  <c r="I16" i="4" s="1"/>
  <c r="H27" i="4" l="1"/>
  <c r="I27" i="4" s="1"/>
  <c r="H28" i="4"/>
  <c r="I28" i="4" s="1"/>
  <c r="D40" i="4"/>
  <c r="H37" i="4"/>
  <c r="I37" i="4" s="1"/>
  <c r="H14" i="4"/>
  <c r="I14" i="4" s="1"/>
  <c r="H36" i="4"/>
  <c r="I36" i="4" s="1"/>
  <c r="G40" i="4"/>
  <c r="H18" i="4"/>
  <c r="I18" i="4" s="1"/>
  <c r="H40" i="4" l="1"/>
  <c r="I40" i="4" s="1"/>
  <c r="G26" i="4" l="1"/>
  <c r="H26" i="4" s="1"/>
  <c r="I26" i="4" s="1"/>
  <c r="G26" i="25" l="1"/>
  <c r="G32" i="4"/>
  <c r="G25" i="25"/>
  <c r="G31" i="4"/>
  <c r="G33" i="4" l="1"/>
  <c r="G27" i="25"/>
  <c r="G21" i="59" l="1"/>
  <c r="G21" i="58"/>
  <c r="G21" i="57"/>
  <c r="G21" i="60"/>
  <c r="G21" i="62"/>
  <c r="G21" i="61"/>
  <c r="G18" i="81"/>
  <c r="G18" i="79"/>
  <c r="G21" i="70"/>
  <c r="G21" i="68"/>
  <c r="G21" i="46"/>
  <c r="G21" i="47"/>
  <c r="G21" i="4"/>
  <c r="G20" i="72"/>
  <c r="G21" i="67"/>
  <c r="G21" i="65"/>
  <c r="G21" i="25"/>
  <c r="G21" i="64"/>
  <c r="G21" i="53"/>
  <c r="G21" i="52"/>
  <c r="G21" i="51"/>
  <c r="G17" i="70"/>
  <c r="G17" i="68"/>
  <c r="G17" i="64"/>
  <c r="G17" i="25"/>
  <c r="G17" i="67" l="1"/>
  <c r="G17" i="65"/>
  <c r="G21" i="50"/>
  <c r="G21" i="49"/>
  <c r="G21" i="48"/>
  <c r="G18" i="5"/>
  <c r="G18" i="78"/>
  <c r="G18" i="76"/>
  <c r="G18" i="73"/>
  <c r="G21" i="56"/>
  <c r="G21" i="54"/>
  <c r="C21" i="47" l="1"/>
  <c r="D21" i="47" s="1"/>
  <c r="C21" i="4"/>
  <c r="D21" i="4" s="1"/>
  <c r="C21" i="46"/>
  <c r="D21" i="46" s="1"/>
  <c r="C21" i="50"/>
  <c r="D21" i="50" s="1"/>
  <c r="C21" i="48"/>
  <c r="D21" i="48" s="1"/>
  <c r="C21" i="49"/>
  <c r="D21" i="49" s="1"/>
  <c r="C21" i="51"/>
  <c r="D21" i="51" s="1"/>
  <c r="C21" i="53"/>
  <c r="D21" i="53" s="1"/>
  <c r="C21" i="52"/>
  <c r="D21" i="52" s="1"/>
  <c r="C21" i="54"/>
  <c r="D21" i="54" s="1"/>
  <c r="C21" i="56"/>
  <c r="D21" i="56" s="1"/>
  <c r="C21" i="57"/>
  <c r="D21" i="57" s="1"/>
  <c r="C21" i="59"/>
  <c r="D21" i="59" s="1"/>
  <c r="C21" i="58"/>
  <c r="D21" i="58" s="1"/>
  <c r="C21" i="61"/>
  <c r="D21" i="61" s="1"/>
  <c r="C21" i="60"/>
  <c r="D21" i="60" s="1"/>
  <c r="C21" i="62"/>
  <c r="D21" i="62" s="1"/>
  <c r="D17" i="64"/>
  <c r="D17" i="25"/>
  <c r="H17" i="25" s="1"/>
  <c r="D17" i="67"/>
  <c r="D17" i="65"/>
  <c r="D17" i="70"/>
  <c r="D17" i="68"/>
  <c r="C18" i="72"/>
  <c r="D18" i="72" s="1"/>
  <c r="C18" i="5"/>
  <c r="D18" i="5" s="1"/>
  <c r="C18" i="75"/>
  <c r="D18" i="75" s="1"/>
  <c r="C18" i="73"/>
  <c r="D18" i="73" s="1"/>
  <c r="C18" i="78"/>
  <c r="D18" i="78" s="1"/>
  <c r="C18" i="76"/>
  <c r="D18" i="76" s="1"/>
  <c r="C18" i="81"/>
  <c r="D18" i="81" s="1"/>
  <c r="C18" i="79"/>
  <c r="D18" i="79" s="1"/>
  <c r="D21" i="64"/>
  <c r="D21" i="25"/>
  <c r="D21" i="67"/>
  <c r="D21" i="65"/>
  <c r="D21" i="70"/>
  <c r="D21" i="68"/>
  <c r="C20" i="72"/>
  <c r="D20" i="72" s="1"/>
  <c r="H20" i="72" s="1"/>
  <c r="I20" i="72" s="1"/>
  <c r="C20" i="75"/>
  <c r="D20" i="75" s="1"/>
  <c r="H21" i="70" l="1"/>
  <c r="I21" i="70" s="1"/>
  <c r="H21" i="65"/>
  <c r="I21" i="65" s="1"/>
  <c r="H21" i="67"/>
  <c r="I21" i="67" s="1"/>
  <c r="H21" i="68"/>
  <c r="I21" i="68" s="1"/>
  <c r="H21" i="64"/>
  <c r="I21" i="64" s="1"/>
  <c r="H18" i="76"/>
  <c r="I18" i="76" s="1"/>
  <c r="H18" i="78"/>
  <c r="I18" i="78" s="1"/>
  <c r="H18" i="5"/>
  <c r="I18" i="5" s="1"/>
  <c r="H17" i="70"/>
  <c r="H17" i="67"/>
  <c r="H17" i="64"/>
  <c r="H21" i="62"/>
  <c r="I21" i="62" s="1"/>
  <c r="H21" i="61"/>
  <c r="I21" i="61" s="1"/>
  <c r="H21" i="59"/>
  <c r="I21" i="59" s="1"/>
  <c r="H21" i="56"/>
  <c r="I21" i="56" s="1"/>
  <c r="H21" i="53"/>
  <c r="I21" i="53" s="1"/>
  <c r="H21" i="49"/>
  <c r="I21" i="49" s="1"/>
  <c r="H21" i="50"/>
  <c r="I21" i="50" s="1"/>
  <c r="H21" i="4"/>
  <c r="I21" i="4" s="1"/>
  <c r="H21" i="25"/>
  <c r="I21" i="25" s="1"/>
  <c r="H18" i="79"/>
  <c r="I18" i="79" s="1"/>
  <c r="H18" i="81"/>
  <c r="I18" i="81" s="1"/>
  <c r="H18" i="73"/>
  <c r="I18" i="73" s="1"/>
  <c r="H17" i="68"/>
  <c r="H17" i="65"/>
  <c r="H21" i="60"/>
  <c r="I21" i="60" s="1"/>
  <c r="H21" i="58"/>
  <c r="I21" i="58" s="1"/>
  <c r="H21" i="57"/>
  <c r="I21" i="57" s="1"/>
  <c r="H21" i="54"/>
  <c r="I21" i="54" s="1"/>
  <c r="H21" i="52"/>
  <c r="I21" i="52" s="1"/>
  <c r="H21" i="51"/>
  <c r="I21" i="51" s="1"/>
  <c r="H21" i="48"/>
  <c r="I21" i="48" s="1"/>
  <c r="H21" i="46"/>
  <c r="I21" i="46" s="1"/>
  <c r="H21" i="47"/>
  <c r="I21" i="47" s="1"/>
  <c r="D18" i="64" l="1"/>
  <c r="B4" i="182" l="1"/>
  <c r="C8" i="7" s="1"/>
  <c r="B4" i="181"/>
  <c r="C12" i="7" s="1"/>
  <c r="B4" i="168"/>
  <c r="C15" i="7" s="1"/>
  <c r="B4" i="184"/>
  <c r="C19" i="7" s="1"/>
  <c r="B4" i="171"/>
  <c r="C26" i="7" s="1"/>
  <c r="B4" i="183"/>
  <c r="C23" i="7" s="1"/>
  <c r="B4" i="170"/>
  <c r="C29" i="7" s="1"/>
  <c r="B4" i="174"/>
  <c r="C35" i="7" s="1"/>
  <c r="B4" i="172"/>
  <c r="C41" i="7" s="1"/>
  <c r="B4" i="180"/>
  <c r="C4" i="7" s="1"/>
  <c r="B33" i="170" l="1"/>
  <c r="B9" i="170"/>
  <c r="B22" i="170" s="1"/>
  <c r="B7" i="170"/>
  <c r="B4" i="175"/>
  <c r="C38" i="7" s="1"/>
  <c r="B8" i="183"/>
  <c r="B24" i="183"/>
  <c r="B12" i="183"/>
  <c r="B13" i="183"/>
  <c r="B23" i="183"/>
  <c r="B15" i="183"/>
  <c r="B16" i="183"/>
  <c r="C27" i="183"/>
  <c r="F27" i="183" s="1"/>
  <c r="B17" i="183"/>
  <c r="B41" i="183"/>
  <c r="B17" i="181"/>
  <c r="B15" i="181"/>
  <c r="B24" i="181"/>
  <c r="C27" i="181"/>
  <c r="F27" i="181" s="1"/>
  <c r="B23" i="181"/>
  <c r="B8" i="181"/>
  <c r="B16" i="181"/>
  <c r="B12" i="181"/>
  <c r="B41" i="181"/>
  <c r="B13" i="181"/>
  <c r="B33" i="172"/>
  <c r="B9" i="172"/>
  <c r="B22" i="172" s="1"/>
  <c r="B7" i="172"/>
  <c r="B8" i="174"/>
  <c r="B13" i="174"/>
  <c r="B34" i="174"/>
  <c r="B21" i="174"/>
  <c r="B19" i="174"/>
  <c r="B20" i="174"/>
  <c r="C23" i="174"/>
  <c r="F23" i="174" s="1"/>
  <c r="B12" i="174"/>
  <c r="B33" i="171"/>
  <c r="B7" i="171"/>
  <c r="B9" i="171"/>
  <c r="B22" i="171" s="1"/>
  <c r="B13" i="182"/>
  <c r="B24" i="182"/>
  <c r="B8" i="182"/>
  <c r="B23" i="182"/>
  <c r="B17" i="182"/>
  <c r="B12" i="182"/>
  <c r="B41" i="182"/>
  <c r="B16" i="182"/>
  <c r="C27" i="182"/>
  <c r="F27" i="182" s="1"/>
  <c r="B15" i="182"/>
  <c r="C27" i="180"/>
  <c r="F27" i="180" s="1"/>
  <c r="B16" i="180"/>
  <c r="B12" i="180"/>
  <c r="B24" i="180"/>
  <c r="B8" i="180"/>
  <c r="B13" i="180"/>
  <c r="B23" i="180"/>
  <c r="B17" i="180"/>
  <c r="B15" i="180"/>
  <c r="B41" i="180"/>
  <c r="B16" i="168"/>
  <c r="B13" i="168"/>
  <c r="B12" i="168"/>
  <c r="B41" i="168"/>
  <c r="B8" i="168"/>
  <c r="B23" i="168"/>
  <c r="B15" i="168"/>
  <c r="C27" i="168"/>
  <c r="F27" i="168" s="1"/>
  <c r="B17" i="168"/>
  <c r="B24" i="168"/>
  <c r="B4" i="173"/>
  <c r="C44" i="7" s="1"/>
  <c r="B4" i="169"/>
  <c r="C32" i="7" s="1"/>
  <c r="B24" i="184"/>
  <c r="B41" i="184"/>
  <c r="C27" i="184"/>
  <c r="F27" i="184" s="1"/>
  <c r="B17" i="184"/>
  <c r="B16" i="184"/>
  <c r="B13" i="184"/>
  <c r="B23" i="184"/>
  <c r="B15" i="184"/>
  <c r="B8" i="184"/>
  <c r="B12" i="184"/>
  <c r="E33" i="170" l="1"/>
  <c r="G33" i="170" s="1"/>
  <c r="D33" i="170"/>
  <c r="E22" i="172"/>
  <c r="E22" i="171"/>
  <c r="E22" i="170"/>
  <c r="E13" i="184"/>
  <c r="G13" i="184" s="1"/>
  <c r="D13" i="184"/>
  <c r="E15" i="168"/>
  <c r="G15" i="168" s="1"/>
  <c r="D15" i="168"/>
  <c r="D12" i="180"/>
  <c r="E12" i="180"/>
  <c r="G12" i="180" s="1"/>
  <c r="E24" i="182"/>
  <c r="E33" i="171"/>
  <c r="G33" i="171" s="1"/>
  <c r="D33" i="171"/>
  <c r="D13" i="181"/>
  <c r="E13" i="181"/>
  <c r="G13" i="181" s="1"/>
  <c r="D41" i="183"/>
  <c r="E41" i="183"/>
  <c r="G41" i="183" s="1"/>
  <c r="B21" i="169"/>
  <c r="B12" i="169"/>
  <c r="B34" i="169"/>
  <c r="B19" i="169"/>
  <c r="B20" i="169"/>
  <c r="C23" i="169"/>
  <c r="F23" i="169" s="1"/>
  <c r="B13" i="169"/>
  <c r="B8" i="169"/>
  <c r="B28" i="168"/>
  <c r="B36" i="168"/>
  <c r="B37" i="168"/>
  <c r="B27" i="168"/>
  <c r="B38" i="168"/>
  <c r="B31" i="168"/>
  <c r="B32" i="168"/>
  <c r="D16" i="168"/>
  <c r="E16" i="168"/>
  <c r="G16" i="168" s="1"/>
  <c r="B37" i="180"/>
  <c r="B28" i="180"/>
  <c r="B38" i="180"/>
  <c r="B27" i="180"/>
  <c r="B32" i="180"/>
  <c r="B31" i="180"/>
  <c r="B36" i="180"/>
  <c r="E12" i="184"/>
  <c r="G12" i="184" s="1"/>
  <c r="D12" i="184"/>
  <c r="E23" i="184"/>
  <c r="E41" i="168"/>
  <c r="G41" i="168" s="1"/>
  <c r="D41" i="168"/>
  <c r="E41" i="180"/>
  <c r="G41" i="180" s="1"/>
  <c r="D41" i="180"/>
  <c r="D17" i="180"/>
  <c r="E17" i="180"/>
  <c r="G17" i="180" s="1"/>
  <c r="E24" i="180"/>
  <c r="E15" i="182"/>
  <c r="G15" i="182" s="1"/>
  <c r="D15" i="182"/>
  <c r="D41" i="182"/>
  <c r="E41" i="182"/>
  <c r="G41" i="182" s="1"/>
  <c r="B36" i="182"/>
  <c r="B31" i="182"/>
  <c r="B32" i="182"/>
  <c r="B37" i="182"/>
  <c r="B28" i="182"/>
  <c r="B38" i="182"/>
  <c r="B27" i="182"/>
  <c r="E20" i="174"/>
  <c r="E13" i="174"/>
  <c r="G13" i="174" s="1"/>
  <c r="D13" i="174"/>
  <c r="D33" i="172"/>
  <c r="E33" i="172"/>
  <c r="G33" i="172" s="1"/>
  <c r="E16" i="181"/>
  <c r="G16" i="181" s="1"/>
  <c r="D16" i="181"/>
  <c r="E24" i="181"/>
  <c r="D17" i="181"/>
  <c r="E17" i="181"/>
  <c r="G17" i="181" s="1"/>
  <c r="E16" i="183"/>
  <c r="G16" i="183" s="1"/>
  <c r="D16" i="183"/>
  <c r="D13" i="183"/>
  <c r="E13" i="183"/>
  <c r="G13" i="183" s="1"/>
  <c r="B20" i="175"/>
  <c r="B19" i="175"/>
  <c r="B12" i="175"/>
  <c r="B8" i="175"/>
  <c r="B13" i="175"/>
  <c r="C23" i="175"/>
  <c r="F23" i="175" s="1"/>
  <c r="B34" i="175"/>
  <c r="B21" i="175"/>
  <c r="B36" i="184"/>
  <c r="B37" i="184"/>
  <c r="B38" i="184"/>
  <c r="B32" i="184"/>
  <c r="B27" i="184"/>
  <c r="B31" i="184"/>
  <c r="B28" i="184"/>
  <c r="E24" i="168"/>
  <c r="E23" i="180"/>
  <c r="E19" i="174"/>
  <c r="D15" i="183"/>
  <c r="E15" i="183"/>
  <c r="G15" i="183" s="1"/>
  <c r="D12" i="183"/>
  <c r="E12" i="183"/>
  <c r="G12" i="183" s="1"/>
  <c r="E15" i="184"/>
  <c r="G15" i="184" s="1"/>
  <c r="D15" i="184"/>
  <c r="D16" i="184"/>
  <c r="E16" i="184"/>
  <c r="G16" i="184" s="1"/>
  <c r="E24" i="184"/>
  <c r="B9" i="173"/>
  <c r="B22" i="173" s="1"/>
  <c r="B7" i="173"/>
  <c r="B33" i="173"/>
  <c r="E23" i="168"/>
  <c r="D13" i="168"/>
  <c r="E13" i="168"/>
  <c r="G13" i="168" s="1"/>
  <c r="E13" i="180"/>
  <c r="G13" i="180" s="1"/>
  <c r="D13" i="180"/>
  <c r="E16" i="180"/>
  <c r="G16" i="180" s="1"/>
  <c r="D16" i="180"/>
  <c r="E17" i="182"/>
  <c r="G17" i="182" s="1"/>
  <c r="D17" i="182"/>
  <c r="D13" i="182"/>
  <c r="E13" i="182"/>
  <c r="G13" i="182" s="1"/>
  <c r="D12" i="174"/>
  <c r="E12" i="174"/>
  <c r="G12" i="174" s="1"/>
  <c r="E21" i="174"/>
  <c r="G21" i="174" s="1"/>
  <c r="D21" i="174"/>
  <c r="D41" i="181"/>
  <c r="E41" i="181"/>
  <c r="G41" i="181" s="1"/>
  <c r="E23" i="181"/>
  <c r="D15" i="181"/>
  <c r="E15" i="181"/>
  <c r="G15" i="181" s="1"/>
  <c r="D17" i="183"/>
  <c r="E17" i="183"/>
  <c r="G17" i="183" s="1"/>
  <c r="E24" i="183"/>
  <c r="E41" i="184"/>
  <c r="G41" i="184" s="1"/>
  <c r="D41" i="184"/>
  <c r="D12" i="168"/>
  <c r="E12" i="168"/>
  <c r="G12" i="168" s="1"/>
  <c r="D15" i="180"/>
  <c r="E15" i="180"/>
  <c r="G15" i="180" s="1"/>
  <c r="E12" i="182"/>
  <c r="G12" i="182" s="1"/>
  <c r="D12" i="182"/>
  <c r="B23" i="174"/>
  <c r="B31" i="174"/>
  <c r="B30" i="174"/>
  <c r="B26" i="174"/>
  <c r="B29" i="174"/>
  <c r="B25" i="174"/>
  <c r="B28" i="181"/>
  <c r="B36" i="181"/>
  <c r="B37" i="181"/>
  <c r="B32" i="181"/>
  <c r="B27" i="181"/>
  <c r="B31" i="181"/>
  <c r="B38" i="181"/>
  <c r="E17" i="184"/>
  <c r="G17" i="184" s="1"/>
  <c r="D17" i="184"/>
  <c r="E17" i="168"/>
  <c r="G17" i="168" s="1"/>
  <c r="D17" i="168"/>
  <c r="E16" i="182"/>
  <c r="G16" i="182" s="1"/>
  <c r="D16" i="182"/>
  <c r="E23" i="182"/>
  <c r="B29" i="171"/>
  <c r="B28" i="171"/>
  <c r="B30" i="171"/>
  <c r="B13" i="171"/>
  <c r="E34" i="174"/>
  <c r="G34" i="174" s="1"/>
  <c r="D34" i="174"/>
  <c r="B28" i="172"/>
  <c r="B29" i="172"/>
  <c r="B30" i="172"/>
  <c r="B13" i="172"/>
  <c r="E12" i="181"/>
  <c r="G12" i="181" s="1"/>
  <c r="D12" i="181"/>
  <c r="E23" i="183"/>
  <c r="B38" i="183"/>
  <c r="B28" i="183"/>
  <c r="B27" i="183"/>
  <c r="B32" i="183"/>
  <c r="B36" i="183"/>
  <c r="B31" i="183"/>
  <c r="B37" i="183"/>
  <c r="B28" i="170"/>
  <c r="B13" i="170"/>
  <c r="B30" i="170"/>
  <c r="B29" i="170"/>
  <c r="H33" i="170" l="1"/>
  <c r="I33" i="170" s="1"/>
  <c r="E22" i="173"/>
  <c r="D14" i="174"/>
  <c r="D18" i="180"/>
  <c r="D18" i="181"/>
  <c r="D14" i="181"/>
  <c r="D14" i="168"/>
  <c r="D14" i="182"/>
  <c r="D14" i="184"/>
  <c r="D14" i="183"/>
  <c r="E28" i="170"/>
  <c r="G28" i="170" s="1"/>
  <c r="D28" i="170"/>
  <c r="D36" i="183"/>
  <c r="E36" i="183"/>
  <c r="G36" i="183" s="1"/>
  <c r="E38" i="183"/>
  <c r="G38" i="183" s="1"/>
  <c r="D38" i="183"/>
  <c r="E30" i="172"/>
  <c r="G30" i="172" s="1"/>
  <c r="D30" i="172"/>
  <c r="E13" i="171"/>
  <c r="G13" i="171" s="1"/>
  <c r="D13" i="171"/>
  <c r="D15" i="171" s="1"/>
  <c r="D38" i="181"/>
  <c r="E38" i="181"/>
  <c r="G38" i="181" s="1"/>
  <c r="E37" i="181"/>
  <c r="G37" i="181" s="1"/>
  <c r="D37" i="181"/>
  <c r="E29" i="174"/>
  <c r="G29" i="174" s="1"/>
  <c r="D29" i="174"/>
  <c r="D23" i="174"/>
  <c r="E23" i="174"/>
  <c r="G23" i="174" s="1"/>
  <c r="H41" i="184"/>
  <c r="I41" i="184" s="1"/>
  <c r="H17" i="182"/>
  <c r="I17" i="182" s="1"/>
  <c r="H13" i="180"/>
  <c r="I13" i="180" s="1"/>
  <c r="H16" i="184"/>
  <c r="I16" i="184" s="1"/>
  <c r="G18" i="183"/>
  <c r="H15" i="183"/>
  <c r="I15" i="183" s="1"/>
  <c r="E32" i="184"/>
  <c r="G32" i="184" s="1"/>
  <c r="D21" i="175"/>
  <c r="E21" i="175"/>
  <c r="G21" i="175" s="1"/>
  <c r="B29" i="175"/>
  <c r="B30" i="175"/>
  <c r="B26" i="175"/>
  <c r="B25" i="175"/>
  <c r="B31" i="175"/>
  <c r="B23" i="175"/>
  <c r="H13" i="183"/>
  <c r="I13" i="183" s="1"/>
  <c r="H17" i="181"/>
  <c r="I17" i="181" s="1"/>
  <c r="H13" i="174"/>
  <c r="I13" i="174" s="1"/>
  <c r="D38" i="182"/>
  <c r="E38" i="182"/>
  <c r="G38" i="182" s="1"/>
  <c r="E31" i="182"/>
  <c r="G31" i="182" s="1"/>
  <c r="D18" i="182"/>
  <c r="H17" i="180"/>
  <c r="I17" i="180" s="1"/>
  <c r="E31" i="180"/>
  <c r="G31" i="180" s="1"/>
  <c r="D28" i="180"/>
  <c r="E28" i="180"/>
  <c r="G28" i="180" s="1"/>
  <c r="E32" i="168"/>
  <c r="G32" i="168" s="1"/>
  <c r="E37" i="168"/>
  <c r="G37" i="168" s="1"/>
  <c r="D37" i="168"/>
  <c r="E13" i="169"/>
  <c r="G13" i="169" s="1"/>
  <c r="D13" i="169"/>
  <c r="E34" i="169"/>
  <c r="G34" i="169" s="1"/>
  <c r="D34" i="169"/>
  <c r="H13" i="181"/>
  <c r="I13" i="181" s="1"/>
  <c r="D18" i="168"/>
  <c r="E29" i="170"/>
  <c r="G29" i="170" s="1"/>
  <c r="D29" i="170"/>
  <c r="D29" i="172"/>
  <c r="E29" i="172"/>
  <c r="G29" i="172" s="1"/>
  <c r="E30" i="171"/>
  <c r="G30" i="171" s="1"/>
  <c r="D30" i="171"/>
  <c r="H17" i="184"/>
  <c r="I17" i="184" s="1"/>
  <c r="E31" i="181"/>
  <c r="G31" i="181" s="1"/>
  <c r="D36" i="181"/>
  <c r="E36" i="181"/>
  <c r="G36" i="181" s="1"/>
  <c r="E26" i="174"/>
  <c r="G26" i="174" s="1"/>
  <c r="G14" i="168"/>
  <c r="H12" i="168"/>
  <c r="I12" i="168" s="1"/>
  <c r="H17" i="183"/>
  <c r="I17" i="183" s="1"/>
  <c r="H21" i="174"/>
  <c r="I21" i="174" s="1"/>
  <c r="H13" i="182"/>
  <c r="I13" i="182" s="1"/>
  <c r="H13" i="168"/>
  <c r="I13" i="168" s="1"/>
  <c r="B30" i="173"/>
  <c r="B28" i="173"/>
  <c r="B29" i="173"/>
  <c r="B13" i="173"/>
  <c r="D18" i="183"/>
  <c r="D28" i="184"/>
  <c r="E28" i="184"/>
  <c r="G28" i="184" s="1"/>
  <c r="D38" i="184"/>
  <c r="E38" i="184"/>
  <c r="G38" i="184" s="1"/>
  <c r="E34" i="175"/>
  <c r="G34" i="175" s="1"/>
  <c r="D34" i="175"/>
  <c r="E12" i="175"/>
  <c r="G12" i="175" s="1"/>
  <c r="D12" i="175"/>
  <c r="H16" i="181"/>
  <c r="I16" i="181" s="1"/>
  <c r="E28" i="182"/>
  <c r="G28" i="182" s="1"/>
  <c r="D28" i="182"/>
  <c r="D36" i="182"/>
  <c r="E36" i="182"/>
  <c r="G36" i="182" s="1"/>
  <c r="H15" i="182"/>
  <c r="I15" i="182" s="1"/>
  <c r="G18" i="182"/>
  <c r="H41" i="168"/>
  <c r="I41" i="168" s="1"/>
  <c r="E32" i="180"/>
  <c r="G32" i="180" s="1"/>
  <c r="D37" i="180"/>
  <c r="E37" i="180"/>
  <c r="G37" i="180" s="1"/>
  <c r="E31" i="168"/>
  <c r="G31" i="168" s="1"/>
  <c r="E36" i="168"/>
  <c r="G36" i="168" s="1"/>
  <c r="D36" i="168"/>
  <c r="D12" i="169"/>
  <c r="E12" i="169"/>
  <c r="G12" i="169" s="1"/>
  <c r="G18" i="168"/>
  <c r="H15" i="168"/>
  <c r="I15" i="168" s="1"/>
  <c r="E32" i="183"/>
  <c r="G32" i="183" s="1"/>
  <c r="E30" i="170"/>
  <c r="G30" i="170" s="1"/>
  <c r="D30" i="170"/>
  <c r="D37" i="183"/>
  <c r="E37" i="183"/>
  <c r="G37" i="183" s="1"/>
  <c r="D27" i="183"/>
  <c r="E27" i="183"/>
  <c r="G27" i="183" s="1"/>
  <c r="G14" i="181"/>
  <c r="H12" i="181"/>
  <c r="I12" i="181" s="1"/>
  <c r="E28" i="172"/>
  <c r="G28" i="172" s="1"/>
  <c r="D28" i="172"/>
  <c r="D28" i="171"/>
  <c r="E28" i="171"/>
  <c r="G28" i="171" s="1"/>
  <c r="E27" i="181"/>
  <c r="G27" i="181" s="1"/>
  <c r="D27" i="181"/>
  <c r="D28" i="181"/>
  <c r="E28" i="181"/>
  <c r="G28" i="181" s="1"/>
  <c r="D30" i="174"/>
  <c r="E30" i="174"/>
  <c r="G30" i="174" s="1"/>
  <c r="G14" i="182"/>
  <c r="H12" i="182"/>
  <c r="I12" i="182" s="1"/>
  <c r="H16" i="180"/>
  <c r="I16" i="180" s="1"/>
  <c r="D18" i="184"/>
  <c r="G14" i="183"/>
  <c r="H12" i="183"/>
  <c r="I12" i="183" s="1"/>
  <c r="E31" i="184"/>
  <c r="G31" i="184" s="1"/>
  <c r="E37" i="184"/>
  <c r="G37" i="184" s="1"/>
  <c r="D37" i="184"/>
  <c r="E19" i="175"/>
  <c r="H33" i="172"/>
  <c r="I33" i="172" s="1"/>
  <c r="E37" i="182"/>
  <c r="G37" i="182" s="1"/>
  <c r="D37" i="182"/>
  <c r="H41" i="182"/>
  <c r="I41" i="182" s="1"/>
  <c r="H12" i="184"/>
  <c r="I12" i="184" s="1"/>
  <c r="G14" i="184"/>
  <c r="D27" i="180"/>
  <c r="E27" i="180"/>
  <c r="G27" i="180" s="1"/>
  <c r="H16" i="168"/>
  <c r="I16" i="168" s="1"/>
  <c r="D38" i="168"/>
  <c r="E38" i="168"/>
  <c r="G38" i="168" s="1"/>
  <c r="D28" i="168"/>
  <c r="E28" i="168"/>
  <c r="G28" i="168" s="1"/>
  <c r="E20" i="169"/>
  <c r="E21" i="169"/>
  <c r="G21" i="169" s="1"/>
  <c r="D21" i="169"/>
  <c r="H41" i="183"/>
  <c r="I41" i="183" s="1"/>
  <c r="G14" i="180"/>
  <c r="H12" i="180"/>
  <c r="I12" i="180" s="1"/>
  <c r="D13" i="170"/>
  <c r="D15" i="170" s="1"/>
  <c r="E13" i="170"/>
  <c r="G13" i="170" s="1"/>
  <c r="E31" i="183"/>
  <c r="G31" i="183" s="1"/>
  <c r="D28" i="183"/>
  <c r="E28" i="183"/>
  <c r="G28" i="183" s="1"/>
  <c r="E13" i="172"/>
  <c r="G13" i="172" s="1"/>
  <c r="D13" i="172"/>
  <c r="D15" i="172" s="1"/>
  <c r="H34" i="174"/>
  <c r="I34" i="174" s="1"/>
  <c r="D29" i="171"/>
  <c r="E29" i="171"/>
  <c r="G29" i="171" s="1"/>
  <c r="H16" i="182"/>
  <c r="I16" i="182" s="1"/>
  <c r="H17" i="168"/>
  <c r="I17" i="168" s="1"/>
  <c r="E32" i="181"/>
  <c r="G32" i="181" s="1"/>
  <c r="E25" i="174"/>
  <c r="G25" i="174" s="1"/>
  <c r="E31" i="174"/>
  <c r="G31" i="174" s="1"/>
  <c r="D31" i="174"/>
  <c r="G18" i="180"/>
  <c r="H15" i="180"/>
  <c r="I15" i="180" s="1"/>
  <c r="H15" i="181"/>
  <c r="I15" i="181" s="1"/>
  <c r="G18" i="181"/>
  <c r="H41" i="181"/>
  <c r="I41" i="181" s="1"/>
  <c r="H12" i="174"/>
  <c r="I12" i="174" s="1"/>
  <c r="G14" i="174"/>
  <c r="E33" i="173"/>
  <c r="G33" i="173" s="1"/>
  <c r="D33" i="173"/>
  <c r="G18" i="184"/>
  <c r="H15" i="184"/>
  <c r="I15" i="184" s="1"/>
  <c r="E27" i="184"/>
  <c r="G27" i="184" s="1"/>
  <c r="D27" i="184"/>
  <c r="D36" i="184"/>
  <c r="E36" i="184"/>
  <c r="G36" i="184" s="1"/>
  <c r="D13" i="175"/>
  <c r="E13" i="175"/>
  <c r="G13" i="175" s="1"/>
  <c r="E20" i="175"/>
  <c r="H16" i="183"/>
  <c r="I16" i="183" s="1"/>
  <c r="E27" i="182"/>
  <c r="G27" i="182" s="1"/>
  <c r="D27" i="182"/>
  <c r="E32" i="182"/>
  <c r="G32" i="182" s="1"/>
  <c r="H41" i="180"/>
  <c r="I41" i="180" s="1"/>
  <c r="E36" i="180"/>
  <c r="G36" i="180" s="1"/>
  <c r="D36" i="180"/>
  <c r="E38" i="180"/>
  <c r="G38" i="180" s="1"/>
  <c r="D38" i="180"/>
  <c r="D27" i="168"/>
  <c r="E27" i="168"/>
  <c r="G27" i="168" s="1"/>
  <c r="B23" i="169"/>
  <c r="B30" i="169"/>
  <c r="B26" i="169"/>
  <c r="B31" i="169"/>
  <c r="B25" i="169"/>
  <c r="B29" i="169"/>
  <c r="E19" i="169"/>
  <c r="H33" i="171"/>
  <c r="I33" i="171" s="1"/>
  <c r="D14" i="180"/>
  <c r="H13" i="184"/>
  <c r="I13" i="184" s="1"/>
  <c r="H34" i="169" l="1"/>
  <c r="I34" i="169" s="1"/>
  <c r="H33" i="173"/>
  <c r="I33" i="173" s="1"/>
  <c r="D40" i="181"/>
  <c r="D40" i="184"/>
  <c r="D14" i="169"/>
  <c r="D40" i="183"/>
  <c r="H18" i="181"/>
  <c r="I18" i="181" s="1"/>
  <c r="H18" i="180"/>
  <c r="I18" i="180" s="1"/>
  <c r="G32" i="172"/>
  <c r="H28" i="172"/>
  <c r="I28" i="172" s="1"/>
  <c r="H27" i="183"/>
  <c r="I27" i="183" s="1"/>
  <c r="H12" i="169"/>
  <c r="I12" i="169" s="1"/>
  <c r="G14" i="169"/>
  <c r="H36" i="181"/>
  <c r="I36" i="181" s="1"/>
  <c r="G40" i="181"/>
  <c r="H29" i="170"/>
  <c r="I29" i="170" s="1"/>
  <c r="H38" i="180"/>
  <c r="I38" i="180" s="1"/>
  <c r="H27" i="180"/>
  <c r="I27" i="180" s="1"/>
  <c r="E25" i="169"/>
  <c r="G25" i="169" s="1"/>
  <c r="E23" i="169"/>
  <c r="G23" i="169" s="1"/>
  <c r="D23" i="169"/>
  <c r="G40" i="180"/>
  <c r="H36" i="180"/>
  <c r="I36" i="180" s="1"/>
  <c r="H36" i="184"/>
  <c r="I36" i="184" s="1"/>
  <c r="G40" i="184"/>
  <c r="H28" i="183"/>
  <c r="I28" i="183" s="1"/>
  <c r="G15" i="170"/>
  <c r="H13" i="170"/>
  <c r="I13" i="170" s="1"/>
  <c r="H14" i="180"/>
  <c r="I14" i="180" s="1"/>
  <c r="H28" i="168"/>
  <c r="I28" i="168" s="1"/>
  <c r="H37" i="182"/>
  <c r="I37" i="182" s="1"/>
  <c r="H30" i="174"/>
  <c r="I30" i="174" s="1"/>
  <c r="D32" i="172"/>
  <c r="H14" i="181"/>
  <c r="I14" i="181" s="1"/>
  <c r="G33" i="168"/>
  <c r="H28" i="182"/>
  <c r="I28" i="182" s="1"/>
  <c r="G14" i="175"/>
  <c r="H12" i="175"/>
  <c r="I12" i="175" s="1"/>
  <c r="H38" i="184"/>
  <c r="I38" i="184" s="1"/>
  <c r="E13" i="173"/>
  <c r="G13" i="173" s="1"/>
  <c r="D13" i="173"/>
  <c r="D15" i="173" s="1"/>
  <c r="H29" i="172"/>
  <c r="I29" i="172" s="1"/>
  <c r="H13" i="169"/>
  <c r="I13" i="169" s="1"/>
  <c r="G33" i="180"/>
  <c r="G33" i="182"/>
  <c r="E31" i="175"/>
  <c r="G31" i="175" s="1"/>
  <c r="D31" i="175"/>
  <c r="D29" i="175"/>
  <c r="E29" i="175"/>
  <c r="G29" i="175" s="1"/>
  <c r="H18" i="183"/>
  <c r="I18" i="183" s="1"/>
  <c r="H23" i="174"/>
  <c r="I23" i="174" s="1"/>
  <c r="H36" i="183"/>
  <c r="I36" i="183" s="1"/>
  <c r="G40" i="183"/>
  <c r="H21" i="169"/>
  <c r="I21" i="169" s="1"/>
  <c r="H14" i="184"/>
  <c r="I14" i="184" s="1"/>
  <c r="G33" i="184"/>
  <c r="H27" i="181"/>
  <c r="I27" i="181" s="1"/>
  <c r="H36" i="182"/>
  <c r="I36" i="182" s="1"/>
  <c r="G40" i="182"/>
  <c r="H38" i="182"/>
  <c r="I38" i="182" s="1"/>
  <c r="H21" i="175"/>
  <c r="I21" i="175" s="1"/>
  <c r="H38" i="168"/>
  <c r="I38" i="168" s="1"/>
  <c r="H28" i="181"/>
  <c r="I28" i="181" s="1"/>
  <c r="G32" i="171"/>
  <c r="H28" i="171"/>
  <c r="I28" i="171" s="1"/>
  <c r="H18" i="168"/>
  <c r="I18" i="168" s="1"/>
  <c r="D40" i="168"/>
  <c r="H37" i="180"/>
  <c r="I37" i="180" s="1"/>
  <c r="D40" i="182"/>
  <c r="H34" i="175"/>
  <c r="I34" i="175" s="1"/>
  <c r="H28" i="184"/>
  <c r="I28" i="184" s="1"/>
  <c r="D28" i="173"/>
  <c r="E28" i="173"/>
  <c r="G28" i="173" s="1"/>
  <c r="H14" i="168"/>
  <c r="I14" i="168" s="1"/>
  <c r="H37" i="168"/>
  <c r="I37" i="168" s="1"/>
  <c r="E26" i="175"/>
  <c r="G26" i="175" s="1"/>
  <c r="D33" i="174"/>
  <c r="H38" i="181"/>
  <c r="I38" i="181" s="1"/>
  <c r="G15" i="171"/>
  <c r="H13" i="171"/>
  <c r="I13" i="171" s="1"/>
  <c r="H30" i="172"/>
  <c r="I30" i="172" s="1"/>
  <c r="D32" i="170"/>
  <c r="E31" i="169"/>
  <c r="G31" i="169" s="1"/>
  <c r="D31" i="169"/>
  <c r="G27" i="174"/>
  <c r="H14" i="183"/>
  <c r="I14" i="183" s="1"/>
  <c r="D29" i="173"/>
  <c r="E29" i="173"/>
  <c r="G29" i="173" s="1"/>
  <c r="H28" i="180"/>
  <c r="I28" i="180" s="1"/>
  <c r="E25" i="175"/>
  <c r="G25" i="175" s="1"/>
  <c r="H37" i="181"/>
  <c r="I37" i="181" s="1"/>
  <c r="E26" i="169"/>
  <c r="G26" i="169" s="1"/>
  <c r="H14" i="174"/>
  <c r="I14" i="174" s="1"/>
  <c r="E29" i="169"/>
  <c r="G29" i="169" s="1"/>
  <c r="D29" i="169"/>
  <c r="D30" i="169"/>
  <c r="E30" i="169"/>
  <c r="G30" i="169" s="1"/>
  <c r="H27" i="168"/>
  <c r="I27" i="168" s="1"/>
  <c r="D40" i="180"/>
  <c r="H27" i="182"/>
  <c r="I27" i="182" s="1"/>
  <c r="H13" i="175"/>
  <c r="I13" i="175" s="1"/>
  <c r="H27" i="184"/>
  <c r="I27" i="184" s="1"/>
  <c r="H18" i="184"/>
  <c r="I18" i="184" s="1"/>
  <c r="H31" i="174"/>
  <c r="I31" i="174" s="1"/>
  <c r="H29" i="171"/>
  <c r="I29" i="171" s="1"/>
  <c r="G15" i="172"/>
  <c r="H13" i="172"/>
  <c r="I13" i="172" s="1"/>
  <c r="G33" i="183"/>
  <c r="H37" i="184"/>
  <c r="I37" i="184" s="1"/>
  <c r="H14" i="182"/>
  <c r="I14" i="182" s="1"/>
  <c r="D32" i="171"/>
  <c r="H37" i="183"/>
  <c r="I37" i="183" s="1"/>
  <c r="H30" i="170"/>
  <c r="I30" i="170" s="1"/>
  <c r="G40" i="168"/>
  <c r="H36" i="168"/>
  <c r="I36" i="168" s="1"/>
  <c r="H18" i="182"/>
  <c r="I18" i="182" s="1"/>
  <c r="D14" i="175"/>
  <c r="D30" i="173"/>
  <c r="E30" i="173"/>
  <c r="G30" i="173" s="1"/>
  <c r="G33" i="181"/>
  <c r="H30" i="171"/>
  <c r="I30" i="171" s="1"/>
  <c r="E23" i="175"/>
  <c r="G23" i="175" s="1"/>
  <c r="D23" i="175"/>
  <c r="D30" i="175"/>
  <c r="E30" i="175"/>
  <c r="G30" i="175" s="1"/>
  <c r="G33" i="174"/>
  <c r="H29" i="174"/>
  <c r="I29" i="174" s="1"/>
  <c r="H38" i="183"/>
  <c r="I38" i="183" s="1"/>
  <c r="H28" i="170"/>
  <c r="I28" i="170" s="1"/>
  <c r="G32" i="170"/>
  <c r="H30" i="173" l="1"/>
  <c r="I30" i="173" s="1"/>
  <c r="G33" i="175"/>
  <c r="H29" i="175"/>
  <c r="I29" i="175" s="1"/>
  <c r="H40" i="180"/>
  <c r="I40" i="180" s="1"/>
  <c r="H23" i="169"/>
  <c r="I23" i="169" s="1"/>
  <c r="H33" i="174"/>
  <c r="I33" i="174" s="1"/>
  <c r="H15" i="172"/>
  <c r="I15" i="172" s="1"/>
  <c r="H32" i="171"/>
  <c r="I32" i="171" s="1"/>
  <c r="H40" i="183"/>
  <c r="I40" i="183" s="1"/>
  <c r="H15" i="170"/>
  <c r="I15" i="170" s="1"/>
  <c r="D33" i="169"/>
  <c r="H29" i="173"/>
  <c r="I29" i="173" s="1"/>
  <c r="H29" i="169"/>
  <c r="I29" i="169" s="1"/>
  <c r="G33" i="169"/>
  <c r="H31" i="175"/>
  <c r="I31" i="175" s="1"/>
  <c r="G15" i="173"/>
  <c r="H13" i="173"/>
  <c r="I13" i="173" s="1"/>
  <c r="H23" i="175"/>
  <c r="I23" i="175" s="1"/>
  <c r="H40" i="168"/>
  <c r="I40" i="168" s="1"/>
  <c r="H30" i="169"/>
  <c r="I30" i="169" s="1"/>
  <c r="G27" i="175"/>
  <c r="H31" i="169"/>
  <c r="I31" i="169" s="1"/>
  <c r="G32" i="173"/>
  <c r="H28" i="173"/>
  <c r="I28" i="173" s="1"/>
  <c r="H40" i="182"/>
  <c r="I40" i="182" s="1"/>
  <c r="D33" i="175"/>
  <c r="H40" i="184"/>
  <c r="I40" i="184" s="1"/>
  <c r="H32" i="170"/>
  <c r="I32" i="170" s="1"/>
  <c r="H30" i="175"/>
  <c r="I30" i="175" s="1"/>
  <c r="H15" i="171"/>
  <c r="I15" i="171" s="1"/>
  <c r="D32" i="173"/>
  <c r="H14" i="175"/>
  <c r="I14" i="175" s="1"/>
  <c r="G27" i="169"/>
  <c r="H40" i="181"/>
  <c r="I40" i="181" s="1"/>
  <c r="H14" i="169"/>
  <c r="I14" i="169" s="1"/>
  <c r="H32" i="172"/>
  <c r="I32" i="172" s="1"/>
  <c r="H33" i="169" l="1"/>
  <c r="I33" i="169" s="1"/>
  <c r="H33" i="175"/>
  <c r="I33" i="175" s="1"/>
  <c r="H32" i="173"/>
  <c r="I32" i="173" s="1"/>
  <c r="H15" i="173"/>
  <c r="I15" i="173" s="1"/>
  <c r="U10" i="3" l="1"/>
  <c r="C22" i="79"/>
  <c r="D22" i="79" s="1"/>
  <c r="U15" i="3"/>
  <c r="C22" i="81"/>
  <c r="D22" i="81" s="1"/>
  <c r="C22" i="173"/>
  <c r="D22" i="173" s="1"/>
  <c r="C22" i="171"/>
  <c r="D22" i="171" s="1"/>
  <c r="C22" i="72"/>
  <c r="D22" i="72" s="1"/>
  <c r="C22" i="5"/>
  <c r="D22" i="5" s="1"/>
  <c r="U12" i="3"/>
  <c r="F18" i="72"/>
  <c r="G18" i="72" s="1"/>
  <c r="C22" i="78"/>
  <c r="D22" i="78" s="1"/>
  <c r="C22" i="172"/>
  <c r="D22" i="172" s="1"/>
  <c r="C22" i="76"/>
  <c r="D22" i="76" s="1"/>
  <c r="U14" i="3"/>
  <c r="U9" i="3"/>
  <c r="U13" i="3"/>
  <c r="C21" i="75"/>
  <c r="D21" i="75" s="1"/>
  <c r="C22" i="170"/>
  <c r="D22" i="170" s="1"/>
  <c r="C22" i="73"/>
  <c r="D22" i="73" s="1"/>
  <c r="F18" i="75"/>
  <c r="G18" i="75" s="1"/>
  <c r="V15" i="3" l="1"/>
  <c r="C19" i="173"/>
  <c r="D19" i="173" s="1"/>
  <c r="C19" i="81"/>
  <c r="D19" i="81" s="1"/>
  <c r="C19" i="79"/>
  <c r="D19" i="79" s="1"/>
  <c r="V11" i="3"/>
  <c r="C18" i="175"/>
  <c r="D18" i="175" s="1"/>
  <c r="C18" i="70"/>
  <c r="D18" i="70" s="1"/>
  <c r="C18" i="68"/>
  <c r="D18" i="68" s="1"/>
  <c r="V7" i="3"/>
  <c r="C22" i="184"/>
  <c r="D22" i="184" s="1"/>
  <c r="C22" i="57"/>
  <c r="D22" i="57" s="1"/>
  <c r="C22" i="58"/>
  <c r="D22" i="58" s="1"/>
  <c r="C22" i="59"/>
  <c r="D22" i="59" s="1"/>
  <c r="H18" i="75"/>
  <c r="I18" i="75" s="1"/>
  <c r="U8" i="3"/>
  <c r="F22" i="79"/>
  <c r="G22" i="79" s="1"/>
  <c r="F22" i="173"/>
  <c r="G22" i="173" s="1"/>
  <c r="F22" i="81"/>
  <c r="G22" i="81" s="1"/>
  <c r="H22" i="81" s="1"/>
  <c r="I22" i="81" s="1"/>
  <c r="W14" i="3"/>
  <c r="C21" i="172"/>
  <c r="D21" i="172" s="1"/>
  <c r="C21" i="76"/>
  <c r="D21" i="76" s="1"/>
  <c r="C21" i="78"/>
  <c r="D21" i="78" s="1"/>
  <c r="W10" i="3"/>
  <c r="C20" i="174"/>
  <c r="D20" i="174" s="1"/>
  <c r="C20" i="65"/>
  <c r="D20" i="65" s="1"/>
  <c r="C20" i="67"/>
  <c r="D20" i="67" s="1"/>
  <c r="W6" i="3"/>
  <c r="C24" i="168"/>
  <c r="D24" i="168" s="1"/>
  <c r="C24" i="56"/>
  <c r="D24" i="56" s="1"/>
  <c r="C24" i="54"/>
  <c r="D24" i="54" s="1"/>
  <c r="W4" i="3"/>
  <c r="C24" i="182"/>
  <c r="D24" i="182" s="1"/>
  <c r="C24" i="48"/>
  <c r="D24" i="48" s="1"/>
  <c r="C24" i="49"/>
  <c r="D24" i="49" s="1"/>
  <c r="C24" i="50"/>
  <c r="D24" i="50" s="1"/>
  <c r="U5" i="3"/>
  <c r="W3" i="3"/>
  <c r="C24" i="180"/>
  <c r="D24" i="180" s="1"/>
  <c r="C24" i="46"/>
  <c r="D24" i="46" s="1"/>
  <c r="C24" i="4"/>
  <c r="D24" i="4" s="1"/>
  <c r="C24" i="47"/>
  <c r="D24" i="47" s="1"/>
  <c r="V14" i="3"/>
  <c r="C19" i="172"/>
  <c r="D19" i="172" s="1"/>
  <c r="C19" i="76"/>
  <c r="D19" i="76" s="1"/>
  <c r="C19" i="78"/>
  <c r="D19" i="78" s="1"/>
  <c r="V12" i="3"/>
  <c r="C19" i="171"/>
  <c r="D19" i="171" s="1"/>
  <c r="C19" i="72"/>
  <c r="D19" i="72" s="1"/>
  <c r="C19" i="5"/>
  <c r="D19" i="5" s="1"/>
  <c r="V10" i="3"/>
  <c r="C18" i="174"/>
  <c r="D18" i="174" s="1"/>
  <c r="C18" i="65"/>
  <c r="D18" i="65" s="1"/>
  <c r="C18" i="67"/>
  <c r="D18" i="67" s="1"/>
  <c r="V8" i="3"/>
  <c r="C22" i="183"/>
  <c r="D22" i="183" s="1"/>
  <c r="C22" i="60"/>
  <c r="D22" i="60" s="1"/>
  <c r="C22" i="62"/>
  <c r="D22" i="62" s="1"/>
  <c r="C22" i="61"/>
  <c r="D22" i="61" s="1"/>
  <c r="V6" i="3"/>
  <c r="C22" i="168"/>
  <c r="D22" i="168" s="1"/>
  <c r="C22" i="54"/>
  <c r="D22" i="54" s="1"/>
  <c r="C22" i="56"/>
  <c r="D22" i="56" s="1"/>
  <c r="V4" i="3"/>
  <c r="C22" i="182"/>
  <c r="D22" i="182" s="1"/>
  <c r="C22" i="50"/>
  <c r="D22" i="50" s="1"/>
  <c r="C22" i="48"/>
  <c r="D22" i="48" s="1"/>
  <c r="C22" i="49"/>
  <c r="D22" i="49" s="1"/>
  <c r="F21" i="75"/>
  <c r="G21" i="75" s="1"/>
  <c r="F22" i="73"/>
  <c r="G22" i="73" s="1"/>
  <c r="H22" i="73" s="1"/>
  <c r="I22" i="73" s="1"/>
  <c r="F22" i="170"/>
  <c r="G22" i="170" s="1"/>
  <c r="F20" i="75"/>
  <c r="G20" i="75" s="1"/>
  <c r="U4" i="3"/>
  <c r="U11" i="3"/>
  <c r="V13" i="3"/>
  <c r="C19" i="170"/>
  <c r="D19" i="170" s="1"/>
  <c r="C19" i="73"/>
  <c r="D19" i="73" s="1"/>
  <c r="C19" i="75"/>
  <c r="D19" i="75" s="1"/>
  <c r="V5" i="3"/>
  <c r="C22" i="181"/>
  <c r="D22" i="181" s="1"/>
  <c r="C22" i="52"/>
  <c r="D22" i="52" s="1"/>
  <c r="C22" i="51"/>
  <c r="D22" i="51" s="1"/>
  <c r="C22" i="53"/>
  <c r="D22" i="53" s="1"/>
  <c r="U3" i="3"/>
  <c r="V3" i="3"/>
  <c r="C22" i="180"/>
  <c r="D22" i="180" s="1"/>
  <c r="C22" i="47"/>
  <c r="D22" i="47" s="1"/>
  <c r="C22" i="4"/>
  <c r="D22" i="4" s="1"/>
  <c r="C22" i="46"/>
  <c r="D22" i="46" s="1"/>
  <c r="W12" i="3"/>
  <c r="C21" i="171"/>
  <c r="D21" i="171" s="1"/>
  <c r="C21" i="72"/>
  <c r="D21" i="72" s="1"/>
  <c r="C21" i="5"/>
  <c r="D21" i="5" s="1"/>
  <c r="W8" i="3"/>
  <c r="C24" i="183"/>
  <c r="D24" i="183" s="1"/>
  <c r="C24" i="62"/>
  <c r="D24" i="62" s="1"/>
  <c r="C24" i="61"/>
  <c r="D24" i="61" s="1"/>
  <c r="C24" i="60"/>
  <c r="D24" i="60" s="1"/>
  <c r="H18" i="72"/>
  <c r="I18" i="72" s="1"/>
  <c r="W15" i="3"/>
  <c r="C21" i="173"/>
  <c r="D21" i="173" s="1"/>
  <c r="C21" i="79"/>
  <c r="D21" i="79" s="1"/>
  <c r="C21" i="81"/>
  <c r="D21" i="81" s="1"/>
  <c r="W13" i="3"/>
  <c r="C21" i="170"/>
  <c r="D21" i="170" s="1"/>
  <c r="C21" i="73"/>
  <c r="D21" i="73" s="1"/>
  <c r="C22" i="75"/>
  <c r="D22" i="75" s="1"/>
  <c r="W11" i="3"/>
  <c r="C20" i="175"/>
  <c r="D20" i="175" s="1"/>
  <c r="C20" i="70"/>
  <c r="D20" i="70" s="1"/>
  <c r="C20" i="68"/>
  <c r="D20" i="68" s="1"/>
  <c r="W7" i="3"/>
  <c r="C24" i="184"/>
  <c r="D24" i="184" s="1"/>
  <c r="C24" i="58"/>
  <c r="D24" i="58" s="1"/>
  <c r="C24" i="57"/>
  <c r="D24" i="57" s="1"/>
  <c r="C24" i="59"/>
  <c r="D24" i="59" s="1"/>
  <c r="W5" i="3"/>
  <c r="C24" i="181"/>
  <c r="D24" i="181" s="1"/>
  <c r="C24" i="53"/>
  <c r="D24" i="53" s="1"/>
  <c r="C24" i="51"/>
  <c r="D24" i="51" s="1"/>
  <c r="C24" i="52"/>
  <c r="D24" i="52" s="1"/>
  <c r="U7" i="3"/>
  <c r="F22" i="78"/>
  <c r="G22" i="78" s="1"/>
  <c r="H22" i="78" s="1"/>
  <c r="I22" i="78" s="1"/>
  <c r="F22" i="172"/>
  <c r="G22" i="172" s="1"/>
  <c r="F22" i="76"/>
  <c r="G22" i="76" s="1"/>
  <c r="U6" i="3"/>
  <c r="F22" i="72"/>
  <c r="G22" i="72" s="1"/>
  <c r="H22" i="72" s="1"/>
  <c r="I22" i="72" s="1"/>
  <c r="F22" i="171"/>
  <c r="G22" i="171" s="1"/>
  <c r="F22" i="5"/>
  <c r="G22" i="5" s="1"/>
  <c r="H22" i="172" l="1"/>
  <c r="I22" i="172" s="1"/>
  <c r="F24" i="57"/>
  <c r="G24" i="57" s="1"/>
  <c r="F24" i="184"/>
  <c r="G24" i="184" s="1"/>
  <c r="F24" i="59"/>
  <c r="G24" i="59" s="1"/>
  <c r="F24" i="58"/>
  <c r="G24" i="58" s="1"/>
  <c r="F20" i="68"/>
  <c r="G20" i="68" s="1"/>
  <c r="F20" i="70"/>
  <c r="G20" i="70" s="1"/>
  <c r="F20" i="175"/>
  <c r="G20" i="175" s="1"/>
  <c r="F21" i="173"/>
  <c r="G21" i="173" s="1"/>
  <c r="F21" i="79"/>
  <c r="G21" i="79" s="1"/>
  <c r="F21" i="81"/>
  <c r="G21" i="81" s="1"/>
  <c r="F21" i="171"/>
  <c r="G21" i="171" s="1"/>
  <c r="F21" i="5"/>
  <c r="G21" i="5" s="1"/>
  <c r="F21" i="72"/>
  <c r="G21" i="72" s="1"/>
  <c r="H22" i="170"/>
  <c r="I22" i="170" s="1"/>
  <c r="F22" i="54"/>
  <c r="G22" i="54" s="1"/>
  <c r="F22" i="56"/>
  <c r="G22" i="56" s="1"/>
  <c r="F22" i="168"/>
  <c r="G22" i="168" s="1"/>
  <c r="H22" i="5"/>
  <c r="I22" i="5" s="1"/>
  <c r="H22" i="171"/>
  <c r="I22" i="171" s="1"/>
  <c r="F24" i="51"/>
  <c r="G24" i="51" s="1"/>
  <c r="F24" i="181"/>
  <c r="G24" i="181" s="1"/>
  <c r="F24" i="52"/>
  <c r="G24" i="52" s="1"/>
  <c r="F24" i="53"/>
  <c r="G24" i="53" s="1"/>
  <c r="W9" i="3"/>
  <c r="C20" i="169"/>
  <c r="D20" i="169" s="1"/>
  <c r="C20" i="64"/>
  <c r="D20" i="64" s="1"/>
  <c r="C20" i="25"/>
  <c r="D20" i="25" s="1"/>
  <c r="H22" i="79"/>
  <c r="I22" i="79" s="1"/>
  <c r="F18" i="65"/>
  <c r="G18" i="65" s="1"/>
  <c r="F18" i="67"/>
  <c r="G18" i="67" s="1"/>
  <c r="F18" i="174"/>
  <c r="G18" i="174" s="1"/>
  <c r="F19" i="172"/>
  <c r="G19" i="172" s="1"/>
  <c r="F19" i="76"/>
  <c r="G19" i="76" s="1"/>
  <c r="F19" i="78"/>
  <c r="G19" i="78" s="1"/>
  <c r="F24" i="182"/>
  <c r="G24" i="182" s="1"/>
  <c r="F24" i="49"/>
  <c r="G24" i="49" s="1"/>
  <c r="F24" i="48"/>
  <c r="G24" i="48" s="1"/>
  <c r="F24" i="50"/>
  <c r="G24" i="50" s="1"/>
  <c r="F20" i="65"/>
  <c r="G20" i="65" s="1"/>
  <c r="F20" i="67"/>
  <c r="G20" i="67" s="1"/>
  <c r="F20" i="174"/>
  <c r="G20" i="174" s="1"/>
  <c r="F18" i="175"/>
  <c r="G18" i="175" s="1"/>
  <c r="F18" i="68"/>
  <c r="G18" i="68" s="1"/>
  <c r="F18" i="70"/>
  <c r="G18" i="70" s="1"/>
  <c r="F21" i="170"/>
  <c r="G21" i="170" s="1"/>
  <c r="F21" i="73"/>
  <c r="G21" i="73" s="1"/>
  <c r="F22" i="75"/>
  <c r="G22" i="75" s="1"/>
  <c r="F24" i="61"/>
  <c r="G24" i="61" s="1"/>
  <c r="F24" i="183"/>
  <c r="G24" i="183" s="1"/>
  <c r="F24" i="60"/>
  <c r="G24" i="60" s="1"/>
  <c r="F24" i="62"/>
  <c r="G24" i="62" s="1"/>
  <c r="F22" i="47"/>
  <c r="G22" i="47" s="1"/>
  <c r="F22" i="4"/>
  <c r="G22" i="4" s="1"/>
  <c r="F22" i="46"/>
  <c r="G22" i="46" s="1"/>
  <c r="F22" i="180"/>
  <c r="G22" i="180" s="1"/>
  <c r="F22" i="53"/>
  <c r="G22" i="53" s="1"/>
  <c r="F22" i="181"/>
  <c r="G22" i="181" s="1"/>
  <c r="F22" i="52"/>
  <c r="G22" i="52" s="1"/>
  <c r="F22" i="51"/>
  <c r="G22" i="51" s="1"/>
  <c r="F19" i="75"/>
  <c r="G19" i="75" s="1"/>
  <c r="F19" i="170"/>
  <c r="G19" i="170" s="1"/>
  <c r="F19" i="73"/>
  <c r="G19" i="73" s="1"/>
  <c r="H20" i="75"/>
  <c r="I20" i="75" s="1"/>
  <c r="F22" i="50"/>
  <c r="G22" i="50" s="1"/>
  <c r="F22" i="182"/>
  <c r="G22" i="182" s="1"/>
  <c r="F22" i="48"/>
  <c r="G22" i="48" s="1"/>
  <c r="F22" i="49"/>
  <c r="G22" i="49" s="1"/>
  <c r="H22" i="76"/>
  <c r="I22" i="76" s="1"/>
  <c r="V9" i="3"/>
  <c r="C18" i="25"/>
  <c r="D18" i="25" s="1"/>
  <c r="F22" i="183"/>
  <c r="G22" i="183" s="1"/>
  <c r="F22" i="61"/>
  <c r="G22" i="61" s="1"/>
  <c r="F22" i="62"/>
  <c r="G22" i="62" s="1"/>
  <c r="F22" i="60"/>
  <c r="G22" i="60" s="1"/>
  <c r="F19" i="72"/>
  <c r="G19" i="72" s="1"/>
  <c r="F19" i="171"/>
  <c r="G19" i="171" s="1"/>
  <c r="F19" i="5"/>
  <c r="G19" i="5" s="1"/>
  <c r="F24" i="180"/>
  <c r="G24" i="180" s="1"/>
  <c r="F24" i="47"/>
  <c r="G24" i="47" s="1"/>
  <c r="F24" i="4"/>
  <c r="G24" i="4" s="1"/>
  <c r="F24" i="46"/>
  <c r="G24" i="46" s="1"/>
  <c r="H21" i="75"/>
  <c r="I21" i="75" s="1"/>
  <c r="F24" i="168"/>
  <c r="G24" i="168" s="1"/>
  <c r="F24" i="54"/>
  <c r="G24" i="54" s="1"/>
  <c r="F24" i="56"/>
  <c r="G24" i="56" s="1"/>
  <c r="F21" i="172"/>
  <c r="G21" i="172" s="1"/>
  <c r="F21" i="76"/>
  <c r="G21" i="76" s="1"/>
  <c r="F21" i="78"/>
  <c r="G21" i="78" s="1"/>
  <c r="H22" i="173"/>
  <c r="I22" i="173" s="1"/>
  <c r="F22" i="59"/>
  <c r="G22" i="59" s="1"/>
  <c r="F22" i="57"/>
  <c r="G22" i="57" s="1"/>
  <c r="F22" i="184"/>
  <c r="G22" i="184" s="1"/>
  <c r="F22" i="58"/>
  <c r="G22" i="58" s="1"/>
  <c r="F19" i="173"/>
  <c r="G19" i="173" s="1"/>
  <c r="F19" i="81"/>
  <c r="G19" i="81" s="1"/>
  <c r="F19" i="79"/>
  <c r="G19" i="79" s="1"/>
  <c r="H19" i="173" l="1"/>
  <c r="I19" i="173" s="1"/>
  <c r="H24" i="168"/>
  <c r="I24" i="168" s="1"/>
  <c r="H24" i="4"/>
  <c r="I24" i="4" s="1"/>
  <c r="H22" i="61"/>
  <c r="I22" i="61" s="1"/>
  <c r="H22" i="182"/>
  <c r="I22" i="182" s="1"/>
  <c r="H19" i="75"/>
  <c r="I19" i="75" s="1"/>
  <c r="H22" i="181"/>
  <c r="I22" i="181" s="1"/>
  <c r="H22" i="46"/>
  <c r="I22" i="46" s="1"/>
  <c r="H24" i="60"/>
  <c r="I24" i="60" s="1"/>
  <c r="H18" i="68"/>
  <c r="I18" i="68" s="1"/>
  <c r="H20" i="174"/>
  <c r="I20" i="174" s="1"/>
  <c r="H24" i="50"/>
  <c r="I24" i="50" s="1"/>
  <c r="H24" i="182"/>
  <c r="I24" i="182" s="1"/>
  <c r="H19" i="172"/>
  <c r="I19" i="172" s="1"/>
  <c r="H18" i="67"/>
  <c r="I18" i="67" s="1"/>
  <c r="H24" i="53"/>
  <c r="I24" i="53" s="1"/>
  <c r="H22" i="56"/>
  <c r="I22" i="56" s="1"/>
  <c r="H21" i="79"/>
  <c r="I21" i="79" s="1"/>
  <c r="H20" i="68"/>
  <c r="I20" i="68" s="1"/>
  <c r="H24" i="184"/>
  <c r="I24" i="184" s="1"/>
  <c r="H19" i="79"/>
  <c r="I19" i="79" s="1"/>
  <c r="H22" i="58"/>
  <c r="I22" i="58" s="1"/>
  <c r="H22" i="59"/>
  <c r="I22" i="59" s="1"/>
  <c r="H21" i="76"/>
  <c r="I21" i="76" s="1"/>
  <c r="H24" i="56"/>
  <c r="I24" i="56" s="1"/>
  <c r="H24" i="47"/>
  <c r="I24" i="47" s="1"/>
  <c r="H22" i="60"/>
  <c r="I22" i="60" s="1"/>
  <c r="H22" i="183"/>
  <c r="I22" i="183" s="1"/>
  <c r="H22" i="50"/>
  <c r="I22" i="50" s="1"/>
  <c r="H19" i="73"/>
  <c r="I19" i="73" s="1"/>
  <c r="H22" i="51"/>
  <c r="I22" i="51" s="1"/>
  <c r="H22" i="53"/>
  <c r="I22" i="53" s="1"/>
  <c r="H22" i="4"/>
  <c r="I22" i="4" s="1"/>
  <c r="H22" i="75"/>
  <c r="I22" i="75" s="1"/>
  <c r="H21" i="170"/>
  <c r="I21" i="170" s="1"/>
  <c r="H18" i="175"/>
  <c r="I18" i="175" s="1"/>
  <c r="H20" i="67"/>
  <c r="I20" i="67" s="1"/>
  <c r="H24" i="48"/>
  <c r="I24" i="48" s="1"/>
  <c r="H18" i="65"/>
  <c r="I18" i="65" s="1"/>
  <c r="H24" i="52"/>
  <c r="I24" i="52" s="1"/>
  <c r="H22" i="54"/>
  <c r="I22" i="54" s="1"/>
  <c r="H21" i="5"/>
  <c r="I21" i="5" s="1"/>
  <c r="H20" i="175"/>
  <c r="I20" i="175" s="1"/>
  <c r="H24" i="58"/>
  <c r="I24" i="58" s="1"/>
  <c r="H19" i="81"/>
  <c r="I19" i="81" s="1"/>
  <c r="H22" i="184"/>
  <c r="I22" i="184" s="1"/>
  <c r="H24" i="54"/>
  <c r="I24" i="54" s="1"/>
  <c r="H24" i="46"/>
  <c r="I24" i="46" s="1"/>
  <c r="H24" i="180"/>
  <c r="I24" i="180" s="1"/>
  <c r="H19" i="171"/>
  <c r="I19" i="171" s="1"/>
  <c r="H22" i="62"/>
  <c r="I22" i="62" s="1"/>
  <c r="H22" i="49"/>
  <c r="I22" i="49" s="1"/>
  <c r="H22" i="47"/>
  <c r="I22" i="47" s="1"/>
  <c r="H24" i="183"/>
  <c r="I24" i="183" s="1"/>
  <c r="H24" i="49"/>
  <c r="I24" i="49" s="1"/>
  <c r="H19" i="78"/>
  <c r="I19" i="78" s="1"/>
  <c r="F20" i="25"/>
  <c r="G20" i="25" s="1"/>
  <c r="F20" i="169"/>
  <c r="G20" i="169" s="1"/>
  <c r="F20" i="64"/>
  <c r="G20" i="64" s="1"/>
  <c r="H24" i="181"/>
  <c r="I24" i="181" s="1"/>
  <c r="H21" i="171"/>
  <c r="I21" i="171" s="1"/>
  <c r="H24" i="57"/>
  <c r="I24" i="57" s="1"/>
  <c r="H22" i="57"/>
  <c r="I22" i="57" s="1"/>
  <c r="H21" i="78"/>
  <c r="I21" i="78" s="1"/>
  <c r="H21" i="172"/>
  <c r="I21" i="172" s="1"/>
  <c r="H19" i="5"/>
  <c r="I19" i="5" s="1"/>
  <c r="H19" i="72"/>
  <c r="I19" i="72" s="1"/>
  <c r="F18" i="64"/>
  <c r="G18" i="64" s="1"/>
  <c r="F18" i="25"/>
  <c r="G18" i="25" s="1"/>
  <c r="F18" i="169"/>
  <c r="G18" i="169" s="1"/>
  <c r="H22" i="48"/>
  <c r="I22" i="48" s="1"/>
  <c r="H19" i="170"/>
  <c r="I19" i="170" s="1"/>
  <c r="H22" i="52"/>
  <c r="I22" i="52" s="1"/>
  <c r="H22" i="180"/>
  <c r="I22" i="180" s="1"/>
  <c r="H24" i="62"/>
  <c r="I24" i="62" s="1"/>
  <c r="H24" i="61"/>
  <c r="I24" i="61" s="1"/>
  <c r="H21" i="73"/>
  <c r="I21" i="73" s="1"/>
  <c r="H18" i="70"/>
  <c r="I18" i="70" s="1"/>
  <c r="H20" i="65"/>
  <c r="I20" i="65" s="1"/>
  <c r="H19" i="76"/>
  <c r="I19" i="76" s="1"/>
  <c r="H18" i="174"/>
  <c r="I18" i="174" s="1"/>
  <c r="H24" i="51"/>
  <c r="I24" i="51" s="1"/>
  <c r="H22" i="168"/>
  <c r="I22" i="168" s="1"/>
  <c r="H21" i="72"/>
  <c r="I21" i="72" s="1"/>
  <c r="H21" i="81"/>
  <c r="I21" i="81" s="1"/>
  <c r="H21" i="173"/>
  <c r="I21" i="173" s="1"/>
  <c r="H20" i="70"/>
  <c r="I20" i="70" s="1"/>
  <c r="H24" i="59"/>
  <c r="I24" i="59" s="1"/>
  <c r="H18" i="25" l="1"/>
  <c r="I18" i="25" s="1"/>
  <c r="H18" i="169"/>
  <c r="I18" i="169" s="1"/>
  <c r="H20" i="64"/>
  <c r="I20" i="64" s="1"/>
  <c r="H20" i="25"/>
  <c r="I20" i="25" s="1"/>
  <c r="H18" i="64"/>
  <c r="I18" i="64" s="1"/>
  <c r="H20" i="169"/>
  <c r="I20" i="169" s="1"/>
  <c r="C16" i="173" l="1"/>
  <c r="D16" i="173" s="1"/>
  <c r="C16" i="81"/>
  <c r="D16" i="81" s="1"/>
  <c r="C16" i="79"/>
  <c r="D16" i="79" s="1"/>
  <c r="C20" i="79"/>
  <c r="D20" i="79" s="1"/>
  <c r="C20" i="173"/>
  <c r="D20" i="173" s="1"/>
  <c r="C20" i="81"/>
  <c r="D20" i="81" s="1"/>
  <c r="D23" i="81" l="1"/>
  <c r="D23" i="173"/>
  <c r="D23" i="79"/>
  <c r="C24" i="171" l="1"/>
  <c r="D24" i="171" s="1"/>
  <c r="C24" i="5"/>
  <c r="D24" i="5" s="1"/>
  <c r="C24" i="72"/>
  <c r="D24" i="72" s="1"/>
  <c r="C24" i="172"/>
  <c r="D24" i="172" s="1"/>
  <c r="C24" i="78"/>
  <c r="D24" i="78" s="1"/>
  <c r="C24" i="76"/>
  <c r="D24" i="76" s="1"/>
  <c r="C25" i="72"/>
  <c r="D25" i="72" s="1"/>
  <c r="H25" i="72" s="1"/>
  <c r="I25" i="72" s="1"/>
  <c r="C25" i="171"/>
  <c r="D25" i="171" s="1"/>
  <c r="H25" i="171" s="1"/>
  <c r="I25" i="171" s="1"/>
  <c r="C25" i="5"/>
  <c r="D25" i="5" s="1"/>
  <c r="H25" i="5" s="1"/>
  <c r="I25" i="5" s="1"/>
  <c r="C25" i="76"/>
  <c r="D25" i="76" s="1"/>
  <c r="H25" i="76" s="1"/>
  <c r="I25" i="76" s="1"/>
  <c r="C25" i="172"/>
  <c r="D25" i="172" s="1"/>
  <c r="H25" i="172" s="1"/>
  <c r="I25" i="172" s="1"/>
  <c r="C25" i="78"/>
  <c r="D25" i="78" s="1"/>
  <c r="H25" i="78" s="1"/>
  <c r="I25" i="78" s="1"/>
  <c r="C24" i="73"/>
  <c r="D24" i="73" s="1"/>
  <c r="C24" i="75"/>
  <c r="D24" i="75" s="1"/>
  <c r="C24" i="170"/>
  <c r="D24" i="170" s="1"/>
  <c r="C24" i="173"/>
  <c r="D24" i="173" s="1"/>
  <c r="C24" i="79"/>
  <c r="D24" i="79" s="1"/>
  <c r="C24" i="81"/>
  <c r="D24" i="81" s="1"/>
  <c r="C25" i="73"/>
  <c r="D25" i="73" s="1"/>
  <c r="H25" i="73" s="1"/>
  <c r="I25" i="73" s="1"/>
  <c r="C25" i="170"/>
  <c r="D25" i="170" s="1"/>
  <c r="H25" i="170" s="1"/>
  <c r="I25" i="170" s="1"/>
  <c r="C25" i="75"/>
  <c r="D25" i="75" s="1"/>
  <c r="H25" i="75" s="1"/>
  <c r="I25" i="75" s="1"/>
  <c r="C25" i="173"/>
  <c r="D25" i="173" s="1"/>
  <c r="H25" i="173" s="1"/>
  <c r="I25" i="173" s="1"/>
  <c r="C25" i="79"/>
  <c r="D25" i="79" s="1"/>
  <c r="H25" i="79" s="1"/>
  <c r="I25" i="79" s="1"/>
  <c r="C25" i="81"/>
  <c r="D25" i="81" s="1"/>
  <c r="H25" i="81" s="1"/>
  <c r="I25" i="81" s="1"/>
  <c r="H24" i="76" l="1"/>
  <c r="I24" i="76" s="1"/>
  <c r="D26" i="76"/>
  <c r="D26" i="72"/>
  <c r="H24" i="72"/>
  <c r="I24" i="72" s="1"/>
  <c r="D26" i="81"/>
  <c r="H24" i="81"/>
  <c r="I24" i="81" s="1"/>
  <c r="H24" i="170"/>
  <c r="I24" i="170" s="1"/>
  <c r="D26" i="170"/>
  <c r="H24" i="79"/>
  <c r="I24" i="79" s="1"/>
  <c r="D26" i="79"/>
  <c r="H24" i="75"/>
  <c r="I24" i="75" s="1"/>
  <c r="D26" i="75"/>
  <c r="H24" i="78"/>
  <c r="I24" i="78" s="1"/>
  <c r="D26" i="78"/>
  <c r="D26" i="5"/>
  <c r="H24" i="5"/>
  <c r="I24" i="5" s="1"/>
  <c r="D26" i="173"/>
  <c r="H24" i="173"/>
  <c r="I24" i="173" s="1"/>
  <c r="D26" i="73"/>
  <c r="H24" i="73"/>
  <c r="I24" i="73" s="1"/>
  <c r="D26" i="172"/>
  <c r="H24" i="172"/>
  <c r="I24" i="172" s="1"/>
  <c r="D26" i="171"/>
  <c r="H24" i="171"/>
  <c r="I24" i="171" s="1"/>
  <c r="H26" i="78" l="1"/>
  <c r="I26" i="78" s="1"/>
  <c r="D27" i="79"/>
  <c r="D34" i="79"/>
  <c r="D37" i="79" s="1"/>
  <c r="H26" i="79"/>
  <c r="I26" i="79" s="1"/>
  <c r="H26" i="76"/>
  <c r="I26" i="76" s="1"/>
  <c r="H26" i="172"/>
  <c r="I26" i="172" s="1"/>
  <c r="H26" i="173"/>
  <c r="I26" i="173" s="1"/>
  <c r="D34" i="173"/>
  <c r="D37" i="173" s="1"/>
  <c r="D27" i="173"/>
  <c r="D27" i="81"/>
  <c r="D34" i="81"/>
  <c r="D37" i="81" s="1"/>
  <c r="H26" i="81"/>
  <c r="I26" i="81" s="1"/>
  <c r="H26" i="75"/>
  <c r="I26" i="75" s="1"/>
  <c r="H26" i="170"/>
  <c r="I26" i="170" s="1"/>
  <c r="H26" i="171"/>
  <c r="I26" i="171" s="1"/>
  <c r="H26" i="73"/>
  <c r="I26" i="73" s="1"/>
  <c r="H26" i="5"/>
  <c r="I26" i="5" s="1"/>
  <c r="H26" i="72"/>
  <c r="I26" i="72" s="1"/>
  <c r="D35" i="173" l="1"/>
  <c r="D35" i="81"/>
  <c r="D35" i="79"/>
  <c r="D36" i="79" l="1"/>
  <c r="D36" i="81"/>
  <c r="D36" i="173"/>
  <c r="D38" i="79" l="1"/>
  <c r="E43" i="7" l="1"/>
  <c r="D38" i="81"/>
  <c r="D38" i="173"/>
  <c r="E44" i="7" l="1"/>
  <c r="E45" i="7"/>
  <c r="F16" i="172" l="1"/>
  <c r="G16" i="172" s="1"/>
  <c r="F16" i="78"/>
  <c r="G16" i="78" s="1"/>
  <c r="F16" i="76"/>
  <c r="G16" i="76" s="1"/>
  <c r="C16" i="172"/>
  <c r="D16" i="172" s="1"/>
  <c r="C16" i="76"/>
  <c r="D16" i="76" s="1"/>
  <c r="C16" i="78"/>
  <c r="D16" i="78" s="1"/>
  <c r="H16" i="76" l="1"/>
  <c r="I16" i="76" s="1"/>
  <c r="H16" i="78"/>
  <c r="I16" i="78" s="1"/>
  <c r="H16" i="172"/>
  <c r="I16" i="172" s="1"/>
  <c r="C16" i="222" l="1"/>
  <c r="D16" i="222" s="1"/>
  <c r="C16" i="223"/>
  <c r="D16" i="223" s="1"/>
  <c r="D23" i="223" s="1"/>
  <c r="C16" i="220"/>
  <c r="D16" i="220" s="1"/>
  <c r="C19" i="211"/>
  <c r="D19" i="211" s="1"/>
  <c r="C19" i="209"/>
  <c r="D19" i="209" s="1"/>
  <c r="C19" i="208"/>
  <c r="D19" i="208" s="1"/>
  <c r="C19" i="210"/>
  <c r="D19" i="210" s="1"/>
  <c r="C23" i="209"/>
  <c r="D23" i="209" s="1"/>
  <c r="C23" i="211"/>
  <c r="D23" i="211" s="1"/>
  <c r="C23" i="208"/>
  <c r="D23" i="208" s="1"/>
  <c r="C23" i="210"/>
  <c r="C16" i="219"/>
  <c r="D16" i="219" s="1"/>
  <c r="D23" i="219" s="1"/>
  <c r="C16" i="216"/>
  <c r="D16" i="216" s="1"/>
  <c r="C16" i="218"/>
  <c r="D16" i="218" s="1"/>
  <c r="D25" i="208" l="1"/>
  <c r="C19" i="168"/>
  <c r="D19" i="168" s="1"/>
  <c r="C19" i="56"/>
  <c r="D19" i="56" s="1"/>
  <c r="C19" i="54"/>
  <c r="D19" i="54" s="1"/>
  <c r="D25" i="209"/>
  <c r="C19" i="70"/>
  <c r="D19" i="70" s="1"/>
  <c r="C19" i="68"/>
  <c r="D19" i="68" s="1"/>
  <c r="C19" i="175"/>
  <c r="D19" i="175" s="1"/>
  <c r="D25" i="211"/>
  <c r="C15" i="68"/>
  <c r="D15" i="68" s="1"/>
  <c r="C15" i="175"/>
  <c r="D15" i="175" s="1"/>
  <c r="C15" i="70"/>
  <c r="D15" i="70" s="1"/>
  <c r="D22" i="70" l="1"/>
  <c r="D24" i="70" s="1"/>
  <c r="C23" i="54"/>
  <c r="D23" i="54" s="1"/>
  <c r="D25" i="54" s="1"/>
  <c r="C23" i="56"/>
  <c r="D23" i="56" s="1"/>
  <c r="D25" i="56" s="1"/>
  <c r="C23" i="168"/>
  <c r="D23" i="168" s="1"/>
  <c r="D25" i="168" s="1"/>
  <c r="D29" i="211"/>
  <c r="D30" i="211"/>
  <c r="D30" i="209"/>
  <c r="D29" i="209"/>
  <c r="D22" i="175"/>
  <c r="D24" i="175" s="1"/>
  <c r="D22" i="68"/>
  <c r="D24" i="68" s="1"/>
  <c r="C19" i="50"/>
  <c r="D19" i="50" s="1"/>
  <c r="C19" i="182"/>
  <c r="D19" i="182" s="1"/>
  <c r="C19" i="49"/>
  <c r="D19" i="49" s="1"/>
  <c r="C19" i="48"/>
  <c r="D19" i="48" s="1"/>
  <c r="D29" i="208"/>
  <c r="D30" i="208"/>
  <c r="C23" i="50" l="1"/>
  <c r="D23" i="50" s="1"/>
  <c r="D25" i="50" s="1"/>
  <c r="C23" i="182"/>
  <c r="D23" i="182" s="1"/>
  <c r="D25" i="182" s="1"/>
  <c r="C23" i="48"/>
  <c r="D23" i="48" s="1"/>
  <c r="D25" i="48" s="1"/>
  <c r="C23" i="49"/>
  <c r="D23" i="49" s="1"/>
  <c r="D25" i="49" s="1"/>
  <c r="D30" i="54"/>
  <c r="D29" i="54"/>
  <c r="D29" i="168"/>
  <c r="D30" i="168"/>
  <c r="D30" i="56"/>
  <c r="D29" i="56"/>
  <c r="C16" i="170" l="1"/>
  <c r="D16" i="170" s="1"/>
  <c r="C16" i="75"/>
  <c r="D16" i="75" s="1"/>
  <c r="D23" i="75" s="1"/>
  <c r="C16" i="73"/>
  <c r="D16" i="73" s="1"/>
  <c r="C19" i="215"/>
  <c r="D19" i="215" s="1"/>
  <c r="C19" i="213"/>
  <c r="D19" i="213" s="1"/>
  <c r="C19" i="214"/>
  <c r="D19" i="214" s="1"/>
  <c r="C19" i="212"/>
  <c r="D19" i="212" s="1"/>
  <c r="C19" i="183"/>
  <c r="D19" i="183" s="1"/>
  <c r="C19" i="61"/>
  <c r="D19" i="61" s="1"/>
  <c r="C19" i="62"/>
  <c r="D19" i="62" s="1"/>
  <c r="C19" i="60"/>
  <c r="D19" i="60" s="1"/>
  <c r="D29" i="48"/>
  <c r="D30" i="48"/>
  <c r="C23" i="213"/>
  <c r="D23" i="213" s="1"/>
  <c r="C23" i="215"/>
  <c r="D23" i="215" s="1"/>
  <c r="C23" i="212"/>
  <c r="D23" i="212" s="1"/>
  <c r="C23" i="214"/>
  <c r="D30" i="182"/>
  <c r="D29" i="182"/>
  <c r="C19" i="201"/>
  <c r="D19" i="201" s="1"/>
  <c r="C19" i="202"/>
  <c r="D19" i="202" s="1"/>
  <c r="C19" i="203"/>
  <c r="D19" i="203" s="1"/>
  <c r="C19" i="200"/>
  <c r="D19" i="200" s="1"/>
  <c r="D29" i="50"/>
  <c r="D30" i="50"/>
  <c r="C23" i="204"/>
  <c r="D23" i="204" s="1"/>
  <c r="C23" i="207"/>
  <c r="D23" i="207" s="1"/>
  <c r="C23" i="205"/>
  <c r="D23" i="205" s="1"/>
  <c r="C23" i="206"/>
  <c r="D29" i="49"/>
  <c r="D30" i="49"/>
  <c r="F23" i="4" l="1"/>
  <c r="G23" i="4" s="1"/>
  <c r="F23" i="180"/>
  <c r="G23" i="180" s="1"/>
  <c r="F23" i="46"/>
  <c r="G23" i="46" s="1"/>
  <c r="F23" i="47"/>
  <c r="G23" i="47" s="1"/>
  <c r="C16" i="5"/>
  <c r="D16" i="5" s="1"/>
  <c r="C16" i="171"/>
  <c r="D16" i="171" s="1"/>
  <c r="C16" i="72"/>
  <c r="D16" i="72" s="1"/>
  <c r="D23" i="72" s="1"/>
  <c r="C23" i="59"/>
  <c r="D23" i="59" s="1"/>
  <c r="C23" i="58"/>
  <c r="D23" i="58" s="1"/>
  <c r="C23" i="184"/>
  <c r="D23" i="184" s="1"/>
  <c r="C23" i="57"/>
  <c r="D23" i="57" s="1"/>
  <c r="C23" i="61"/>
  <c r="D23" i="61" s="1"/>
  <c r="D25" i="61" s="1"/>
  <c r="C23" i="60"/>
  <c r="D23" i="60" s="1"/>
  <c r="D25" i="60" s="1"/>
  <c r="C23" i="183"/>
  <c r="D23" i="183" s="1"/>
  <c r="D25" i="183" s="1"/>
  <c r="C23" i="62"/>
  <c r="D23" i="62" s="1"/>
  <c r="D25" i="62" s="1"/>
  <c r="C19" i="174"/>
  <c r="D19" i="174" s="1"/>
  <c r="C19" i="67"/>
  <c r="D19" i="67" s="1"/>
  <c r="C19" i="65"/>
  <c r="D19" i="65" s="1"/>
  <c r="C19" i="184"/>
  <c r="D19" i="184" s="1"/>
  <c r="C19" i="59"/>
  <c r="D19" i="59" s="1"/>
  <c r="C19" i="57"/>
  <c r="D19" i="57" s="1"/>
  <c r="C19" i="58"/>
  <c r="D19" i="58" s="1"/>
  <c r="D25" i="213"/>
  <c r="D34" i="75"/>
  <c r="D37" i="75" s="1"/>
  <c r="D27" i="75"/>
  <c r="C23" i="201"/>
  <c r="D23" i="201" s="1"/>
  <c r="D25" i="201" s="1"/>
  <c r="C23" i="203"/>
  <c r="D23" i="203" s="1"/>
  <c r="D25" i="203" s="1"/>
  <c r="C23" i="202"/>
  <c r="C23" i="200"/>
  <c r="D23" i="200" s="1"/>
  <c r="D25" i="200" s="1"/>
  <c r="C19" i="169"/>
  <c r="D19" i="169" s="1"/>
  <c r="C19" i="64"/>
  <c r="D19" i="64" s="1"/>
  <c r="C19" i="25"/>
  <c r="D19" i="25" s="1"/>
  <c r="C15" i="174"/>
  <c r="D15" i="174" s="1"/>
  <c r="C15" i="67"/>
  <c r="D15" i="67" s="1"/>
  <c r="C15" i="65"/>
  <c r="D15" i="65" s="1"/>
  <c r="F23" i="208"/>
  <c r="G23" i="208" s="1"/>
  <c r="F23" i="209"/>
  <c r="G23" i="209" s="1"/>
  <c r="F23" i="211"/>
  <c r="G23" i="211" s="1"/>
  <c r="F23" i="210"/>
  <c r="D25" i="215"/>
  <c r="C15" i="25"/>
  <c r="D15" i="25" s="1"/>
  <c r="C15" i="169"/>
  <c r="D15" i="169" s="1"/>
  <c r="C15" i="64"/>
  <c r="D15" i="64" s="1"/>
  <c r="C19" i="206"/>
  <c r="D19" i="206" s="1"/>
  <c r="C19" i="207"/>
  <c r="D19" i="207" s="1"/>
  <c r="D25" i="207" s="1"/>
  <c r="C19" i="205"/>
  <c r="D19" i="205" s="1"/>
  <c r="D25" i="205" s="1"/>
  <c r="C19" i="204"/>
  <c r="D19" i="204" s="1"/>
  <c r="D25" i="204" s="1"/>
  <c r="D25" i="212"/>
  <c r="D30" i="207" l="1"/>
  <c r="D29" i="207"/>
  <c r="D29" i="204"/>
  <c r="D30" i="204"/>
  <c r="D29" i="205"/>
  <c r="D30" i="205"/>
  <c r="D29" i="215"/>
  <c r="D30" i="215"/>
  <c r="H23" i="208"/>
  <c r="I23" i="208" s="1"/>
  <c r="D22" i="169"/>
  <c r="D24" i="169" s="1"/>
  <c r="D30" i="203"/>
  <c r="D29" i="203"/>
  <c r="D22" i="174"/>
  <c r="D24" i="174" s="1"/>
  <c r="D30" i="60"/>
  <c r="D29" i="60"/>
  <c r="C23" i="52"/>
  <c r="D23" i="52" s="1"/>
  <c r="C23" i="181"/>
  <c r="D23" i="181" s="1"/>
  <c r="C23" i="51"/>
  <c r="D23" i="51" s="1"/>
  <c r="C23" i="53"/>
  <c r="D23" i="53" s="1"/>
  <c r="D25" i="57"/>
  <c r="D27" i="72"/>
  <c r="D34" i="72"/>
  <c r="D37" i="72" s="1"/>
  <c r="C23" i="180"/>
  <c r="D23" i="180" s="1"/>
  <c r="H23" i="180" s="1"/>
  <c r="I23" i="180" s="1"/>
  <c r="C23" i="4"/>
  <c r="D23" i="4" s="1"/>
  <c r="H23" i="4" s="1"/>
  <c r="I23" i="4" s="1"/>
  <c r="C23" i="46"/>
  <c r="D23" i="46" s="1"/>
  <c r="H23" i="46" s="1"/>
  <c r="I23" i="46" s="1"/>
  <c r="C23" i="47"/>
  <c r="D23" i="47" s="1"/>
  <c r="H23" i="47" s="1"/>
  <c r="I23" i="47" s="1"/>
  <c r="D30" i="201"/>
  <c r="D29" i="201"/>
  <c r="D22" i="65"/>
  <c r="D24" i="65" s="1"/>
  <c r="C19" i="47"/>
  <c r="D19" i="47" s="1"/>
  <c r="C19" i="180"/>
  <c r="D19" i="180" s="1"/>
  <c r="C19" i="46"/>
  <c r="D19" i="46" s="1"/>
  <c r="C19" i="4"/>
  <c r="D19" i="4" s="1"/>
  <c r="D30" i="61"/>
  <c r="D29" i="61"/>
  <c r="D25" i="184"/>
  <c r="D30" i="212"/>
  <c r="D29" i="212"/>
  <c r="H23" i="211"/>
  <c r="I23" i="211" s="1"/>
  <c r="D22" i="25"/>
  <c r="D24" i="25" s="1"/>
  <c r="D29" i="200"/>
  <c r="D30" i="200"/>
  <c r="D29" i="62"/>
  <c r="D30" i="62"/>
  <c r="D25" i="58"/>
  <c r="H23" i="209"/>
  <c r="I23" i="209" s="1"/>
  <c r="D22" i="64"/>
  <c r="D24" i="64" s="1"/>
  <c r="D35" i="75"/>
  <c r="D36" i="75" s="1"/>
  <c r="D29" i="213"/>
  <c r="D30" i="213"/>
  <c r="D22" i="67"/>
  <c r="D24" i="67" s="1"/>
  <c r="D29" i="183"/>
  <c r="D30" i="183"/>
  <c r="D25" i="59"/>
  <c r="D25" i="4" l="1"/>
  <c r="D25" i="180"/>
  <c r="D25" i="47"/>
  <c r="D25" i="46"/>
  <c r="D29" i="46" s="1"/>
  <c r="D38" i="75"/>
  <c r="E30" i="7" s="1"/>
  <c r="D29" i="59"/>
  <c r="D30" i="59"/>
  <c r="D30" i="58"/>
  <c r="D29" i="58"/>
  <c r="D29" i="184"/>
  <c r="D30" i="184"/>
  <c r="D35" i="72"/>
  <c r="D30" i="57"/>
  <c r="D29" i="57"/>
  <c r="D29" i="4" l="1"/>
  <c r="D30" i="4"/>
  <c r="D30" i="180"/>
  <c r="D30" i="46"/>
  <c r="D29" i="180"/>
  <c r="D29" i="47"/>
  <c r="D30" i="47"/>
  <c r="D36" i="72"/>
  <c r="D38" i="72" l="1"/>
  <c r="E27" i="7" s="1"/>
  <c r="F23" i="214" l="1"/>
  <c r="F23" i="212"/>
  <c r="G23" i="212" s="1"/>
  <c r="F23" i="213"/>
  <c r="G23" i="213" s="1"/>
  <c r="F23" i="215"/>
  <c r="G23" i="215" s="1"/>
  <c r="H23" i="215" l="1"/>
  <c r="I23" i="215" s="1"/>
  <c r="H23" i="213"/>
  <c r="I23" i="213" s="1"/>
  <c r="H23" i="212"/>
  <c r="I23" i="212" s="1"/>
  <c r="F20" i="218" l="1"/>
  <c r="G20" i="218" s="1"/>
  <c r="F20" i="216"/>
  <c r="G20" i="216" s="1"/>
  <c r="F20" i="220"/>
  <c r="G20" i="220" s="1"/>
  <c r="F20" i="222"/>
  <c r="G20" i="222" s="1"/>
  <c r="C19" i="53" l="1"/>
  <c r="D19" i="53" s="1"/>
  <c r="C19" i="51"/>
  <c r="D19" i="51" s="1"/>
  <c r="C19" i="52"/>
  <c r="D19" i="52" s="1"/>
  <c r="C19" i="181"/>
  <c r="D19" i="181" s="1"/>
  <c r="C20" i="170"/>
  <c r="D20" i="170" s="1"/>
  <c r="C20" i="73"/>
  <c r="D20" i="73" s="1"/>
  <c r="C20" i="76"/>
  <c r="D20" i="76" s="1"/>
  <c r="C20" i="78"/>
  <c r="D20" i="78" s="1"/>
  <c r="C20" i="172"/>
  <c r="D20" i="172" s="1"/>
  <c r="D23" i="73" l="1"/>
  <c r="D23" i="172"/>
  <c r="D23" i="170"/>
  <c r="D25" i="53"/>
  <c r="D23" i="78"/>
  <c r="D25" i="181"/>
  <c r="D23" i="76"/>
  <c r="D25" i="52"/>
  <c r="D25" i="51"/>
  <c r="D29" i="51" l="1"/>
  <c r="D30" i="51"/>
  <c r="D34" i="78"/>
  <c r="D27" i="78"/>
  <c r="D27" i="170"/>
  <c r="D34" i="170"/>
  <c r="D30" i="52"/>
  <c r="D29" i="52"/>
  <c r="D30" i="181"/>
  <c r="D29" i="181"/>
  <c r="D30" i="53"/>
  <c r="D29" i="53"/>
  <c r="D27" i="172"/>
  <c r="D34" i="172"/>
  <c r="D34" i="76"/>
  <c r="D27" i="76"/>
  <c r="D27" i="73"/>
  <c r="D34" i="73"/>
  <c r="D37" i="73" l="1"/>
  <c r="D35" i="73"/>
  <c r="D37" i="170"/>
  <c r="D35" i="170"/>
  <c r="D37" i="172"/>
  <c r="D35" i="172"/>
  <c r="D37" i="76"/>
  <c r="D35" i="76"/>
  <c r="D37" i="78"/>
  <c r="D35" i="78"/>
  <c r="D36" i="78" l="1"/>
  <c r="D36" i="76"/>
  <c r="D36" i="172"/>
  <c r="D36" i="73"/>
  <c r="D36" i="170"/>
  <c r="D38" i="78" l="1"/>
  <c r="E42" i="7" s="1"/>
  <c r="D38" i="73"/>
  <c r="D38" i="76"/>
  <c r="D38" i="170"/>
  <c r="D38" i="172"/>
  <c r="E41" i="7" l="1"/>
  <c r="E40" i="7"/>
  <c r="E29" i="7"/>
  <c r="E28" i="7"/>
  <c r="C31" i="46" l="1"/>
  <c r="D31" i="46" s="1"/>
  <c r="C31" i="47"/>
  <c r="D31" i="47" s="1"/>
  <c r="C31" i="4"/>
  <c r="D31" i="4" s="1"/>
  <c r="C31" i="180"/>
  <c r="D31" i="180" s="1"/>
  <c r="C31" i="184"/>
  <c r="D31" i="184" s="1"/>
  <c r="C31" i="58"/>
  <c r="D31" i="58" s="1"/>
  <c r="C31" i="57"/>
  <c r="D31" i="57" s="1"/>
  <c r="C31" i="59"/>
  <c r="D31" i="59" s="1"/>
  <c r="C25" i="175"/>
  <c r="D25" i="175" s="1"/>
  <c r="C25" i="70"/>
  <c r="D25" i="70" s="1"/>
  <c r="C25" i="68"/>
  <c r="D25" i="68" s="1"/>
  <c r="C31" i="208"/>
  <c r="D31" i="208" s="1"/>
  <c r="C31" i="211"/>
  <c r="D31" i="211" s="1"/>
  <c r="C31" i="209"/>
  <c r="D31" i="209" s="1"/>
  <c r="C31" i="210"/>
  <c r="C31" i="206"/>
  <c r="C31" i="205"/>
  <c r="D31" i="205" s="1"/>
  <c r="C31" i="204"/>
  <c r="D31" i="204" s="1"/>
  <c r="C31" i="207"/>
  <c r="D31" i="207" s="1"/>
  <c r="C24" i="220"/>
  <c r="D24" i="220" s="1"/>
  <c r="C24" i="222"/>
  <c r="D24" i="222" s="1"/>
  <c r="C24" i="223"/>
  <c r="D24" i="223" s="1"/>
  <c r="C32" i="47"/>
  <c r="D32" i="47" s="1"/>
  <c r="H32" i="47" s="1"/>
  <c r="I32" i="47" s="1"/>
  <c r="C32" i="46"/>
  <c r="D32" i="46" s="1"/>
  <c r="H32" i="46" s="1"/>
  <c r="I32" i="46" s="1"/>
  <c r="C32" i="4"/>
  <c r="D32" i="4" s="1"/>
  <c r="H32" i="4" s="1"/>
  <c r="I32" i="4" s="1"/>
  <c r="C32" i="180"/>
  <c r="D32" i="180" s="1"/>
  <c r="H32" i="180" s="1"/>
  <c r="I32" i="180" s="1"/>
  <c r="C32" i="53"/>
  <c r="D32" i="53" s="1"/>
  <c r="H32" i="53" s="1"/>
  <c r="I32" i="53" s="1"/>
  <c r="C32" i="181"/>
  <c r="D32" i="181" s="1"/>
  <c r="H32" i="181" s="1"/>
  <c r="I32" i="181" s="1"/>
  <c r="C32" i="52"/>
  <c r="D32" i="52" s="1"/>
  <c r="H32" i="52" s="1"/>
  <c r="I32" i="52" s="1"/>
  <c r="C32" i="51"/>
  <c r="D32" i="51" s="1"/>
  <c r="H32" i="51" s="1"/>
  <c r="I32" i="51" s="1"/>
  <c r="C32" i="184"/>
  <c r="D32" i="184" s="1"/>
  <c r="H32" i="184" s="1"/>
  <c r="I32" i="184" s="1"/>
  <c r="C32" i="58"/>
  <c r="D32" i="58" s="1"/>
  <c r="H32" i="58" s="1"/>
  <c r="I32" i="58" s="1"/>
  <c r="C32" i="59"/>
  <c r="D32" i="59" s="1"/>
  <c r="H32" i="59" s="1"/>
  <c r="I32" i="59" s="1"/>
  <c r="C32" i="57"/>
  <c r="D32" i="57" s="1"/>
  <c r="H32" i="57" s="1"/>
  <c r="I32" i="57" s="1"/>
  <c r="C26" i="70"/>
  <c r="D26" i="70" s="1"/>
  <c r="H26" i="70" s="1"/>
  <c r="I26" i="70" s="1"/>
  <c r="C26" i="175"/>
  <c r="D26" i="175" s="1"/>
  <c r="H26" i="175" s="1"/>
  <c r="I26" i="175" s="1"/>
  <c r="C26" i="68"/>
  <c r="D26" i="68" s="1"/>
  <c r="H26" i="68" s="1"/>
  <c r="I26" i="68" s="1"/>
  <c r="C32" i="210"/>
  <c r="C32" i="211"/>
  <c r="D32" i="211" s="1"/>
  <c r="H32" i="211" s="1"/>
  <c r="I32" i="211" s="1"/>
  <c r="C32" i="208"/>
  <c r="D32" i="208" s="1"/>
  <c r="H32" i="208" s="1"/>
  <c r="I32" i="208" s="1"/>
  <c r="C32" i="209"/>
  <c r="D32" i="209" s="1"/>
  <c r="H32" i="209" s="1"/>
  <c r="I32" i="209" s="1"/>
  <c r="C32" i="206"/>
  <c r="C32" i="204"/>
  <c r="D32" i="204" s="1"/>
  <c r="H32" i="204" s="1"/>
  <c r="I32" i="204" s="1"/>
  <c r="C32" i="205"/>
  <c r="D32" i="205" s="1"/>
  <c r="H32" i="205" s="1"/>
  <c r="I32" i="205" s="1"/>
  <c r="C32" i="207"/>
  <c r="D32" i="207" s="1"/>
  <c r="H32" i="207" s="1"/>
  <c r="I32" i="207" s="1"/>
  <c r="C25" i="222"/>
  <c r="D25" i="222" s="1"/>
  <c r="H25" i="222" s="1"/>
  <c r="I25" i="222" s="1"/>
  <c r="C25" i="223"/>
  <c r="D25" i="223" s="1"/>
  <c r="H25" i="223" s="1"/>
  <c r="I25" i="223" s="1"/>
  <c r="C25" i="220"/>
  <c r="D25" i="220" s="1"/>
  <c r="H25" i="220" s="1"/>
  <c r="I25" i="220" s="1"/>
  <c r="C31" i="53"/>
  <c r="D31" i="53" s="1"/>
  <c r="C31" i="51"/>
  <c r="D31" i="51" s="1"/>
  <c r="C31" i="52"/>
  <c r="D31" i="52" s="1"/>
  <c r="C31" i="181"/>
  <c r="D31" i="181" s="1"/>
  <c r="C31" i="48"/>
  <c r="D31" i="48" s="1"/>
  <c r="C31" i="50"/>
  <c r="D31" i="50" s="1"/>
  <c r="C31" i="182"/>
  <c r="D31" i="182" s="1"/>
  <c r="C31" i="49"/>
  <c r="D31" i="49" s="1"/>
  <c r="C31" i="56"/>
  <c r="D31" i="56" s="1"/>
  <c r="C31" i="54"/>
  <c r="D31" i="54" s="1"/>
  <c r="C31" i="168"/>
  <c r="D31" i="168" s="1"/>
  <c r="C31" i="60"/>
  <c r="D31" i="60" s="1"/>
  <c r="C31" i="183"/>
  <c r="D31" i="183" s="1"/>
  <c r="C31" i="61"/>
  <c r="D31" i="61" s="1"/>
  <c r="C31" i="62"/>
  <c r="D31" i="62" s="1"/>
  <c r="C31" i="202"/>
  <c r="C31" i="200"/>
  <c r="D31" i="200" s="1"/>
  <c r="C31" i="201"/>
  <c r="D31" i="201" s="1"/>
  <c r="C31" i="203"/>
  <c r="D31" i="203" s="1"/>
  <c r="C24" i="219"/>
  <c r="D24" i="219" s="1"/>
  <c r="C24" i="218"/>
  <c r="D24" i="218" s="1"/>
  <c r="C24" i="216"/>
  <c r="D24" i="216" s="1"/>
  <c r="C31" i="212"/>
  <c r="D31" i="212" s="1"/>
  <c r="C31" i="215"/>
  <c r="D31" i="215" s="1"/>
  <c r="C31" i="214"/>
  <c r="C31" i="213"/>
  <c r="D31" i="213" s="1"/>
  <c r="C25" i="25"/>
  <c r="D25" i="25" s="1"/>
  <c r="C25" i="64"/>
  <c r="D25" i="64" s="1"/>
  <c r="C25" i="169"/>
  <c r="D25" i="169" s="1"/>
  <c r="C32" i="49"/>
  <c r="D32" i="49" s="1"/>
  <c r="H32" i="49" s="1"/>
  <c r="I32" i="49" s="1"/>
  <c r="C32" i="182"/>
  <c r="D32" i="182" s="1"/>
  <c r="H32" i="182" s="1"/>
  <c r="I32" i="182" s="1"/>
  <c r="C32" i="48"/>
  <c r="D32" i="48" s="1"/>
  <c r="H32" i="48" s="1"/>
  <c r="I32" i="48" s="1"/>
  <c r="C32" i="50"/>
  <c r="D32" i="50" s="1"/>
  <c r="H32" i="50" s="1"/>
  <c r="I32" i="50" s="1"/>
  <c r="C32" i="54"/>
  <c r="D32" i="54" s="1"/>
  <c r="H32" i="54" s="1"/>
  <c r="I32" i="54" s="1"/>
  <c r="C32" i="168"/>
  <c r="D32" i="168" s="1"/>
  <c r="H32" i="168" s="1"/>
  <c r="I32" i="168" s="1"/>
  <c r="C32" i="56"/>
  <c r="D32" i="56" s="1"/>
  <c r="H32" i="56" s="1"/>
  <c r="I32" i="56" s="1"/>
  <c r="C32" i="60"/>
  <c r="D32" i="60" s="1"/>
  <c r="H32" i="60" s="1"/>
  <c r="I32" i="60" s="1"/>
  <c r="C32" i="183"/>
  <c r="D32" i="183" s="1"/>
  <c r="H32" i="183" s="1"/>
  <c r="I32" i="183" s="1"/>
  <c r="C32" i="62"/>
  <c r="D32" i="62" s="1"/>
  <c r="H32" i="62" s="1"/>
  <c r="I32" i="62" s="1"/>
  <c r="C32" i="61"/>
  <c r="D32" i="61" s="1"/>
  <c r="H32" i="61" s="1"/>
  <c r="I32" i="61" s="1"/>
  <c r="C32" i="201"/>
  <c r="D32" i="201" s="1"/>
  <c r="H32" i="201" s="1"/>
  <c r="I32" i="201" s="1"/>
  <c r="C32" i="200"/>
  <c r="D32" i="200" s="1"/>
  <c r="H32" i="200" s="1"/>
  <c r="I32" i="200" s="1"/>
  <c r="C32" i="203"/>
  <c r="D32" i="203" s="1"/>
  <c r="H32" i="203" s="1"/>
  <c r="I32" i="203" s="1"/>
  <c r="C32" i="202"/>
  <c r="C25" i="216"/>
  <c r="D25" i="216" s="1"/>
  <c r="H25" i="216" s="1"/>
  <c r="I25" i="216" s="1"/>
  <c r="C25" i="219"/>
  <c r="D25" i="219" s="1"/>
  <c r="H25" i="219" s="1"/>
  <c r="I25" i="219" s="1"/>
  <c r="C25" i="218"/>
  <c r="D25" i="218" s="1"/>
  <c r="H25" i="218" s="1"/>
  <c r="I25" i="218" s="1"/>
  <c r="C32" i="215"/>
  <c r="D32" i="215" s="1"/>
  <c r="H32" i="215" s="1"/>
  <c r="I32" i="215" s="1"/>
  <c r="C32" i="214"/>
  <c r="C32" i="213"/>
  <c r="D32" i="213" s="1"/>
  <c r="H32" i="213" s="1"/>
  <c r="I32" i="213" s="1"/>
  <c r="C32" i="212"/>
  <c r="D32" i="212" s="1"/>
  <c r="H32" i="212" s="1"/>
  <c r="I32" i="212" s="1"/>
  <c r="C26" i="169"/>
  <c r="D26" i="169" s="1"/>
  <c r="H26" i="169" s="1"/>
  <c r="I26" i="169" s="1"/>
  <c r="C26" i="25"/>
  <c r="D26" i="25" s="1"/>
  <c r="H26" i="25" s="1"/>
  <c r="I26" i="25" s="1"/>
  <c r="C26" i="64"/>
  <c r="D26" i="64" s="1"/>
  <c r="H26" i="64" s="1"/>
  <c r="I26" i="64" s="1"/>
  <c r="D33" i="200" l="1"/>
  <c r="H31" i="200"/>
  <c r="I31" i="200" s="1"/>
  <c r="D27" i="25"/>
  <c r="H25" i="25"/>
  <c r="I25" i="25" s="1"/>
  <c r="D33" i="212"/>
  <c r="H31" i="212"/>
  <c r="I31" i="212" s="1"/>
  <c r="H31" i="203"/>
  <c r="I31" i="203" s="1"/>
  <c r="D33" i="203"/>
  <c r="D33" i="62"/>
  <c r="H31" i="62"/>
  <c r="I31" i="62" s="1"/>
  <c r="D33" i="168"/>
  <c r="H31" i="168"/>
  <c r="I31" i="168" s="1"/>
  <c r="D33" i="49"/>
  <c r="H31" i="49"/>
  <c r="I31" i="49" s="1"/>
  <c r="H31" i="181"/>
  <c r="I31" i="181" s="1"/>
  <c r="D33" i="181"/>
  <c r="D26" i="220"/>
  <c r="H26" i="220" s="1"/>
  <c r="I26" i="220" s="1"/>
  <c r="H24" i="220"/>
  <c r="I24" i="220" s="1"/>
  <c r="H31" i="208"/>
  <c r="I31" i="208" s="1"/>
  <c r="D33" i="208"/>
  <c r="D33" i="59"/>
  <c r="H31" i="59"/>
  <c r="I31" i="59" s="1"/>
  <c r="D33" i="180"/>
  <c r="H31" i="180"/>
  <c r="I31" i="180" s="1"/>
  <c r="H31" i="213"/>
  <c r="I31" i="213" s="1"/>
  <c r="D33" i="213"/>
  <c r="D26" i="216"/>
  <c r="H26" i="216" s="1"/>
  <c r="I26" i="216" s="1"/>
  <c r="H24" i="216"/>
  <c r="I24" i="216" s="1"/>
  <c r="H31" i="201"/>
  <c r="I31" i="201" s="1"/>
  <c r="D33" i="201"/>
  <c r="H31" i="61"/>
  <c r="I31" i="61" s="1"/>
  <c r="D33" i="61"/>
  <c r="D33" i="54"/>
  <c r="H31" i="54"/>
  <c r="I31" i="54" s="1"/>
  <c r="D33" i="182"/>
  <c r="H31" i="182"/>
  <c r="I31" i="182" s="1"/>
  <c r="D33" i="52"/>
  <c r="H31" i="52"/>
  <c r="I31" i="52" s="1"/>
  <c r="D33" i="207"/>
  <c r="H31" i="207"/>
  <c r="I31" i="207" s="1"/>
  <c r="D27" i="68"/>
  <c r="H25" i="68"/>
  <c r="I25" i="68" s="1"/>
  <c r="D33" i="57"/>
  <c r="H31" i="57"/>
  <c r="I31" i="57" s="1"/>
  <c r="H31" i="4"/>
  <c r="I31" i="4" s="1"/>
  <c r="D33" i="4"/>
  <c r="D27" i="169"/>
  <c r="H25" i="169"/>
  <c r="I25" i="169" s="1"/>
  <c r="D26" i="218"/>
  <c r="H26" i="218" s="1"/>
  <c r="I26" i="218" s="1"/>
  <c r="H24" i="218"/>
  <c r="I24" i="218" s="1"/>
  <c r="D33" i="183"/>
  <c r="H31" i="183"/>
  <c r="I31" i="183" s="1"/>
  <c r="H31" i="56"/>
  <c r="I31" i="56" s="1"/>
  <c r="D33" i="56"/>
  <c r="H31" i="50"/>
  <c r="I31" i="50" s="1"/>
  <c r="D33" i="50"/>
  <c r="D33" i="51"/>
  <c r="H31" i="51"/>
  <c r="I31" i="51" s="1"/>
  <c r="H24" i="223"/>
  <c r="I24" i="223" s="1"/>
  <c r="D26" i="223"/>
  <c r="H31" i="204"/>
  <c r="I31" i="204" s="1"/>
  <c r="D33" i="204"/>
  <c r="H31" i="209"/>
  <c r="I31" i="209" s="1"/>
  <c r="D33" i="209"/>
  <c r="D27" i="70"/>
  <c r="H25" i="70"/>
  <c r="I25" i="70" s="1"/>
  <c r="D33" i="58"/>
  <c r="H31" i="58"/>
  <c r="I31" i="58" s="1"/>
  <c r="D33" i="47"/>
  <c r="H31" i="47"/>
  <c r="I31" i="47" s="1"/>
  <c r="D27" i="64"/>
  <c r="H25" i="64"/>
  <c r="I25" i="64" s="1"/>
  <c r="D33" i="215"/>
  <c r="H31" i="215"/>
  <c r="I31" i="215" s="1"/>
  <c r="D26" i="219"/>
  <c r="H24" i="219"/>
  <c r="I24" i="219" s="1"/>
  <c r="D33" i="60"/>
  <c r="H31" i="60"/>
  <c r="I31" i="60" s="1"/>
  <c r="D33" i="48"/>
  <c r="H31" i="48"/>
  <c r="I31" i="48" s="1"/>
  <c r="D33" i="53"/>
  <c r="H31" i="53"/>
  <c r="I31" i="53" s="1"/>
  <c r="D26" i="222"/>
  <c r="H26" i="222" s="1"/>
  <c r="I26" i="222" s="1"/>
  <c r="H24" i="222"/>
  <c r="I24" i="222" s="1"/>
  <c r="H31" i="205"/>
  <c r="I31" i="205" s="1"/>
  <c r="D33" i="205"/>
  <c r="H31" i="211"/>
  <c r="I31" i="211" s="1"/>
  <c r="D33" i="211"/>
  <c r="H25" i="175"/>
  <c r="I25" i="175" s="1"/>
  <c r="D27" i="175"/>
  <c r="H31" i="184"/>
  <c r="I31" i="184" s="1"/>
  <c r="D33" i="184"/>
  <c r="D33" i="46"/>
  <c r="H31" i="46"/>
  <c r="I31" i="46" s="1"/>
  <c r="H33" i="204" l="1"/>
  <c r="I33" i="204" s="1"/>
  <c r="D47" i="204"/>
  <c r="D42" i="204"/>
  <c r="D35" i="204"/>
  <c r="D34" i="204"/>
  <c r="H33" i="56"/>
  <c r="I33" i="56" s="1"/>
  <c r="D47" i="56"/>
  <c r="D42" i="56"/>
  <c r="D34" i="56"/>
  <c r="D35" i="56"/>
  <c r="H33" i="46"/>
  <c r="I33" i="46" s="1"/>
  <c r="D42" i="46"/>
  <c r="D34" i="46"/>
  <c r="D47" i="46"/>
  <c r="D35" i="46"/>
  <c r="H33" i="53"/>
  <c r="I33" i="53" s="1"/>
  <c r="D42" i="53"/>
  <c r="D47" i="53"/>
  <c r="D34" i="53"/>
  <c r="D35" i="53"/>
  <c r="H33" i="47"/>
  <c r="I33" i="47" s="1"/>
  <c r="D42" i="47"/>
  <c r="D47" i="47"/>
  <c r="D35" i="47"/>
  <c r="D34" i="47"/>
  <c r="H27" i="70"/>
  <c r="I27" i="70" s="1"/>
  <c r="D35" i="70"/>
  <c r="D28" i="70"/>
  <c r="H33" i="207"/>
  <c r="I33" i="207" s="1"/>
  <c r="D47" i="207"/>
  <c r="D42" i="207"/>
  <c r="D35" i="207"/>
  <c r="D34" i="207"/>
  <c r="H33" i="200"/>
  <c r="I33" i="200" s="1"/>
  <c r="D47" i="200"/>
  <c r="D42" i="200"/>
  <c r="D35" i="200"/>
  <c r="D34" i="200"/>
  <c r="H33" i="184"/>
  <c r="I33" i="184" s="1"/>
  <c r="D47" i="184"/>
  <c r="D42" i="184"/>
  <c r="D35" i="184"/>
  <c r="D34" i="184"/>
  <c r="H33" i="211"/>
  <c r="I33" i="211" s="1"/>
  <c r="D47" i="211"/>
  <c r="D42" i="211"/>
  <c r="D34" i="211"/>
  <c r="D35" i="211"/>
  <c r="H33" i="209"/>
  <c r="I33" i="209" s="1"/>
  <c r="D47" i="209"/>
  <c r="D42" i="209"/>
  <c r="D35" i="209"/>
  <c r="D34" i="209"/>
  <c r="H26" i="223"/>
  <c r="I26" i="223" s="1"/>
  <c r="D27" i="223"/>
  <c r="D34" i="223"/>
  <c r="H33" i="50"/>
  <c r="I33" i="50" s="1"/>
  <c r="D42" i="50"/>
  <c r="D47" i="50"/>
  <c r="D34" i="50"/>
  <c r="D35" i="50"/>
  <c r="H33" i="201"/>
  <c r="I33" i="201" s="1"/>
  <c r="D47" i="201"/>
  <c r="D42" i="201"/>
  <c r="D34" i="201"/>
  <c r="D35" i="201"/>
  <c r="H33" i="213"/>
  <c r="I33" i="213" s="1"/>
  <c r="D47" i="213"/>
  <c r="D42" i="213"/>
  <c r="D35" i="213"/>
  <c r="D34" i="213"/>
  <c r="H33" i="181"/>
  <c r="I33" i="181" s="1"/>
  <c r="D42" i="181"/>
  <c r="D47" i="181"/>
  <c r="D34" i="181"/>
  <c r="D35" i="181"/>
  <c r="H33" i="203"/>
  <c r="I33" i="203" s="1"/>
  <c r="D47" i="203"/>
  <c r="D42" i="203"/>
  <c r="D35" i="203"/>
  <c r="D34" i="203"/>
  <c r="H27" i="175"/>
  <c r="I27" i="175" s="1"/>
  <c r="D28" i="175"/>
  <c r="D35" i="175"/>
  <c r="H33" i="205"/>
  <c r="I33" i="205" s="1"/>
  <c r="D42" i="205"/>
  <c r="D47" i="205"/>
  <c r="D35" i="205"/>
  <c r="D34" i="205"/>
  <c r="H33" i="4"/>
  <c r="I33" i="4" s="1"/>
  <c r="D42" i="4"/>
  <c r="D47" i="4"/>
  <c r="D35" i="4"/>
  <c r="D34" i="4"/>
  <c r="H33" i="61"/>
  <c r="I33" i="61" s="1"/>
  <c r="D42" i="61"/>
  <c r="D47" i="61"/>
  <c r="D35" i="61"/>
  <c r="D34" i="61"/>
  <c r="H33" i="208"/>
  <c r="I33" i="208" s="1"/>
  <c r="D42" i="208"/>
  <c r="D47" i="208"/>
  <c r="D35" i="208"/>
  <c r="D34" i="208"/>
  <c r="H33" i="215"/>
  <c r="I33" i="215" s="1"/>
  <c r="D42" i="215"/>
  <c r="D47" i="215"/>
  <c r="D34" i="215"/>
  <c r="D35" i="215"/>
  <c r="H33" i="51"/>
  <c r="I33" i="51" s="1"/>
  <c r="D42" i="51"/>
  <c r="D47" i="51"/>
  <c r="D35" i="51"/>
  <c r="D34" i="51"/>
  <c r="H27" i="68"/>
  <c r="I27" i="68" s="1"/>
  <c r="D35" i="68"/>
  <c r="D28" i="68"/>
  <c r="H33" i="182"/>
  <c r="I33" i="182" s="1"/>
  <c r="D47" i="182"/>
  <c r="D42" i="182"/>
  <c r="D35" i="182"/>
  <c r="D34" i="182"/>
  <c r="H33" i="180"/>
  <c r="I33" i="180" s="1"/>
  <c r="D47" i="180"/>
  <c r="D42" i="180"/>
  <c r="D34" i="180"/>
  <c r="D35" i="180"/>
  <c r="H33" i="49"/>
  <c r="I33" i="49" s="1"/>
  <c r="D47" i="49"/>
  <c r="D42" i="49"/>
  <c r="D34" i="49"/>
  <c r="D35" i="49"/>
  <c r="H33" i="62"/>
  <c r="I33" i="62" s="1"/>
  <c r="D47" i="62"/>
  <c r="D42" i="62"/>
  <c r="D34" i="62"/>
  <c r="D35" i="62"/>
  <c r="H33" i="212"/>
  <c r="I33" i="212" s="1"/>
  <c r="D47" i="212"/>
  <c r="D42" i="212"/>
  <c r="D35" i="212"/>
  <c r="D34" i="212"/>
  <c r="H33" i="48"/>
  <c r="I33" i="48" s="1"/>
  <c r="D47" i="48"/>
  <c r="D42" i="48"/>
  <c r="D34" i="48"/>
  <c r="D35" i="48"/>
  <c r="H33" i="60"/>
  <c r="I33" i="60" s="1"/>
  <c r="D42" i="60"/>
  <c r="D47" i="60"/>
  <c r="D34" i="60"/>
  <c r="D35" i="60"/>
  <c r="H26" i="219"/>
  <c r="I26" i="219" s="1"/>
  <c r="D34" i="219"/>
  <c r="D27" i="219"/>
  <c r="H27" i="64"/>
  <c r="I27" i="64" s="1"/>
  <c r="D35" i="64"/>
  <c r="D28" i="64"/>
  <c r="H33" i="58"/>
  <c r="I33" i="58" s="1"/>
  <c r="D42" i="58"/>
  <c r="D47" i="58"/>
  <c r="D34" i="58"/>
  <c r="D35" i="58"/>
  <c r="H33" i="183"/>
  <c r="I33" i="183" s="1"/>
  <c r="D47" i="183"/>
  <c r="D42" i="183"/>
  <c r="D35" i="183"/>
  <c r="D34" i="183"/>
  <c r="H27" i="169"/>
  <c r="I27" i="169" s="1"/>
  <c r="D35" i="169"/>
  <c r="D28" i="169"/>
  <c r="H33" i="57"/>
  <c r="I33" i="57" s="1"/>
  <c r="D42" i="57"/>
  <c r="D47" i="57"/>
  <c r="D34" i="57"/>
  <c r="D35" i="57"/>
  <c r="H33" i="52"/>
  <c r="I33" i="52" s="1"/>
  <c r="D47" i="52"/>
  <c r="D42" i="52"/>
  <c r="D35" i="52"/>
  <c r="D34" i="52"/>
  <c r="H33" i="54"/>
  <c r="I33" i="54" s="1"/>
  <c r="D47" i="54"/>
  <c r="D42" i="54"/>
  <c r="D34" i="54"/>
  <c r="D35" i="54"/>
  <c r="H33" i="59"/>
  <c r="I33" i="59" s="1"/>
  <c r="D47" i="59"/>
  <c r="D42" i="59"/>
  <c r="D34" i="59"/>
  <c r="D35" i="59"/>
  <c r="H33" i="168"/>
  <c r="I33" i="168" s="1"/>
  <c r="D47" i="168"/>
  <c r="D42" i="168"/>
  <c r="D35" i="168"/>
  <c r="D34" i="168"/>
  <c r="H27" i="25"/>
  <c r="I27" i="25" s="1"/>
  <c r="D28" i="25"/>
  <c r="D35" i="25"/>
  <c r="D50" i="59" l="1"/>
  <c r="D48" i="59"/>
  <c r="D50" i="58"/>
  <c r="D48" i="58"/>
  <c r="D45" i="48"/>
  <c r="D43" i="48"/>
  <c r="D45" i="180"/>
  <c r="D43" i="180"/>
  <c r="D50" i="61"/>
  <c r="D48" i="61"/>
  <c r="D45" i="181"/>
  <c r="D43" i="181"/>
  <c r="D45" i="50"/>
  <c r="D43" i="50"/>
  <c r="D50" i="209"/>
  <c r="D48" i="209"/>
  <c r="D50" i="207"/>
  <c r="D48" i="207"/>
  <c r="D45" i="47"/>
  <c r="D43" i="47"/>
  <c r="D45" i="204"/>
  <c r="D43" i="204"/>
  <c r="D38" i="25"/>
  <c r="D36" i="25"/>
  <c r="D50" i="54"/>
  <c r="D48" i="54"/>
  <c r="D45" i="58"/>
  <c r="D43" i="58"/>
  <c r="D45" i="212"/>
  <c r="D43" i="212"/>
  <c r="D45" i="182"/>
  <c r="D43" i="182"/>
  <c r="D50" i="51"/>
  <c r="D48" i="51"/>
  <c r="D45" i="61"/>
  <c r="D43" i="61"/>
  <c r="D45" i="213"/>
  <c r="D43" i="213"/>
  <c r="D50" i="211"/>
  <c r="D48" i="211"/>
  <c r="D50" i="53"/>
  <c r="D48" i="53"/>
  <c r="D48" i="46"/>
  <c r="D50" i="46"/>
  <c r="D50" i="204"/>
  <c r="D48" i="204"/>
  <c r="D45" i="168"/>
  <c r="D43" i="168"/>
  <c r="D50" i="52"/>
  <c r="D48" i="52"/>
  <c r="D50" i="212"/>
  <c r="D48" i="212"/>
  <c r="D45" i="62"/>
  <c r="D43" i="62"/>
  <c r="D50" i="182"/>
  <c r="D48" i="182"/>
  <c r="D45" i="51"/>
  <c r="D43" i="51"/>
  <c r="D50" i="215"/>
  <c r="D48" i="215"/>
  <c r="D45" i="4"/>
  <c r="D43" i="4"/>
  <c r="D50" i="205"/>
  <c r="D48" i="205"/>
  <c r="D45" i="203"/>
  <c r="D43" i="203"/>
  <c r="D50" i="213"/>
  <c r="D48" i="213"/>
  <c r="D45" i="201"/>
  <c r="D43" i="201"/>
  <c r="D37" i="223"/>
  <c r="D35" i="223"/>
  <c r="D50" i="184"/>
  <c r="D48" i="184"/>
  <c r="D45" i="200"/>
  <c r="D43" i="200"/>
  <c r="D44" i="200" s="1"/>
  <c r="D45" i="53"/>
  <c r="D43" i="53"/>
  <c r="D45" i="54"/>
  <c r="D43" i="54"/>
  <c r="D45" i="57"/>
  <c r="D43" i="57"/>
  <c r="D50" i="183"/>
  <c r="D48" i="183"/>
  <c r="D38" i="64"/>
  <c r="D36" i="64"/>
  <c r="D37" i="64" s="1"/>
  <c r="D45" i="60"/>
  <c r="D43" i="60"/>
  <c r="D50" i="49"/>
  <c r="D48" i="49"/>
  <c r="D45" i="208"/>
  <c r="D43" i="208"/>
  <c r="D45" i="211"/>
  <c r="D43" i="211"/>
  <c r="D50" i="56"/>
  <c r="D48" i="56"/>
  <c r="D45" i="52"/>
  <c r="D43" i="52"/>
  <c r="D50" i="48"/>
  <c r="D48" i="48"/>
  <c r="D50" i="180"/>
  <c r="D48" i="180"/>
  <c r="D38" i="68"/>
  <c r="D36" i="68"/>
  <c r="D50" i="4"/>
  <c r="D48" i="4"/>
  <c r="D38" i="175"/>
  <c r="D36" i="175"/>
  <c r="D45" i="184"/>
  <c r="D43" i="184"/>
  <c r="D50" i="168"/>
  <c r="D48" i="168"/>
  <c r="D45" i="59"/>
  <c r="D43" i="59"/>
  <c r="D50" i="57"/>
  <c r="D48" i="57"/>
  <c r="D38" i="169"/>
  <c r="D36" i="169"/>
  <c r="D45" i="183"/>
  <c r="D43" i="183"/>
  <c r="D37" i="219"/>
  <c r="D35" i="219"/>
  <c r="D50" i="60"/>
  <c r="D48" i="60"/>
  <c r="D50" i="62"/>
  <c r="D48" i="62"/>
  <c r="D45" i="49"/>
  <c r="D43" i="49"/>
  <c r="D45" i="215"/>
  <c r="D43" i="215"/>
  <c r="D50" i="208"/>
  <c r="D48" i="208"/>
  <c r="D45" i="205"/>
  <c r="D43" i="205"/>
  <c r="D50" i="203"/>
  <c r="D48" i="203"/>
  <c r="D50" i="181"/>
  <c r="D48" i="181"/>
  <c r="D50" i="201"/>
  <c r="D48" i="201"/>
  <c r="D50" i="50"/>
  <c r="D48" i="50"/>
  <c r="D45" i="209"/>
  <c r="D43" i="209"/>
  <c r="D50" i="200"/>
  <c r="D48" i="200"/>
  <c r="D45" i="207"/>
  <c r="D43" i="207"/>
  <c r="D38" i="70"/>
  <c r="D36" i="70"/>
  <c r="D50" i="47"/>
  <c r="D48" i="47"/>
  <c r="D45" i="46"/>
  <c r="D43" i="46"/>
  <c r="D45" i="56"/>
  <c r="D43" i="56"/>
  <c r="D44" i="62" l="1"/>
  <c r="D46" i="62" s="1"/>
  <c r="D44" i="56"/>
  <c r="D44" i="207"/>
  <c r="D46" i="207" s="1"/>
  <c r="D49" i="181"/>
  <c r="D51" i="181" s="1"/>
  <c r="D49" i="203"/>
  <c r="D51" i="203" s="1"/>
  <c r="D44" i="205"/>
  <c r="D46" i="205" s="1"/>
  <c r="D44" i="180"/>
  <c r="D46" i="180" s="1"/>
  <c r="D49" i="200"/>
  <c r="D49" i="60"/>
  <c r="D49" i="57"/>
  <c r="D44" i="184"/>
  <c r="D49" i="180"/>
  <c r="D39" i="64"/>
  <c r="D46" i="200"/>
  <c r="D49" i="184"/>
  <c r="D44" i="203"/>
  <c r="D44" i="51"/>
  <c r="D46" i="56"/>
  <c r="D44" i="46"/>
  <c r="D49" i="50"/>
  <c r="D44" i="49"/>
  <c r="D44" i="183"/>
  <c r="D44" i="59"/>
  <c r="D37" i="175"/>
  <c r="D44" i="52"/>
  <c r="D44" i="208"/>
  <c r="D44" i="54"/>
  <c r="D44" i="201"/>
  <c r="D44" i="4"/>
  <c r="D49" i="212"/>
  <c r="D44" i="182"/>
  <c r="D37" i="25"/>
  <c r="D49" i="209"/>
  <c r="D44" i="48"/>
  <c r="D44" i="209"/>
  <c r="D44" i="215"/>
  <c r="D36" i="219"/>
  <c r="D49" i="48"/>
  <c r="D44" i="57"/>
  <c r="D36" i="223"/>
  <c r="D49" i="205"/>
  <c r="D49" i="182"/>
  <c r="D44" i="168"/>
  <c r="D49" i="46"/>
  <c r="D49" i="51"/>
  <c r="D49" i="54"/>
  <c r="D49" i="207"/>
  <c r="D49" i="61"/>
  <c r="D49" i="208"/>
  <c r="D44" i="211"/>
  <c r="D49" i="183"/>
  <c r="D49" i="52"/>
  <c r="D44" i="61"/>
  <c r="D44" i="58"/>
  <c r="D44" i="47"/>
  <c r="D44" i="181"/>
  <c r="D49" i="59"/>
  <c r="D49" i="47"/>
  <c r="D37" i="70"/>
  <c r="D49" i="201"/>
  <c r="D49" i="62"/>
  <c r="D37" i="169"/>
  <c r="D49" i="168"/>
  <c r="D49" i="4"/>
  <c r="D37" i="68"/>
  <c r="D49" i="56"/>
  <c r="D49" i="49"/>
  <c r="D44" i="60"/>
  <c r="D44" i="53"/>
  <c r="D49" i="213"/>
  <c r="D49" i="215"/>
  <c r="D49" i="204"/>
  <c r="D49" i="53"/>
  <c r="D49" i="211"/>
  <c r="D44" i="213"/>
  <c r="D44" i="212"/>
  <c r="D44" i="204"/>
  <c r="D44" i="50"/>
  <c r="D49" i="58"/>
  <c r="D46" i="204" l="1"/>
  <c r="D51" i="204"/>
  <c r="D46" i="53"/>
  <c r="D51" i="49"/>
  <c r="D51" i="168"/>
  <c r="D51" i="47"/>
  <c r="D46" i="181"/>
  <c r="D51" i="52"/>
  <c r="E12" i="7"/>
  <c r="D51" i="51"/>
  <c r="D51" i="205"/>
  <c r="D51" i="48"/>
  <c r="D46" i="215"/>
  <c r="D51" i="209"/>
  <c r="D51" i="212"/>
  <c r="D46" i="54"/>
  <c r="D46" i="59"/>
  <c r="D46" i="46"/>
  <c r="D51" i="184"/>
  <c r="D46" i="184"/>
  <c r="D51" i="213"/>
  <c r="D51" i="4"/>
  <c r="D39" i="169"/>
  <c r="D51" i="201"/>
  <c r="D51" i="46"/>
  <c r="D51" i="58"/>
  <c r="D46" i="213"/>
  <c r="D51" i="215"/>
  <c r="D51" i="62"/>
  <c r="D39" i="70"/>
  <c r="D51" i="211"/>
  <c r="D39" i="68"/>
  <c r="D46" i="58"/>
  <c r="D46" i="211"/>
  <c r="D51" i="207"/>
  <c r="D46" i="168"/>
  <c r="D46" i="57"/>
  <c r="D46" i="48"/>
  <c r="D46" i="182"/>
  <c r="D46" i="4"/>
  <c r="D46" i="52"/>
  <c r="D46" i="49"/>
  <c r="D46" i="51"/>
  <c r="E33" i="7"/>
  <c r="D51" i="57"/>
  <c r="D51" i="200"/>
  <c r="D46" i="50"/>
  <c r="D46" i="212"/>
  <c r="D51" i="53"/>
  <c r="D46" i="60"/>
  <c r="D51" i="56"/>
  <c r="D51" i="59"/>
  <c r="D46" i="47"/>
  <c r="D46" i="61"/>
  <c r="D51" i="183"/>
  <c r="D51" i="208"/>
  <c r="D51" i="61"/>
  <c r="D51" i="54"/>
  <c r="D51" i="182"/>
  <c r="D38" i="223"/>
  <c r="D38" i="219"/>
  <c r="D46" i="209"/>
  <c r="D39" i="25"/>
  <c r="D46" i="201"/>
  <c r="D46" i="208"/>
  <c r="D39" i="175"/>
  <c r="D46" i="183"/>
  <c r="D51" i="50"/>
  <c r="D46" i="203"/>
  <c r="D51" i="180"/>
  <c r="D51" i="60"/>
  <c r="E49" i="7"/>
  <c r="E9" i="7" l="1"/>
  <c r="E38" i="7"/>
  <c r="E56" i="7"/>
  <c r="E8" i="7"/>
  <c r="E22" i="7"/>
  <c r="E23" i="7"/>
  <c r="E16" i="7"/>
  <c r="E21" i="7"/>
  <c r="E67" i="7"/>
  <c r="E14" i="7"/>
  <c r="E50" i="7"/>
  <c r="E20" i="7"/>
  <c r="E17" i="7"/>
  <c r="E37" i="7"/>
  <c r="E53" i="7"/>
  <c r="E39" i="7"/>
  <c r="E64" i="7"/>
  <c r="E18" i="7"/>
  <c r="E47" i="7"/>
  <c r="E2" i="7"/>
  <c r="E62" i="7"/>
  <c r="E51" i="7"/>
  <c r="E6" i="7"/>
  <c r="E10" i="7"/>
  <c r="E11" i="7"/>
  <c r="E5" i="7"/>
  <c r="E7" i="7"/>
  <c r="E57" i="7"/>
  <c r="E4" i="7"/>
  <c r="E31" i="7"/>
  <c r="E13" i="7"/>
  <c r="E46" i="7"/>
  <c r="E60" i="7"/>
  <c r="E24" i="7"/>
  <c r="E3" i="7"/>
  <c r="E32" i="7"/>
  <c r="E19" i="7"/>
  <c r="E61" i="7"/>
  <c r="E58" i="7"/>
  <c r="E15" i="7"/>
  <c r="C26" i="65" l="1"/>
  <c r="D26" i="65" s="1"/>
  <c r="H26" i="65" s="1"/>
  <c r="I26" i="65" s="1"/>
  <c r="C26" i="174"/>
  <c r="D26" i="174" s="1"/>
  <c r="H26" i="174" s="1"/>
  <c r="I26" i="174" s="1"/>
  <c r="C26" i="67"/>
  <c r="D26" i="67" s="1"/>
  <c r="H26" i="67" s="1"/>
  <c r="I26" i="67" s="1"/>
  <c r="C25" i="65"/>
  <c r="D25" i="65" s="1"/>
  <c r="C25" i="174"/>
  <c r="D25" i="174" s="1"/>
  <c r="C25" i="67"/>
  <c r="D25" i="67" s="1"/>
  <c r="D27" i="65" l="1"/>
  <c r="H25" i="65"/>
  <c r="I25" i="65" s="1"/>
  <c r="H25" i="67"/>
  <c r="I25" i="67" s="1"/>
  <c r="D27" i="67"/>
  <c r="D27" i="174"/>
  <c r="H25" i="174"/>
  <c r="I25" i="174" s="1"/>
  <c r="H27" i="67" l="1"/>
  <c r="I27" i="67" s="1"/>
  <c r="D35" i="67"/>
  <c r="D28" i="67"/>
  <c r="H27" i="174"/>
  <c r="I27" i="174" s="1"/>
  <c r="D28" i="174"/>
  <c r="D35" i="174"/>
  <c r="H27" i="65"/>
  <c r="I27" i="65" s="1"/>
  <c r="D35" i="65"/>
  <c r="D28" i="65"/>
  <c r="D38" i="65" l="1"/>
  <c r="D36" i="65"/>
  <c r="D38" i="174"/>
  <c r="D36" i="174"/>
  <c r="D38" i="67"/>
  <c r="D36" i="67"/>
  <c r="D37" i="65" l="1"/>
  <c r="D37" i="174"/>
  <c r="D37" i="67"/>
  <c r="D39" i="174" l="1"/>
  <c r="D39" i="67"/>
  <c r="D39" i="65"/>
  <c r="E34" i="7" l="1"/>
  <c r="E35" i="7"/>
  <c r="E36" i="7"/>
  <c r="C20" i="5" l="1"/>
  <c r="D20" i="5" s="1"/>
  <c r="C20" i="171"/>
  <c r="D20" i="171" s="1"/>
  <c r="D23" i="171" l="1"/>
  <c r="D23" i="5"/>
  <c r="D34" i="171" l="1"/>
  <c r="D27" i="171"/>
  <c r="D34" i="5"/>
  <c r="D27" i="5"/>
  <c r="D37" i="5" l="1"/>
  <c r="D35" i="5"/>
  <c r="D37" i="171"/>
  <c r="D35" i="171"/>
  <c r="D36" i="5" l="1"/>
  <c r="D36" i="171"/>
  <c r="D38" i="171" l="1"/>
  <c r="D38" i="5"/>
  <c r="E26" i="7" l="1"/>
  <c r="E25" i="7"/>
  <c r="C20" i="222" l="1"/>
  <c r="D20" i="222" s="1"/>
  <c r="C20" i="220"/>
  <c r="D20" i="220" s="1"/>
  <c r="C20" i="216"/>
  <c r="D20" i="216" s="1"/>
  <c r="C20" i="218"/>
  <c r="D20" i="218" s="1"/>
  <c r="D23" i="218" l="1"/>
  <c r="H20" i="218"/>
  <c r="I20" i="218" s="1"/>
  <c r="D23" i="216"/>
  <c r="H20" i="216"/>
  <c r="I20" i="216" s="1"/>
  <c r="D23" i="220"/>
  <c r="H20" i="220"/>
  <c r="I20" i="220" s="1"/>
  <c r="D23" i="222"/>
  <c r="H20" i="222"/>
  <c r="I20" i="222" s="1"/>
  <c r="D34" i="222" l="1"/>
  <c r="D27" i="222"/>
  <c r="D27" i="216"/>
  <c r="D34" i="216"/>
  <c r="D34" i="220"/>
  <c r="D27" i="220"/>
  <c r="D27" i="218"/>
  <c r="D34" i="218"/>
  <c r="D37" i="218" l="1"/>
  <c r="D35" i="218"/>
  <c r="D37" i="220"/>
  <c r="D35" i="220"/>
  <c r="D37" i="216"/>
  <c r="D35" i="216"/>
  <c r="D37" i="222"/>
  <c r="D35" i="222"/>
  <c r="D36" i="216" l="1"/>
  <c r="D36" i="218"/>
  <c r="D36" i="220"/>
  <c r="D36" i="222"/>
  <c r="D38" i="218" l="1"/>
  <c r="D38" i="222"/>
  <c r="D38" i="220"/>
  <c r="D38" i="216"/>
  <c r="E54" i="7" l="1"/>
  <c r="E66" i="7"/>
  <c r="E55" i="7"/>
  <c r="E65" i="7"/>
  <c r="F43" i="167" l="1"/>
  <c r="B4" i="214" s="1"/>
  <c r="F42" i="167"/>
  <c r="B4" i="206" s="1"/>
  <c r="F40" i="167"/>
  <c r="B4" i="210" s="1"/>
  <c r="F39" i="167"/>
  <c r="B4" i="202" s="1"/>
  <c r="F38" i="167"/>
  <c r="F36" i="167"/>
  <c r="F35" i="167"/>
  <c r="F34" i="167"/>
  <c r="F32" i="167"/>
  <c r="F30" i="167"/>
  <c r="F29" i="167"/>
  <c r="F28" i="167"/>
  <c r="F27" i="167"/>
  <c r="F26" i="167"/>
  <c r="B12" i="214" l="1"/>
  <c r="B16" i="214"/>
  <c r="B15" i="214"/>
  <c r="C63" i="7"/>
  <c r="B8" i="214"/>
  <c r="B41" i="214"/>
  <c r="B24" i="214"/>
  <c r="B17" i="214"/>
  <c r="B13" i="214"/>
  <c r="B23" i="214"/>
  <c r="C27" i="214"/>
  <c r="F27" i="214" s="1"/>
  <c r="C52" i="7"/>
  <c r="B17" i="210"/>
  <c r="B23" i="210"/>
  <c r="B8" i="210"/>
  <c r="B13" i="210"/>
  <c r="B16" i="210"/>
  <c r="B12" i="210"/>
  <c r="B15" i="210"/>
  <c r="C27" i="210"/>
  <c r="F27" i="210" s="1"/>
  <c r="B24" i="210"/>
  <c r="B41" i="210"/>
  <c r="F44" i="167"/>
  <c r="G44" i="167"/>
  <c r="F33" i="167"/>
  <c r="G33" i="167"/>
  <c r="G37" i="167"/>
  <c r="F37" i="167"/>
  <c r="F41" i="167"/>
  <c r="G41" i="167"/>
  <c r="G31" i="167"/>
  <c r="F31" i="167"/>
  <c r="B15" i="202"/>
  <c r="B41" i="202"/>
  <c r="B12" i="202"/>
  <c r="B24" i="202"/>
  <c r="C48" i="7"/>
  <c r="B8" i="202"/>
  <c r="B23" i="202"/>
  <c r="B16" i="202"/>
  <c r="B17" i="202"/>
  <c r="B13" i="202"/>
  <c r="C27" i="202"/>
  <c r="F27" i="202" s="1"/>
  <c r="B17" i="206"/>
  <c r="B15" i="206"/>
  <c r="B41" i="206"/>
  <c r="C59" i="7"/>
  <c r="B23" i="206"/>
  <c r="B8" i="206"/>
  <c r="B13" i="206"/>
  <c r="C27" i="206"/>
  <c r="F27" i="206" s="1"/>
  <c r="B16" i="206"/>
  <c r="B24" i="206"/>
  <c r="B12" i="206"/>
  <c r="G38" i="167"/>
  <c r="E16" i="206" l="1"/>
  <c r="G16" i="206" s="1"/>
  <c r="D16" i="206"/>
  <c r="E17" i="206"/>
  <c r="G17" i="206" s="1"/>
  <c r="D17" i="206"/>
  <c r="E24" i="202"/>
  <c r="G24" i="202" s="1"/>
  <c r="D24" i="202"/>
  <c r="E23" i="202"/>
  <c r="D23" i="202"/>
  <c r="D15" i="210"/>
  <c r="E15" i="210"/>
  <c r="G15" i="210" s="1"/>
  <c r="B32" i="210"/>
  <c r="B31" i="210"/>
  <c r="B28" i="210"/>
  <c r="B38" i="210"/>
  <c r="B27" i="210"/>
  <c r="B36" i="210"/>
  <c r="B37" i="210"/>
  <c r="E24" i="214"/>
  <c r="G24" i="214" s="1"/>
  <c r="D24" i="214"/>
  <c r="D15" i="214"/>
  <c r="D18" i="214" s="1"/>
  <c r="E15" i="214"/>
  <c r="G15" i="214" s="1"/>
  <c r="D12" i="206"/>
  <c r="E12" i="206"/>
  <c r="G12" i="206" s="1"/>
  <c r="D13" i="206"/>
  <c r="E13" i="206"/>
  <c r="G13" i="206" s="1"/>
  <c r="E41" i="206"/>
  <c r="G41" i="206" s="1"/>
  <c r="D41" i="206"/>
  <c r="D13" i="202"/>
  <c r="E13" i="202"/>
  <c r="G13" i="202" s="1"/>
  <c r="B28" i="202"/>
  <c r="B36" i="202"/>
  <c r="B31" i="202"/>
  <c r="B32" i="202"/>
  <c r="B27" i="202"/>
  <c r="B38" i="202"/>
  <c r="B37" i="202"/>
  <c r="D41" i="202"/>
  <c r="E41" i="202"/>
  <c r="G41" i="202" s="1"/>
  <c r="D41" i="210"/>
  <c r="E41" i="210"/>
  <c r="G41" i="210" s="1"/>
  <c r="E12" i="210"/>
  <c r="G12" i="210" s="1"/>
  <c r="D12" i="210"/>
  <c r="E23" i="210"/>
  <c r="G23" i="210" s="1"/>
  <c r="D23" i="210"/>
  <c r="E23" i="214"/>
  <c r="G23" i="214" s="1"/>
  <c r="D23" i="214"/>
  <c r="D41" i="214"/>
  <c r="E41" i="214"/>
  <c r="G41" i="214" s="1"/>
  <c r="D16" i="214"/>
  <c r="E16" i="214"/>
  <c r="G16" i="214" s="1"/>
  <c r="E23" i="206"/>
  <c r="D23" i="206"/>
  <c r="E16" i="202"/>
  <c r="G16" i="202" s="1"/>
  <c r="D16" i="202"/>
  <c r="E13" i="210"/>
  <c r="G13" i="210" s="1"/>
  <c r="D13" i="210"/>
  <c r="E17" i="214"/>
  <c r="G17" i="214" s="1"/>
  <c r="D17" i="214"/>
  <c r="D12" i="202"/>
  <c r="E12" i="202"/>
  <c r="G12" i="202" s="1"/>
  <c r="E24" i="206"/>
  <c r="G24" i="206" s="1"/>
  <c r="D24" i="206"/>
  <c r="B36" i="206"/>
  <c r="B31" i="206"/>
  <c r="B37" i="206"/>
  <c r="B28" i="206"/>
  <c r="B38" i="206"/>
  <c r="B32" i="206"/>
  <c r="B27" i="206"/>
  <c r="D15" i="206"/>
  <c r="E15" i="206"/>
  <c r="G15" i="206" s="1"/>
  <c r="D17" i="202"/>
  <c r="E17" i="202"/>
  <c r="G17" i="202" s="1"/>
  <c r="E15" i="202"/>
  <c r="G15" i="202" s="1"/>
  <c r="D15" i="202"/>
  <c r="D24" i="210"/>
  <c r="E24" i="210"/>
  <c r="G24" i="210" s="1"/>
  <c r="D16" i="210"/>
  <c r="E16" i="210"/>
  <c r="G16" i="210" s="1"/>
  <c r="D17" i="210"/>
  <c r="E17" i="210"/>
  <c r="G17" i="210" s="1"/>
  <c r="D13" i="214"/>
  <c r="E13" i="214"/>
  <c r="G13" i="214" s="1"/>
  <c r="B37" i="214"/>
  <c r="B28" i="214"/>
  <c r="B27" i="214"/>
  <c r="B38" i="214"/>
  <c r="B32" i="214"/>
  <c r="B31" i="214"/>
  <c r="B36" i="214"/>
  <c r="D12" i="214"/>
  <c r="E12" i="214"/>
  <c r="G12" i="214" s="1"/>
  <c r="H16" i="202" l="1"/>
  <c r="I16" i="202" s="1"/>
  <c r="H24" i="206"/>
  <c r="I24" i="206" s="1"/>
  <c r="D25" i="206"/>
  <c r="D25" i="202"/>
  <c r="D14" i="214"/>
  <c r="H24" i="202"/>
  <c r="I24" i="202" s="1"/>
  <c r="E32" i="214"/>
  <c r="G32" i="214" s="1"/>
  <c r="D32" i="214"/>
  <c r="E31" i="206"/>
  <c r="G31" i="206" s="1"/>
  <c r="D31" i="206"/>
  <c r="D25" i="210"/>
  <c r="D37" i="202"/>
  <c r="E37" i="202"/>
  <c r="G37" i="202" s="1"/>
  <c r="E31" i="202"/>
  <c r="G31" i="202" s="1"/>
  <c r="D31" i="202"/>
  <c r="E38" i="214"/>
  <c r="G38" i="214" s="1"/>
  <c r="D38" i="214"/>
  <c r="D18" i="202"/>
  <c r="E38" i="206"/>
  <c r="G38" i="206" s="1"/>
  <c r="D38" i="206"/>
  <c r="D14" i="202"/>
  <c r="H23" i="210"/>
  <c r="I23" i="210" s="1"/>
  <c r="D38" i="202"/>
  <c r="E38" i="202"/>
  <c r="G38" i="202" s="1"/>
  <c r="E36" i="202"/>
  <c r="G36" i="202" s="1"/>
  <c r="D36" i="202"/>
  <c r="G14" i="206"/>
  <c r="H12" i="206"/>
  <c r="I12" i="206" s="1"/>
  <c r="D27" i="210"/>
  <c r="E27" i="210"/>
  <c r="G27" i="210" s="1"/>
  <c r="E32" i="210"/>
  <c r="G32" i="210" s="1"/>
  <c r="D32" i="210"/>
  <c r="H17" i="206"/>
  <c r="I17" i="206" s="1"/>
  <c r="D36" i="214"/>
  <c r="E36" i="214"/>
  <c r="G36" i="214" s="1"/>
  <c r="E27" i="214"/>
  <c r="G27" i="214" s="1"/>
  <c r="D27" i="214"/>
  <c r="G18" i="202"/>
  <c r="H18" i="202" s="1"/>
  <c r="I18" i="202" s="1"/>
  <c r="H15" i="202"/>
  <c r="I15" i="202" s="1"/>
  <c r="D18" i="206"/>
  <c r="E28" i="206"/>
  <c r="G28" i="206" s="1"/>
  <c r="D28" i="206"/>
  <c r="H16" i="214"/>
  <c r="I16" i="214" s="1"/>
  <c r="D25" i="214"/>
  <c r="D14" i="210"/>
  <c r="H41" i="202"/>
  <c r="I41" i="202" s="1"/>
  <c r="D27" i="202"/>
  <c r="E27" i="202"/>
  <c r="G27" i="202" s="1"/>
  <c r="E28" i="202"/>
  <c r="G28" i="202" s="1"/>
  <c r="D28" i="202"/>
  <c r="H41" i="206"/>
  <c r="I41" i="206" s="1"/>
  <c r="D14" i="206"/>
  <c r="H24" i="214"/>
  <c r="I24" i="214" s="1"/>
  <c r="E38" i="210"/>
  <c r="G38" i="210" s="1"/>
  <c r="D38" i="210"/>
  <c r="H15" i="210"/>
  <c r="I15" i="210" s="1"/>
  <c r="G18" i="210"/>
  <c r="G14" i="214"/>
  <c r="H12" i="214"/>
  <c r="I12" i="214" s="1"/>
  <c r="D37" i="214"/>
  <c r="E37" i="214"/>
  <c r="G37" i="214" s="1"/>
  <c r="E32" i="206"/>
  <c r="G32" i="206" s="1"/>
  <c r="D32" i="206"/>
  <c r="H12" i="202"/>
  <c r="I12" i="202" s="1"/>
  <c r="G14" i="202"/>
  <c r="H41" i="214"/>
  <c r="I41" i="214" s="1"/>
  <c r="H41" i="210"/>
  <c r="I41" i="210" s="1"/>
  <c r="D36" i="210"/>
  <c r="E36" i="210"/>
  <c r="G36" i="210" s="1"/>
  <c r="E31" i="210"/>
  <c r="G31" i="210" s="1"/>
  <c r="D31" i="210"/>
  <c r="H13" i="214"/>
  <c r="I13" i="214" s="1"/>
  <c r="H16" i="210"/>
  <c r="I16" i="210" s="1"/>
  <c r="G18" i="206"/>
  <c r="H15" i="206"/>
  <c r="I15" i="206" s="1"/>
  <c r="E36" i="206"/>
  <c r="G36" i="206" s="1"/>
  <c r="D36" i="206"/>
  <c r="H13" i="210"/>
  <c r="I13" i="210" s="1"/>
  <c r="E31" i="214"/>
  <c r="G31" i="214" s="1"/>
  <c r="D31" i="214"/>
  <c r="D33" i="214" s="1"/>
  <c r="E28" i="214"/>
  <c r="G28" i="214" s="1"/>
  <c r="D28" i="214"/>
  <c r="H17" i="210"/>
  <c r="I17" i="210" s="1"/>
  <c r="H24" i="210"/>
  <c r="I24" i="210" s="1"/>
  <c r="H17" i="202"/>
  <c r="I17" i="202" s="1"/>
  <c r="D27" i="206"/>
  <c r="E27" i="206"/>
  <c r="G27" i="206" s="1"/>
  <c r="E37" i="206"/>
  <c r="G37" i="206" s="1"/>
  <c r="D37" i="206"/>
  <c r="H17" i="214"/>
  <c r="I17" i="214" s="1"/>
  <c r="H23" i="214"/>
  <c r="I23" i="214" s="1"/>
  <c r="G14" i="210"/>
  <c r="H12" i="210"/>
  <c r="I12" i="210" s="1"/>
  <c r="E32" i="202"/>
  <c r="G32" i="202" s="1"/>
  <c r="D32" i="202"/>
  <c r="H13" i="202"/>
  <c r="I13" i="202" s="1"/>
  <c r="H13" i="206"/>
  <c r="I13" i="206" s="1"/>
  <c r="G18" i="214"/>
  <c r="H15" i="214"/>
  <c r="I15" i="214" s="1"/>
  <c r="D37" i="210"/>
  <c r="E37" i="210"/>
  <c r="G37" i="210" s="1"/>
  <c r="E28" i="210"/>
  <c r="G28" i="210" s="1"/>
  <c r="D28" i="210"/>
  <c r="D18" i="210"/>
  <c r="H16" i="206"/>
  <c r="I16" i="206" s="1"/>
  <c r="D29" i="202" l="1"/>
  <c r="H18" i="206"/>
  <c r="I18" i="206" s="1"/>
  <c r="D30" i="202"/>
  <c r="D29" i="206"/>
  <c r="D30" i="206"/>
  <c r="D33" i="206"/>
  <c r="H32" i="202"/>
  <c r="I32" i="202" s="1"/>
  <c r="H27" i="206"/>
  <c r="I27" i="206" s="1"/>
  <c r="D33" i="210"/>
  <c r="H14" i="206"/>
  <c r="I14" i="206" s="1"/>
  <c r="H37" i="206"/>
  <c r="I37" i="206" s="1"/>
  <c r="D40" i="210"/>
  <c r="H28" i="210"/>
  <c r="I28" i="210" s="1"/>
  <c r="H14" i="210"/>
  <c r="I14" i="210" s="1"/>
  <c r="H36" i="210"/>
  <c r="I36" i="210" s="1"/>
  <c r="G40" i="210"/>
  <c r="H14" i="202"/>
  <c r="I14" i="202" s="1"/>
  <c r="H37" i="214"/>
  <c r="I37" i="214" s="1"/>
  <c r="H14" i="214"/>
  <c r="I14" i="214" s="1"/>
  <c r="H28" i="202"/>
  <c r="I28" i="202" s="1"/>
  <c r="D40" i="214"/>
  <c r="D47" i="214" s="1"/>
  <c r="H27" i="210"/>
  <c r="I27" i="210" s="1"/>
  <c r="D40" i="202"/>
  <c r="H38" i="214"/>
  <c r="I38" i="214" s="1"/>
  <c r="D33" i="202"/>
  <c r="D34" i="202" s="1"/>
  <c r="D30" i="210"/>
  <c r="D29" i="210"/>
  <c r="G33" i="206"/>
  <c r="H31" i="206"/>
  <c r="I31" i="206" s="1"/>
  <c r="D40" i="206"/>
  <c r="D42" i="206" s="1"/>
  <c r="H38" i="210"/>
  <c r="I38" i="210" s="1"/>
  <c r="H27" i="202"/>
  <c r="I27" i="202" s="1"/>
  <c r="D29" i="214"/>
  <c r="D34" i="214" s="1"/>
  <c r="D30" i="214"/>
  <c r="D35" i="214" s="1"/>
  <c r="H28" i="206"/>
  <c r="I28" i="206" s="1"/>
  <c r="H36" i="202"/>
  <c r="I36" i="202" s="1"/>
  <c r="G40" i="202"/>
  <c r="H38" i="206"/>
  <c r="I38" i="206" s="1"/>
  <c r="G33" i="202"/>
  <c r="H31" i="202"/>
  <c r="I31" i="202" s="1"/>
  <c r="H32" i="214"/>
  <c r="I32" i="214" s="1"/>
  <c r="G40" i="214"/>
  <c r="H36" i="214"/>
  <c r="I36" i="214" s="1"/>
  <c r="H37" i="210"/>
  <c r="I37" i="210" s="1"/>
  <c r="H18" i="214"/>
  <c r="I18" i="214" s="1"/>
  <c r="H28" i="214"/>
  <c r="I28" i="214" s="1"/>
  <c r="G33" i="214"/>
  <c r="H31" i="214"/>
  <c r="I31" i="214" s="1"/>
  <c r="G40" i="206"/>
  <c r="H36" i="206"/>
  <c r="I36" i="206" s="1"/>
  <c r="G33" i="210"/>
  <c r="H31" i="210"/>
  <c r="I31" i="210" s="1"/>
  <c r="H32" i="206"/>
  <c r="I32" i="206" s="1"/>
  <c r="H18" i="210"/>
  <c r="I18" i="210" s="1"/>
  <c r="H27" i="214"/>
  <c r="I27" i="214" s="1"/>
  <c r="H32" i="210"/>
  <c r="I32" i="210" s="1"/>
  <c r="H38" i="202"/>
  <c r="I38" i="202" s="1"/>
  <c r="H37" i="202"/>
  <c r="I37" i="202" s="1"/>
  <c r="D34" i="206" l="1"/>
  <c r="D42" i="210"/>
  <c r="D45" i="210" s="1"/>
  <c r="D42" i="202"/>
  <c r="H33" i="206"/>
  <c r="I33" i="206" s="1"/>
  <c r="D35" i="206"/>
  <c r="D34" i="210"/>
  <c r="H40" i="202"/>
  <c r="I40" i="202" s="1"/>
  <c r="D47" i="210"/>
  <c r="D48" i="210" s="1"/>
  <c r="D49" i="210" s="1"/>
  <c r="D35" i="210"/>
  <c r="D47" i="206"/>
  <c r="D50" i="206" s="1"/>
  <c r="D47" i="202"/>
  <c r="D50" i="202" s="1"/>
  <c r="D50" i="214"/>
  <c r="D48" i="214"/>
  <c r="D49" i="214" s="1"/>
  <c r="H33" i="210"/>
  <c r="I33" i="210" s="1"/>
  <c r="D45" i="202"/>
  <c r="D43" i="202"/>
  <c r="D44" i="202" s="1"/>
  <c r="D46" i="202" s="1"/>
  <c r="H40" i="206"/>
  <c r="I40" i="206" s="1"/>
  <c r="H33" i="214"/>
  <c r="I33" i="214" s="1"/>
  <c r="H33" i="202"/>
  <c r="I33" i="202" s="1"/>
  <c r="H40" i="210"/>
  <c r="I40" i="210" s="1"/>
  <c r="D35" i="202"/>
  <c r="H40" i="214"/>
  <c r="I40" i="214" s="1"/>
  <c r="D42" i="214"/>
  <c r="D45" i="206"/>
  <c r="D43" i="206"/>
  <c r="D44" i="206"/>
  <c r="D43" i="210" l="1"/>
  <c r="D44" i="210" s="1"/>
  <c r="D46" i="210" s="1"/>
  <c r="D50" i="210"/>
  <c r="D51" i="210" s="1"/>
  <c r="E52" i="7" s="1"/>
  <c r="D48" i="206"/>
  <c r="D49" i="206" s="1"/>
  <c r="D51" i="206"/>
  <c r="E59" i="7" s="1"/>
  <c r="D46" i="206"/>
  <c r="D48" i="202"/>
  <c r="D49" i="202" s="1"/>
  <c r="D51" i="202" s="1"/>
  <c r="E48" i="7" s="1"/>
  <c r="D51" i="214"/>
  <c r="E63" i="7" s="1"/>
  <c r="D45" i="214"/>
  <c r="D43" i="214"/>
  <c r="D44" i="214" s="1"/>
  <c r="D46" i="214" l="1"/>
  <c r="F16" i="216" l="1"/>
  <c r="G16" i="216" s="1"/>
  <c r="F16" i="218"/>
  <c r="G16" i="218" s="1"/>
  <c r="F16" i="219"/>
  <c r="G16" i="219" s="1"/>
  <c r="F19" i="208"/>
  <c r="G19" i="208" s="1"/>
  <c r="F19" i="209"/>
  <c r="G19" i="209" s="1"/>
  <c r="F19" i="210"/>
  <c r="G19" i="210" s="1"/>
  <c r="F19" i="211"/>
  <c r="G19" i="211" s="1"/>
  <c r="H19" i="208" l="1"/>
  <c r="I19" i="208" s="1"/>
  <c r="G25" i="208"/>
  <c r="G25" i="211"/>
  <c r="H19" i="211"/>
  <c r="I19" i="211" s="1"/>
  <c r="H16" i="219"/>
  <c r="I16" i="219" s="1"/>
  <c r="G23" i="219"/>
  <c r="G25" i="210"/>
  <c r="H19" i="210"/>
  <c r="I19" i="210" s="1"/>
  <c r="H16" i="218"/>
  <c r="I16" i="218" s="1"/>
  <c r="G23" i="218"/>
  <c r="G25" i="209"/>
  <c r="H19" i="209"/>
  <c r="I19" i="209" s="1"/>
  <c r="H16" i="216"/>
  <c r="I16" i="216" s="1"/>
  <c r="G23" i="216"/>
  <c r="F19" i="46" l="1"/>
  <c r="G19" i="46" s="1"/>
  <c r="G34" i="216"/>
  <c r="G27" i="216"/>
  <c r="H23" i="216"/>
  <c r="G30" i="210"/>
  <c r="H25" i="210"/>
  <c r="G29" i="210"/>
  <c r="G47" i="210"/>
  <c r="G42" i="210"/>
  <c r="H25" i="209"/>
  <c r="G29" i="209"/>
  <c r="G47" i="209"/>
  <c r="G30" i="209"/>
  <c r="G42" i="209"/>
  <c r="H23" i="219"/>
  <c r="G27" i="219"/>
  <c r="G34" i="219"/>
  <c r="G30" i="208"/>
  <c r="G47" i="208"/>
  <c r="G29" i="208"/>
  <c r="H25" i="208"/>
  <c r="G42" i="208"/>
  <c r="G27" i="218"/>
  <c r="G34" i="218"/>
  <c r="H23" i="218"/>
  <c r="G30" i="211"/>
  <c r="G29" i="211"/>
  <c r="G42" i="211"/>
  <c r="H25" i="211"/>
  <c r="G47" i="211"/>
  <c r="F19" i="47" l="1"/>
  <c r="G19" i="47" s="1"/>
  <c r="G25" i="47" s="1"/>
  <c r="F19" i="4"/>
  <c r="G19" i="4" s="1"/>
  <c r="H19" i="4" s="1"/>
  <c r="I19" i="4" s="1"/>
  <c r="F19" i="180"/>
  <c r="G19" i="180" s="1"/>
  <c r="H19" i="180" s="1"/>
  <c r="I19" i="180" s="1"/>
  <c r="G50" i="208"/>
  <c r="H50" i="208" s="1"/>
  <c r="I50" i="208" s="1"/>
  <c r="G48" i="208"/>
  <c r="H47" i="208"/>
  <c r="I47" i="208" s="1"/>
  <c r="G45" i="209"/>
  <c r="H45" i="209" s="1"/>
  <c r="I45" i="209" s="1"/>
  <c r="G43" i="209"/>
  <c r="H42" i="209"/>
  <c r="I42" i="209" s="1"/>
  <c r="I25" i="209"/>
  <c r="G51" i="7" s="1"/>
  <c r="F51" i="7"/>
  <c r="G45" i="208"/>
  <c r="H45" i="208" s="1"/>
  <c r="I45" i="208" s="1"/>
  <c r="G43" i="208"/>
  <c r="H42" i="208"/>
  <c r="I42" i="208" s="1"/>
  <c r="I23" i="219"/>
  <c r="G56" i="7" s="1"/>
  <c r="F56" i="7"/>
  <c r="H19" i="47"/>
  <c r="I19" i="47" s="1"/>
  <c r="H29" i="210"/>
  <c r="I29" i="210" s="1"/>
  <c r="G34" i="210"/>
  <c r="G50" i="211"/>
  <c r="G48" i="211"/>
  <c r="H47" i="211"/>
  <c r="I47" i="211" s="1"/>
  <c r="H30" i="211"/>
  <c r="I30" i="211" s="1"/>
  <c r="G35" i="211"/>
  <c r="H27" i="218"/>
  <c r="I27" i="218" s="1"/>
  <c r="I25" i="208"/>
  <c r="G50" i="7" s="1"/>
  <c r="F50" i="7"/>
  <c r="G50" i="209"/>
  <c r="H50" i="209" s="1"/>
  <c r="I50" i="209" s="1"/>
  <c r="G48" i="209"/>
  <c r="H47" i="209"/>
  <c r="I47" i="209" s="1"/>
  <c r="G50" i="210"/>
  <c r="H50" i="210" s="1"/>
  <c r="I50" i="210" s="1"/>
  <c r="G48" i="210"/>
  <c r="H47" i="210"/>
  <c r="I47" i="210" s="1"/>
  <c r="I25" i="210"/>
  <c r="G52" i="7" s="1"/>
  <c r="F52" i="7"/>
  <c r="H27" i="216"/>
  <c r="I27" i="216" s="1"/>
  <c r="G45" i="211"/>
  <c r="G43" i="211"/>
  <c r="G44" i="211" s="1"/>
  <c r="H42" i="211"/>
  <c r="I42" i="211" s="1"/>
  <c r="H27" i="219"/>
  <c r="I27" i="219" s="1"/>
  <c r="H19" i="46"/>
  <c r="I19" i="46" s="1"/>
  <c r="G25" i="46"/>
  <c r="F54" i="7"/>
  <c r="I23" i="216"/>
  <c r="G54" i="7" s="1"/>
  <c r="H29" i="211"/>
  <c r="I29" i="211" s="1"/>
  <c r="G34" i="211"/>
  <c r="G37" i="218"/>
  <c r="G35" i="218"/>
  <c r="G36" i="218" s="1"/>
  <c r="H34" i="218"/>
  <c r="I34" i="218" s="1"/>
  <c r="G35" i="208"/>
  <c r="H30" i="208"/>
  <c r="I30" i="208" s="1"/>
  <c r="H30" i="209"/>
  <c r="I30" i="209" s="1"/>
  <c r="G35" i="209"/>
  <c r="G45" i="210"/>
  <c r="H45" i="210" s="1"/>
  <c r="I45" i="210" s="1"/>
  <c r="G43" i="210"/>
  <c r="H42" i="210"/>
  <c r="I42" i="210" s="1"/>
  <c r="I25" i="211"/>
  <c r="G53" i="7" s="1"/>
  <c r="F53" i="7"/>
  <c r="I23" i="218"/>
  <c r="G55" i="7" s="1"/>
  <c r="F55" i="7"/>
  <c r="H29" i="208"/>
  <c r="I29" i="208" s="1"/>
  <c r="G34" i="208"/>
  <c r="G37" i="219"/>
  <c r="H37" i="219" s="1"/>
  <c r="I37" i="219" s="1"/>
  <c r="G35" i="219"/>
  <c r="H34" i="219"/>
  <c r="I34" i="219" s="1"/>
  <c r="G34" i="209"/>
  <c r="H29" i="209"/>
  <c r="I29" i="209" s="1"/>
  <c r="G25" i="180"/>
  <c r="G35" i="210"/>
  <c r="H30" i="210"/>
  <c r="I30" i="210" s="1"/>
  <c r="G35" i="216"/>
  <c r="G36" i="216" s="1"/>
  <c r="G37" i="216"/>
  <c r="H34" i="216"/>
  <c r="I34" i="216" s="1"/>
  <c r="G25" i="4" l="1"/>
  <c r="G42" i="4" s="1"/>
  <c r="G38" i="216"/>
  <c r="J37" i="216" s="1"/>
  <c r="H36" i="216"/>
  <c r="I36" i="216" s="1"/>
  <c r="G29" i="180"/>
  <c r="H25" i="180"/>
  <c r="G42" i="180"/>
  <c r="G30" i="180"/>
  <c r="G47" i="180"/>
  <c r="H34" i="209"/>
  <c r="I34" i="209" s="1"/>
  <c r="H35" i="219"/>
  <c r="I35" i="219" s="1"/>
  <c r="G44" i="210"/>
  <c r="H43" i="210"/>
  <c r="I43" i="210" s="1"/>
  <c r="H35" i="209"/>
  <c r="I35" i="209" s="1"/>
  <c r="G38" i="218"/>
  <c r="J36" i="218" s="1"/>
  <c r="H36" i="218"/>
  <c r="I36" i="218" s="1"/>
  <c r="G44" i="208"/>
  <c r="H43" i="208"/>
  <c r="I43" i="208" s="1"/>
  <c r="H35" i="218"/>
  <c r="I35" i="218" s="1"/>
  <c r="H34" i="211"/>
  <c r="I34" i="211" s="1"/>
  <c r="H37" i="218"/>
  <c r="I37" i="218" s="1"/>
  <c r="H43" i="211"/>
  <c r="I43" i="211" s="1"/>
  <c r="G49" i="210"/>
  <c r="H48" i="210"/>
  <c r="I48" i="210" s="1"/>
  <c r="H25" i="4"/>
  <c r="G29" i="4"/>
  <c r="G30" i="4"/>
  <c r="G47" i="4"/>
  <c r="G49" i="209"/>
  <c r="H48" i="209"/>
  <c r="I48" i="209" s="1"/>
  <c r="H35" i="211"/>
  <c r="I35" i="211" s="1"/>
  <c r="G49" i="211"/>
  <c r="H48" i="211"/>
  <c r="I48" i="211" s="1"/>
  <c r="H34" i="210"/>
  <c r="I34" i="210" s="1"/>
  <c r="G30" i="47"/>
  <c r="G42" i="47"/>
  <c r="H25" i="47"/>
  <c r="G47" i="47"/>
  <c r="G29" i="47"/>
  <c r="G44" i="209"/>
  <c r="H43" i="209"/>
  <c r="I43" i="209" s="1"/>
  <c r="G49" i="208"/>
  <c r="H48" i="208"/>
  <c r="I48" i="208" s="1"/>
  <c r="H35" i="216"/>
  <c r="I35" i="216" s="1"/>
  <c r="H35" i="210"/>
  <c r="I35" i="210" s="1"/>
  <c r="H34" i="208"/>
  <c r="I34" i="208" s="1"/>
  <c r="H35" i="208"/>
  <c r="I35" i="208" s="1"/>
  <c r="G46" i="211"/>
  <c r="J45" i="211" s="1"/>
  <c r="H44" i="211"/>
  <c r="I44" i="211" s="1"/>
  <c r="H37" i="216"/>
  <c r="I37" i="216" s="1"/>
  <c r="G36" i="219"/>
  <c r="G30" i="46"/>
  <c r="H25" i="46"/>
  <c r="G42" i="46"/>
  <c r="G29" i="46"/>
  <c r="G47" i="46"/>
  <c r="H45" i="211"/>
  <c r="I45" i="211" s="1"/>
  <c r="H50" i="211"/>
  <c r="I50" i="211" s="1"/>
  <c r="J35" i="216" l="1"/>
  <c r="J37" i="218"/>
  <c r="J35" i="218"/>
  <c r="J44" i="211"/>
  <c r="H30" i="46"/>
  <c r="I30" i="46" s="1"/>
  <c r="G35" i="46"/>
  <c r="G51" i="210"/>
  <c r="K49" i="210" s="1"/>
  <c r="H49" i="210"/>
  <c r="I49" i="210" s="1"/>
  <c r="I25" i="180"/>
  <c r="G4" i="7" s="1"/>
  <c r="F4" i="7"/>
  <c r="H29" i="46"/>
  <c r="I29" i="46" s="1"/>
  <c r="G34" i="46"/>
  <c r="H42" i="46"/>
  <c r="I42" i="46" s="1"/>
  <c r="G43" i="46"/>
  <c r="G45" i="46"/>
  <c r="J28" i="211"/>
  <c r="J32" i="211"/>
  <c r="J36" i="211"/>
  <c r="J14" i="211"/>
  <c r="J18" i="211"/>
  <c r="J22" i="211"/>
  <c r="J37" i="211"/>
  <c r="J26" i="211"/>
  <c r="J41" i="211"/>
  <c r="J33" i="211"/>
  <c r="J40" i="211"/>
  <c r="J24" i="211"/>
  <c r="J12" i="211"/>
  <c r="J39" i="211"/>
  <c r="J23" i="211"/>
  <c r="J20" i="211"/>
  <c r="J31" i="211"/>
  <c r="J27" i="211"/>
  <c r="J38" i="211"/>
  <c r="J21" i="211"/>
  <c r="J46" i="211"/>
  <c r="J13" i="211"/>
  <c r="H46" i="211"/>
  <c r="I46" i="211" s="1"/>
  <c r="J19" i="211"/>
  <c r="J25" i="211"/>
  <c r="J29" i="211"/>
  <c r="J30" i="211"/>
  <c r="J42" i="211"/>
  <c r="G34" i="47"/>
  <c r="H29" i="47"/>
  <c r="I29" i="47" s="1"/>
  <c r="G35" i="47"/>
  <c r="H30" i="47"/>
  <c r="I30" i="47" s="1"/>
  <c r="J35" i="211"/>
  <c r="G51" i="209"/>
  <c r="H49" i="209"/>
  <c r="I49" i="209" s="1"/>
  <c r="H42" i="4"/>
  <c r="I42" i="4" s="1"/>
  <c r="G45" i="4"/>
  <c r="G43" i="4"/>
  <c r="G44" i="4" s="1"/>
  <c r="J43" i="211"/>
  <c r="J34" i="211"/>
  <c r="G35" i="180"/>
  <c r="H30" i="180"/>
  <c r="I30" i="180" s="1"/>
  <c r="H47" i="46"/>
  <c r="I47" i="46" s="1"/>
  <c r="G48" i="46"/>
  <c r="H48" i="46" s="1"/>
  <c r="I48" i="46" s="1"/>
  <c r="G50" i="46"/>
  <c r="G51" i="208"/>
  <c r="K49" i="208" s="1"/>
  <c r="H49" i="208"/>
  <c r="I49" i="208" s="1"/>
  <c r="F5" i="7"/>
  <c r="I25" i="47"/>
  <c r="G5" i="7" s="1"/>
  <c r="G51" i="211"/>
  <c r="H49" i="211"/>
  <c r="I49" i="211" s="1"/>
  <c r="H29" i="4"/>
  <c r="I29" i="4" s="1"/>
  <c r="G34" i="4"/>
  <c r="G46" i="208"/>
  <c r="J44" i="208" s="1"/>
  <c r="H44" i="208"/>
  <c r="I44" i="208" s="1"/>
  <c r="G38" i="219"/>
  <c r="J36" i="219"/>
  <c r="H36" i="219"/>
  <c r="I36" i="219" s="1"/>
  <c r="G45" i="47"/>
  <c r="H42" i="47"/>
  <c r="I42" i="47" s="1"/>
  <c r="G43" i="47"/>
  <c r="G44" i="47" s="1"/>
  <c r="G48" i="4"/>
  <c r="G49" i="4" s="1"/>
  <c r="G50" i="4"/>
  <c r="H47" i="4"/>
  <c r="I47" i="4" s="1"/>
  <c r="I25" i="4"/>
  <c r="G2" i="7" s="1"/>
  <c r="F2" i="7"/>
  <c r="G46" i="210"/>
  <c r="J44" i="210" s="1"/>
  <c r="H44" i="210"/>
  <c r="I44" i="210" s="1"/>
  <c r="G48" i="180"/>
  <c r="G50" i="180"/>
  <c r="H47" i="180"/>
  <c r="I47" i="180" s="1"/>
  <c r="G34" i="180"/>
  <c r="H29" i="180"/>
  <c r="I29" i="180" s="1"/>
  <c r="I25" i="46"/>
  <c r="G3" i="7" s="1"/>
  <c r="F3" i="7"/>
  <c r="G46" i="209"/>
  <c r="J44" i="209" s="1"/>
  <c r="H44" i="209"/>
  <c r="I44" i="209" s="1"/>
  <c r="H47" i="47"/>
  <c r="I47" i="47" s="1"/>
  <c r="G50" i="47"/>
  <c r="G48" i="47"/>
  <c r="H30" i="4"/>
  <c r="I30" i="4" s="1"/>
  <c r="G35" i="4"/>
  <c r="J13" i="218"/>
  <c r="J32" i="218"/>
  <c r="J30" i="218"/>
  <c r="J26" i="218"/>
  <c r="J25" i="218"/>
  <c r="J22" i="218"/>
  <c r="J15" i="218"/>
  <c r="J17" i="218"/>
  <c r="J33" i="218"/>
  <c r="J31" i="218"/>
  <c r="J20" i="218"/>
  <c r="J18" i="218"/>
  <c r="J14" i="218"/>
  <c r="J29" i="218"/>
  <c r="J21" i="218"/>
  <c r="J28" i="218"/>
  <c r="J24" i="218"/>
  <c r="J38" i="218"/>
  <c r="J19" i="218"/>
  <c r="H38" i="218"/>
  <c r="J16" i="218"/>
  <c r="J23" i="218"/>
  <c r="J27" i="218"/>
  <c r="J34" i="218"/>
  <c r="G45" i="180"/>
  <c r="G43" i="180"/>
  <c r="H42" i="180"/>
  <c r="I42" i="180" s="1"/>
  <c r="J36" i="216"/>
  <c r="J14" i="216"/>
  <c r="J18" i="216"/>
  <c r="J28" i="216"/>
  <c r="J30" i="216"/>
  <c r="J21" i="216"/>
  <c r="J25" i="216"/>
  <c r="J13" i="216"/>
  <c r="J38" i="216"/>
  <c r="J26" i="216"/>
  <c r="J33" i="216"/>
  <c r="J32" i="216"/>
  <c r="J29" i="216"/>
  <c r="J19" i="216"/>
  <c r="J24" i="216"/>
  <c r="J20" i="216"/>
  <c r="J15" i="216"/>
  <c r="J17" i="216"/>
  <c r="J22" i="216"/>
  <c r="J31" i="216"/>
  <c r="H38" i="216"/>
  <c r="J16" i="216"/>
  <c r="J23" i="216"/>
  <c r="J34" i="216"/>
  <c r="J27" i="216"/>
  <c r="G49" i="46" l="1"/>
  <c r="H43" i="180"/>
  <c r="I43" i="180" s="1"/>
  <c r="H48" i="47"/>
  <c r="I48" i="47" s="1"/>
  <c r="H34" i="4"/>
  <c r="I34" i="4" s="1"/>
  <c r="K50" i="209"/>
  <c r="K38" i="209"/>
  <c r="K28" i="209"/>
  <c r="K41" i="209"/>
  <c r="K32" i="209"/>
  <c r="K39" i="209"/>
  <c r="K51" i="209"/>
  <c r="K16" i="209"/>
  <c r="K17" i="209"/>
  <c r="K31" i="209"/>
  <c r="K21" i="209"/>
  <c r="K37" i="209"/>
  <c r="K15" i="209"/>
  <c r="K18" i="209"/>
  <c r="K23" i="209"/>
  <c r="K33" i="209"/>
  <c r="K36" i="209"/>
  <c r="K22" i="209"/>
  <c r="K27" i="209"/>
  <c r="K40" i="209"/>
  <c r="K26" i="209"/>
  <c r="K20" i="209"/>
  <c r="K24" i="209"/>
  <c r="H51" i="209"/>
  <c r="K19" i="209"/>
  <c r="K25" i="209"/>
  <c r="K30" i="209"/>
  <c r="K29" i="209"/>
  <c r="K47" i="209"/>
  <c r="K34" i="209"/>
  <c r="K35" i="209"/>
  <c r="K48" i="209"/>
  <c r="H45" i="46"/>
  <c r="I45" i="46" s="1"/>
  <c r="H45" i="180"/>
  <c r="I45" i="180" s="1"/>
  <c r="H50" i="47"/>
  <c r="I50" i="47" s="1"/>
  <c r="G51" i="4"/>
  <c r="K35" i="4" s="1"/>
  <c r="H49" i="4"/>
  <c r="I49" i="4" s="1"/>
  <c r="H34" i="47"/>
  <c r="I34" i="47" s="1"/>
  <c r="H43" i="46"/>
  <c r="I43" i="46" s="1"/>
  <c r="G44" i="180"/>
  <c r="H55" i="7"/>
  <c r="I38" i="218"/>
  <c r="I55" i="7" s="1"/>
  <c r="H50" i="180"/>
  <c r="I50" i="180" s="1"/>
  <c r="K48" i="4"/>
  <c r="H48" i="4"/>
  <c r="I48" i="4" s="1"/>
  <c r="J37" i="219"/>
  <c r="J24" i="219"/>
  <c r="J32" i="219"/>
  <c r="J13" i="219"/>
  <c r="J29" i="219"/>
  <c r="J26" i="219"/>
  <c r="J22" i="219"/>
  <c r="J33" i="219"/>
  <c r="J20" i="219"/>
  <c r="J28" i="219"/>
  <c r="J30" i="219"/>
  <c r="J25" i="219"/>
  <c r="J19" i="219"/>
  <c r="J31" i="219"/>
  <c r="J38" i="219"/>
  <c r="J21" i="219"/>
  <c r="J17" i="219"/>
  <c r="J15" i="219"/>
  <c r="J18" i="219"/>
  <c r="J14" i="219"/>
  <c r="H38" i="219"/>
  <c r="J16" i="219"/>
  <c r="J23" i="219"/>
  <c r="J27" i="219"/>
  <c r="J34" i="219"/>
  <c r="J35" i="219"/>
  <c r="H35" i="180"/>
  <c r="I35" i="180" s="1"/>
  <c r="H44" i="4"/>
  <c r="I44" i="4" s="1"/>
  <c r="G46" i="4"/>
  <c r="J35" i="4" s="1"/>
  <c r="H35" i="46"/>
  <c r="I35" i="46" s="1"/>
  <c r="H54" i="7"/>
  <c r="I38" i="216"/>
  <c r="I54" i="7" s="1"/>
  <c r="H35" i="4"/>
  <c r="I35" i="4" s="1"/>
  <c r="H48" i="180"/>
  <c r="I48" i="180" s="1"/>
  <c r="H50" i="4"/>
  <c r="I50" i="4" s="1"/>
  <c r="G46" i="47"/>
  <c r="J45" i="47" s="1"/>
  <c r="H44" i="47"/>
  <c r="I44" i="47" s="1"/>
  <c r="K37" i="211"/>
  <c r="K22" i="211"/>
  <c r="K31" i="211"/>
  <c r="K24" i="211"/>
  <c r="K51" i="211"/>
  <c r="K23" i="211"/>
  <c r="K39" i="211"/>
  <c r="K28" i="211"/>
  <c r="K15" i="211"/>
  <c r="K36" i="211"/>
  <c r="K17" i="211"/>
  <c r="K41" i="211"/>
  <c r="K18" i="211"/>
  <c r="K26" i="211"/>
  <c r="K27" i="211"/>
  <c r="K33" i="211"/>
  <c r="K38" i="211"/>
  <c r="K20" i="211"/>
  <c r="K32" i="211"/>
  <c r="K21" i="211"/>
  <c r="K40" i="211"/>
  <c r="K16" i="211"/>
  <c r="H51" i="211"/>
  <c r="K19" i="211"/>
  <c r="K25" i="211"/>
  <c r="K47" i="211"/>
  <c r="K30" i="211"/>
  <c r="K29" i="211"/>
  <c r="K34" i="211"/>
  <c r="K35" i="211"/>
  <c r="K48" i="211"/>
  <c r="K50" i="211"/>
  <c r="G51" i="46"/>
  <c r="K50" i="46" s="1"/>
  <c r="H49" i="46"/>
  <c r="I49" i="46" s="1"/>
  <c r="H45" i="4"/>
  <c r="I45" i="4" s="1"/>
  <c r="J45" i="209"/>
  <c r="J39" i="209"/>
  <c r="J24" i="209"/>
  <c r="J37" i="209"/>
  <c r="J21" i="209"/>
  <c r="J18" i="209"/>
  <c r="J32" i="209"/>
  <c r="J38" i="209"/>
  <c r="J14" i="209"/>
  <c r="J13" i="209"/>
  <c r="J33" i="209"/>
  <c r="J28" i="209"/>
  <c r="J40" i="209"/>
  <c r="J12" i="209"/>
  <c r="J36" i="209"/>
  <c r="J31" i="209"/>
  <c r="J20" i="209"/>
  <c r="J26" i="209"/>
  <c r="J41" i="209"/>
  <c r="J22" i="209"/>
  <c r="J46" i="209"/>
  <c r="J23" i="209"/>
  <c r="J27" i="209"/>
  <c r="H46" i="209"/>
  <c r="I46" i="209" s="1"/>
  <c r="J19" i="209"/>
  <c r="J25" i="209"/>
  <c r="J30" i="209"/>
  <c r="J29" i="209"/>
  <c r="J42" i="209"/>
  <c r="J34" i="209"/>
  <c r="J35" i="209"/>
  <c r="J43" i="209"/>
  <c r="H43" i="47"/>
  <c r="I43" i="47" s="1"/>
  <c r="J45" i="208"/>
  <c r="J27" i="208"/>
  <c r="J32" i="208"/>
  <c r="J13" i="208"/>
  <c r="J14" i="208"/>
  <c r="J33" i="208"/>
  <c r="J21" i="208"/>
  <c r="J31" i="208"/>
  <c r="J41" i="208"/>
  <c r="J22" i="208"/>
  <c r="J38" i="208"/>
  <c r="J26" i="208"/>
  <c r="J36" i="208"/>
  <c r="J12" i="208"/>
  <c r="J37" i="208"/>
  <c r="J39" i="208"/>
  <c r="J46" i="208"/>
  <c r="J23" i="208"/>
  <c r="J18" i="208"/>
  <c r="J28" i="208"/>
  <c r="J20" i="208"/>
  <c r="J24" i="208"/>
  <c r="J40" i="208"/>
  <c r="H46" i="208"/>
  <c r="I46" i="208" s="1"/>
  <c r="J19" i="208"/>
  <c r="J25" i="208"/>
  <c r="J42" i="208"/>
  <c r="J30" i="208"/>
  <c r="J29" i="208"/>
  <c r="J43" i="208"/>
  <c r="J34" i="208"/>
  <c r="J35" i="208"/>
  <c r="K50" i="208"/>
  <c r="K32" i="208"/>
  <c r="K38" i="208"/>
  <c r="K51" i="208"/>
  <c r="K37" i="208"/>
  <c r="K41" i="208"/>
  <c r="K23" i="208"/>
  <c r="K24" i="208"/>
  <c r="K22" i="208"/>
  <c r="K20" i="208"/>
  <c r="K39" i="208"/>
  <c r="K26" i="208"/>
  <c r="K31" i="208"/>
  <c r="K33" i="208"/>
  <c r="K18" i="208"/>
  <c r="K16" i="208"/>
  <c r="K21" i="208"/>
  <c r="K36" i="208"/>
  <c r="K15" i="208"/>
  <c r="K17" i="208"/>
  <c r="K40" i="208"/>
  <c r="K27" i="208"/>
  <c r="K28" i="208"/>
  <c r="H51" i="208"/>
  <c r="K19" i="208"/>
  <c r="K25" i="208"/>
  <c r="K30" i="208"/>
  <c r="K29" i="208"/>
  <c r="K47" i="208"/>
  <c r="K48" i="208"/>
  <c r="K34" i="208"/>
  <c r="K35" i="208"/>
  <c r="H35" i="47"/>
  <c r="I35" i="47" s="1"/>
  <c r="J35" i="47"/>
  <c r="H34" i="46"/>
  <c r="I34" i="46" s="1"/>
  <c r="G49" i="47"/>
  <c r="H34" i="180"/>
  <c r="I34" i="180" s="1"/>
  <c r="G49" i="180"/>
  <c r="J45" i="210"/>
  <c r="J21" i="210"/>
  <c r="J22" i="210"/>
  <c r="J39" i="210"/>
  <c r="J46" i="210"/>
  <c r="J20" i="210"/>
  <c r="J26" i="210"/>
  <c r="J41" i="210"/>
  <c r="J23" i="210"/>
  <c r="J12" i="210"/>
  <c r="J13" i="210"/>
  <c r="J24" i="210"/>
  <c r="J27" i="210"/>
  <c r="J32" i="210"/>
  <c r="J31" i="210"/>
  <c r="J28" i="210"/>
  <c r="J37" i="210"/>
  <c r="J38" i="210"/>
  <c r="J14" i="210"/>
  <c r="J36" i="210"/>
  <c r="J18" i="210"/>
  <c r="J40" i="210"/>
  <c r="J33" i="210"/>
  <c r="H46" i="210"/>
  <c r="I46" i="210" s="1"/>
  <c r="J19" i="210"/>
  <c r="J25" i="210"/>
  <c r="J42" i="210"/>
  <c r="J30" i="210"/>
  <c r="J29" i="210"/>
  <c r="J43" i="210"/>
  <c r="J34" i="210"/>
  <c r="J35" i="210"/>
  <c r="H45" i="47"/>
  <c r="I45" i="47" s="1"/>
  <c r="K49" i="211"/>
  <c r="H50" i="46"/>
  <c r="I50" i="46" s="1"/>
  <c r="H43" i="4"/>
  <c r="I43" i="4" s="1"/>
  <c r="K49" i="209"/>
  <c r="G44" i="46"/>
  <c r="K50" i="210"/>
  <c r="K26" i="210"/>
  <c r="K21" i="210"/>
  <c r="K22" i="210"/>
  <c r="K51" i="210"/>
  <c r="K39" i="210"/>
  <c r="K20" i="210"/>
  <c r="H51" i="210"/>
  <c r="K24" i="210"/>
  <c r="K15" i="210"/>
  <c r="K16" i="210"/>
  <c r="K17" i="210"/>
  <c r="K23" i="210"/>
  <c r="K41" i="210"/>
  <c r="K28" i="210"/>
  <c r="K37" i="210"/>
  <c r="K18" i="210"/>
  <c r="K38" i="210"/>
  <c r="K27" i="210"/>
  <c r="K32" i="210"/>
  <c r="K31" i="210"/>
  <c r="K36" i="210"/>
  <c r="K33" i="210"/>
  <c r="K40" i="210"/>
  <c r="K19" i="210"/>
  <c r="K25" i="210"/>
  <c r="K30" i="210"/>
  <c r="K47" i="210"/>
  <c r="K29" i="210"/>
  <c r="K48" i="210"/>
  <c r="K35" i="210"/>
  <c r="K34" i="210"/>
  <c r="J43" i="4" l="1"/>
  <c r="J45" i="4"/>
  <c r="J43" i="47"/>
  <c r="J44" i="47"/>
  <c r="K50" i="4"/>
  <c r="G51" i="47"/>
  <c r="H49" i="47"/>
  <c r="I49" i="47" s="1"/>
  <c r="I38" i="219"/>
  <c r="I56" i="7" s="1"/>
  <c r="H56" i="7"/>
  <c r="K48" i="46"/>
  <c r="K16" i="46"/>
  <c r="K38" i="46"/>
  <c r="K26" i="46"/>
  <c r="K40" i="46"/>
  <c r="K15" i="46"/>
  <c r="K20" i="46"/>
  <c r="K22" i="46"/>
  <c r="K33" i="46"/>
  <c r="K17" i="46"/>
  <c r="K31" i="46"/>
  <c r="K28" i="46"/>
  <c r="H51" i="46"/>
  <c r="K37" i="46"/>
  <c r="K41" i="46"/>
  <c r="K27" i="46"/>
  <c r="K32" i="46"/>
  <c r="K21" i="46"/>
  <c r="K18" i="46"/>
  <c r="K23" i="46"/>
  <c r="K36" i="46"/>
  <c r="K24" i="46"/>
  <c r="K51" i="46"/>
  <c r="K39" i="46"/>
  <c r="K19" i="46"/>
  <c r="K25" i="46"/>
  <c r="K47" i="46"/>
  <c r="K30" i="46"/>
  <c r="K29" i="46"/>
  <c r="J24" i="4"/>
  <c r="J26" i="4"/>
  <c r="J36" i="4"/>
  <c r="J40" i="4"/>
  <c r="J27" i="4"/>
  <c r="J12" i="4"/>
  <c r="J14" i="4"/>
  <c r="J18" i="4"/>
  <c r="J37" i="4"/>
  <c r="J13" i="4"/>
  <c r="J41" i="4"/>
  <c r="H46" i="4"/>
  <c r="I46" i="4" s="1"/>
  <c r="J32" i="4"/>
  <c r="J46" i="4"/>
  <c r="J20" i="4"/>
  <c r="J38" i="4"/>
  <c r="J39" i="4"/>
  <c r="J33" i="4"/>
  <c r="J21" i="4"/>
  <c r="J23" i="4"/>
  <c r="J22" i="4"/>
  <c r="J31" i="4"/>
  <c r="J28" i="4"/>
  <c r="J19" i="4"/>
  <c r="J25" i="4"/>
  <c r="J42" i="4"/>
  <c r="J29" i="4"/>
  <c r="J30" i="4"/>
  <c r="I51" i="209"/>
  <c r="I51" i="7" s="1"/>
  <c r="H51" i="7"/>
  <c r="J34" i="4"/>
  <c r="K34" i="46"/>
  <c r="K49" i="4"/>
  <c r="K22" i="4"/>
  <c r="K32" i="4"/>
  <c r="K40" i="4"/>
  <c r="K31" i="4"/>
  <c r="K23" i="4"/>
  <c r="H51" i="4"/>
  <c r="K26" i="4"/>
  <c r="K18" i="4"/>
  <c r="K28" i="4"/>
  <c r="K33" i="4"/>
  <c r="K51" i="4"/>
  <c r="K41" i="4"/>
  <c r="K24" i="4"/>
  <c r="K17" i="4"/>
  <c r="K20" i="4"/>
  <c r="K21" i="4"/>
  <c r="K16" i="4"/>
  <c r="K27" i="4"/>
  <c r="K15" i="4"/>
  <c r="K37" i="4"/>
  <c r="K36" i="4"/>
  <c r="K39" i="4"/>
  <c r="K38" i="4"/>
  <c r="K19" i="4"/>
  <c r="K25" i="4"/>
  <c r="K29" i="4"/>
  <c r="K30" i="4"/>
  <c r="K47" i="4"/>
  <c r="K34" i="4"/>
  <c r="H49" i="180"/>
  <c r="I49" i="180" s="1"/>
  <c r="G51" i="180"/>
  <c r="F19" i="212"/>
  <c r="G19" i="212" s="1"/>
  <c r="F19" i="215"/>
  <c r="G19" i="215" s="1"/>
  <c r="F19" i="214"/>
  <c r="G19" i="214" s="1"/>
  <c r="F19" i="213"/>
  <c r="G19" i="213" s="1"/>
  <c r="F16" i="223"/>
  <c r="G16" i="223" s="1"/>
  <c r="F16" i="220"/>
  <c r="G16" i="220" s="1"/>
  <c r="F16" i="222"/>
  <c r="G16" i="222" s="1"/>
  <c r="I51" i="210"/>
  <c r="I52" i="7" s="1"/>
  <c r="H52" i="7"/>
  <c r="G46" i="46"/>
  <c r="J44" i="46" s="1"/>
  <c r="H44" i="46"/>
  <c r="I44" i="46" s="1"/>
  <c r="I51" i="208"/>
  <c r="I50" i="7" s="1"/>
  <c r="H50" i="7"/>
  <c r="K49" i="46"/>
  <c r="I51" i="211"/>
  <c r="I53" i="7" s="1"/>
  <c r="H53" i="7"/>
  <c r="J18" i="47"/>
  <c r="J27" i="47"/>
  <c r="J22" i="47"/>
  <c r="J23" i="47"/>
  <c r="J46" i="47"/>
  <c r="H46" i="47"/>
  <c r="I46" i="47" s="1"/>
  <c r="J36" i="47"/>
  <c r="J12" i="47"/>
  <c r="J40" i="47"/>
  <c r="J31" i="47"/>
  <c r="J28" i="47"/>
  <c r="J20" i="47"/>
  <c r="J13" i="47"/>
  <c r="J32" i="47"/>
  <c r="J39" i="47"/>
  <c r="J26" i="47"/>
  <c r="J37" i="47"/>
  <c r="J41" i="47"/>
  <c r="J33" i="47"/>
  <c r="J21" i="47"/>
  <c r="J38" i="47"/>
  <c r="J24" i="47"/>
  <c r="J14" i="47"/>
  <c r="J19" i="47"/>
  <c r="J25" i="47"/>
  <c r="J29" i="47"/>
  <c r="J30" i="47"/>
  <c r="J42" i="47"/>
  <c r="K35" i="46"/>
  <c r="J44" i="4"/>
  <c r="G46" i="180"/>
  <c r="H44" i="180"/>
  <c r="I44" i="180" s="1"/>
  <c r="J34" i="47"/>
  <c r="G25" i="212" l="1"/>
  <c r="H19" i="212"/>
  <c r="I19" i="212" s="1"/>
  <c r="J36" i="180"/>
  <c r="J32" i="180"/>
  <c r="J20" i="180"/>
  <c r="J14" i="180"/>
  <c r="J18" i="180"/>
  <c r="J41" i="180"/>
  <c r="J38" i="180"/>
  <c r="J23" i="180"/>
  <c r="J37" i="180"/>
  <c r="J24" i="180"/>
  <c r="J22" i="180"/>
  <c r="J21" i="180"/>
  <c r="J39" i="180"/>
  <c r="J31" i="180"/>
  <c r="J13" i="180"/>
  <c r="J40" i="180"/>
  <c r="J28" i="180"/>
  <c r="H46" i="180"/>
  <c r="I46" i="180" s="1"/>
  <c r="J33" i="180"/>
  <c r="J46" i="180"/>
  <c r="J26" i="180"/>
  <c r="J12" i="180"/>
  <c r="J27" i="180"/>
  <c r="J19" i="180"/>
  <c r="J25" i="180"/>
  <c r="J30" i="180"/>
  <c r="J42" i="180"/>
  <c r="J29" i="180"/>
  <c r="J35" i="180"/>
  <c r="J43" i="180"/>
  <c r="J45" i="180"/>
  <c r="J34" i="180"/>
  <c r="K49" i="180"/>
  <c r="K38" i="180"/>
  <c r="K28" i="180"/>
  <c r="K18" i="180"/>
  <c r="K51" i="180"/>
  <c r="K40" i="180"/>
  <c r="H51" i="180"/>
  <c r="K33" i="180"/>
  <c r="K22" i="180"/>
  <c r="K27" i="180"/>
  <c r="K23" i="180"/>
  <c r="K32" i="180"/>
  <c r="K21" i="180"/>
  <c r="K37" i="180"/>
  <c r="K15" i="180"/>
  <c r="K16" i="180"/>
  <c r="K31" i="180"/>
  <c r="K26" i="180"/>
  <c r="K17" i="180"/>
  <c r="K39" i="180"/>
  <c r="K20" i="180"/>
  <c r="K24" i="180"/>
  <c r="K41" i="180"/>
  <c r="K36" i="180"/>
  <c r="K19" i="180"/>
  <c r="K25" i="180"/>
  <c r="K29" i="180"/>
  <c r="K47" i="180"/>
  <c r="K30" i="180"/>
  <c r="K48" i="180"/>
  <c r="K34" i="180"/>
  <c r="K50" i="180"/>
  <c r="K35" i="180"/>
  <c r="I51" i="46"/>
  <c r="I3" i="7" s="1"/>
  <c r="H3" i="7"/>
  <c r="F16" i="5"/>
  <c r="G16" i="5" s="1"/>
  <c r="H16" i="222"/>
  <c r="I16" i="222" s="1"/>
  <c r="G23" i="222"/>
  <c r="H19" i="214"/>
  <c r="I19" i="214" s="1"/>
  <c r="G25" i="214"/>
  <c r="H2" i="7"/>
  <c r="I51" i="4"/>
  <c r="I2" i="7" s="1"/>
  <c r="G23" i="223"/>
  <c r="H16" i="223"/>
  <c r="I16" i="223" s="1"/>
  <c r="K49" i="47"/>
  <c r="K32" i="47"/>
  <c r="K21" i="47"/>
  <c r="K33" i="47"/>
  <c r="K37" i="47"/>
  <c r="K23" i="47"/>
  <c r="K39" i="47"/>
  <c r="K31" i="47"/>
  <c r="K27" i="47"/>
  <c r="K16" i="47"/>
  <c r="K24" i="47"/>
  <c r="K36" i="47"/>
  <c r="K41" i="47"/>
  <c r="K15" i="47"/>
  <c r="K38" i="47"/>
  <c r="K28" i="47"/>
  <c r="K20" i="47"/>
  <c r="K51" i="47"/>
  <c r="K22" i="47"/>
  <c r="K26" i="47"/>
  <c r="K40" i="47"/>
  <c r="K18" i="47"/>
  <c r="K17" i="47"/>
  <c r="H51" i="47"/>
  <c r="K19" i="47"/>
  <c r="K25" i="47"/>
  <c r="K29" i="47"/>
  <c r="K30" i="47"/>
  <c r="K47" i="47"/>
  <c r="K50" i="47"/>
  <c r="K48" i="47"/>
  <c r="K34" i="47"/>
  <c r="K35" i="47"/>
  <c r="H19" i="213"/>
  <c r="I19" i="213" s="1"/>
  <c r="G25" i="213"/>
  <c r="F15" i="67"/>
  <c r="G15" i="67" s="1"/>
  <c r="F19" i="50"/>
  <c r="G19" i="50" s="1"/>
  <c r="F19" i="182"/>
  <c r="G19" i="182" s="1"/>
  <c r="F19" i="48"/>
  <c r="G19" i="48" s="1"/>
  <c r="F19" i="49"/>
  <c r="G19" i="49" s="1"/>
  <c r="J44" i="180"/>
  <c r="J21" i="46"/>
  <c r="J31" i="46"/>
  <c r="J33" i="46"/>
  <c r="J13" i="46"/>
  <c r="J46" i="46"/>
  <c r="J12" i="46"/>
  <c r="J28" i="46"/>
  <c r="J39" i="46"/>
  <c r="J26" i="46"/>
  <c r="J23" i="46"/>
  <c r="J37" i="46"/>
  <c r="J40" i="46"/>
  <c r="J24" i="46"/>
  <c r="J36" i="46"/>
  <c r="J18" i="46"/>
  <c r="J27" i="46"/>
  <c r="J38" i="46"/>
  <c r="J20" i="46"/>
  <c r="J14" i="46"/>
  <c r="J32" i="46"/>
  <c r="J41" i="46"/>
  <c r="J22" i="46"/>
  <c r="H46" i="46"/>
  <c r="I46" i="46" s="1"/>
  <c r="J19" i="46"/>
  <c r="J25" i="46"/>
  <c r="J29" i="46"/>
  <c r="J42" i="46"/>
  <c r="J30" i="46"/>
  <c r="J45" i="46"/>
  <c r="J34" i="46"/>
  <c r="J35" i="46"/>
  <c r="J43" i="46"/>
  <c r="H16" i="220"/>
  <c r="I16" i="220" s="1"/>
  <c r="G23" i="220"/>
  <c r="G25" i="215"/>
  <c r="H19" i="215"/>
  <c r="I19" i="215" s="1"/>
  <c r="F19" i="203"/>
  <c r="G19" i="203" s="1"/>
  <c r="F19" i="200"/>
  <c r="G19" i="200" s="1"/>
  <c r="F19" i="202"/>
  <c r="G19" i="202" s="1"/>
  <c r="F19" i="201"/>
  <c r="G19" i="201" s="1"/>
  <c r="F15" i="65" l="1"/>
  <c r="G15" i="65" s="1"/>
  <c r="F16" i="171"/>
  <c r="G16" i="171" s="1"/>
  <c r="F15" i="68"/>
  <c r="G15" i="68" s="1"/>
  <c r="F15" i="175"/>
  <c r="G15" i="175" s="1"/>
  <c r="F15" i="70"/>
  <c r="G15" i="70" s="1"/>
  <c r="F19" i="70"/>
  <c r="G19" i="70" s="1"/>
  <c r="H19" i="70" s="1"/>
  <c r="I19" i="70" s="1"/>
  <c r="F19" i="68"/>
  <c r="G19" i="68" s="1"/>
  <c r="H19" i="68" s="1"/>
  <c r="I19" i="68" s="1"/>
  <c r="F19" i="175"/>
  <c r="G19" i="175" s="1"/>
  <c r="H19" i="175" s="1"/>
  <c r="I19" i="175" s="1"/>
  <c r="G34" i="220"/>
  <c r="G27" i="220"/>
  <c r="H23" i="220"/>
  <c r="G27" i="222"/>
  <c r="G34" i="222"/>
  <c r="H23" i="222"/>
  <c r="H19" i="182"/>
  <c r="I19" i="182" s="1"/>
  <c r="H25" i="214"/>
  <c r="G29" i="214"/>
  <c r="G30" i="214"/>
  <c r="G42" i="214"/>
  <c r="G47" i="214"/>
  <c r="I51" i="180"/>
  <c r="I4" i="7" s="1"/>
  <c r="H4" i="7"/>
  <c r="F19" i="174"/>
  <c r="G19" i="174" s="1"/>
  <c r="F15" i="174"/>
  <c r="G15" i="174" s="1"/>
  <c r="H15" i="174" s="1"/>
  <c r="I15" i="174" s="1"/>
  <c r="F16" i="72"/>
  <c r="G16" i="72" s="1"/>
  <c r="G23" i="72" s="1"/>
  <c r="G47" i="215"/>
  <c r="G42" i="215"/>
  <c r="G30" i="215"/>
  <c r="G29" i="215"/>
  <c r="H25" i="215"/>
  <c r="H19" i="50"/>
  <c r="I19" i="50" s="1"/>
  <c r="H5" i="7"/>
  <c r="I51" i="47"/>
  <c r="I5" i="7" s="1"/>
  <c r="H19" i="48"/>
  <c r="I19" i="48" s="1"/>
  <c r="G27" i="223"/>
  <c r="G34" i="223"/>
  <c r="H23" i="223"/>
  <c r="H19" i="49"/>
  <c r="I19" i="49" s="1"/>
  <c r="G30" i="213"/>
  <c r="G42" i="213"/>
  <c r="H25" i="213"/>
  <c r="G29" i="213"/>
  <c r="G47" i="213"/>
  <c r="G30" i="212"/>
  <c r="H25" i="212"/>
  <c r="G42" i="212"/>
  <c r="G29" i="212"/>
  <c r="G47" i="212"/>
  <c r="H15" i="65"/>
  <c r="I15" i="65" s="1"/>
  <c r="F19" i="60"/>
  <c r="G19" i="60" s="1"/>
  <c r="F19" i="183"/>
  <c r="G19" i="183" s="1"/>
  <c r="F19" i="61"/>
  <c r="G19" i="61" s="1"/>
  <c r="F19" i="62"/>
  <c r="G19" i="62" s="1"/>
  <c r="F19" i="53"/>
  <c r="G19" i="53" s="1"/>
  <c r="F19" i="181"/>
  <c r="G19" i="181" s="1"/>
  <c r="F19" i="51"/>
  <c r="G19" i="51" s="1"/>
  <c r="F19" i="52"/>
  <c r="G19" i="52" s="1"/>
  <c r="F19" i="168"/>
  <c r="G19" i="168" s="1"/>
  <c r="F19" i="56"/>
  <c r="G19" i="56" s="1"/>
  <c r="F19" i="54"/>
  <c r="G19" i="54" s="1"/>
  <c r="H19" i="201"/>
  <c r="I19" i="201" s="1"/>
  <c r="F19" i="206"/>
  <c r="G19" i="206" s="1"/>
  <c r="F19" i="205"/>
  <c r="G19" i="205" s="1"/>
  <c r="F19" i="204"/>
  <c r="G19" i="204" s="1"/>
  <c r="F19" i="207"/>
  <c r="G19" i="207" s="1"/>
  <c r="H19" i="200"/>
  <c r="I19" i="200" s="1"/>
  <c r="F20" i="76"/>
  <c r="G20" i="76" s="1"/>
  <c r="F20" i="172"/>
  <c r="G20" i="172" s="1"/>
  <c r="F20" i="78"/>
  <c r="G20" i="78" s="1"/>
  <c r="H19" i="203"/>
  <c r="I19" i="203" s="1"/>
  <c r="H16" i="171"/>
  <c r="I16" i="171" s="1"/>
  <c r="F16" i="170"/>
  <c r="G16" i="170" s="1"/>
  <c r="F16" i="73"/>
  <c r="G16" i="73" s="1"/>
  <c r="F16" i="75"/>
  <c r="G16" i="75" s="1"/>
  <c r="F15" i="25"/>
  <c r="G15" i="25" s="1"/>
  <c r="F15" i="64"/>
  <c r="G15" i="64" s="1"/>
  <c r="F15" i="169"/>
  <c r="G15" i="169" s="1"/>
  <c r="F19" i="57"/>
  <c r="G19" i="57" s="1"/>
  <c r="F19" i="59"/>
  <c r="G19" i="59" s="1"/>
  <c r="F19" i="184"/>
  <c r="G19" i="184" s="1"/>
  <c r="F19" i="58"/>
  <c r="G19" i="58" s="1"/>
  <c r="H19" i="202"/>
  <c r="I19" i="202" s="1"/>
  <c r="H15" i="67"/>
  <c r="I15" i="67" s="1"/>
  <c r="H16" i="5"/>
  <c r="I16" i="5" s="1"/>
  <c r="H16" i="72" l="1"/>
  <c r="I16" i="72" s="1"/>
  <c r="F19" i="65"/>
  <c r="G19" i="65" s="1"/>
  <c r="G22" i="65" s="1"/>
  <c r="G24" i="65" s="1"/>
  <c r="F19" i="67"/>
  <c r="G19" i="67" s="1"/>
  <c r="G22" i="67" s="1"/>
  <c r="G24" i="67" s="1"/>
  <c r="H15" i="70"/>
  <c r="I15" i="70" s="1"/>
  <c r="G22" i="70"/>
  <c r="H15" i="175"/>
  <c r="I15" i="175" s="1"/>
  <c r="G22" i="175"/>
  <c r="G22" i="68"/>
  <c r="H15" i="68"/>
  <c r="I15" i="68" s="1"/>
  <c r="G45" i="213"/>
  <c r="H45" i="213" s="1"/>
  <c r="I45" i="213" s="1"/>
  <c r="G43" i="213"/>
  <c r="H42" i="213"/>
  <c r="I42" i="213" s="1"/>
  <c r="I23" i="220"/>
  <c r="G65" i="7" s="1"/>
  <c r="F65" i="7"/>
  <c r="G50" i="213"/>
  <c r="G48" i="213"/>
  <c r="H47" i="213"/>
  <c r="I47" i="213" s="1"/>
  <c r="G37" i="223"/>
  <c r="H37" i="223" s="1"/>
  <c r="I37" i="223" s="1"/>
  <c r="G35" i="223"/>
  <c r="H34" i="223"/>
  <c r="I34" i="223" s="1"/>
  <c r="G45" i="215"/>
  <c r="G43" i="215"/>
  <c r="G44" i="215" s="1"/>
  <c r="H42" i="215"/>
  <c r="I42" i="215" s="1"/>
  <c r="G50" i="214"/>
  <c r="H50" i="214" s="1"/>
  <c r="I50" i="214" s="1"/>
  <c r="G48" i="214"/>
  <c r="H47" i="214"/>
  <c r="I47" i="214" s="1"/>
  <c r="H30" i="214"/>
  <c r="I30" i="214" s="1"/>
  <c r="G35" i="214"/>
  <c r="G22" i="174"/>
  <c r="H22" i="174" s="1"/>
  <c r="I25" i="212"/>
  <c r="G61" i="7" s="1"/>
  <c r="F61" i="7"/>
  <c r="H29" i="213"/>
  <c r="I29" i="213" s="1"/>
  <c r="G34" i="213"/>
  <c r="H27" i="223"/>
  <c r="I27" i="223" s="1"/>
  <c r="I25" i="215"/>
  <c r="G64" i="7" s="1"/>
  <c r="F64" i="7"/>
  <c r="G50" i="215"/>
  <c r="G48" i="215"/>
  <c r="H47" i="215"/>
  <c r="I47" i="215" s="1"/>
  <c r="G45" i="214"/>
  <c r="G43" i="214"/>
  <c r="H42" i="214"/>
  <c r="I42" i="214" s="1"/>
  <c r="G34" i="214"/>
  <c r="H29" i="214"/>
  <c r="I29" i="214" s="1"/>
  <c r="G37" i="222"/>
  <c r="G35" i="222"/>
  <c r="H34" i="222"/>
  <c r="I34" i="222" s="1"/>
  <c r="H27" i="220"/>
  <c r="I27" i="220" s="1"/>
  <c r="F23" i="48"/>
  <c r="G23" i="48" s="1"/>
  <c r="F23" i="49"/>
  <c r="G23" i="49" s="1"/>
  <c r="F23" i="50"/>
  <c r="G23" i="50" s="1"/>
  <c r="F23" i="182"/>
  <c r="G23" i="182" s="1"/>
  <c r="H29" i="212"/>
  <c r="I29" i="212" s="1"/>
  <c r="G34" i="212"/>
  <c r="I23" i="223"/>
  <c r="G67" i="7" s="1"/>
  <c r="F67" i="7"/>
  <c r="H30" i="215"/>
  <c r="I30" i="215" s="1"/>
  <c r="G35" i="215"/>
  <c r="I23" i="222"/>
  <c r="G66" i="7" s="1"/>
  <c r="F66" i="7"/>
  <c r="G45" i="212"/>
  <c r="G43" i="212"/>
  <c r="H42" i="212"/>
  <c r="I42" i="212" s="1"/>
  <c r="G35" i="213"/>
  <c r="H30" i="213"/>
  <c r="I30" i="213" s="1"/>
  <c r="G50" i="212"/>
  <c r="H50" i="212" s="1"/>
  <c r="I50" i="212" s="1"/>
  <c r="G48" i="212"/>
  <c r="G49" i="212" s="1"/>
  <c r="H47" i="212"/>
  <c r="I47" i="212" s="1"/>
  <c r="H30" i="212"/>
  <c r="I30" i="212" s="1"/>
  <c r="G35" i="212"/>
  <c r="I25" i="213"/>
  <c r="G62" i="7" s="1"/>
  <c r="F62" i="7"/>
  <c r="G34" i="215"/>
  <c r="H29" i="215"/>
  <c r="I29" i="215" s="1"/>
  <c r="I25" i="214"/>
  <c r="G63" i="7" s="1"/>
  <c r="F63" i="7"/>
  <c r="H27" i="222"/>
  <c r="I27" i="222" s="1"/>
  <c r="G37" i="220"/>
  <c r="G35" i="220"/>
  <c r="G36" i="220" s="1"/>
  <c r="H34" i="220"/>
  <c r="I34" i="220" s="1"/>
  <c r="F23" i="205"/>
  <c r="G23" i="205" s="1"/>
  <c r="F23" i="207"/>
  <c r="G23" i="207" s="1"/>
  <c r="G25" i="207" s="1"/>
  <c r="F23" i="206"/>
  <c r="G23" i="206" s="1"/>
  <c r="F23" i="204"/>
  <c r="G23" i="204" s="1"/>
  <c r="F20" i="73"/>
  <c r="G20" i="73" s="1"/>
  <c r="G23" i="73" s="1"/>
  <c r="F20" i="170"/>
  <c r="G20" i="170" s="1"/>
  <c r="G23" i="170" s="1"/>
  <c r="H19" i="184"/>
  <c r="I19" i="184" s="1"/>
  <c r="H15" i="64"/>
  <c r="I15" i="64" s="1"/>
  <c r="G23" i="78"/>
  <c r="H20" i="78"/>
  <c r="I20" i="78" s="1"/>
  <c r="F23" i="57"/>
  <c r="G23" i="57" s="1"/>
  <c r="F23" i="58"/>
  <c r="G23" i="58" s="1"/>
  <c r="F23" i="184"/>
  <c r="G23" i="184" s="1"/>
  <c r="G25" i="184" s="1"/>
  <c r="F23" i="59"/>
  <c r="G23" i="59" s="1"/>
  <c r="G25" i="59" s="1"/>
  <c r="F19" i="169"/>
  <c r="G19" i="169" s="1"/>
  <c r="F19" i="64"/>
  <c r="G19" i="64" s="1"/>
  <c r="F19" i="25"/>
  <c r="G19" i="25" s="1"/>
  <c r="H19" i="57"/>
  <c r="I19" i="57" s="1"/>
  <c r="H16" i="75"/>
  <c r="I16" i="75" s="1"/>
  <c r="G23" i="75"/>
  <c r="G23" i="76"/>
  <c r="H20" i="76"/>
  <c r="I20" i="76" s="1"/>
  <c r="H19" i="206"/>
  <c r="I19" i="206" s="1"/>
  <c r="H19" i="168"/>
  <c r="I19" i="168" s="1"/>
  <c r="H19" i="53"/>
  <c r="I19" i="53" s="1"/>
  <c r="H19" i="60"/>
  <c r="I19" i="60" s="1"/>
  <c r="F23" i="203"/>
  <c r="G23" i="203" s="1"/>
  <c r="F23" i="201"/>
  <c r="G23" i="201" s="1"/>
  <c r="F23" i="200"/>
  <c r="G23" i="200" s="1"/>
  <c r="F23" i="202"/>
  <c r="G23" i="202" s="1"/>
  <c r="H19" i="58"/>
  <c r="I19" i="58" s="1"/>
  <c r="H15" i="169"/>
  <c r="I15" i="169" s="1"/>
  <c r="H16" i="73"/>
  <c r="I16" i="73" s="1"/>
  <c r="H19" i="207"/>
  <c r="I19" i="207" s="1"/>
  <c r="H19" i="174"/>
  <c r="I19" i="174" s="1"/>
  <c r="H19" i="52"/>
  <c r="I19" i="52" s="1"/>
  <c r="H19" i="62"/>
  <c r="I19" i="62" s="1"/>
  <c r="F23" i="62"/>
  <c r="G23" i="62" s="1"/>
  <c r="G25" i="62" s="1"/>
  <c r="F23" i="61"/>
  <c r="G23" i="61" s="1"/>
  <c r="F23" i="60"/>
  <c r="G23" i="60" s="1"/>
  <c r="F23" i="183"/>
  <c r="G23" i="183" s="1"/>
  <c r="G25" i="183" s="1"/>
  <c r="H16" i="170"/>
  <c r="I16" i="170" s="1"/>
  <c r="H19" i="204"/>
  <c r="I19" i="204" s="1"/>
  <c r="H19" i="54"/>
  <c r="I19" i="54" s="1"/>
  <c r="H19" i="51"/>
  <c r="I19" i="51" s="1"/>
  <c r="H19" i="61"/>
  <c r="I19" i="61" s="1"/>
  <c r="H22" i="65"/>
  <c r="H19" i="59"/>
  <c r="I19" i="59" s="1"/>
  <c r="H15" i="25"/>
  <c r="I15" i="25" s="1"/>
  <c r="H20" i="172"/>
  <c r="I20" i="172" s="1"/>
  <c r="G23" i="172"/>
  <c r="H19" i="205"/>
  <c r="I19" i="205" s="1"/>
  <c r="H23" i="72"/>
  <c r="G27" i="72"/>
  <c r="G34" i="72"/>
  <c r="H19" i="67"/>
  <c r="I19" i="67" s="1"/>
  <c r="H19" i="56"/>
  <c r="I19" i="56" s="1"/>
  <c r="H19" i="181"/>
  <c r="I19" i="181" s="1"/>
  <c r="H19" i="183"/>
  <c r="I19" i="183" s="1"/>
  <c r="H22" i="67" l="1"/>
  <c r="H19" i="65"/>
  <c r="I19" i="65" s="1"/>
  <c r="G24" i="175"/>
  <c r="H22" i="175"/>
  <c r="H22" i="70"/>
  <c r="G24" i="70"/>
  <c r="G24" i="68"/>
  <c r="H22" i="68"/>
  <c r="H35" i="212"/>
  <c r="I35" i="212" s="1"/>
  <c r="G51" i="212"/>
  <c r="K35" i="212" s="1"/>
  <c r="H49" i="212"/>
  <c r="I49" i="212" s="1"/>
  <c r="H45" i="212"/>
  <c r="I45" i="212" s="1"/>
  <c r="H34" i="213"/>
  <c r="I34" i="213" s="1"/>
  <c r="H45" i="215"/>
  <c r="I45" i="215" s="1"/>
  <c r="H35" i="220"/>
  <c r="I35" i="220" s="1"/>
  <c r="H50" i="213"/>
  <c r="I50" i="213" s="1"/>
  <c r="G24" i="174"/>
  <c r="H24" i="174" s="1"/>
  <c r="I24" i="174" s="1"/>
  <c r="H37" i="220"/>
  <c r="I37" i="220" s="1"/>
  <c r="H34" i="215"/>
  <c r="I34" i="215" s="1"/>
  <c r="H35" i="215"/>
  <c r="I35" i="215" s="1"/>
  <c r="H34" i="212"/>
  <c r="I34" i="212" s="1"/>
  <c r="H23" i="49"/>
  <c r="I23" i="49" s="1"/>
  <c r="G25" i="49"/>
  <c r="G44" i="214"/>
  <c r="H43" i="214"/>
  <c r="I43" i="214" s="1"/>
  <c r="G49" i="215"/>
  <c r="H48" i="215"/>
  <c r="I48" i="215" s="1"/>
  <c r="H35" i="214"/>
  <c r="I35" i="214" s="1"/>
  <c r="G49" i="214"/>
  <c r="H48" i="214"/>
  <c r="I48" i="214" s="1"/>
  <c r="G46" i="215"/>
  <c r="J44" i="215" s="1"/>
  <c r="H44" i="215"/>
  <c r="I44" i="215" s="1"/>
  <c r="F16" i="173"/>
  <c r="G16" i="173" s="1"/>
  <c r="F16" i="81"/>
  <c r="G16" i="81" s="1"/>
  <c r="F16" i="79"/>
  <c r="G16" i="79" s="1"/>
  <c r="G44" i="213"/>
  <c r="H43" i="213"/>
  <c r="I43" i="213" s="1"/>
  <c r="G38" i="220"/>
  <c r="J37" i="220" s="1"/>
  <c r="H36" i="220"/>
  <c r="I36" i="220" s="1"/>
  <c r="H35" i="213"/>
  <c r="I35" i="213" s="1"/>
  <c r="H23" i="182"/>
  <c r="I23" i="182" s="1"/>
  <c r="G25" i="182"/>
  <c r="G36" i="222"/>
  <c r="H35" i="222"/>
  <c r="I35" i="222" s="1"/>
  <c r="H35" i="223"/>
  <c r="I35" i="223" s="1"/>
  <c r="G49" i="213"/>
  <c r="H48" i="213"/>
  <c r="I48" i="213" s="1"/>
  <c r="H48" i="212"/>
  <c r="I48" i="212" s="1"/>
  <c r="H23" i="50"/>
  <c r="I23" i="50" s="1"/>
  <c r="G25" i="50"/>
  <c r="H37" i="222"/>
  <c r="I37" i="222" s="1"/>
  <c r="G44" i="212"/>
  <c r="H43" i="212"/>
  <c r="I43" i="212" s="1"/>
  <c r="H23" i="48"/>
  <c r="I23" i="48" s="1"/>
  <c r="G25" i="48"/>
  <c r="H34" i="214"/>
  <c r="I34" i="214" s="1"/>
  <c r="H45" i="214"/>
  <c r="I45" i="214" s="1"/>
  <c r="H50" i="215"/>
  <c r="I50" i="215" s="1"/>
  <c r="H43" i="215"/>
  <c r="I43" i="215" s="1"/>
  <c r="G36" i="223"/>
  <c r="H27" i="72"/>
  <c r="I27" i="72" s="1"/>
  <c r="G25" i="60"/>
  <c r="H23" i="60"/>
  <c r="I23" i="60" s="1"/>
  <c r="H23" i="202"/>
  <c r="I23" i="202" s="1"/>
  <c r="G25" i="202"/>
  <c r="G22" i="169"/>
  <c r="H19" i="169"/>
  <c r="I19" i="169" s="1"/>
  <c r="F23" i="168"/>
  <c r="G23" i="168" s="1"/>
  <c r="F23" i="56"/>
  <c r="G23" i="56" s="1"/>
  <c r="F23" i="54"/>
  <c r="G23" i="54" s="1"/>
  <c r="G25" i="61"/>
  <c r="H23" i="61"/>
  <c r="I23" i="61" s="1"/>
  <c r="G27" i="73"/>
  <c r="H23" i="73"/>
  <c r="G34" i="73"/>
  <c r="H23" i="59"/>
  <c r="I23" i="59" s="1"/>
  <c r="H23" i="206"/>
  <c r="I23" i="206" s="1"/>
  <c r="H25" i="183"/>
  <c r="G30" i="183"/>
  <c r="G29" i="183"/>
  <c r="G42" i="183"/>
  <c r="G47" i="183"/>
  <c r="G34" i="172"/>
  <c r="G27" i="172"/>
  <c r="H23" i="172"/>
  <c r="F34" i="7"/>
  <c r="I22" i="65"/>
  <c r="G34" i="7" s="1"/>
  <c r="H23" i="62"/>
  <c r="I23" i="62" s="1"/>
  <c r="G30" i="207"/>
  <c r="G42" i="207"/>
  <c r="G29" i="207"/>
  <c r="G47" i="207"/>
  <c r="H25" i="207"/>
  <c r="H23" i="201"/>
  <c r="I23" i="201" s="1"/>
  <c r="G25" i="201"/>
  <c r="G22" i="25"/>
  <c r="H19" i="25"/>
  <c r="I19" i="25" s="1"/>
  <c r="H23" i="184"/>
  <c r="I23" i="184" s="1"/>
  <c r="H20" i="170"/>
  <c r="I20" i="170" s="1"/>
  <c r="H23" i="207"/>
  <c r="I23" i="207" s="1"/>
  <c r="G35" i="67"/>
  <c r="G28" i="67"/>
  <c r="H24" i="67"/>
  <c r="I24" i="67" s="1"/>
  <c r="G34" i="170"/>
  <c r="H23" i="170"/>
  <c r="G27" i="170"/>
  <c r="G25" i="57"/>
  <c r="H23" i="57"/>
  <c r="I23" i="57" s="1"/>
  <c r="H25" i="184"/>
  <c r="G42" i="184"/>
  <c r="G29" i="184"/>
  <c r="G47" i="184"/>
  <c r="G30" i="184"/>
  <c r="G25" i="204"/>
  <c r="H23" i="204"/>
  <c r="I23" i="204" s="1"/>
  <c r="I23" i="72"/>
  <c r="G27" i="7" s="1"/>
  <c r="F27" i="7"/>
  <c r="G47" i="59"/>
  <c r="G30" i="59"/>
  <c r="G42" i="59"/>
  <c r="G29" i="59"/>
  <c r="H25" i="59"/>
  <c r="G29" i="62"/>
  <c r="G30" i="62"/>
  <c r="H25" i="62"/>
  <c r="G42" i="62"/>
  <c r="G47" i="62"/>
  <c r="H23" i="200"/>
  <c r="I23" i="200" s="1"/>
  <c r="G25" i="200"/>
  <c r="H23" i="75"/>
  <c r="G27" i="75"/>
  <c r="G34" i="75"/>
  <c r="H34" i="72"/>
  <c r="I34" i="72" s="1"/>
  <c r="G37" i="72"/>
  <c r="G35" i="72"/>
  <c r="I22" i="67"/>
  <c r="G36" i="7" s="1"/>
  <c r="F36" i="7"/>
  <c r="G35" i="65"/>
  <c r="G28" i="65"/>
  <c r="H24" i="65"/>
  <c r="I24" i="65" s="1"/>
  <c r="H23" i="183"/>
  <c r="I23" i="183" s="1"/>
  <c r="I22" i="174"/>
  <c r="G35" i="7" s="1"/>
  <c r="F35" i="7"/>
  <c r="H23" i="203"/>
  <c r="I23" i="203" s="1"/>
  <c r="G25" i="203"/>
  <c r="G25" i="206"/>
  <c r="G27" i="76"/>
  <c r="G34" i="76"/>
  <c r="H23" i="76"/>
  <c r="G22" i="64"/>
  <c r="H19" i="64"/>
  <c r="I19" i="64" s="1"/>
  <c r="G25" i="58"/>
  <c r="H23" i="58"/>
  <c r="I23" i="58" s="1"/>
  <c r="G27" i="78"/>
  <c r="G34" i="78"/>
  <c r="H23" i="78"/>
  <c r="H20" i="73"/>
  <c r="I20" i="73" s="1"/>
  <c r="G25" i="205"/>
  <c r="H23" i="205"/>
  <c r="I23" i="205" s="1"/>
  <c r="K48" i="212" l="1"/>
  <c r="G35" i="174"/>
  <c r="G28" i="174"/>
  <c r="H28" i="174" s="1"/>
  <c r="I28" i="174" s="1"/>
  <c r="G35" i="70"/>
  <c r="H24" i="70"/>
  <c r="I24" i="70" s="1"/>
  <c r="G28" i="70"/>
  <c r="H28" i="70" s="1"/>
  <c r="I28" i="70" s="1"/>
  <c r="I22" i="70"/>
  <c r="G39" i="7" s="1"/>
  <c r="F39" i="7"/>
  <c r="I22" i="68"/>
  <c r="G37" i="7" s="1"/>
  <c r="F37" i="7"/>
  <c r="I22" i="175"/>
  <c r="G38" i="7" s="1"/>
  <c r="F38" i="7"/>
  <c r="G28" i="68"/>
  <c r="H28" i="68" s="1"/>
  <c r="I28" i="68" s="1"/>
  <c r="G35" i="68"/>
  <c r="H24" i="68"/>
  <c r="I24" i="68" s="1"/>
  <c r="H24" i="175"/>
  <c r="I24" i="175" s="1"/>
  <c r="G35" i="175"/>
  <c r="G28" i="175"/>
  <c r="H28" i="175" s="1"/>
  <c r="I28" i="175" s="1"/>
  <c r="J45" i="215"/>
  <c r="J43" i="215"/>
  <c r="G46" i="212"/>
  <c r="H44" i="212"/>
  <c r="I44" i="212" s="1"/>
  <c r="G38" i="223"/>
  <c r="J36" i="223" s="1"/>
  <c r="H36" i="223"/>
  <c r="I36" i="223" s="1"/>
  <c r="G46" i="214"/>
  <c r="J44" i="214" s="1"/>
  <c r="H44" i="214"/>
  <c r="I44" i="214" s="1"/>
  <c r="G42" i="48"/>
  <c r="G47" i="48"/>
  <c r="G29" i="48"/>
  <c r="G30" i="48"/>
  <c r="H25" i="48"/>
  <c r="G47" i="182"/>
  <c r="G30" i="182"/>
  <c r="G29" i="182"/>
  <c r="G42" i="182"/>
  <c r="H25" i="182"/>
  <c r="J36" i="220"/>
  <c r="J24" i="220"/>
  <c r="J30" i="220"/>
  <c r="J18" i="220"/>
  <c r="J25" i="220"/>
  <c r="J13" i="220"/>
  <c r="J15" i="220"/>
  <c r="J29" i="220"/>
  <c r="J19" i="220"/>
  <c r="J17" i="220"/>
  <c r="J22" i="220"/>
  <c r="J21" i="220"/>
  <c r="J14" i="220"/>
  <c r="J28" i="220"/>
  <c r="J26" i="220"/>
  <c r="J38" i="220"/>
  <c r="J20" i="220"/>
  <c r="J32" i="220"/>
  <c r="J33" i="220"/>
  <c r="J31" i="220"/>
  <c r="H38" i="220"/>
  <c r="J16" i="220"/>
  <c r="J23" i="220"/>
  <c r="J34" i="220"/>
  <c r="J27" i="220"/>
  <c r="G46" i="213"/>
  <c r="H44" i="213"/>
  <c r="I44" i="213" s="1"/>
  <c r="H16" i="81"/>
  <c r="I16" i="81" s="1"/>
  <c r="J20" i="215"/>
  <c r="J12" i="215"/>
  <c r="J33" i="215"/>
  <c r="J41" i="215"/>
  <c r="J22" i="215"/>
  <c r="J13" i="215"/>
  <c r="J28" i="215"/>
  <c r="J27" i="215"/>
  <c r="J24" i="215"/>
  <c r="J36" i="215"/>
  <c r="J14" i="215"/>
  <c r="J26" i="215"/>
  <c r="J31" i="215"/>
  <c r="J32" i="215"/>
  <c r="J23" i="215"/>
  <c r="J18" i="215"/>
  <c r="J40" i="215"/>
  <c r="J39" i="215"/>
  <c r="J21" i="215"/>
  <c r="J38" i="215"/>
  <c r="J46" i="215"/>
  <c r="J37" i="215"/>
  <c r="H46" i="215"/>
  <c r="I46" i="215" s="1"/>
  <c r="J19" i="215"/>
  <c r="J25" i="215"/>
  <c r="J29" i="215"/>
  <c r="J42" i="215"/>
  <c r="J30" i="215"/>
  <c r="G51" i="215"/>
  <c r="H49" i="215"/>
  <c r="I49" i="215" s="1"/>
  <c r="K34" i="212"/>
  <c r="J35" i="215"/>
  <c r="J35" i="220"/>
  <c r="K50" i="212"/>
  <c r="K36" i="212"/>
  <c r="K26" i="212"/>
  <c r="K40" i="212"/>
  <c r="K15" i="212"/>
  <c r="K17" i="212"/>
  <c r="K21" i="212"/>
  <c r="K24" i="212"/>
  <c r="K33" i="212"/>
  <c r="K16" i="212"/>
  <c r="K51" i="212"/>
  <c r="K32" i="212"/>
  <c r="K37" i="212"/>
  <c r="K18" i="212"/>
  <c r="K39" i="212"/>
  <c r="K22" i="212"/>
  <c r="K38" i="212"/>
  <c r="K23" i="212"/>
  <c r="K28" i="212"/>
  <c r="K27" i="212"/>
  <c r="K20" i="212"/>
  <c r="K31" i="212"/>
  <c r="K41" i="212"/>
  <c r="H51" i="212"/>
  <c r="K19" i="212"/>
  <c r="K25" i="212"/>
  <c r="K47" i="212"/>
  <c r="K30" i="212"/>
  <c r="K29" i="212"/>
  <c r="G38" i="222"/>
  <c r="J36" i="222" s="1"/>
  <c r="H36" i="222"/>
  <c r="I36" i="222" s="1"/>
  <c r="H16" i="79"/>
  <c r="I16" i="79" s="1"/>
  <c r="G51" i="214"/>
  <c r="K49" i="214" s="1"/>
  <c r="H49" i="214"/>
  <c r="I49" i="214" s="1"/>
  <c r="G30" i="49"/>
  <c r="H25" i="49"/>
  <c r="G42" i="49"/>
  <c r="G29" i="49"/>
  <c r="G47" i="49"/>
  <c r="H25" i="50"/>
  <c r="G30" i="50"/>
  <c r="G42" i="50"/>
  <c r="G29" i="50"/>
  <c r="G47" i="50"/>
  <c r="G51" i="213"/>
  <c r="K49" i="213" s="1"/>
  <c r="H49" i="213"/>
  <c r="I49" i="213" s="1"/>
  <c r="H16" i="173"/>
  <c r="I16" i="173" s="1"/>
  <c r="J34" i="215"/>
  <c r="K49" i="212"/>
  <c r="F42" i="7"/>
  <c r="I23" i="78"/>
  <c r="G42" i="7" s="1"/>
  <c r="H34" i="76"/>
  <c r="I34" i="76" s="1"/>
  <c r="G37" i="76"/>
  <c r="G35" i="76"/>
  <c r="H34" i="75"/>
  <c r="I34" i="75" s="1"/>
  <c r="G37" i="75"/>
  <c r="G35" i="75"/>
  <c r="G36" i="75" s="1"/>
  <c r="H30" i="62"/>
  <c r="I30" i="62" s="1"/>
  <c r="G35" i="62"/>
  <c r="H29" i="59"/>
  <c r="I29" i="59" s="1"/>
  <c r="G34" i="59"/>
  <c r="G35" i="184"/>
  <c r="H30" i="184"/>
  <c r="I30" i="184" s="1"/>
  <c r="F19" i="7"/>
  <c r="I25" i="184"/>
  <c r="G19" i="7" s="1"/>
  <c r="G35" i="170"/>
  <c r="G37" i="170"/>
  <c r="H34" i="170"/>
  <c r="I34" i="170" s="1"/>
  <c r="H29" i="207"/>
  <c r="I29" i="207" s="1"/>
  <c r="G34" i="207"/>
  <c r="G35" i="78"/>
  <c r="G37" i="78"/>
  <c r="H37" i="78" s="1"/>
  <c r="I37" i="78" s="1"/>
  <c r="H34" i="78"/>
  <c r="I34" i="78" s="1"/>
  <c r="H22" i="64"/>
  <c r="G24" i="64"/>
  <c r="H37" i="72"/>
  <c r="I37" i="72" s="1"/>
  <c r="H27" i="75"/>
  <c r="I27" i="75" s="1"/>
  <c r="G34" i="62"/>
  <c r="H29" i="62"/>
  <c r="I29" i="62" s="1"/>
  <c r="G45" i="59"/>
  <c r="H42" i="59"/>
  <c r="I42" i="59" s="1"/>
  <c r="G43" i="59"/>
  <c r="G30" i="204"/>
  <c r="G42" i="204"/>
  <c r="G47" i="204"/>
  <c r="G29" i="204"/>
  <c r="H25" i="204"/>
  <c r="G50" i="184"/>
  <c r="H47" i="184"/>
  <c r="I47" i="184" s="1"/>
  <c r="G48" i="184"/>
  <c r="G49" i="184"/>
  <c r="H42" i="207"/>
  <c r="I42" i="207" s="1"/>
  <c r="G45" i="207"/>
  <c r="G43" i="207"/>
  <c r="H27" i="172"/>
  <c r="I27" i="172" s="1"/>
  <c r="G50" i="183"/>
  <c r="G48" i="183"/>
  <c r="H47" i="183"/>
  <c r="I47" i="183" s="1"/>
  <c r="G49" i="183"/>
  <c r="I25" i="183"/>
  <c r="G23" i="7" s="1"/>
  <c r="F23" i="7"/>
  <c r="G37" i="73"/>
  <c r="H37" i="73" s="1"/>
  <c r="I37" i="73" s="1"/>
  <c r="G35" i="73"/>
  <c r="G36" i="73" s="1"/>
  <c r="H34" i="73"/>
  <c r="I34" i="73" s="1"/>
  <c r="H23" i="56"/>
  <c r="I23" i="56" s="1"/>
  <c r="G25" i="56"/>
  <c r="G24" i="169"/>
  <c r="H22" i="169"/>
  <c r="I22" i="169" s="1"/>
  <c r="G47" i="60"/>
  <c r="G29" i="60"/>
  <c r="G42" i="60"/>
  <c r="G30" i="60"/>
  <c r="H25" i="60"/>
  <c r="H27" i="78"/>
  <c r="I27" i="78" s="1"/>
  <c r="G29" i="58"/>
  <c r="H25" i="58"/>
  <c r="G42" i="58"/>
  <c r="G30" i="58"/>
  <c r="G47" i="58"/>
  <c r="G29" i="206"/>
  <c r="G30" i="206"/>
  <c r="G42" i="206"/>
  <c r="H25" i="206"/>
  <c r="G47" i="206"/>
  <c r="H28" i="65"/>
  <c r="I28" i="65" s="1"/>
  <c r="F30" i="7"/>
  <c r="I23" i="75"/>
  <c r="G30" i="7" s="1"/>
  <c r="G45" i="62"/>
  <c r="G43" i="62"/>
  <c r="H42" i="62"/>
  <c r="I42" i="62" s="1"/>
  <c r="H30" i="59"/>
  <c r="I30" i="59" s="1"/>
  <c r="G35" i="59"/>
  <c r="H29" i="184"/>
  <c r="I29" i="184" s="1"/>
  <c r="G34" i="184"/>
  <c r="H27" i="170"/>
  <c r="I27" i="170" s="1"/>
  <c r="I25" i="207"/>
  <c r="G60" i="7" s="1"/>
  <c r="F60" i="7"/>
  <c r="G35" i="207"/>
  <c r="H30" i="207"/>
  <c r="I30" i="207" s="1"/>
  <c r="G38" i="174"/>
  <c r="H35" i="174"/>
  <c r="I35" i="174" s="1"/>
  <c r="G36" i="174"/>
  <c r="G37" i="174" s="1"/>
  <c r="G35" i="172"/>
  <c r="H34" i="172"/>
  <c r="I34" i="172" s="1"/>
  <c r="G37" i="172"/>
  <c r="H42" i="183"/>
  <c r="I42" i="183" s="1"/>
  <c r="G45" i="183"/>
  <c r="G43" i="183"/>
  <c r="G44" i="183" s="1"/>
  <c r="F28" i="7"/>
  <c r="I23" i="73"/>
  <c r="G28" i="7" s="1"/>
  <c r="H23" i="168"/>
  <c r="I23" i="168" s="1"/>
  <c r="G25" i="168"/>
  <c r="H25" i="202"/>
  <c r="G47" i="202"/>
  <c r="G30" i="202"/>
  <c r="G29" i="202"/>
  <c r="G42" i="202"/>
  <c r="G30" i="205"/>
  <c r="G47" i="205"/>
  <c r="G42" i="205"/>
  <c r="H25" i="205"/>
  <c r="G29" i="205"/>
  <c r="H35" i="72"/>
  <c r="I35" i="72" s="1"/>
  <c r="G42" i="57"/>
  <c r="G30" i="57"/>
  <c r="H25" i="57"/>
  <c r="G29" i="57"/>
  <c r="G47" i="57"/>
  <c r="G38" i="67"/>
  <c r="G36" i="67"/>
  <c r="G37" i="67" s="1"/>
  <c r="H35" i="67"/>
  <c r="I35" i="67" s="1"/>
  <c r="G42" i="201"/>
  <c r="G47" i="201"/>
  <c r="G29" i="201"/>
  <c r="G30" i="201"/>
  <c r="H25" i="201"/>
  <c r="F41" i="7"/>
  <c r="I23" i="172"/>
  <c r="G41" i="7" s="1"/>
  <c r="G35" i="183"/>
  <c r="H30" i="183"/>
  <c r="I30" i="183" s="1"/>
  <c r="H23" i="54"/>
  <c r="I23" i="54" s="1"/>
  <c r="G25" i="54"/>
  <c r="H27" i="76"/>
  <c r="I27" i="76" s="1"/>
  <c r="G50" i="62"/>
  <c r="G48" i="62"/>
  <c r="H47" i="62"/>
  <c r="I47" i="62" s="1"/>
  <c r="F23" i="53"/>
  <c r="G23" i="53" s="1"/>
  <c r="F23" i="181"/>
  <c r="G23" i="181" s="1"/>
  <c r="F23" i="52"/>
  <c r="G23" i="52" s="1"/>
  <c r="F23" i="51"/>
  <c r="G23" i="51" s="1"/>
  <c r="F40" i="7"/>
  <c r="I23" i="76"/>
  <c r="G40" i="7" s="1"/>
  <c r="G29" i="203"/>
  <c r="G30" i="203"/>
  <c r="G47" i="203"/>
  <c r="G42" i="203"/>
  <c r="H25" i="203"/>
  <c r="G36" i="65"/>
  <c r="G37" i="65" s="1"/>
  <c r="H35" i="65"/>
  <c r="I35" i="65" s="1"/>
  <c r="G38" i="65"/>
  <c r="G36" i="72"/>
  <c r="G30" i="200"/>
  <c r="G42" i="200"/>
  <c r="H25" i="200"/>
  <c r="G29" i="200"/>
  <c r="G47" i="200"/>
  <c r="F24" i="7"/>
  <c r="I25" i="62"/>
  <c r="G24" i="7" s="1"/>
  <c r="F20" i="7"/>
  <c r="I25" i="59"/>
  <c r="G20" i="7" s="1"/>
  <c r="G50" i="59"/>
  <c r="H47" i="59"/>
  <c r="I47" i="59" s="1"/>
  <c r="G48" i="59"/>
  <c r="G49" i="59" s="1"/>
  <c r="G43" i="184"/>
  <c r="G45" i="184"/>
  <c r="H42" i="184"/>
  <c r="I42" i="184" s="1"/>
  <c r="F29" i="7"/>
  <c r="I23" i="170"/>
  <c r="G29" i="7" s="1"/>
  <c r="H28" i="67"/>
  <c r="I28" i="67" s="1"/>
  <c r="G24" i="25"/>
  <c r="H22" i="25"/>
  <c r="H47" i="207"/>
  <c r="I47" i="207" s="1"/>
  <c r="G50" i="207"/>
  <c r="G48" i="207"/>
  <c r="G49" i="207" s="1"/>
  <c r="G34" i="183"/>
  <c r="H29" i="183"/>
  <c r="I29" i="183" s="1"/>
  <c r="H27" i="73"/>
  <c r="I27" i="73" s="1"/>
  <c r="H25" i="61"/>
  <c r="G30" i="61"/>
  <c r="G29" i="61"/>
  <c r="G42" i="61"/>
  <c r="G47" i="61"/>
  <c r="G36" i="68" l="1"/>
  <c r="H36" i="68" s="1"/>
  <c r="I36" i="68" s="1"/>
  <c r="H35" i="68"/>
  <c r="I35" i="68" s="1"/>
  <c r="G38" i="68"/>
  <c r="H38" i="68" s="1"/>
  <c r="I38" i="68" s="1"/>
  <c r="G38" i="175"/>
  <c r="G36" i="175"/>
  <c r="H36" i="175" s="1"/>
  <c r="I36" i="175" s="1"/>
  <c r="H35" i="175"/>
  <c r="I35" i="175" s="1"/>
  <c r="G37" i="68"/>
  <c r="H37" i="68" s="1"/>
  <c r="I37" i="68" s="1"/>
  <c r="G38" i="70"/>
  <c r="H38" i="70" s="1"/>
  <c r="I38" i="70" s="1"/>
  <c r="G36" i="70"/>
  <c r="H35" i="70"/>
  <c r="I35" i="70" s="1"/>
  <c r="I25" i="182"/>
  <c r="G8" i="7" s="1"/>
  <c r="F8" i="7"/>
  <c r="G43" i="48"/>
  <c r="G44" i="48" s="1"/>
  <c r="H42" i="48"/>
  <c r="I42" i="48" s="1"/>
  <c r="G45" i="48"/>
  <c r="G35" i="50"/>
  <c r="H30" i="50"/>
  <c r="I30" i="50" s="1"/>
  <c r="G34" i="49"/>
  <c r="H29" i="49"/>
  <c r="I29" i="49" s="1"/>
  <c r="J35" i="222"/>
  <c r="J29" i="222"/>
  <c r="J32" i="222"/>
  <c r="J28" i="222"/>
  <c r="J17" i="222"/>
  <c r="J24" i="222"/>
  <c r="J15" i="222"/>
  <c r="J19" i="222"/>
  <c r="J18" i="222"/>
  <c r="J33" i="222"/>
  <c r="J30" i="222"/>
  <c r="J31" i="222"/>
  <c r="J22" i="222"/>
  <c r="J38" i="222"/>
  <c r="J14" i="222"/>
  <c r="J25" i="222"/>
  <c r="J26" i="222"/>
  <c r="J21" i="222"/>
  <c r="J13" i="222"/>
  <c r="J20" i="222"/>
  <c r="H38" i="222"/>
  <c r="J16" i="222"/>
  <c r="J23" i="222"/>
  <c r="J34" i="222"/>
  <c r="J27" i="222"/>
  <c r="J37" i="222"/>
  <c r="I51" i="212"/>
  <c r="I61" i="7" s="1"/>
  <c r="H61" i="7"/>
  <c r="H65" i="7"/>
  <c r="I38" i="220"/>
  <c r="I65" i="7" s="1"/>
  <c r="G43" i="182"/>
  <c r="G44" i="182" s="1"/>
  <c r="H42" i="182"/>
  <c r="I42" i="182" s="1"/>
  <c r="G45" i="182"/>
  <c r="H30" i="48"/>
  <c r="I30" i="48" s="1"/>
  <c r="G35" i="48"/>
  <c r="G45" i="50"/>
  <c r="G43" i="50"/>
  <c r="H42" i="50"/>
  <c r="I42" i="50" s="1"/>
  <c r="H30" i="49"/>
  <c r="I30" i="49" s="1"/>
  <c r="G35" i="49"/>
  <c r="J45" i="213"/>
  <c r="J12" i="213"/>
  <c r="J32" i="213"/>
  <c r="J38" i="213"/>
  <c r="J39" i="213"/>
  <c r="J40" i="213"/>
  <c r="J23" i="213"/>
  <c r="J21" i="213"/>
  <c r="J14" i="213"/>
  <c r="J18" i="213"/>
  <c r="J33" i="213"/>
  <c r="J37" i="213"/>
  <c r="J20" i="213"/>
  <c r="J36" i="213"/>
  <c r="J31" i="213"/>
  <c r="J24" i="213"/>
  <c r="J13" i="213"/>
  <c r="J22" i="213"/>
  <c r="J46" i="213"/>
  <c r="J27" i="213"/>
  <c r="J28" i="213"/>
  <c r="J26" i="213"/>
  <c r="J41" i="213"/>
  <c r="H46" i="213"/>
  <c r="I46" i="213" s="1"/>
  <c r="J19" i="213"/>
  <c r="J25" i="213"/>
  <c r="J29" i="213"/>
  <c r="J42" i="213"/>
  <c r="J30" i="213"/>
  <c r="J34" i="213"/>
  <c r="J43" i="213"/>
  <c r="J35" i="213"/>
  <c r="G50" i="182"/>
  <c r="H47" i="182"/>
  <c r="I47" i="182" s="1"/>
  <c r="G48" i="182"/>
  <c r="H48" i="182" s="1"/>
  <c r="I48" i="182" s="1"/>
  <c r="I25" i="48"/>
  <c r="G6" i="7" s="1"/>
  <c r="F6" i="7"/>
  <c r="G48" i="50"/>
  <c r="G49" i="50" s="1"/>
  <c r="H47" i="50"/>
  <c r="I47" i="50" s="1"/>
  <c r="G50" i="50"/>
  <c r="F9" i="7"/>
  <c r="I25" i="50"/>
  <c r="G9" i="7" s="1"/>
  <c r="H42" i="49"/>
  <c r="I42" i="49" s="1"/>
  <c r="G43" i="49"/>
  <c r="G45" i="49"/>
  <c r="G34" i="182"/>
  <c r="H29" i="182"/>
  <c r="I29" i="182" s="1"/>
  <c r="G34" i="48"/>
  <c r="H29" i="48"/>
  <c r="I29" i="48" s="1"/>
  <c r="H47" i="49"/>
  <c r="I47" i="49" s="1"/>
  <c r="G50" i="49"/>
  <c r="G48" i="49"/>
  <c r="G49" i="49" s="1"/>
  <c r="K34" i="215"/>
  <c r="K33" i="215"/>
  <c r="K27" i="215"/>
  <c r="K21" i="215"/>
  <c r="K20" i="215"/>
  <c r="K22" i="215"/>
  <c r="K16" i="215"/>
  <c r="K24" i="215"/>
  <c r="K36" i="215"/>
  <c r="K41" i="215"/>
  <c r="K51" i="215"/>
  <c r="K15" i="215"/>
  <c r="K31" i="215"/>
  <c r="K28" i="215"/>
  <c r="K37" i="215"/>
  <c r="K17" i="215"/>
  <c r="K18" i="215"/>
  <c r="K26" i="215"/>
  <c r="K23" i="215"/>
  <c r="K39" i="215"/>
  <c r="K32" i="215"/>
  <c r="K40" i="215"/>
  <c r="K38" i="215"/>
  <c r="H51" i="215"/>
  <c r="K19" i="215"/>
  <c r="K25" i="215"/>
  <c r="K47" i="215"/>
  <c r="K30" i="215"/>
  <c r="K29" i="215"/>
  <c r="K35" i="215"/>
  <c r="K48" i="215"/>
  <c r="K50" i="215"/>
  <c r="J18" i="212"/>
  <c r="J28" i="212"/>
  <c r="J13" i="212"/>
  <c r="J39" i="212"/>
  <c r="J22" i="212"/>
  <c r="J31" i="212"/>
  <c r="J14" i="212"/>
  <c r="J38" i="212"/>
  <c r="J27" i="212"/>
  <c r="J36" i="212"/>
  <c r="J12" i="212"/>
  <c r="J20" i="212"/>
  <c r="J21" i="212"/>
  <c r="J40" i="212"/>
  <c r="J24" i="212"/>
  <c r="J32" i="212"/>
  <c r="J33" i="212"/>
  <c r="J26" i="212"/>
  <c r="J23" i="212"/>
  <c r="J41" i="212"/>
  <c r="J37" i="212"/>
  <c r="J46" i="212"/>
  <c r="H46" i="212"/>
  <c r="I46" i="212" s="1"/>
  <c r="J19" i="212"/>
  <c r="J25" i="212"/>
  <c r="J30" i="212"/>
  <c r="J42" i="212"/>
  <c r="J29" i="212"/>
  <c r="J35" i="212"/>
  <c r="J34" i="212"/>
  <c r="J43" i="212"/>
  <c r="J45" i="212"/>
  <c r="K40" i="213"/>
  <c r="K27" i="213"/>
  <c r="K39" i="213"/>
  <c r="K51" i="213"/>
  <c r="K22" i="213"/>
  <c r="K23" i="213"/>
  <c r="K15" i="213"/>
  <c r="K38" i="213"/>
  <c r="K21" i="213"/>
  <c r="K41" i="213"/>
  <c r="K16" i="213"/>
  <c r="K18" i="213"/>
  <c r="K37" i="213"/>
  <c r="K36" i="213"/>
  <c r="K31" i="213"/>
  <c r="K28" i="213"/>
  <c r="K20" i="213"/>
  <c r="K26" i="213"/>
  <c r="K24" i="213"/>
  <c r="K17" i="213"/>
  <c r="K32" i="213"/>
  <c r="K33" i="213"/>
  <c r="H51" i="213"/>
  <c r="K19" i="213"/>
  <c r="K25" i="213"/>
  <c r="K47" i="213"/>
  <c r="K29" i="213"/>
  <c r="K30" i="213"/>
  <c r="K35" i="213"/>
  <c r="K34" i="213"/>
  <c r="K50" i="213"/>
  <c r="K48" i="213"/>
  <c r="H29" i="50"/>
  <c r="I29" i="50" s="1"/>
  <c r="G34" i="50"/>
  <c r="I25" i="49"/>
  <c r="G7" i="7" s="1"/>
  <c r="F7" i="7"/>
  <c r="K50" i="214"/>
  <c r="K26" i="214"/>
  <c r="K51" i="214"/>
  <c r="K22" i="214"/>
  <c r="K39" i="214"/>
  <c r="K21" i="214"/>
  <c r="K20" i="214"/>
  <c r="H51" i="214"/>
  <c r="K16" i="214"/>
  <c r="K24" i="214"/>
  <c r="K15" i="214"/>
  <c r="K23" i="214"/>
  <c r="K41" i="214"/>
  <c r="K17" i="214"/>
  <c r="K38" i="214"/>
  <c r="K32" i="214"/>
  <c r="K27" i="214"/>
  <c r="K31" i="214"/>
  <c r="K18" i="214"/>
  <c r="K37" i="214"/>
  <c r="K36" i="214"/>
  <c r="K28" i="214"/>
  <c r="K40" i="214"/>
  <c r="K33" i="214"/>
  <c r="K19" i="214"/>
  <c r="K25" i="214"/>
  <c r="K47" i="214"/>
  <c r="K29" i="214"/>
  <c r="K30" i="214"/>
  <c r="K35" i="214"/>
  <c r="K48" i="214"/>
  <c r="K34" i="214"/>
  <c r="K49" i="215"/>
  <c r="J44" i="213"/>
  <c r="G35" i="182"/>
  <c r="H30" i="182"/>
  <c r="I30" i="182" s="1"/>
  <c r="G50" i="48"/>
  <c r="G48" i="48"/>
  <c r="G49" i="48" s="1"/>
  <c r="H47" i="48"/>
  <c r="I47" i="48" s="1"/>
  <c r="J46" i="214"/>
  <c r="J20" i="214"/>
  <c r="J26" i="214"/>
  <c r="J22" i="214"/>
  <c r="J39" i="214"/>
  <c r="J21" i="214"/>
  <c r="J12" i="214"/>
  <c r="J41" i="214"/>
  <c r="J24" i="214"/>
  <c r="J23" i="214"/>
  <c r="J13" i="214"/>
  <c r="J37" i="214"/>
  <c r="J18" i="214"/>
  <c r="J28" i="214"/>
  <c r="J31" i="214"/>
  <c r="J14" i="214"/>
  <c r="J38" i="214"/>
  <c r="J32" i="214"/>
  <c r="J36" i="214"/>
  <c r="J27" i="214"/>
  <c r="J40" i="214"/>
  <c r="J33" i="214"/>
  <c r="H46" i="214"/>
  <c r="I46" i="214" s="1"/>
  <c r="J19" i="214"/>
  <c r="J25" i="214"/>
  <c r="J30" i="214"/>
  <c r="J42" i="214"/>
  <c r="J29" i="214"/>
  <c r="J34" i="214"/>
  <c r="J43" i="214"/>
  <c r="J35" i="214"/>
  <c r="J45" i="214"/>
  <c r="J37" i="223"/>
  <c r="J30" i="223"/>
  <c r="J28" i="223"/>
  <c r="J32" i="223"/>
  <c r="J26" i="223"/>
  <c r="J14" i="223"/>
  <c r="J15" i="223"/>
  <c r="J24" i="223"/>
  <c r="J38" i="223"/>
  <c r="J18" i="223"/>
  <c r="J33" i="223"/>
  <c r="J13" i="223"/>
  <c r="J20" i="223"/>
  <c r="J21" i="223"/>
  <c r="J17" i="223"/>
  <c r="J22" i="223"/>
  <c r="J29" i="223"/>
  <c r="J25" i="223"/>
  <c r="J19" i="223"/>
  <c r="J31" i="223"/>
  <c r="H38" i="223"/>
  <c r="J16" i="223"/>
  <c r="J23" i="223"/>
  <c r="J27" i="223"/>
  <c r="J34" i="223"/>
  <c r="J35" i="223"/>
  <c r="J44" i="212"/>
  <c r="H36" i="75"/>
  <c r="I36" i="75" s="1"/>
  <c r="G38" i="75"/>
  <c r="J35" i="75" s="1"/>
  <c r="G51" i="59"/>
  <c r="K34" i="59" s="1"/>
  <c r="H49" i="59"/>
  <c r="I49" i="59" s="1"/>
  <c r="G51" i="207"/>
  <c r="K34" i="207" s="1"/>
  <c r="H49" i="207"/>
  <c r="I49" i="207" s="1"/>
  <c r="G39" i="67"/>
  <c r="J36" i="67" s="1"/>
  <c r="H37" i="67"/>
  <c r="I37" i="67" s="1"/>
  <c r="G34" i="61"/>
  <c r="H29" i="61"/>
  <c r="I29" i="61" s="1"/>
  <c r="H34" i="183"/>
  <c r="I34" i="183" s="1"/>
  <c r="H50" i="207"/>
  <c r="I50" i="207" s="1"/>
  <c r="G35" i="25"/>
  <c r="H24" i="25"/>
  <c r="I24" i="25" s="1"/>
  <c r="G28" i="25"/>
  <c r="G44" i="184"/>
  <c r="H43" i="184"/>
  <c r="I43" i="184" s="1"/>
  <c r="H47" i="200"/>
  <c r="I47" i="200" s="1"/>
  <c r="G50" i="200"/>
  <c r="G48" i="200"/>
  <c r="G49" i="200" s="1"/>
  <c r="H30" i="200"/>
  <c r="I30" i="200" s="1"/>
  <c r="G35" i="200"/>
  <c r="H38" i="65"/>
  <c r="I38" i="65" s="1"/>
  <c r="G35" i="203"/>
  <c r="H30" i="203"/>
  <c r="I30" i="203" s="1"/>
  <c r="H23" i="51"/>
  <c r="I23" i="51" s="1"/>
  <c r="G25" i="51"/>
  <c r="G45" i="201"/>
  <c r="H42" i="201"/>
  <c r="I42" i="201" s="1"/>
  <c r="G43" i="201"/>
  <c r="H47" i="57"/>
  <c r="I47" i="57" s="1"/>
  <c r="G50" i="57"/>
  <c r="G48" i="57"/>
  <c r="G45" i="202"/>
  <c r="G43" i="202"/>
  <c r="H42" i="202"/>
  <c r="I42" i="202" s="1"/>
  <c r="I25" i="202"/>
  <c r="G48" i="7" s="1"/>
  <c r="F48" i="7"/>
  <c r="G46" i="183"/>
  <c r="J34" i="183" s="1"/>
  <c r="H44" i="183"/>
  <c r="I44" i="183" s="1"/>
  <c r="H43" i="62"/>
  <c r="I43" i="62" s="1"/>
  <c r="G34" i="206"/>
  <c r="H29" i="206"/>
  <c r="I29" i="206" s="1"/>
  <c r="G48" i="60"/>
  <c r="H47" i="60"/>
  <c r="I47" i="60" s="1"/>
  <c r="G50" i="60"/>
  <c r="G30" i="56"/>
  <c r="H25" i="56"/>
  <c r="G42" i="56"/>
  <c r="G47" i="56"/>
  <c r="G29" i="56"/>
  <c r="G38" i="73"/>
  <c r="J35" i="73" s="1"/>
  <c r="H36" i="73"/>
  <c r="I36" i="73" s="1"/>
  <c r="G51" i="183"/>
  <c r="K49" i="183" s="1"/>
  <c r="H49" i="183"/>
  <c r="I49" i="183" s="1"/>
  <c r="H43" i="207"/>
  <c r="I43" i="207" s="1"/>
  <c r="G51" i="184"/>
  <c r="K34" i="184" s="1"/>
  <c r="H49" i="184"/>
  <c r="I49" i="184" s="1"/>
  <c r="H43" i="59"/>
  <c r="I43" i="59" s="1"/>
  <c r="H37" i="76"/>
  <c r="I37" i="76" s="1"/>
  <c r="H50" i="59"/>
  <c r="I50" i="59" s="1"/>
  <c r="G34" i="200"/>
  <c r="H29" i="200"/>
  <c r="I29" i="200" s="1"/>
  <c r="H36" i="72"/>
  <c r="I36" i="72" s="1"/>
  <c r="G38" i="72"/>
  <c r="J36" i="72" s="1"/>
  <c r="F49" i="7"/>
  <c r="I25" i="203"/>
  <c r="G49" i="7" s="1"/>
  <c r="G34" i="203"/>
  <c r="H29" i="203"/>
  <c r="I29" i="203" s="1"/>
  <c r="H35" i="183"/>
  <c r="I35" i="183" s="1"/>
  <c r="G35" i="201"/>
  <c r="H30" i="201"/>
  <c r="I30" i="201" s="1"/>
  <c r="H38" i="67"/>
  <c r="I38" i="67" s="1"/>
  <c r="H30" i="205"/>
  <c r="I30" i="205" s="1"/>
  <c r="G35" i="205"/>
  <c r="H29" i="202"/>
  <c r="I29" i="202" s="1"/>
  <c r="G34" i="202"/>
  <c r="G30" i="168"/>
  <c r="G42" i="168"/>
  <c r="H25" i="168"/>
  <c r="G29" i="168"/>
  <c r="G47" i="168"/>
  <c r="H43" i="183"/>
  <c r="I43" i="183" s="1"/>
  <c r="H37" i="172"/>
  <c r="I37" i="172" s="1"/>
  <c r="H37" i="174"/>
  <c r="I37" i="174" s="1"/>
  <c r="G39" i="174"/>
  <c r="J37" i="174" s="1"/>
  <c r="H45" i="62"/>
  <c r="I45" i="62" s="1"/>
  <c r="G43" i="58"/>
  <c r="G44" i="58" s="1"/>
  <c r="H42" i="58"/>
  <c r="I42" i="58" s="1"/>
  <c r="G45" i="58"/>
  <c r="G35" i="60"/>
  <c r="H30" i="60"/>
  <c r="I30" i="60" s="1"/>
  <c r="H45" i="207"/>
  <c r="I45" i="207" s="1"/>
  <c r="H48" i="184"/>
  <c r="I48" i="184" s="1"/>
  <c r="G43" i="204"/>
  <c r="H42" i="204"/>
  <c r="I42" i="204" s="1"/>
  <c r="G45" i="204"/>
  <c r="G35" i="64"/>
  <c r="H24" i="64"/>
  <c r="I24" i="64" s="1"/>
  <c r="G28" i="64"/>
  <c r="H34" i="207"/>
  <c r="I34" i="207" s="1"/>
  <c r="H37" i="170"/>
  <c r="I37" i="170" s="1"/>
  <c r="G50" i="61"/>
  <c r="H47" i="61"/>
  <c r="I47" i="61" s="1"/>
  <c r="G48" i="61"/>
  <c r="G49" i="61" s="1"/>
  <c r="I25" i="61"/>
  <c r="G22" i="7" s="1"/>
  <c r="F22" i="7"/>
  <c r="F46" i="7"/>
  <c r="I25" i="200"/>
  <c r="G46" i="7" s="1"/>
  <c r="H36" i="65"/>
  <c r="I36" i="65" s="1"/>
  <c r="G43" i="203"/>
  <c r="G45" i="203"/>
  <c r="H42" i="203"/>
  <c r="I42" i="203" s="1"/>
  <c r="H23" i="181"/>
  <c r="I23" i="181" s="1"/>
  <c r="G25" i="181"/>
  <c r="G49" i="62"/>
  <c r="H48" i="62"/>
  <c r="I48" i="62" s="1"/>
  <c r="G30" i="54"/>
  <c r="G29" i="54"/>
  <c r="H25" i="54"/>
  <c r="G42" i="54"/>
  <c r="G47" i="54"/>
  <c r="G34" i="201"/>
  <c r="H29" i="201"/>
  <c r="I29" i="201" s="1"/>
  <c r="F17" i="7"/>
  <c r="I25" i="57"/>
  <c r="G17" i="7" s="1"/>
  <c r="I25" i="205"/>
  <c r="G58" i="7" s="1"/>
  <c r="F58" i="7"/>
  <c r="H30" i="202"/>
  <c r="I30" i="202" s="1"/>
  <c r="G35" i="202"/>
  <c r="H45" i="183"/>
  <c r="I45" i="183" s="1"/>
  <c r="H36" i="174"/>
  <c r="I36" i="174" s="1"/>
  <c r="G44" i="62"/>
  <c r="G43" i="206"/>
  <c r="H42" i="206"/>
  <c r="I42" i="206" s="1"/>
  <c r="G45" i="206"/>
  <c r="H45" i="206" s="1"/>
  <c r="I45" i="206" s="1"/>
  <c r="F18" i="7"/>
  <c r="I25" i="58"/>
  <c r="G18" i="7" s="1"/>
  <c r="G43" i="60"/>
  <c r="G44" i="60" s="1"/>
  <c r="H42" i="60"/>
  <c r="I42" i="60" s="1"/>
  <c r="G45" i="60"/>
  <c r="H35" i="73"/>
  <c r="I35" i="73" s="1"/>
  <c r="H48" i="183"/>
  <c r="I48" i="183" s="1"/>
  <c r="F57" i="7"/>
  <c r="I25" i="204"/>
  <c r="G57" i="7" s="1"/>
  <c r="H30" i="204"/>
  <c r="I30" i="204" s="1"/>
  <c r="G35" i="204"/>
  <c r="H45" i="59"/>
  <c r="I45" i="59" s="1"/>
  <c r="F33" i="7"/>
  <c r="I22" i="64"/>
  <c r="G33" i="7" s="1"/>
  <c r="G36" i="78"/>
  <c r="H35" i="78"/>
  <c r="I35" i="78" s="1"/>
  <c r="G36" i="170"/>
  <c r="H35" i="170"/>
  <c r="I35" i="170" s="1"/>
  <c r="I25" i="201"/>
  <c r="G47" i="7" s="1"/>
  <c r="F47" i="7"/>
  <c r="H36" i="67"/>
  <c r="I36" i="67" s="1"/>
  <c r="G43" i="57"/>
  <c r="G44" i="57" s="1"/>
  <c r="G45" i="57"/>
  <c r="H42" i="57"/>
  <c r="I42" i="57" s="1"/>
  <c r="G48" i="205"/>
  <c r="H47" i="205"/>
  <c r="I47" i="205" s="1"/>
  <c r="G50" i="205"/>
  <c r="H38" i="174"/>
  <c r="I38" i="174" s="1"/>
  <c r="H35" i="207"/>
  <c r="I35" i="207" s="1"/>
  <c r="G50" i="206"/>
  <c r="G48" i="206"/>
  <c r="H47" i="206"/>
  <c r="I47" i="206" s="1"/>
  <c r="G35" i="58"/>
  <c r="H30" i="58"/>
  <c r="I30" i="58" s="1"/>
  <c r="F21" i="7"/>
  <c r="I25" i="60"/>
  <c r="G21" i="7" s="1"/>
  <c r="H47" i="204"/>
  <c r="I47" i="204" s="1"/>
  <c r="G50" i="204"/>
  <c r="G48" i="204"/>
  <c r="H35" i="184"/>
  <c r="I35" i="184" s="1"/>
  <c r="H37" i="75"/>
  <c r="I37" i="75" s="1"/>
  <c r="G35" i="61"/>
  <c r="H30" i="61"/>
  <c r="I30" i="61" s="1"/>
  <c r="H23" i="52"/>
  <c r="I23" i="52" s="1"/>
  <c r="G25" i="52"/>
  <c r="H29" i="57"/>
  <c r="I29" i="57" s="1"/>
  <c r="G34" i="57"/>
  <c r="G34" i="205"/>
  <c r="H29" i="205"/>
  <c r="I29" i="205" s="1"/>
  <c r="I25" i="206"/>
  <c r="G59" i="7" s="1"/>
  <c r="F59" i="7"/>
  <c r="G45" i="61"/>
  <c r="H42" i="61"/>
  <c r="I42" i="61" s="1"/>
  <c r="G43" i="61"/>
  <c r="H48" i="207"/>
  <c r="I48" i="207" s="1"/>
  <c r="F31" i="7"/>
  <c r="I22" i="25"/>
  <c r="G31" i="7" s="1"/>
  <c r="H45" i="184"/>
  <c r="I45" i="184" s="1"/>
  <c r="H48" i="59"/>
  <c r="I48" i="59" s="1"/>
  <c r="G45" i="200"/>
  <c r="H42" i="200"/>
  <c r="I42" i="200" s="1"/>
  <c r="G43" i="200"/>
  <c r="G44" i="200" s="1"/>
  <c r="G39" i="65"/>
  <c r="H37" i="65"/>
  <c r="I37" i="65" s="1"/>
  <c r="G50" i="203"/>
  <c r="G48" i="203"/>
  <c r="H47" i="203"/>
  <c r="I47" i="203" s="1"/>
  <c r="H23" i="53"/>
  <c r="I23" i="53" s="1"/>
  <c r="G25" i="53"/>
  <c r="H50" i="62"/>
  <c r="I50" i="62" s="1"/>
  <c r="G48" i="201"/>
  <c r="G49" i="201" s="1"/>
  <c r="H47" i="201"/>
  <c r="I47" i="201" s="1"/>
  <c r="G50" i="201"/>
  <c r="G35" i="57"/>
  <c r="H30" i="57"/>
  <c r="I30" i="57" s="1"/>
  <c r="G45" i="205"/>
  <c r="H42" i="205"/>
  <c r="I42" i="205" s="1"/>
  <c r="G43" i="205"/>
  <c r="H47" i="202"/>
  <c r="I47" i="202" s="1"/>
  <c r="G50" i="202"/>
  <c r="G48" i="202"/>
  <c r="G49" i="202" s="1"/>
  <c r="G36" i="172"/>
  <c r="H35" i="172"/>
  <c r="I35" i="172" s="1"/>
  <c r="H34" i="184"/>
  <c r="I34" i="184" s="1"/>
  <c r="H35" i="59"/>
  <c r="I35" i="59" s="1"/>
  <c r="G35" i="206"/>
  <c r="H30" i="206"/>
  <c r="I30" i="206" s="1"/>
  <c r="G50" i="58"/>
  <c r="H47" i="58"/>
  <c r="I47" i="58" s="1"/>
  <c r="G48" i="58"/>
  <c r="G49" i="58" s="1"/>
  <c r="G34" i="58"/>
  <c r="H29" i="58"/>
  <c r="I29" i="58" s="1"/>
  <c r="H29" i="60"/>
  <c r="I29" i="60" s="1"/>
  <c r="G34" i="60"/>
  <c r="H24" i="169"/>
  <c r="G28" i="169"/>
  <c r="G35" i="169"/>
  <c r="H50" i="183"/>
  <c r="I50" i="183" s="1"/>
  <c r="G44" i="207"/>
  <c r="H50" i="184"/>
  <c r="I50" i="184" s="1"/>
  <c r="H29" i="204"/>
  <c r="I29" i="204" s="1"/>
  <c r="G34" i="204"/>
  <c r="G44" i="59"/>
  <c r="H34" i="62"/>
  <c r="I34" i="62" s="1"/>
  <c r="H34" i="59"/>
  <c r="I34" i="59" s="1"/>
  <c r="H35" i="62"/>
  <c r="I35" i="62" s="1"/>
  <c r="H35" i="75"/>
  <c r="I35" i="75" s="1"/>
  <c r="G36" i="76"/>
  <c r="H35" i="76"/>
  <c r="I35" i="76" s="1"/>
  <c r="G39" i="68" l="1"/>
  <c r="J38" i="68" s="1"/>
  <c r="G37" i="175"/>
  <c r="K50" i="183"/>
  <c r="K48" i="207"/>
  <c r="K35" i="207"/>
  <c r="K50" i="207"/>
  <c r="H38" i="175"/>
  <c r="I38" i="175" s="1"/>
  <c r="G37" i="70"/>
  <c r="H36" i="70"/>
  <c r="I36" i="70" s="1"/>
  <c r="G39" i="175"/>
  <c r="H37" i="175"/>
  <c r="I37" i="175" s="1"/>
  <c r="J38" i="67"/>
  <c r="F20" i="171"/>
  <c r="G20" i="171" s="1"/>
  <c r="F20" i="5"/>
  <c r="G20" i="5" s="1"/>
  <c r="J38" i="174"/>
  <c r="G49" i="182"/>
  <c r="H49" i="182" s="1"/>
  <c r="I49" i="182" s="1"/>
  <c r="J35" i="183"/>
  <c r="H49" i="48"/>
  <c r="I49" i="48" s="1"/>
  <c r="G51" i="48"/>
  <c r="K48" i="48" s="1"/>
  <c r="G46" i="182"/>
  <c r="J35" i="182" s="1"/>
  <c r="H44" i="182"/>
  <c r="I44" i="182" s="1"/>
  <c r="J31" i="68"/>
  <c r="J33" i="68"/>
  <c r="J17" i="68"/>
  <c r="H39" i="68"/>
  <c r="J18" i="68"/>
  <c r="J29" i="68"/>
  <c r="J23" i="68"/>
  <c r="J34" i="68"/>
  <c r="J12" i="68"/>
  <c r="J39" i="68"/>
  <c r="J21" i="68"/>
  <c r="J27" i="68"/>
  <c r="J32" i="68"/>
  <c r="J20" i="68"/>
  <c r="J30" i="68"/>
  <c r="J25" i="68"/>
  <c r="J15" i="68"/>
  <c r="J22" i="68"/>
  <c r="J28" i="68"/>
  <c r="J35" i="68"/>
  <c r="J36" i="68"/>
  <c r="H64" i="7"/>
  <c r="I51" i="215"/>
  <c r="I64" i="7" s="1"/>
  <c r="H45" i="182"/>
  <c r="I45" i="182" s="1"/>
  <c r="J37" i="75"/>
  <c r="J45" i="183"/>
  <c r="I51" i="213"/>
  <c r="I62" i="7" s="1"/>
  <c r="H62" i="7"/>
  <c r="H49" i="49"/>
  <c r="I49" i="49" s="1"/>
  <c r="G51" i="49"/>
  <c r="K35" i="49" s="1"/>
  <c r="G44" i="49"/>
  <c r="H43" i="49"/>
  <c r="I43" i="49" s="1"/>
  <c r="H48" i="50"/>
  <c r="I48" i="50" s="1"/>
  <c r="H35" i="48"/>
  <c r="I35" i="48" s="1"/>
  <c r="K35" i="48"/>
  <c r="H43" i="48"/>
  <c r="I43" i="48" s="1"/>
  <c r="H50" i="48"/>
  <c r="I50" i="48" s="1"/>
  <c r="H35" i="182"/>
  <c r="I35" i="182" s="1"/>
  <c r="H45" i="49"/>
  <c r="I45" i="49" s="1"/>
  <c r="H50" i="182"/>
  <c r="I50" i="182" s="1"/>
  <c r="H45" i="50"/>
  <c r="I45" i="50" s="1"/>
  <c r="H35" i="50"/>
  <c r="I35" i="50" s="1"/>
  <c r="J36" i="174"/>
  <c r="F20" i="81"/>
  <c r="G20" i="81" s="1"/>
  <c r="F20" i="79"/>
  <c r="G20" i="79" s="1"/>
  <c r="F20" i="173"/>
  <c r="G20" i="173" s="1"/>
  <c r="I51" i="214"/>
  <c r="I63" i="7" s="1"/>
  <c r="H63" i="7"/>
  <c r="H34" i="50"/>
  <c r="I34" i="50" s="1"/>
  <c r="H48" i="49"/>
  <c r="I48" i="49" s="1"/>
  <c r="H34" i="48"/>
  <c r="I34" i="48" s="1"/>
  <c r="J34" i="48"/>
  <c r="H34" i="182"/>
  <c r="I34" i="182" s="1"/>
  <c r="H49" i="50"/>
  <c r="I49" i="50" s="1"/>
  <c r="G51" i="50"/>
  <c r="I38" i="222"/>
  <c r="I66" i="7" s="1"/>
  <c r="H66" i="7"/>
  <c r="H34" i="49"/>
  <c r="I34" i="49" s="1"/>
  <c r="H44" i="48"/>
  <c r="I44" i="48" s="1"/>
  <c r="G46" i="48"/>
  <c r="J35" i="48" s="1"/>
  <c r="I38" i="223"/>
  <c r="I67" i="7" s="1"/>
  <c r="H67" i="7"/>
  <c r="H48" i="48"/>
  <c r="I48" i="48" s="1"/>
  <c r="J37" i="68"/>
  <c r="H50" i="49"/>
  <c r="I50" i="49" s="1"/>
  <c r="H50" i="50"/>
  <c r="I50" i="50" s="1"/>
  <c r="H35" i="49"/>
  <c r="I35" i="49" s="1"/>
  <c r="G44" i="50"/>
  <c r="H43" i="50"/>
  <c r="I43" i="50" s="1"/>
  <c r="H43" i="182"/>
  <c r="I43" i="182" s="1"/>
  <c r="H45" i="48"/>
  <c r="I45" i="48" s="1"/>
  <c r="H50" i="58"/>
  <c r="I50" i="58" s="1"/>
  <c r="H35" i="206"/>
  <c r="I35" i="206" s="1"/>
  <c r="G38" i="172"/>
  <c r="H36" i="172"/>
  <c r="I36" i="172" s="1"/>
  <c r="H50" i="202"/>
  <c r="I50" i="202" s="1"/>
  <c r="H43" i="205"/>
  <c r="I43" i="205" s="1"/>
  <c r="G51" i="201"/>
  <c r="K49" i="201" s="1"/>
  <c r="H49" i="201"/>
  <c r="I49" i="201" s="1"/>
  <c r="J37" i="65"/>
  <c r="J27" i="65"/>
  <c r="J14" i="65"/>
  <c r="J34" i="65"/>
  <c r="J12" i="65"/>
  <c r="J39" i="65"/>
  <c r="J33" i="65"/>
  <c r="J26" i="65"/>
  <c r="J20" i="65"/>
  <c r="J17" i="65"/>
  <c r="J23" i="65"/>
  <c r="J29" i="65"/>
  <c r="J13" i="65"/>
  <c r="J21" i="65"/>
  <c r="J25" i="65"/>
  <c r="J30" i="65"/>
  <c r="J31" i="65"/>
  <c r="J16" i="65"/>
  <c r="J18" i="65"/>
  <c r="J32" i="65"/>
  <c r="H39" i="65"/>
  <c r="J15" i="65"/>
  <c r="J19" i="65"/>
  <c r="J22" i="65"/>
  <c r="J24" i="65"/>
  <c r="J35" i="65"/>
  <c r="J28" i="65"/>
  <c r="H34" i="205"/>
  <c r="I34" i="205" s="1"/>
  <c r="H35" i="61"/>
  <c r="I35" i="61" s="1"/>
  <c r="H48" i="204"/>
  <c r="I48" i="204" s="1"/>
  <c r="H35" i="58"/>
  <c r="I35" i="58" s="1"/>
  <c r="H48" i="206"/>
  <c r="I48" i="206" s="1"/>
  <c r="H50" i="205"/>
  <c r="I50" i="205" s="1"/>
  <c r="G46" i="57"/>
  <c r="J34" i="57" s="1"/>
  <c r="H44" i="57"/>
  <c r="I44" i="57" s="1"/>
  <c r="G38" i="78"/>
  <c r="H36" i="78"/>
  <c r="I36" i="78" s="1"/>
  <c r="H44" i="60"/>
  <c r="I44" i="60" s="1"/>
  <c r="G46" i="60"/>
  <c r="J35" i="60" s="1"/>
  <c r="G34" i="54"/>
  <c r="H29" i="54"/>
  <c r="I29" i="54" s="1"/>
  <c r="G51" i="62"/>
  <c r="H49" i="62"/>
  <c r="I49" i="62" s="1"/>
  <c r="H45" i="203"/>
  <c r="I45" i="203" s="1"/>
  <c r="H50" i="61"/>
  <c r="I50" i="61" s="1"/>
  <c r="H45" i="204"/>
  <c r="I45" i="204" s="1"/>
  <c r="G46" i="58"/>
  <c r="J44" i="58" s="1"/>
  <c r="H44" i="58"/>
  <c r="I44" i="58" s="1"/>
  <c r="H29" i="168"/>
  <c r="I29" i="168" s="1"/>
  <c r="G34" i="168"/>
  <c r="H34" i="203"/>
  <c r="I34" i="203" s="1"/>
  <c r="H29" i="56"/>
  <c r="I29" i="56" s="1"/>
  <c r="G34" i="56"/>
  <c r="G35" i="56"/>
  <c r="H30" i="56"/>
  <c r="I30" i="56" s="1"/>
  <c r="G49" i="60"/>
  <c r="H48" i="60"/>
  <c r="I48" i="60" s="1"/>
  <c r="H34" i="206"/>
  <c r="I34" i="206" s="1"/>
  <c r="H43" i="202"/>
  <c r="I43" i="202" s="1"/>
  <c r="H50" i="57"/>
  <c r="I50" i="57" s="1"/>
  <c r="H43" i="201"/>
  <c r="I43" i="201" s="1"/>
  <c r="H50" i="200"/>
  <c r="I50" i="200" s="1"/>
  <c r="H44" i="184"/>
  <c r="I44" i="184" s="1"/>
  <c r="G46" i="184"/>
  <c r="J44" i="184" s="1"/>
  <c r="G38" i="25"/>
  <c r="G36" i="25"/>
  <c r="G37" i="25" s="1"/>
  <c r="H35" i="25"/>
  <c r="I35" i="25" s="1"/>
  <c r="J31" i="67"/>
  <c r="J17" i="67"/>
  <c r="J20" i="67"/>
  <c r="J21" i="67"/>
  <c r="J30" i="67"/>
  <c r="J12" i="67"/>
  <c r="J13" i="67"/>
  <c r="J34" i="67"/>
  <c r="J27" i="67"/>
  <c r="J23" i="67"/>
  <c r="J26" i="67"/>
  <c r="J39" i="67"/>
  <c r="J18" i="67"/>
  <c r="J14" i="67"/>
  <c r="J25" i="67"/>
  <c r="J16" i="67"/>
  <c r="J32" i="67"/>
  <c r="H39" i="67"/>
  <c r="J29" i="67"/>
  <c r="J33" i="67"/>
  <c r="J15" i="67"/>
  <c r="J22" i="67"/>
  <c r="J19" i="67"/>
  <c r="J24" i="67"/>
  <c r="J35" i="67"/>
  <c r="J28" i="67"/>
  <c r="H34" i="204"/>
  <c r="I34" i="204" s="1"/>
  <c r="H44" i="207"/>
  <c r="I44" i="207" s="1"/>
  <c r="G46" i="207"/>
  <c r="G36" i="169"/>
  <c r="H35" i="169"/>
  <c r="I35" i="169" s="1"/>
  <c r="G38" i="169"/>
  <c r="G51" i="58"/>
  <c r="K35" i="58" s="1"/>
  <c r="H49" i="58"/>
  <c r="I49" i="58" s="1"/>
  <c r="H50" i="201"/>
  <c r="I50" i="201" s="1"/>
  <c r="H48" i="203"/>
  <c r="I48" i="203" s="1"/>
  <c r="H45" i="200"/>
  <c r="I45" i="200" s="1"/>
  <c r="H45" i="61"/>
  <c r="I45" i="61" s="1"/>
  <c r="G29" i="52"/>
  <c r="H25" i="52"/>
  <c r="G30" i="52"/>
  <c r="G42" i="52"/>
  <c r="G47" i="52"/>
  <c r="H50" i="204"/>
  <c r="I50" i="204" s="1"/>
  <c r="H50" i="206"/>
  <c r="I50" i="206" s="1"/>
  <c r="H36" i="170"/>
  <c r="I36" i="170" s="1"/>
  <c r="G38" i="170"/>
  <c r="H45" i="60"/>
  <c r="I45" i="60" s="1"/>
  <c r="G44" i="206"/>
  <c r="H43" i="206"/>
  <c r="I43" i="206" s="1"/>
  <c r="H35" i="202"/>
  <c r="I35" i="202" s="1"/>
  <c r="G48" i="54"/>
  <c r="H47" i="54"/>
  <c r="I47" i="54" s="1"/>
  <c r="G50" i="54"/>
  <c r="G35" i="54"/>
  <c r="H30" i="54"/>
  <c r="I30" i="54" s="1"/>
  <c r="G42" i="181"/>
  <c r="G29" i="181"/>
  <c r="G47" i="181"/>
  <c r="H25" i="181"/>
  <c r="G30" i="181"/>
  <c r="H43" i="203"/>
  <c r="I43" i="203" s="1"/>
  <c r="G51" i="61"/>
  <c r="K35" i="61" s="1"/>
  <c r="H49" i="61"/>
  <c r="I49" i="61" s="1"/>
  <c r="H35" i="64"/>
  <c r="I35" i="64" s="1"/>
  <c r="G36" i="64"/>
  <c r="G38" i="64"/>
  <c r="H45" i="58"/>
  <c r="I45" i="58" s="1"/>
  <c r="F15" i="7"/>
  <c r="I25" i="168"/>
  <c r="G15" i="7" s="1"/>
  <c r="H35" i="201"/>
  <c r="I35" i="201" s="1"/>
  <c r="H34" i="200"/>
  <c r="I34" i="200" s="1"/>
  <c r="K49" i="184"/>
  <c r="K31" i="184"/>
  <c r="K16" i="184"/>
  <c r="K21" i="184"/>
  <c r="K26" i="184"/>
  <c r="K24" i="184"/>
  <c r="K36" i="184"/>
  <c r="K32" i="184"/>
  <c r="K18" i="184"/>
  <c r="K20" i="184"/>
  <c r="K22" i="184"/>
  <c r="K15" i="184"/>
  <c r="H51" i="184"/>
  <c r="K41" i="184"/>
  <c r="K51" i="184"/>
  <c r="K28" i="184"/>
  <c r="K17" i="184"/>
  <c r="K38" i="184"/>
  <c r="K39" i="184"/>
  <c r="K27" i="184"/>
  <c r="K40" i="184"/>
  <c r="K33" i="184"/>
  <c r="K37" i="184"/>
  <c r="K19" i="184"/>
  <c r="K23" i="184"/>
  <c r="K25" i="184"/>
  <c r="K47" i="184"/>
  <c r="K30" i="184"/>
  <c r="K29" i="184"/>
  <c r="J37" i="73"/>
  <c r="J13" i="73"/>
  <c r="J24" i="73"/>
  <c r="J32" i="73"/>
  <c r="J33" i="73"/>
  <c r="J14" i="73"/>
  <c r="J31" i="73"/>
  <c r="J26" i="73"/>
  <c r="J15" i="73"/>
  <c r="J19" i="73"/>
  <c r="J25" i="73"/>
  <c r="J28" i="73"/>
  <c r="J22" i="73"/>
  <c r="J29" i="73"/>
  <c r="J17" i="73"/>
  <c r="J21" i="73"/>
  <c r="J30" i="73"/>
  <c r="J38" i="73"/>
  <c r="H38" i="73"/>
  <c r="J18" i="73"/>
  <c r="J16" i="73"/>
  <c r="J20" i="73"/>
  <c r="J23" i="73"/>
  <c r="J27" i="73"/>
  <c r="J34" i="73"/>
  <c r="G50" i="56"/>
  <c r="H47" i="56"/>
  <c r="I47" i="56" s="1"/>
  <c r="G48" i="56"/>
  <c r="G49" i="56" s="1"/>
  <c r="H45" i="202"/>
  <c r="I45" i="202" s="1"/>
  <c r="H34" i="61"/>
  <c r="I34" i="61" s="1"/>
  <c r="K26" i="59"/>
  <c r="K24" i="59"/>
  <c r="K39" i="59"/>
  <c r="K22" i="59"/>
  <c r="K17" i="59"/>
  <c r="K40" i="59"/>
  <c r="K36" i="59"/>
  <c r="K51" i="59"/>
  <c r="K41" i="59"/>
  <c r="K15" i="59"/>
  <c r="K16" i="59"/>
  <c r="K32" i="59"/>
  <c r="K33" i="59"/>
  <c r="H51" i="59"/>
  <c r="K31" i="59"/>
  <c r="K20" i="59"/>
  <c r="K18" i="59"/>
  <c r="K27" i="59"/>
  <c r="K28" i="59"/>
  <c r="K38" i="59"/>
  <c r="K37" i="59"/>
  <c r="K21" i="59"/>
  <c r="K19" i="59"/>
  <c r="K23" i="59"/>
  <c r="K25" i="59"/>
  <c r="K47" i="59"/>
  <c r="K29" i="59"/>
  <c r="K30" i="59"/>
  <c r="G46" i="59"/>
  <c r="J44" i="59" s="1"/>
  <c r="H44" i="59"/>
  <c r="I44" i="59" s="1"/>
  <c r="H28" i="169"/>
  <c r="I28" i="169" s="1"/>
  <c r="H34" i="60"/>
  <c r="I34" i="60" s="1"/>
  <c r="H48" i="58"/>
  <c r="I48" i="58" s="1"/>
  <c r="K35" i="59"/>
  <c r="G51" i="202"/>
  <c r="K50" i="202" s="1"/>
  <c r="H49" i="202"/>
  <c r="I49" i="202" s="1"/>
  <c r="H45" i="205"/>
  <c r="I45" i="205" s="1"/>
  <c r="H35" i="57"/>
  <c r="I35" i="57" s="1"/>
  <c r="G42" i="53"/>
  <c r="G47" i="53"/>
  <c r="G29" i="53"/>
  <c r="G30" i="53"/>
  <c r="H25" i="53"/>
  <c r="H50" i="203"/>
  <c r="I50" i="203" s="1"/>
  <c r="G46" i="200"/>
  <c r="J43" i="200" s="1"/>
  <c r="H44" i="200"/>
  <c r="I44" i="200" s="1"/>
  <c r="K48" i="59"/>
  <c r="G49" i="206"/>
  <c r="G49" i="205"/>
  <c r="H48" i="205"/>
  <c r="I48" i="205" s="1"/>
  <c r="H45" i="57"/>
  <c r="I45" i="57" s="1"/>
  <c r="G46" i="62"/>
  <c r="J44" i="62" s="1"/>
  <c r="H44" i="62"/>
  <c r="I44" i="62" s="1"/>
  <c r="H34" i="201"/>
  <c r="I34" i="201" s="1"/>
  <c r="G45" i="54"/>
  <c r="G43" i="54"/>
  <c r="H42" i="54"/>
  <c r="I42" i="54" s="1"/>
  <c r="G44" i="203"/>
  <c r="J36" i="65"/>
  <c r="H48" i="61"/>
  <c r="I48" i="61" s="1"/>
  <c r="H43" i="204"/>
  <c r="I43" i="204" s="1"/>
  <c r="H35" i="60"/>
  <c r="I35" i="60" s="1"/>
  <c r="G45" i="168"/>
  <c r="H42" i="168"/>
  <c r="I42" i="168" s="1"/>
  <c r="G43" i="168"/>
  <c r="G44" i="168" s="1"/>
  <c r="H34" i="202"/>
  <c r="I34" i="202" s="1"/>
  <c r="H35" i="205"/>
  <c r="I35" i="205" s="1"/>
  <c r="K50" i="59"/>
  <c r="K39" i="183"/>
  <c r="K15" i="183"/>
  <c r="K37" i="183"/>
  <c r="K22" i="183"/>
  <c r="K16" i="183"/>
  <c r="K20" i="183"/>
  <c r="K17" i="183"/>
  <c r="K21" i="183"/>
  <c r="K27" i="183"/>
  <c r="K40" i="183"/>
  <c r="K31" i="183"/>
  <c r="K38" i="183"/>
  <c r="K24" i="183"/>
  <c r="K18" i="183"/>
  <c r="K41" i="183"/>
  <c r="K36" i="183"/>
  <c r="K33" i="183"/>
  <c r="K51" i="183"/>
  <c r="K32" i="183"/>
  <c r="K28" i="183"/>
  <c r="K26" i="183"/>
  <c r="H51" i="183"/>
  <c r="K19" i="183"/>
  <c r="K25" i="183"/>
  <c r="K23" i="183"/>
  <c r="K47" i="183"/>
  <c r="K30" i="183"/>
  <c r="K29" i="183"/>
  <c r="H42" i="56"/>
  <c r="I42" i="56" s="1"/>
  <c r="G45" i="56"/>
  <c r="G43" i="56"/>
  <c r="G44" i="56" s="1"/>
  <c r="H50" i="60"/>
  <c r="I50" i="60" s="1"/>
  <c r="J44" i="183"/>
  <c r="J41" i="183"/>
  <c r="J13" i="183"/>
  <c r="J22" i="183"/>
  <c r="J37" i="183"/>
  <c r="J46" i="183"/>
  <c r="J31" i="183"/>
  <c r="J38" i="183"/>
  <c r="J36" i="183"/>
  <c r="J26" i="183"/>
  <c r="J39" i="183"/>
  <c r="J27" i="183"/>
  <c r="J40" i="183"/>
  <c r="J24" i="183"/>
  <c r="J33" i="183"/>
  <c r="J12" i="183"/>
  <c r="J21" i="183"/>
  <c r="H46" i="183"/>
  <c r="I46" i="183" s="1"/>
  <c r="J32" i="183"/>
  <c r="J20" i="183"/>
  <c r="J18" i="183"/>
  <c r="J28" i="183"/>
  <c r="J14" i="183"/>
  <c r="J19" i="183"/>
  <c r="J23" i="183"/>
  <c r="J25" i="183"/>
  <c r="J42" i="183"/>
  <c r="J30" i="183"/>
  <c r="J29" i="183"/>
  <c r="G44" i="202"/>
  <c r="H45" i="201"/>
  <c r="I45" i="201" s="1"/>
  <c r="H35" i="203"/>
  <c r="I35" i="203" s="1"/>
  <c r="G51" i="200"/>
  <c r="K35" i="200" s="1"/>
  <c r="H49" i="200"/>
  <c r="I49" i="200" s="1"/>
  <c r="H28" i="25"/>
  <c r="I28" i="25" s="1"/>
  <c r="J37" i="67"/>
  <c r="K49" i="207"/>
  <c r="K28" i="207"/>
  <c r="K24" i="207"/>
  <c r="K33" i="207"/>
  <c r="K17" i="207"/>
  <c r="K20" i="207"/>
  <c r="K38" i="207"/>
  <c r="K41" i="207"/>
  <c r="K40" i="207"/>
  <c r="K39" i="207"/>
  <c r="K27" i="207"/>
  <c r="K15" i="207"/>
  <c r="K18" i="207"/>
  <c r="K21" i="207"/>
  <c r="K26" i="207"/>
  <c r="K51" i="207"/>
  <c r="K31" i="207"/>
  <c r="K37" i="207"/>
  <c r="K16" i="207"/>
  <c r="K36" i="207"/>
  <c r="H51" i="207"/>
  <c r="K32" i="207"/>
  <c r="K22" i="207"/>
  <c r="K19" i="207"/>
  <c r="K25" i="207"/>
  <c r="K23" i="207"/>
  <c r="K29" i="207"/>
  <c r="K47" i="207"/>
  <c r="K30" i="207"/>
  <c r="J36" i="75"/>
  <c r="J24" i="75"/>
  <c r="J18" i="75"/>
  <c r="H38" i="75"/>
  <c r="J33" i="75"/>
  <c r="J38" i="75"/>
  <c r="J14" i="75"/>
  <c r="J17" i="75"/>
  <c r="J13" i="75"/>
  <c r="J32" i="75"/>
  <c r="J22" i="75"/>
  <c r="J25" i="75"/>
  <c r="J15" i="75"/>
  <c r="J21" i="75"/>
  <c r="J28" i="75"/>
  <c r="J20" i="75"/>
  <c r="J31" i="75"/>
  <c r="J19" i="75"/>
  <c r="J30" i="75"/>
  <c r="J29" i="75"/>
  <c r="J26" i="75"/>
  <c r="J16" i="75"/>
  <c r="J23" i="75"/>
  <c r="J34" i="75"/>
  <c r="J27" i="75"/>
  <c r="G38" i="76"/>
  <c r="H36" i="76"/>
  <c r="I36" i="76" s="1"/>
  <c r="K50" i="184"/>
  <c r="I24" i="169"/>
  <c r="G32" i="7" s="1"/>
  <c r="F32" i="7"/>
  <c r="H34" i="58"/>
  <c r="I34" i="58" s="1"/>
  <c r="H48" i="202"/>
  <c r="I48" i="202" s="1"/>
  <c r="G44" i="205"/>
  <c r="H48" i="201"/>
  <c r="I48" i="201" s="1"/>
  <c r="G49" i="203"/>
  <c r="H43" i="200"/>
  <c r="I43" i="200" s="1"/>
  <c r="G44" i="61"/>
  <c r="H43" i="61"/>
  <c r="I43" i="61" s="1"/>
  <c r="H34" i="57"/>
  <c r="I34" i="57" s="1"/>
  <c r="K35" i="184"/>
  <c r="G49" i="204"/>
  <c r="H43" i="57"/>
  <c r="I43" i="57" s="1"/>
  <c r="H35" i="204"/>
  <c r="I35" i="204" s="1"/>
  <c r="K48" i="183"/>
  <c r="H43" i="60"/>
  <c r="I43" i="60" s="1"/>
  <c r="F14" i="7"/>
  <c r="I25" i="54"/>
  <c r="G14" i="7" s="1"/>
  <c r="H28" i="64"/>
  <c r="I28" i="64" s="1"/>
  <c r="G44" i="204"/>
  <c r="K48" i="184"/>
  <c r="H43" i="58"/>
  <c r="I43" i="58" s="1"/>
  <c r="J30" i="174"/>
  <c r="J39" i="174"/>
  <c r="J16" i="174"/>
  <c r="J14" i="174"/>
  <c r="J18" i="174"/>
  <c r="J21" i="174"/>
  <c r="J25" i="174"/>
  <c r="J12" i="174"/>
  <c r="J26" i="174"/>
  <c r="J13" i="174"/>
  <c r="J20" i="174"/>
  <c r="J33" i="174"/>
  <c r="J34" i="174"/>
  <c r="J31" i="174"/>
  <c r="J32" i="174"/>
  <c r="J23" i="174"/>
  <c r="J29" i="174"/>
  <c r="H39" i="174"/>
  <c r="J17" i="174"/>
  <c r="J27" i="174"/>
  <c r="J15" i="174"/>
  <c r="J19" i="174"/>
  <c r="J22" i="174"/>
  <c r="J24" i="174"/>
  <c r="J28" i="174"/>
  <c r="J35" i="174"/>
  <c r="J43" i="183"/>
  <c r="H47" i="168"/>
  <c r="I47" i="168" s="1"/>
  <c r="G50" i="168"/>
  <c r="G48" i="168"/>
  <c r="H30" i="168"/>
  <c r="I30" i="168" s="1"/>
  <c r="G35" i="168"/>
  <c r="K35" i="183"/>
  <c r="J29" i="72"/>
  <c r="J13" i="72"/>
  <c r="J15" i="72"/>
  <c r="J30" i="72"/>
  <c r="H38" i="72"/>
  <c r="J22" i="72"/>
  <c r="J17" i="72"/>
  <c r="J19" i="72"/>
  <c r="J14" i="72"/>
  <c r="J26" i="72"/>
  <c r="J31" i="72"/>
  <c r="J38" i="72"/>
  <c r="J20" i="72"/>
  <c r="J32" i="72"/>
  <c r="J33" i="72"/>
  <c r="J25" i="72"/>
  <c r="J21" i="72"/>
  <c r="J28" i="72"/>
  <c r="J24" i="72"/>
  <c r="J18" i="72"/>
  <c r="J16" i="72"/>
  <c r="J23" i="72"/>
  <c r="J27" i="72"/>
  <c r="J34" i="72"/>
  <c r="J37" i="72"/>
  <c r="J35" i="72"/>
  <c r="J36" i="73"/>
  <c r="I25" i="56"/>
  <c r="G16" i="7" s="1"/>
  <c r="F16" i="7"/>
  <c r="G49" i="57"/>
  <c r="H48" i="57"/>
  <c r="I48" i="57" s="1"/>
  <c r="G44" i="201"/>
  <c r="G30" i="51"/>
  <c r="G29" i="51"/>
  <c r="G47" i="51"/>
  <c r="G42" i="51"/>
  <c r="H25" i="51"/>
  <c r="J38" i="65"/>
  <c r="H35" i="200"/>
  <c r="I35" i="200" s="1"/>
  <c r="H48" i="200"/>
  <c r="I48" i="200" s="1"/>
  <c r="K34" i="183"/>
  <c r="K49" i="59"/>
  <c r="J34" i="182" l="1"/>
  <c r="J24" i="68"/>
  <c r="J26" i="68"/>
  <c r="J16" i="68"/>
  <c r="J13" i="68"/>
  <c r="J19" i="68"/>
  <c r="J14" i="68"/>
  <c r="K34" i="48"/>
  <c r="J35" i="57"/>
  <c r="K48" i="61"/>
  <c r="K50" i="48"/>
  <c r="K34" i="202"/>
  <c r="J45" i="57"/>
  <c r="J45" i="58"/>
  <c r="G51" i="182"/>
  <c r="K38" i="182" s="1"/>
  <c r="K34" i="58"/>
  <c r="K48" i="58"/>
  <c r="J31" i="175"/>
  <c r="J19" i="175"/>
  <c r="J34" i="175"/>
  <c r="J30" i="175"/>
  <c r="J32" i="175"/>
  <c r="J24" i="175"/>
  <c r="J20" i="175"/>
  <c r="J14" i="175"/>
  <c r="J15" i="175"/>
  <c r="J21" i="175"/>
  <c r="J17" i="175"/>
  <c r="J27" i="175"/>
  <c r="J18" i="175"/>
  <c r="J33" i="175"/>
  <c r="J22" i="175"/>
  <c r="J23" i="175"/>
  <c r="J25" i="175"/>
  <c r="J39" i="175"/>
  <c r="H39" i="175"/>
  <c r="J13" i="175"/>
  <c r="J12" i="175"/>
  <c r="J28" i="175"/>
  <c r="J26" i="175"/>
  <c r="J16" i="175"/>
  <c r="J29" i="175"/>
  <c r="J35" i="175"/>
  <c r="H20" i="171"/>
  <c r="I20" i="171" s="1"/>
  <c r="G23" i="171"/>
  <c r="J38" i="175"/>
  <c r="J34" i="58"/>
  <c r="J44" i="200"/>
  <c r="K50" i="49"/>
  <c r="H20" i="5"/>
  <c r="I20" i="5" s="1"/>
  <c r="G23" i="5"/>
  <c r="G39" i="70"/>
  <c r="J37" i="70" s="1"/>
  <c r="H37" i="70"/>
  <c r="I37" i="70" s="1"/>
  <c r="J45" i="200"/>
  <c r="K48" i="49"/>
  <c r="J37" i="175"/>
  <c r="J35" i="200"/>
  <c r="J36" i="175"/>
  <c r="J35" i="58"/>
  <c r="J43" i="58"/>
  <c r="K50" i="58"/>
  <c r="K34" i="49"/>
  <c r="J14" i="182"/>
  <c r="J26" i="182"/>
  <c r="J31" i="182"/>
  <c r="J32" i="182"/>
  <c r="J18" i="182"/>
  <c r="J33" i="182"/>
  <c r="J28" i="182"/>
  <c r="J20" i="182"/>
  <c r="J24" i="182"/>
  <c r="J27" i="182"/>
  <c r="J37" i="182"/>
  <c r="J38" i="182"/>
  <c r="J36" i="182"/>
  <c r="J46" i="182"/>
  <c r="J39" i="182"/>
  <c r="J22" i="182"/>
  <c r="J41" i="182"/>
  <c r="H46" i="182"/>
  <c r="I46" i="182" s="1"/>
  <c r="J12" i="182"/>
  <c r="J21" i="182"/>
  <c r="J13" i="182"/>
  <c r="J40" i="182"/>
  <c r="J19" i="182"/>
  <c r="J23" i="182"/>
  <c r="J25" i="182"/>
  <c r="J42" i="182"/>
  <c r="J29" i="182"/>
  <c r="J30" i="182"/>
  <c r="K48" i="202"/>
  <c r="J43" i="182"/>
  <c r="J14" i="48"/>
  <c r="J38" i="48"/>
  <c r="J13" i="48"/>
  <c r="J12" i="48"/>
  <c r="J36" i="48"/>
  <c r="J46" i="48"/>
  <c r="J21" i="48"/>
  <c r="J31" i="48"/>
  <c r="J40" i="48"/>
  <c r="J39" i="48"/>
  <c r="H46" i="48"/>
  <c r="I46" i="48" s="1"/>
  <c r="J22" i="48"/>
  <c r="J18" i="48"/>
  <c r="J32" i="48"/>
  <c r="J37" i="48"/>
  <c r="J28" i="48"/>
  <c r="J33" i="48"/>
  <c r="J27" i="48"/>
  <c r="J20" i="48"/>
  <c r="J41" i="48"/>
  <c r="J24" i="48"/>
  <c r="J26" i="48"/>
  <c r="J19" i="48"/>
  <c r="J23" i="48"/>
  <c r="J25" i="48"/>
  <c r="J30" i="48"/>
  <c r="J29" i="48"/>
  <c r="J42" i="48"/>
  <c r="K21" i="50"/>
  <c r="K24" i="50"/>
  <c r="K20" i="50"/>
  <c r="K31" i="50"/>
  <c r="K28" i="50"/>
  <c r="K22" i="50"/>
  <c r="K17" i="50"/>
  <c r="K36" i="50"/>
  <c r="K38" i="50"/>
  <c r="K27" i="50"/>
  <c r="K32" i="50"/>
  <c r="K37" i="50"/>
  <c r="K26" i="50"/>
  <c r="K41" i="50"/>
  <c r="K18" i="50"/>
  <c r="K51" i="50"/>
  <c r="K33" i="50"/>
  <c r="K39" i="50"/>
  <c r="H51" i="50"/>
  <c r="K16" i="50"/>
  <c r="K15" i="50"/>
  <c r="K40" i="50"/>
  <c r="K19" i="50"/>
  <c r="K23" i="50"/>
  <c r="K25" i="50"/>
  <c r="K29" i="50"/>
  <c r="K30" i="50"/>
  <c r="K47" i="50"/>
  <c r="H20" i="81"/>
  <c r="I20" i="81" s="1"/>
  <c r="G23" i="81"/>
  <c r="J43" i="48"/>
  <c r="K20" i="48"/>
  <c r="K16" i="48"/>
  <c r="K38" i="48"/>
  <c r="K24" i="48"/>
  <c r="K21" i="48"/>
  <c r="H51" i="48"/>
  <c r="K37" i="48"/>
  <c r="K28" i="48"/>
  <c r="K22" i="48"/>
  <c r="K33" i="48"/>
  <c r="K31" i="48"/>
  <c r="K51" i="48"/>
  <c r="K18" i="48"/>
  <c r="K17" i="48"/>
  <c r="K32" i="48"/>
  <c r="K26" i="48"/>
  <c r="K15" i="48"/>
  <c r="K41" i="48"/>
  <c r="K36" i="48"/>
  <c r="K27" i="48"/>
  <c r="K40" i="48"/>
  <c r="K39" i="48"/>
  <c r="K19" i="48"/>
  <c r="K23" i="48"/>
  <c r="K25" i="48"/>
  <c r="K29" i="48"/>
  <c r="K30" i="48"/>
  <c r="K47" i="48"/>
  <c r="K48" i="182"/>
  <c r="K20" i="182"/>
  <c r="K22" i="182"/>
  <c r="K37" i="182"/>
  <c r="K15" i="182"/>
  <c r="K33" i="182"/>
  <c r="K17" i="182"/>
  <c r="K26" i="182"/>
  <c r="K24" i="182"/>
  <c r="K31" i="182"/>
  <c r="K18" i="182"/>
  <c r="K19" i="182"/>
  <c r="K23" i="182"/>
  <c r="K47" i="182"/>
  <c r="K29" i="182"/>
  <c r="H20" i="79"/>
  <c r="I20" i="79" s="1"/>
  <c r="G23" i="79"/>
  <c r="K36" i="49"/>
  <c r="K33" i="49"/>
  <c r="K40" i="49"/>
  <c r="K15" i="49"/>
  <c r="K37" i="49"/>
  <c r="K39" i="49"/>
  <c r="K28" i="49"/>
  <c r="K22" i="49"/>
  <c r="K24" i="49"/>
  <c r="K21" i="49"/>
  <c r="K31" i="49"/>
  <c r="K41" i="49"/>
  <c r="K38" i="49"/>
  <c r="K20" i="49"/>
  <c r="K26" i="49"/>
  <c r="K16" i="49"/>
  <c r="K32" i="49"/>
  <c r="K17" i="49"/>
  <c r="K27" i="49"/>
  <c r="K18" i="49"/>
  <c r="K51" i="49"/>
  <c r="H51" i="49"/>
  <c r="K19" i="49"/>
  <c r="K23" i="49"/>
  <c r="K25" i="49"/>
  <c r="K29" i="49"/>
  <c r="K47" i="49"/>
  <c r="K30" i="49"/>
  <c r="K48" i="201"/>
  <c r="K34" i="200"/>
  <c r="K50" i="200"/>
  <c r="J45" i="48"/>
  <c r="K50" i="50"/>
  <c r="J44" i="48"/>
  <c r="K49" i="50"/>
  <c r="K34" i="50"/>
  <c r="K50" i="182"/>
  <c r="K48" i="50"/>
  <c r="H44" i="49"/>
  <c r="I44" i="49" s="1"/>
  <c r="G46" i="49"/>
  <c r="J45" i="182"/>
  <c r="J44" i="182"/>
  <c r="G46" i="50"/>
  <c r="H44" i="50"/>
  <c r="I44" i="50" s="1"/>
  <c r="I39" i="68"/>
  <c r="I37" i="7" s="1"/>
  <c r="H37" i="7"/>
  <c r="J43" i="57"/>
  <c r="K49" i="182"/>
  <c r="H20" i="173"/>
  <c r="I20" i="173" s="1"/>
  <c r="G23" i="173"/>
  <c r="K35" i="50"/>
  <c r="K49" i="49"/>
  <c r="K49" i="48"/>
  <c r="G45" i="51"/>
  <c r="G43" i="51"/>
  <c r="G44" i="51" s="1"/>
  <c r="H42" i="51"/>
  <c r="I42" i="51" s="1"/>
  <c r="G46" i="201"/>
  <c r="H44" i="201"/>
  <c r="I44" i="201" s="1"/>
  <c r="H27" i="7"/>
  <c r="I38" i="72"/>
  <c r="I27" i="7" s="1"/>
  <c r="H35" i="168"/>
  <c r="I35" i="168" s="1"/>
  <c r="H48" i="168"/>
  <c r="I48" i="168" s="1"/>
  <c r="I39" i="174"/>
  <c r="I35" i="7" s="1"/>
  <c r="H35" i="7"/>
  <c r="H49" i="203"/>
  <c r="I49" i="203" s="1"/>
  <c r="G51" i="203"/>
  <c r="K49" i="203" s="1"/>
  <c r="G46" i="56"/>
  <c r="J43" i="56" s="1"/>
  <c r="H44" i="56"/>
  <c r="I44" i="56" s="1"/>
  <c r="G46" i="168"/>
  <c r="J35" i="168" s="1"/>
  <c r="H44" i="168"/>
  <c r="I44" i="168" s="1"/>
  <c r="G46" i="203"/>
  <c r="H44" i="203"/>
  <c r="I44" i="203" s="1"/>
  <c r="H43" i="54"/>
  <c r="I43" i="54" s="1"/>
  <c r="G51" i="205"/>
  <c r="H49" i="205"/>
  <c r="I49" i="205" s="1"/>
  <c r="I25" i="53"/>
  <c r="G13" i="7" s="1"/>
  <c r="F13" i="7"/>
  <c r="G43" i="53"/>
  <c r="G44" i="53" s="1"/>
  <c r="G45" i="53"/>
  <c r="H42" i="53"/>
  <c r="I42" i="53" s="1"/>
  <c r="H50" i="56"/>
  <c r="I50" i="56" s="1"/>
  <c r="F12" i="7"/>
  <c r="I25" i="181"/>
  <c r="G12" i="7" s="1"/>
  <c r="H48" i="54"/>
  <c r="I48" i="54" s="1"/>
  <c r="G35" i="52"/>
  <c r="H30" i="52"/>
  <c r="I30" i="52" s="1"/>
  <c r="H36" i="169"/>
  <c r="I36" i="169" s="1"/>
  <c r="H38" i="25"/>
  <c r="I38" i="25" s="1"/>
  <c r="H34" i="56"/>
  <c r="I34" i="56" s="1"/>
  <c r="J18" i="60"/>
  <c r="J39" i="60"/>
  <c r="J26" i="60"/>
  <c r="J13" i="60"/>
  <c r="J37" i="60"/>
  <c r="J22" i="60"/>
  <c r="J41" i="60"/>
  <c r="J32" i="60"/>
  <c r="J12" i="60"/>
  <c r="J24" i="60"/>
  <c r="J21" i="60"/>
  <c r="H46" i="60"/>
  <c r="I46" i="60" s="1"/>
  <c r="J46" i="60"/>
  <c r="J20" i="60"/>
  <c r="J38" i="60"/>
  <c r="J28" i="60"/>
  <c r="J14" i="60"/>
  <c r="J33" i="60"/>
  <c r="J40" i="60"/>
  <c r="J36" i="60"/>
  <c r="J31" i="60"/>
  <c r="J27" i="60"/>
  <c r="J19" i="60"/>
  <c r="J23" i="60"/>
  <c r="J25" i="60"/>
  <c r="J30" i="60"/>
  <c r="J42" i="60"/>
  <c r="J29" i="60"/>
  <c r="J24" i="172"/>
  <c r="J33" i="172"/>
  <c r="J31" i="172"/>
  <c r="J30" i="172"/>
  <c r="J16" i="172"/>
  <c r="J21" i="172"/>
  <c r="J25" i="172"/>
  <c r="J13" i="172"/>
  <c r="J15" i="172"/>
  <c r="J26" i="172"/>
  <c r="J28" i="172"/>
  <c r="J29" i="172"/>
  <c r="J14" i="172"/>
  <c r="J19" i="172"/>
  <c r="J38" i="172"/>
  <c r="J17" i="172"/>
  <c r="J32" i="172"/>
  <c r="J22" i="172"/>
  <c r="J18" i="172"/>
  <c r="H38" i="172"/>
  <c r="J20" i="172"/>
  <c r="J23" i="172"/>
  <c r="J27" i="172"/>
  <c r="J34" i="172"/>
  <c r="J37" i="172"/>
  <c r="J35" i="172"/>
  <c r="G48" i="51"/>
  <c r="H47" i="51"/>
  <c r="I47" i="51" s="1"/>
  <c r="G50" i="51"/>
  <c r="H50" i="168"/>
  <c r="I50" i="168" s="1"/>
  <c r="H44" i="204"/>
  <c r="I44" i="204" s="1"/>
  <c r="G46" i="204"/>
  <c r="H44" i="61"/>
  <c r="I44" i="61" s="1"/>
  <c r="G46" i="61"/>
  <c r="J36" i="76"/>
  <c r="J25" i="76"/>
  <c r="J13" i="76"/>
  <c r="J22" i="76"/>
  <c r="J18" i="76"/>
  <c r="H38" i="76"/>
  <c r="J17" i="76"/>
  <c r="J28" i="76"/>
  <c r="J24" i="76"/>
  <c r="J26" i="76"/>
  <c r="J31" i="76"/>
  <c r="J38" i="76"/>
  <c r="J15" i="76"/>
  <c r="J30" i="76"/>
  <c r="J33" i="76"/>
  <c r="J14" i="76"/>
  <c r="J16" i="76"/>
  <c r="J32" i="76"/>
  <c r="J19" i="76"/>
  <c r="J21" i="76"/>
  <c r="J29" i="76"/>
  <c r="J20" i="76"/>
  <c r="J23" i="76"/>
  <c r="J34" i="76"/>
  <c r="J27" i="76"/>
  <c r="J35" i="76"/>
  <c r="J37" i="76"/>
  <c r="K33" i="200"/>
  <c r="K18" i="200"/>
  <c r="K38" i="200"/>
  <c r="K17" i="200"/>
  <c r="K16" i="200"/>
  <c r="K22" i="200"/>
  <c r="K21" i="200"/>
  <c r="K27" i="200"/>
  <c r="K31" i="200"/>
  <c r="K40" i="200"/>
  <c r="K37" i="200"/>
  <c r="K32" i="200"/>
  <c r="K15" i="200"/>
  <c r="K26" i="200"/>
  <c r="K28" i="200"/>
  <c r="K51" i="200"/>
  <c r="K41" i="200"/>
  <c r="H51" i="200"/>
  <c r="K24" i="200"/>
  <c r="K20" i="200"/>
  <c r="K36" i="200"/>
  <c r="K39" i="200"/>
  <c r="K19" i="200"/>
  <c r="K23" i="200"/>
  <c r="K25" i="200"/>
  <c r="K29" i="200"/>
  <c r="K47" i="200"/>
  <c r="K30" i="200"/>
  <c r="H43" i="56"/>
  <c r="I43" i="56" s="1"/>
  <c r="H43" i="168"/>
  <c r="I43" i="168" s="1"/>
  <c r="H45" i="54"/>
  <c r="I45" i="54" s="1"/>
  <c r="G51" i="206"/>
  <c r="H49" i="206"/>
  <c r="I49" i="206" s="1"/>
  <c r="G35" i="53"/>
  <c r="H30" i="53"/>
  <c r="I30" i="53" s="1"/>
  <c r="H20" i="7"/>
  <c r="I51" i="59"/>
  <c r="I20" i="7" s="1"/>
  <c r="G51" i="56"/>
  <c r="K34" i="56" s="1"/>
  <c r="H49" i="56"/>
  <c r="I49" i="56" s="1"/>
  <c r="H47" i="181"/>
  <c r="I47" i="181" s="1"/>
  <c r="G50" i="181"/>
  <c r="G48" i="181"/>
  <c r="G49" i="181" s="1"/>
  <c r="G49" i="54"/>
  <c r="J35" i="170"/>
  <c r="J33" i="170"/>
  <c r="J22" i="170"/>
  <c r="J18" i="170"/>
  <c r="J31" i="170"/>
  <c r="H38" i="170"/>
  <c r="J21" i="170"/>
  <c r="J26" i="170"/>
  <c r="J14" i="170"/>
  <c r="J13" i="170"/>
  <c r="J17" i="170"/>
  <c r="J32" i="170"/>
  <c r="J15" i="170"/>
  <c r="J25" i="170"/>
  <c r="J29" i="170"/>
  <c r="J30" i="170"/>
  <c r="J19" i="170"/>
  <c r="J28" i="170"/>
  <c r="J38" i="170"/>
  <c r="J24" i="170"/>
  <c r="J16" i="170"/>
  <c r="J20" i="170"/>
  <c r="J23" i="170"/>
  <c r="J34" i="170"/>
  <c r="J27" i="170"/>
  <c r="J37" i="170"/>
  <c r="I25" i="52"/>
  <c r="G11" i="7" s="1"/>
  <c r="F11" i="7"/>
  <c r="H38" i="169"/>
  <c r="I38" i="169" s="1"/>
  <c r="J44" i="207"/>
  <c r="J14" i="207"/>
  <c r="J20" i="207"/>
  <c r="J12" i="207"/>
  <c r="J21" i="207"/>
  <c r="J13" i="207"/>
  <c r="J31" i="207"/>
  <c r="J18" i="207"/>
  <c r="J40" i="207"/>
  <c r="J39" i="207"/>
  <c r="J26" i="207"/>
  <c r="J41" i="207"/>
  <c r="J33" i="207"/>
  <c r="J28" i="207"/>
  <c r="J38" i="207"/>
  <c r="J22" i="207"/>
  <c r="J46" i="207"/>
  <c r="J24" i="207"/>
  <c r="J37" i="207"/>
  <c r="H46" i="207"/>
  <c r="I46" i="207" s="1"/>
  <c r="J32" i="207"/>
  <c r="J36" i="207"/>
  <c r="J27" i="207"/>
  <c r="J19" i="207"/>
  <c r="J23" i="207"/>
  <c r="J25" i="207"/>
  <c r="J42" i="207"/>
  <c r="J30" i="207"/>
  <c r="J29" i="207"/>
  <c r="J34" i="207"/>
  <c r="J35" i="207"/>
  <c r="J43" i="207"/>
  <c r="J45" i="207"/>
  <c r="H37" i="25"/>
  <c r="I37" i="25" s="1"/>
  <c r="G39" i="25"/>
  <c r="J36" i="25" s="1"/>
  <c r="G51" i="60"/>
  <c r="K49" i="60" s="1"/>
  <c r="H49" i="60"/>
  <c r="I49" i="60" s="1"/>
  <c r="H35" i="56"/>
  <c r="I35" i="56" s="1"/>
  <c r="J37" i="78"/>
  <c r="J25" i="78"/>
  <c r="J17" i="78"/>
  <c r="J28" i="78"/>
  <c r="J21" i="78"/>
  <c r="J13" i="78"/>
  <c r="J22" i="78"/>
  <c r="J30" i="78"/>
  <c r="J38" i="78"/>
  <c r="J32" i="78"/>
  <c r="H38" i="78"/>
  <c r="J31" i="78"/>
  <c r="J29" i="78"/>
  <c r="J26" i="78"/>
  <c r="J19" i="78"/>
  <c r="J24" i="78"/>
  <c r="J18" i="78"/>
  <c r="J14" i="78"/>
  <c r="J33" i="78"/>
  <c r="J15" i="78"/>
  <c r="J16" i="78"/>
  <c r="J20" i="78"/>
  <c r="J23" i="78"/>
  <c r="J34" i="78"/>
  <c r="J27" i="78"/>
  <c r="J35" i="78"/>
  <c r="K22" i="201"/>
  <c r="K41" i="201"/>
  <c r="K38" i="201"/>
  <c r="K51" i="201"/>
  <c r="K31" i="201"/>
  <c r="K28" i="201"/>
  <c r="K21" i="201"/>
  <c r="K24" i="201"/>
  <c r="K20" i="201"/>
  <c r="K15" i="201"/>
  <c r="K40" i="201"/>
  <c r="K39" i="201"/>
  <c r="K33" i="201"/>
  <c r="K27" i="201"/>
  <c r="K26" i="201"/>
  <c r="K32" i="201"/>
  <c r="K18" i="201"/>
  <c r="K16" i="201"/>
  <c r="H51" i="201"/>
  <c r="K36" i="201"/>
  <c r="K17" i="201"/>
  <c r="K37" i="201"/>
  <c r="K19" i="201"/>
  <c r="K23" i="201"/>
  <c r="K25" i="201"/>
  <c r="K30" i="201"/>
  <c r="K47" i="201"/>
  <c r="K29" i="201"/>
  <c r="G34" i="51"/>
  <c r="H29" i="51"/>
  <c r="I29" i="51" s="1"/>
  <c r="J43" i="60"/>
  <c r="G51" i="204"/>
  <c r="H49" i="204"/>
  <c r="I49" i="204" s="1"/>
  <c r="H45" i="56"/>
  <c r="I45" i="56" s="1"/>
  <c r="I51" i="183"/>
  <c r="I23" i="7" s="1"/>
  <c r="H23" i="7"/>
  <c r="G44" i="54"/>
  <c r="K34" i="201"/>
  <c r="G34" i="53"/>
  <c r="H29" i="53"/>
  <c r="I29" i="53" s="1"/>
  <c r="K49" i="202"/>
  <c r="K18" i="202"/>
  <c r="K32" i="202"/>
  <c r="K40" i="202"/>
  <c r="K20" i="202"/>
  <c r="K39" i="202"/>
  <c r="K51" i="202"/>
  <c r="K24" i="202"/>
  <c r="K37" i="202"/>
  <c r="K16" i="202"/>
  <c r="K22" i="202"/>
  <c r="H51" i="202"/>
  <c r="K28" i="202"/>
  <c r="K38" i="202"/>
  <c r="K21" i="202"/>
  <c r="K26" i="202"/>
  <c r="K31" i="202"/>
  <c r="K36" i="202"/>
  <c r="K41" i="202"/>
  <c r="K17" i="202"/>
  <c r="K15" i="202"/>
  <c r="K33" i="202"/>
  <c r="K27" i="202"/>
  <c r="K19" i="202"/>
  <c r="K23" i="202"/>
  <c r="K25" i="202"/>
  <c r="K29" i="202"/>
  <c r="K47" i="202"/>
  <c r="K30" i="202"/>
  <c r="J34" i="59"/>
  <c r="J27" i="59"/>
  <c r="J46" i="59"/>
  <c r="J26" i="59"/>
  <c r="J36" i="59"/>
  <c r="J21" i="59"/>
  <c r="H46" i="59"/>
  <c r="I46" i="59" s="1"/>
  <c r="J20" i="59"/>
  <c r="J39" i="59"/>
  <c r="J32" i="59"/>
  <c r="J24" i="59"/>
  <c r="J37" i="59"/>
  <c r="J41" i="59"/>
  <c r="J40" i="59"/>
  <c r="J38" i="59"/>
  <c r="J33" i="59"/>
  <c r="J12" i="59"/>
  <c r="J13" i="59"/>
  <c r="J28" i="59"/>
  <c r="J14" i="59"/>
  <c r="J18" i="59"/>
  <c r="J22" i="59"/>
  <c r="J31" i="59"/>
  <c r="J19" i="59"/>
  <c r="J23" i="59"/>
  <c r="J25" i="59"/>
  <c r="J42" i="59"/>
  <c r="J29" i="59"/>
  <c r="J30" i="59"/>
  <c r="J43" i="59"/>
  <c r="J45" i="59"/>
  <c r="J35" i="59"/>
  <c r="H48" i="56"/>
  <c r="I48" i="56" s="1"/>
  <c r="H19" i="7"/>
  <c r="I51" i="184"/>
  <c r="I19" i="7" s="1"/>
  <c r="H38" i="64"/>
  <c r="I38" i="64" s="1"/>
  <c r="K49" i="61"/>
  <c r="K17" i="61"/>
  <c r="K31" i="61"/>
  <c r="K36" i="61"/>
  <c r="K27" i="61"/>
  <c r="K16" i="61"/>
  <c r="H51" i="61"/>
  <c r="K24" i="61"/>
  <c r="K38" i="61"/>
  <c r="K28" i="61"/>
  <c r="K20" i="61"/>
  <c r="K41" i="61"/>
  <c r="K40" i="61"/>
  <c r="K33" i="61"/>
  <c r="K22" i="61"/>
  <c r="K18" i="61"/>
  <c r="K26" i="61"/>
  <c r="K51" i="61"/>
  <c r="K32" i="61"/>
  <c r="K21" i="61"/>
  <c r="K37" i="61"/>
  <c r="K39" i="61"/>
  <c r="K15" i="61"/>
  <c r="K19" i="61"/>
  <c r="K23" i="61"/>
  <c r="K25" i="61"/>
  <c r="K29" i="61"/>
  <c r="K30" i="61"/>
  <c r="K47" i="61"/>
  <c r="G34" i="181"/>
  <c r="H29" i="181"/>
  <c r="I29" i="181" s="1"/>
  <c r="H50" i="54"/>
  <c r="I50" i="54" s="1"/>
  <c r="K35" i="202"/>
  <c r="H44" i="206"/>
  <c r="I44" i="206" s="1"/>
  <c r="G46" i="206"/>
  <c r="J44" i="206" s="1"/>
  <c r="J36" i="170"/>
  <c r="H47" i="52"/>
  <c r="I47" i="52" s="1"/>
  <c r="G50" i="52"/>
  <c r="G48" i="52"/>
  <c r="G34" i="52"/>
  <c r="H29" i="52"/>
  <c r="I29" i="52" s="1"/>
  <c r="K50" i="201"/>
  <c r="G37" i="169"/>
  <c r="I39" i="67"/>
  <c r="I36" i="7" s="1"/>
  <c r="H36" i="7"/>
  <c r="J12" i="184"/>
  <c r="J46" i="184"/>
  <c r="J38" i="184"/>
  <c r="J13" i="184"/>
  <c r="J26" i="184"/>
  <c r="J18" i="184"/>
  <c r="J36" i="184"/>
  <c r="J32" i="184"/>
  <c r="J39" i="184"/>
  <c r="J20" i="184"/>
  <c r="J22" i="184"/>
  <c r="J40" i="184"/>
  <c r="J24" i="184"/>
  <c r="J41" i="184"/>
  <c r="J21" i="184"/>
  <c r="H46" i="184"/>
  <c r="I46" i="184" s="1"/>
  <c r="J27" i="184"/>
  <c r="J33" i="184"/>
  <c r="J37" i="184"/>
  <c r="J14" i="184"/>
  <c r="J31" i="184"/>
  <c r="J28" i="184"/>
  <c r="J19" i="184"/>
  <c r="J23" i="184"/>
  <c r="J25" i="184"/>
  <c r="J30" i="184"/>
  <c r="J29" i="184"/>
  <c r="J42" i="184"/>
  <c r="J43" i="184"/>
  <c r="J34" i="184"/>
  <c r="J35" i="184"/>
  <c r="J45" i="184"/>
  <c r="K50" i="61"/>
  <c r="J44" i="60"/>
  <c r="H34" i="7"/>
  <c r="I39" i="65"/>
  <c r="I34" i="7" s="1"/>
  <c r="J36" i="172"/>
  <c r="K48" i="200"/>
  <c r="I25" i="51"/>
  <c r="G10" i="7" s="1"/>
  <c r="F10" i="7"/>
  <c r="G35" i="51"/>
  <c r="H30" i="51"/>
  <c r="I30" i="51" s="1"/>
  <c r="G51" i="57"/>
  <c r="K49" i="57" s="1"/>
  <c r="H49" i="57"/>
  <c r="I49" i="57" s="1"/>
  <c r="G49" i="168"/>
  <c r="G46" i="205"/>
  <c r="J44" i="205" s="1"/>
  <c r="H44" i="205"/>
  <c r="I44" i="205" s="1"/>
  <c r="H30" i="7"/>
  <c r="I38" i="75"/>
  <c r="I30" i="7" s="1"/>
  <c r="H60" i="7"/>
  <c r="I51" i="207"/>
  <c r="I60" i="7" s="1"/>
  <c r="K49" i="200"/>
  <c r="G46" i="202"/>
  <c r="H44" i="202"/>
  <c r="I44" i="202" s="1"/>
  <c r="H45" i="168"/>
  <c r="I45" i="168" s="1"/>
  <c r="J26" i="62"/>
  <c r="J40" i="62"/>
  <c r="J14" i="62"/>
  <c r="J36" i="62"/>
  <c r="J18" i="62"/>
  <c r="H46" i="62"/>
  <c r="I46" i="62" s="1"/>
  <c r="J41" i="62"/>
  <c r="J38" i="62"/>
  <c r="J28" i="62"/>
  <c r="J21" i="62"/>
  <c r="J31" i="62"/>
  <c r="J27" i="62"/>
  <c r="J20" i="62"/>
  <c r="J46" i="62"/>
  <c r="J37" i="62"/>
  <c r="J22" i="62"/>
  <c r="J13" i="62"/>
  <c r="J32" i="62"/>
  <c r="J24" i="62"/>
  <c r="J39" i="62"/>
  <c r="J12" i="62"/>
  <c r="J33" i="62"/>
  <c r="J19" i="62"/>
  <c r="J23" i="62"/>
  <c r="J25" i="62"/>
  <c r="J29" i="62"/>
  <c r="J30" i="62"/>
  <c r="J42" i="62"/>
  <c r="J34" i="62"/>
  <c r="J35" i="62"/>
  <c r="J43" i="62"/>
  <c r="J45" i="62"/>
  <c r="J33" i="200"/>
  <c r="J31" i="200"/>
  <c r="J27" i="200"/>
  <c r="J39" i="200"/>
  <c r="J18" i="200"/>
  <c r="J40" i="200"/>
  <c r="J24" i="200"/>
  <c r="J28" i="200"/>
  <c r="J41" i="200"/>
  <c r="J12" i="200"/>
  <c r="J21" i="200"/>
  <c r="J37" i="200"/>
  <c r="J14" i="200"/>
  <c r="J13" i="200"/>
  <c r="J36" i="200"/>
  <c r="J20" i="200"/>
  <c r="H46" i="200"/>
  <c r="I46" i="200" s="1"/>
  <c r="J46" i="200"/>
  <c r="J26" i="200"/>
  <c r="J38" i="200"/>
  <c r="J32" i="200"/>
  <c r="J22" i="200"/>
  <c r="J19" i="200"/>
  <c r="J23" i="200"/>
  <c r="J25" i="200"/>
  <c r="J29" i="200"/>
  <c r="J30" i="200"/>
  <c r="J42" i="200"/>
  <c r="G48" i="53"/>
  <c r="H47" i="53"/>
  <c r="I47" i="53" s="1"/>
  <c r="G50" i="53"/>
  <c r="J34" i="60"/>
  <c r="K34" i="61"/>
  <c r="I38" i="73"/>
  <c r="I28" i="7" s="1"/>
  <c r="H28" i="7"/>
  <c r="J34" i="200"/>
  <c r="K35" i="201"/>
  <c r="G37" i="64"/>
  <c r="H36" i="64"/>
  <c r="I36" i="64" s="1"/>
  <c r="H30" i="181"/>
  <c r="I30" i="181" s="1"/>
  <c r="G35" i="181"/>
  <c r="G45" i="181"/>
  <c r="G43" i="181"/>
  <c r="H42" i="181"/>
  <c r="I42" i="181" s="1"/>
  <c r="H35" i="54"/>
  <c r="I35" i="54" s="1"/>
  <c r="J45" i="60"/>
  <c r="G45" i="52"/>
  <c r="H42" i="52"/>
  <c r="I42" i="52" s="1"/>
  <c r="G43" i="52"/>
  <c r="G44" i="52" s="1"/>
  <c r="K49" i="58"/>
  <c r="K21" i="58"/>
  <c r="K38" i="58"/>
  <c r="K41" i="58"/>
  <c r="K15" i="58"/>
  <c r="K37" i="58"/>
  <c r="K20" i="58"/>
  <c r="K26" i="58"/>
  <c r="K22" i="58"/>
  <c r="K32" i="58"/>
  <c r="K31" i="58"/>
  <c r="K27" i="58"/>
  <c r="H51" i="58"/>
  <c r="K18" i="58"/>
  <c r="K51" i="58"/>
  <c r="K28" i="58"/>
  <c r="K39" i="58"/>
  <c r="K33" i="58"/>
  <c r="K17" i="58"/>
  <c r="K36" i="58"/>
  <c r="K24" i="58"/>
  <c r="K16" i="58"/>
  <c r="K40" i="58"/>
  <c r="K19" i="58"/>
  <c r="K23" i="58"/>
  <c r="K25" i="58"/>
  <c r="K30" i="58"/>
  <c r="K47" i="58"/>
  <c r="K29" i="58"/>
  <c r="H36" i="25"/>
  <c r="I36" i="25" s="1"/>
  <c r="H34" i="168"/>
  <c r="I34" i="168" s="1"/>
  <c r="J27" i="58"/>
  <c r="J12" i="58"/>
  <c r="J46" i="58"/>
  <c r="J37" i="58"/>
  <c r="J21" i="58"/>
  <c r="J33" i="58"/>
  <c r="J32" i="58"/>
  <c r="H46" i="58"/>
  <c r="I46" i="58" s="1"/>
  <c r="J13" i="58"/>
  <c r="J39" i="58"/>
  <c r="J14" i="58"/>
  <c r="J24" i="58"/>
  <c r="J22" i="58"/>
  <c r="J41" i="58"/>
  <c r="J26" i="58"/>
  <c r="J28" i="58"/>
  <c r="J31" i="58"/>
  <c r="J20" i="58"/>
  <c r="J40" i="58"/>
  <c r="J18" i="58"/>
  <c r="J36" i="58"/>
  <c r="J38" i="58"/>
  <c r="J19" i="58"/>
  <c r="J23" i="58"/>
  <c r="J25" i="58"/>
  <c r="J42" i="58"/>
  <c r="J30" i="58"/>
  <c r="J29" i="58"/>
  <c r="K49" i="62"/>
  <c r="K26" i="62"/>
  <c r="K20" i="62"/>
  <c r="K33" i="62"/>
  <c r="K40" i="62"/>
  <c r="K15" i="62"/>
  <c r="H51" i="62"/>
  <c r="K24" i="62"/>
  <c r="K21" i="62"/>
  <c r="K27" i="62"/>
  <c r="K41" i="62"/>
  <c r="K18" i="62"/>
  <c r="K22" i="62"/>
  <c r="K28" i="62"/>
  <c r="K36" i="62"/>
  <c r="K39" i="62"/>
  <c r="K16" i="62"/>
  <c r="K51" i="62"/>
  <c r="K38" i="62"/>
  <c r="K31" i="62"/>
  <c r="K37" i="62"/>
  <c r="K17" i="62"/>
  <c r="K32" i="62"/>
  <c r="K19" i="62"/>
  <c r="K23" i="62"/>
  <c r="K25" i="62"/>
  <c r="K47" i="62"/>
  <c r="K30" i="62"/>
  <c r="K29" i="62"/>
  <c r="K35" i="62"/>
  <c r="K48" i="62"/>
  <c r="K50" i="62"/>
  <c r="K34" i="62"/>
  <c r="H34" i="54"/>
  <c r="I34" i="54" s="1"/>
  <c r="J36" i="78"/>
  <c r="J44" i="57"/>
  <c r="J24" i="57"/>
  <c r="J28" i="57"/>
  <c r="J31" i="57"/>
  <c r="J41" i="57"/>
  <c r="J33" i="57"/>
  <c r="J27" i="57"/>
  <c r="J40" i="57"/>
  <c r="J46" i="57"/>
  <c r="J22" i="57"/>
  <c r="J12" i="57"/>
  <c r="J37" i="57"/>
  <c r="J18" i="57"/>
  <c r="J14" i="57"/>
  <c r="J36" i="57"/>
  <c r="J26" i="57"/>
  <c r="J20" i="57"/>
  <c r="J13" i="57"/>
  <c r="H46" i="57"/>
  <c r="I46" i="57" s="1"/>
  <c r="J21" i="57"/>
  <c r="J38" i="57"/>
  <c r="J32" i="57"/>
  <c r="J39" i="57"/>
  <c r="J19" i="57"/>
  <c r="J23" i="57"/>
  <c r="J25" i="57"/>
  <c r="J42" i="57"/>
  <c r="J30" i="57"/>
  <c r="J29" i="57"/>
  <c r="K34" i="182" l="1"/>
  <c r="K30" i="182"/>
  <c r="H51" i="182"/>
  <c r="I51" i="182" s="1"/>
  <c r="I8" i="7" s="1"/>
  <c r="K39" i="182"/>
  <c r="K27" i="182"/>
  <c r="K28" i="182"/>
  <c r="K32" i="182"/>
  <c r="K40" i="182"/>
  <c r="K35" i="182"/>
  <c r="K25" i="182"/>
  <c r="K36" i="182"/>
  <c r="K51" i="182"/>
  <c r="K16" i="182"/>
  <c r="K41" i="182"/>
  <c r="K21" i="182"/>
  <c r="K35" i="56"/>
  <c r="J34" i="168"/>
  <c r="J45" i="168"/>
  <c r="J43" i="168"/>
  <c r="G34" i="171"/>
  <c r="G27" i="171"/>
  <c r="H27" i="171" s="1"/>
  <c r="I27" i="171" s="1"/>
  <c r="H23" i="171"/>
  <c r="J38" i="70"/>
  <c r="J23" i="70"/>
  <c r="J13" i="70"/>
  <c r="J20" i="70"/>
  <c r="J29" i="70"/>
  <c r="J27" i="70"/>
  <c r="J24" i="70"/>
  <c r="J31" i="70"/>
  <c r="J12" i="70"/>
  <c r="J15" i="70"/>
  <c r="J39" i="70"/>
  <c r="J21" i="70"/>
  <c r="J19" i="70"/>
  <c r="J18" i="70"/>
  <c r="H39" i="70"/>
  <c r="J14" i="70"/>
  <c r="J33" i="70"/>
  <c r="J25" i="70"/>
  <c r="J30" i="70"/>
  <c r="J28" i="70"/>
  <c r="J26" i="70"/>
  <c r="J16" i="70"/>
  <c r="J34" i="70"/>
  <c r="J35" i="70"/>
  <c r="J32" i="70"/>
  <c r="J17" i="70"/>
  <c r="J22" i="70"/>
  <c r="J36" i="70"/>
  <c r="H38" i="7"/>
  <c r="I39" i="175"/>
  <c r="I38" i="7" s="1"/>
  <c r="G34" i="5"/>
  <c r="H23" i="5"/>
  <c r="G27" i="5"/>
  <c r="H27" i="5" s="1"/>
  <c r="I27" i="5" s="1"/>
  <c r="J34" i="56"/>
  <c r="K48" i="56"/>
  <c r="J37" i="50"/>
  <c r="J26" i="50"/>
  <c r="J46" i="50"/>
  <c r="J31" i="50"/>
  <c r="J41" i="50"/>
  <c r="J21" i="50"/>
  <c r="J32" i="50"/>
  <c r="J39" i="50"/>
  <c r="J28" i="50"/>
  <c r="J13" i="50"/>
  <c r="J20" i="50"/>
  <c r="J33" i="50"/>
  <c r="J36" i="50"/>
  <c r="J38" i="50"/>
  <c r="J27" i="50"/>
  <c r="J40" i="50"/>
  <c r="J12" i="50"/>
  <c r="J22" i="50"/>
  <c r="H46" i="50"/>
  <c r="I46" i="50" s="1"/>
  <c r="J14" i="50"/>
  <c r="J18" i="50"/>
  <c r="J24" i="50"/>
  <c r="J19" i="50"/>
  <c r="J23" i="50"/>
  <c r="J25" i="50"/>
  <c r="J30" i="50"/>
  <c r="J42" i="50"/>
  <c r="J29" i="50"/>
  <c r="J43" i="50"/>
  <c r="J45" i="50"/>
  <c r="J34" i="50"/>
  <c r="J35" i="50"/>
  <c r="I51" i="49"/>
  <c r="I7" i="7" s="1"/>
  <c r="H7" i="7"/>
  <c r="I51" i="48"/>
  <c r="I6" i="7" s="1"/>
  <c r="H6" i="7"/>
  <c r="G27" i="173"/>
  <c r="G34" i="173"/>
  <c r="H23" i="173"/>
  <c r="J35" i="49"/>
  <c r="J37" i="49"/>
  <c r="J41" i="49"/>
  <c r="J21" i="49"/>
  <c r="J14" i="49"/>
  <c r="J32" i="49"/>
  <c r="J22" i="49"/>
  <c r="J38" i="49"/>
  <c r="J46" i="49"/>
  <c r="J18" i="49"/>
  <c r="J20" i="49"/>
  <c r="J13" i="49"/>
  <c r="J28" i="49"/>
  <c r="J26" i="49"/>
  <c r="J12" i="49"/>
  <c r="J36" i="49"/>
  <c r="J40" i="49"/>
  <c r="J39" i="49"/>
  <c r="J33" i="49"/>
  <c r="H46" i="49"/>
  <c r="I46" i="49" s="1"/>
  <c r="J24" i="49"/>
  <c r="J27" i="49"/>
  <c r="J31" i="49"/>
  <c r="J19" i="49"/>
  <c r="J23" i="49"/>
  <c r="J25" i="49"/>
  <c r="J42" i="49"/>
  <c r="J30" i="49"/>
  <c r="J29" i="49"/>
  <c r="J43" i="49"/>
  <c r="J45" i="49"/>
  <c r="J34" i="49"/>
  <c r="G34" i="79"/>
  <c r="G27" i="79"/>
  <c r="H23" i="79"/>
  <c r="J44" i="50"/>
  <c r="J44" i="49"/>
  <c r="H8" i="7"/>
  <c r="G34" i="81"/>
  <c r="G27" i="81"/>
  <c r="H23" i="81"/>
  <c r="I51" i="50"/>
  <c r="I9" i="7" s="1"/>
  <c r="H9" i="7"/>
  <c r="H49" i="181"/>
  <c r="I49" i="181" s="1"/>
  <c r="G51" i="181"/>
  <c r="K49" i="181" s="1"/>
  <c r="H45" i="52"/>
  <c r="I45" i="52" s="1"/>
  <c r="H43" i="181"/>
  <c r="I43" i="181" s="1"/>
  <c r="H35" i="181"/>
  <c r="I35" i="181" s="1"/>
  <c r="G39" i="64"/>
  <c r="H37" i="64"/>
  <c r="I37" i="64" s="1"/>
  <c r="H50" i="53"/>
  <c r="I50" i="53" s="1"/>
  <c r="G49" i="52"/>
  <c r="H48" i="52"/>
  <c r="I48" i="52" s="1"/>
  <c r="H22" i="7"/>
  <c r="I51" i="61"/>
  <c r="I22" i="7" s="1"/>
  <c r="G51" i="54"/>
  <c r="H49" i="54"/>
  <c r="I49" i="54" s="1"/>
  <c r="J41" i="204"/>
  <c r="J33" i="204"/>
  <c r="J39" i="204"/>
  <c r="J18" i="204"/>
  <c r="J28" i="204"/>
  <c r="J22" i="204"/>
  <c r="J14" i="204"/>
  <c r="J26" i="204"/>
  <c r="J27" i="204"/>
  <c r="J13" i="204"/>
  <c r="J20" i="204"/>
  <c r="H46" i="204"/>
  <c r="I46" i="204" s="1"/>
  <c r="J32" i="204"/>
  <c r="J37" i="204"/>
  <c r="J46" i="204"/>
  <c r="J40" i="204"/>
  <c r="J24" i="204"/>
  <c r="J21" i="204"/>
  <c r="J36" i="204"/>
  <c r="J38" i="204"/>
  <c r="J31" i="204"/>
  <c r="J12" i="204"/>
  <c r="J19" i="204"/>
  <c r="J23" i="204"/>
  <c r="J25" i="204"/>
  <c r="J29" i="204"/>
  <c r="J42" i="204"/>
  <c r="J30" i="204"/>
  <c r="J34" i="204"/>
  <c r="J43" i="204"/>
  <c r="J35" i="204"/>
  <c r="J45" i="204"/>
  <c r="H44" i="53"/>
  <c r="I44" i="53" s="1"/>
  <c r="G46" i="53"/>
  <c r="J45" i="53" s="1"/>
  <c r="K34" i="205"/>
  <c r="K32" i="205"/>
  <c r="K16" i="205"/>
  <c r="K26" i="205"/>
  <c r="K39" i="205"/>
  <c r="K21" i="205"/>
  <c r="K33" i="205"/>
  <c r="K20" i="205"/>
  <c r="K17" i="205"/>
  <c r="K51" i="205"/>
  <c r="K22" i="205"/>
  <c r="K37" i="205"/>
  <c r="K28" i="205"/>
  <c r="K41" i="205"/>
  <c r="K31" i="205"/>
  <c r="K15" i="205"/>
  <c r="K24" i="205"/>
  <c r="K27" i="205"/>
  <c r="K40" i="205"/>
  <c r="K36" i="205"/>
  <c r="K38" i="205"/>
  <c r="H51" i="205"/>
  <c r="K18" i="205"/>
  <c r="K19" i="205"/>
  <c r="K23" i="205"/>
  <c r="K25" i="205"/>
  <c r="K47" i="205"/>
  <c r="K29" i="205"/>
  <c r="K30" i="205"/>
  <c r="K48" i="205"/>
  <c r="K35" i="205"/>
  <c r="K50" i="205"/>
  <c r="J44" i="56"/>
  <c r="J14" i="56"/>
  <c r="J12" i="56"/>
  <c r="J41" i="56"/>
  <c r="J46" i="56"/>
  <c r="J20" i="56"/>
  <c r="H46" i="56"/>
  <c r="I46" i="56" s="1"/>
  <c r="J39" i="56"/>
  <c r="J38" i="56"/>
  <c r="J24" i="56"/>
  <c r="J37" i="56"/>
  <c r="J18" i="56"/>
  <c r="J26" i="56"/>
  <c r="J31" i="56"/>
  <c r="J21" i="56"/>
  <c r="J22" i="56"/>
  <c r="J33" i="56"/>
  <c r="J28" i="56"/>
  <c r="J36" i="56"/>
  <c r="J32" i="56"/>
  <c r="J27" i="56"/>
  <c r="J40" i="56"/>
  <c r="J13" i="56"/>
  <c r="J19" i="56"/>
  <c r="J23" i="56"/>
  <c r="J25" i="56"/>
  <c r="J29" i="56"/>
  <c r="J42" i="56"/>
  <c r="J30" i="56"/>
  <c r="H24" i="7"/>
  <c r="I51" i="62"/>
  <c r="I24" i="7" s="1"/>
  <c r="I51" i="58"/>
  <c r="I18" i="7" s="1"/>
  <c r="H18" i="7"/>
  <c r="G46" i="52"/>
  <c r="J44" i="52" s="1"/>
  <c r="H44" i="52"/>
  <c r="I44" i="52" s="1"/>
  <c r="H45" i="181"/>
  <c r="I45" i="181" s="1"/>
  <c r="G39" i="169"/>
  <c r="J37" i="169" s="1"/>
  <c r="H37" i="169"/>
  <c r="I37" i="169" s="1"/>
  <c r="H50" i="52"/>
  <c r="I50" i="52" s="1"/>
  <c r="J14" i="61"/>
  <c r="J40" i="61"/>
  <c r="J36" i="61"/>
  <c r="J38" i="61"/>
  <c r="J28" i="61"/>
  <c r="J32" i="61"/>
  <c r="J39" i="61"/>
  <c r="J31" i="61"/>
  <c r="J13" i="61"/>
  <c r="J21" i="61"/>
  <c r="J46" i="61"/>
  <c r="J24" i="61"/>
  <c r="J12" i="61"/>
  <c r="J26" i="61"/>
  <c r="H46" i="61"/>
  <c r="I46" i="61" s="1"/>
  <c r="J27" i="61"/>
  <c r="J20" i="61"/>
  <c r="J37" i="61"/>
  <c r="J18" i="61"/>
  <c r="J41" i="61"/>
  <c r="J33" i="61"/>
  <c r="J22" i="61"/>
  <c r="J19" i="61"/>
  <c r="J23" i="61"/>
  <c r="J25" i="61"/>
  <c r="J29" i="61"/>
  <c r="J30" i="61"/>
  <c r="J42" i="61"/>
  <c r="J35" i="61"/>
  <c r="J34" i="61"/>
  <c r="J45" i="61"/>
  <c r="J43" i="61"/>
  <c r="H48" i="51"/>
  <c r="I48" i="51" s="1"/>
  <c r="H43" i="52"/>
  <c r="I43" i="52" s="1"/>
  <c r="G44" i="181"/>
  <c r="G49" i="53"/>
  <c r="H48" i="53"/>
  <c r="I48" i="53" s="1"/>
  <c r="J44" i="202"/>
  <c r="J39" i="202"/>
  <c r="J31" i="202"/>
  <c r="J46" i="202"/>
  <c r="J21" i="202"/>
  <c r="J28" i="202"/>
  <c r="J41" i="202"/>
  <c r="J37" i="202"/>
  <c r="J24" i="202"/>
  <c r="J13" i="202"/>
  <c r="J36" i="202"/>
  <c r="J40" i="202"/>
  <c r="J22" i="202"/>
  <c r="J27" i="202"/>
  <c r="J20" i="202"/>
  <c r="J32" i="202"/>
  <c r="J38" i="202"/>
  <c r="J26" i="202"/>
  <c r="J14" i="202"/>
  <c r="J33" i="202"/>
  <c r="J12" i="202"/>
  <c r="J18" i="202"/>
  <c r="H46" i="202"/>
  <c r="I46" i="202" s="1"/>
  <c r="J19" i="202"/>
  <c r="J23" i="202"/>
  <c r="J25" i="202"/>
  <c r="J30" i="202"/>
  <c r="J42" i="202"/>
  <c r="J29" i="202"/>
  <c r="J43" i="202"/>
  <c r="J45" i="202"/>
  <c r="J35" i="202"/>
  <c r="J34" i="202"/>
  <c r="J14" i="205"/>
  <c r="J46" i="205"/>
  <c r="J40" i="205"/>
  <c r="J31" i="205"/>
  <c r="J22" i="205"/>
  <c r="J39" i="205"/>
  <c r="J28" i="205"/>
  <c r="J24" i="205"/>
  <c r="J41" i="205"/>
  <c r="J37" i="205"/>
  <c r="J27" i="205"/>
  <c r="J33" i="205"/>
  <c r="J13" i="205"/>
  <c r="J26" i="205"/>
  <c r="J32" i="205"/>
  <c r="J36" i="205"/>
  <c r="J20" i="205"/>
  <c r="H46" i="205"/>
  <c r="I46" i="205" s="1"/>
  <c r="J38" i="205"/>
  <c r="J12" i="205"/>
  <c r="J18" i="205"/>
  <c r="J21" i="205"/>
  <c r="J19" i="205"/>
  <c r="J23" i="205"/>
  <c r="J25" i="205"/>
  <c r="J42" i="205"/>
  <c r="J29" i="205"/>
  <c r="J30" i="205"/>
  <c r="J45" i="205"/>
  <c r="J43" i="205"/>
  <c r="J35" i="205"/>
  <c r="J34" i="205"/>
  <c r="K35" i="57"/>
  <c r="K37" i="57"/>
  <c r="K32" i="57"/>
  <c r="K21" i="57"/>
  <c r="K24" i="57"/>
  <c r="K26" i="57"/>
  <c r="K39" i="57"/>
  <c r="K15" i="57"/>
  <c r="K18" i="57"/>
  <c r="K20" i="57"/>
  <c r="K41" i="57"/>
  <c r="K27" i="57"/>
  <c r="K31" i="57"/>
  <c r="K22" i="57"/>
  <c r="K17" i="57"/>
  <c r="K28" i="57"/>
  <c r="K40" i="57"/>
  <c r="K51" i="57"/>
  <c r="K38" i="57"/>
  <c r="K33" i="57"/>
  <c r="H51" i="57"/>
  <c r="K36" i="57"/>
  <c r="K16" i="57"/>
  <c r="K19" i="57"/>
  <c r="K23" i="57"/>
  <c r="K25" i="57"/>
  <c r="K47" i="57"/>
  <c r="K29" i="57"/>
  <c r="K30" i="57"/>
  <c r="K34" i="57"/>
  <c r="K48" i="57"/>
  <c r="K50" i="57"/>
  <c r="H35" i="51"/>
  <c r="I35" i="51" s="1"/>
  <c r="H34" i="52"/>
  <c r="I34" i="52" s="1"/>
  <c r="H48" i="7"/>
  <c r="I51" i="202"/>
  <c r="I48" i="7" s="1"/>
  <c r="J45" i="56"/>
  <c r="H34" i="51"/>
  <c r="I34" i="51" s="1"/>
  <c r="I38" i="78"/>
  <c r="I42" i="7" s="1"/>
  <c r="H42" i="7"/>
  <c r="J35" i="56"/>
  <c r="K16" i="60"/>
  <c r="K37" i="60"/>
  <c r="K26" i="60"/>
  <c r="K22" i="60"/>
  <c r="K24" i="60"/>
  <c r="K40" i="60"/>
  <c r="K20" i="60"/>
  <c r="K18" i="60"/>
  <c r="K31" i="60"/>
  <c r="K33" i="60"/>
  <c r="K32" i="60"/>
  <c r="K51" i="60"/>
  <c r="K39" i="60"/>
  <c r="K21" i="60"/>
  <c r="K28" i="60"/>
  <c r="K15" i="60"/>
  <c r="H51" i="60"/>
  <c r="K41" i="60"/>
  <c r="K36" i="60"/>
  <c r="K38" i="60"/>
  <c r="K27" i="60"/>
  <c r="K17" i="60"/>
  <c r="K19" i="60"/>
  <c r="K23" i="60"/>
  <c r="K25" i="60"/>
  <c r="K47" i="60"/>
  <c r="K29" i="60"/>
  <c r="K30" i="60"/>
  <c r="K48" i="60"/>
  <c r="K35" i="60"/>
  <c r="K50" i="60"/>
  <c r="K34" i="60"/>
  <c r="H29" i="7"/>
  <c r="I38" i="170"/>
  <c r="I29" i="7" s="1"/>
  <c r="J44" i="204"/>
  <c r="G49" i="51"/>
  <c r="H35" i="52"/>
  <c r="I35" i="52" s="1"/>
  <c r="H45" i="53"/>
  <c r="I45" i="53" s="1"/>
  <c r="K49" i="205"/>
  <c r="J44" i="168"/>
  <c r="J33" i="168"/>
  <c r="J37" i="168"/>
  <c r="J38" i="168"/>
  <c r="J28" i="168"/>
  <c r="J46" i="168"/>
  <c r="J39" i="168"/>
  <c r="J24" i="168"/>
  <c r="J13" i="168"/>
  <c r="J12" i="168"/>
  <c r="J26" i="168"/>
  <c r="J40" i="168"/>
  <c r="J31" i="168"/>
  <c r="J36" i="168"/>
  <c r="J20" i="168"/>
  <c r="J27" i="168"/>
  <c r="J21" i="168"/>
  <c r="H46" i="168"/>
  <c r="I46" i="168" s="1"/>
  <c r="J22" i="168"/>
  <c r="J32" i="168"/>
  <c r="J41" i="168"/>
  <c r="J18" i="168"/>
  <c r="J14" i="168"/>
  <c r="J19" i="168"/>
  <c r="J23" i="168"/>
  <c r="J25" i="168"/>
  <c r="J42" i="168"/>
  <c r="J29" i="168"/>
  <c r="J30" i="168"/>
  <c r="K36" i="203"/>
  <c r="K38" i="203"/>
  <c r="K41" i="203"/>
  <c r="K26" i="203"/>
  <c r="K31" i="203"/>
  <c r="K37" i="203"/>
  <c r="K20" i="203"/>
  <c r="H51" i="203"/>
  <c r="K18" i="203"/>
  <c r="K17" i="203"/>
  <c r="K22" i="203"/>
  <c r="K39" i="203"/>
  <c r="K32" i="203"/>
  <c r="K28" i="203"/>
  <c r="K21" i="203"/>
  <c r="K51" i="203"/>
  <c r="K27" i="203"/>
  <c r="K15" i="203"/>
  <c r="K24" i="203"/>
  <c r="K33" i="203"/>
  <c r="K40" i="203"/>
  <c r="K16" i="203"/>
  <c r="K19" i="203"/>
  <c r="K23" i="203"/>
  <c r="K25" i="203"/>
  <c r="K47" i="203"/>
  <c r="K29" i="203"/>
  <c r="K30" i="203"/>
  <c r="K35" i="203"/>
  <c r="K34" i="203"/>
  <c r="K48" i="203"/>
  <c r="K50" i="203"/>
  <c r="J44" i="201"/>
  <c r="J13" i="201"/>
  <c r="J39" i="201"/>
  <c r="J26" i="201"/>
  <c r="J46" i="201"/>
  <c r="J31" i="201"/>
  <c r="J22" i="201"/>
  <c r="J33" i="201"/>
  <c r="J21" i="201"/>
  <c r="J40" i="201"/>
  <c r="J20" i="201"/>
  <c r="H46" i="201"/>
  <c r="I46" i="201" s="1"/>
  <c r="J12" i="201"/>
  <c r="J28" i="201"/>
  <c r="J27" i="201"/>
  <c r="J41" i="201"/>
  <c r="J24" i="201"/>
  <c r="J18" i="201"/>
  <c r="J14" i="201"/>
  <c r="J38" i="201"/>
  <c r="J32" i="201"/>
  <c r="J37" i="201"/>
  <c r="J36" i="201"/>
  <c r="J19" i="201"/>
  <c r="J23" i="201"/>
  <c r="J25" i="201"/>
  <c r="J29" i="201"/>
  <c r="J42" i="201"/>
  <c r="J30" i="201"/>
  <c r="J34" i="201"/>
  <c r="J43" i="201"/>
  <c r="J35" i="201"/>
  <c r="J45" i="201"/>
  <c r="H43" i="51"/>
  <c r="I43" i="51" s="1"/>
  <c r="J45" i="206"/>
  <c r="J12" i="206"/>
  <c r="J20" i="206"/>
  <c r="J31" i="206"/>
  <c r="J46" i="206"/>
  <c r="J26" i="206"/>
  <c r="J32" i="206"/>
  <c r="J40" i="206"/>
  <c r="J18" i="206"/>
  <c r="J38" i="206"/>
  <c r="J14" i="206"/>
  <c r="J22" i="206"/>
  <c r="J13" i="206"/>
  <c r="J33" i="206"/>
  <c r="H46" i="206"/>
  <c r="I46" i="206" s="1"/>
  <c r="J41" i="206"/>
  <c r="J21" i="206"/>
  <c r="J28" i="206"/>
  <c r="J37" i="206"/>
  <c r="J36" i="206"/>
  <c r="J24" i="206"/>
  <c r="J27" i="206"/>
  <c r="J39" i="206"/>
  <c r="J19" i="206"/>
  <c r="J23" i="206"/>
  <c r="J25" i="206"/>
  <c r="J29" i="206"/>
  <c r="J42" i="206"/>
  <c r="J30" i="206"/>
  <c r="J35" i="206"/>
  <c r="J34" i="206"/>
  <c r="J43" i="206"/>
  <c r="H47" i="7"/>
  <c r="I51" i="201"/>
  <c r="I47" i="7" s="1"/>
  <c r="H50" i="181"/>
  <c r="I50" i="181" s="1"/>
  <c r="H46" i="7"/>
  <c r="I51" i="200"/>
  <c r="I46" i="7" s="1"/>
  <c r="I38" i="172"/>
  <c r="I41" i="7" s="1"/>
  <c r="H41" i="7"/>
  <c r="J44" i="203"/>
  <c r="J40" i="203"/>
  <c r="J14" i="203"/>
  <c r="J26" i="203"/>
  <c r="J22" i="203"/>
  <c r="J32" i="203"/>
  <c r="J39" i="203"/>
  <c r="J20" i="203"/>
  <c r="J24" i="203"/>
  <c r="J31" i="203"/>
  <c r="J18" i="203"/>
  <c r="J28" i="203"/>
  <c r="J37" i="203"/>
  <c r="J38" i="203"/>
  <c r="J36" i="203"/>
  <c r="J33" i="203"/>
  <c r="H46" i="203"/>
  <c r="I46" i="203" s="1"/>
  <c r="J41" i="203"/>
  <c r="J27" i="203"/>
  <c r="J12" i="203"/>
  <c r="J21" i="203"/>
  <c r="J46" i="203"/>
  <c r="J13" i="203"/>
  <c r="J19" i="203"/>
  <c r="J23" i="203"/>
  <c r="J25" i="203"/>
  <c r="J30" i="203"/>
  <c r="J29" i="203"/>
  <c r="J42" i="203"/>
  <c r="J34" i="203"/>
  <c r="J43" i="203"/>
  <c r="J35" i="203"/>
  <c r="J45" i="203"/>
  <c r="H44" i="51"/>
  <c r="I44" i="51" s="1"/>
  <c r="G46" i="51"/>
  <c r="J43" i="51" s="1"/>
  <c r="H34" i="181"/>
  <c r="I34" i="181" s="1"/>
  <c r="H34" i="53"/>
  <c r="I34" i="53" s="1"/>
  <c r="K49" i="204"/>
  <c r="K41" i="204"/>
  <c r="K31" i="204"/>
  <c r="K21" i="204"/>
  <c r="K26" i="204"/>
  <c r="K15" i="204"/>
  <c r="K37" i="204"/>
  <c r="K38" i="204"/>
  <c r="K18" i="204"/>
  <c r="K28" i="204"/>
  <c r="K17" i="204"/>
  <c r="K16" i="204"/>
  <c r="K36" i="204"/>
  <c r="K40" i="204"/>
  <c r="K33" i="204"/>
  <c r="K20" i="204"/>
  <c r="K32" i="204"/>
  <c r="H51" i="204"/>
  <c r="K39" i="204"/>
  <c r="K27" i="204"/>
  <c r="K22" i="204"/>
  <c r="K24" i="204"/>
  <c r="K51" i="204"/>
  <c r="K19" i="204"/>
  <c r="K23" i="204"/>
  <c r="K25" i="204"/>
  <c r="K47" i="204"/>
  <c r="K30" i="204"/>
  <c r="K29" i="204"/>
  <c r="K48" i="204"/>
  <c r="K50" i="204"/>
  <c r="K35" i="204"/>
  <c r="K34" i="204"/>
  <c r="H35" i="53"/>
  <c r="I35" i="53" s="1"/>
  <c r="H49" i="168"/>
  <c r="I49" i="168" s="1"/>
  <c r="G51" i="168"/>
  <c r="G46" i="54"/>
  <c r="H44" i="54"/>
  <c r="I44" i="54" s="1"/>
  <c r="J37" i="25"/>
  <c r="J31" i="25"/>
  <c r="J21" i="25"/>
  <c r="J17" i="25"/>
  <c r="J29" i="25"/>
  <c r="J32" i="25"/>
  <c r="J14" i="25"/>
  <c r="J16" i="25"/>
  <c r="J12" i="25"/>
  <c r="J34" i="25"/>
  <c r="J39" i="25"/>
  <c r="H39" i="25"/>
  <c r="J25" i="25"/>
  <c r="J33" i="25"/>
  <c r="J30" i="25"/>
  <c r="J26" i="25"/>
  <c r="J18" i="25"/>
  <c r="J13" i="25"/>
  <c r="J27" i="25"/>
  <c r="J23" i="25"/>
  <c r="J20" i="25"/>
  <c r="J15" i="25"/>
  <c r="J19" i="25"/>
  <c r="J22" i="25"/>
  <c r="J24" i="25"/>
  <c r="J28" i="25"/>
  <c r="J35" i="25"/>
  <c r="H48" i="181"/>
  <c r="I48" i="181" s="1"/>
  <c r="K49" i="56"/>
  <c r="K38" i="56"/>
  <c r="K28" i="56"/>
  <c r="K31" i="56"/>
  <c r="K24" i="56"/>
  <c r="K39" i="56"/>
  <c r="K36" i="56"/>
  <c r="K17" i="56"/>
  <c r="K41" i="56"/>
  <c r="K18" i="56"/>
  <c r="K26" i="56"/>
  <c r="K32" i="56"/>
  <c r="K51" i="56"/>
  <c r="K33" i="56"/>
  <c r="K27" i="56"/>
  <c r="K22" i="56"/>
  <c r="K15" i="56"/>
  <c r="K21" i="56"/>
  <c r="K40" i="56"/>
  <c r="K16" i="56"/>
  <c r="K20" i="56"/>
  <c r="K37" i="56"/>
  <c r="H51" i="56"/>
  <c r="K19" i="56"/>
  <c r="K23" i="56"/>
  <c r="K25" i="56"/>
  <c r="K30" i="56"/>
  <c r="K29" i="56"/>
  <c r="K47" i="56"/>
  <c r="K49" i="206"/>
  <c r="K20" i="206"/>
  <c r="K33" i="206"/>
  <c r="K32" i="206"/>
  <c r="K26" i="206"/>
  <c r="K21" i="206"/>
  <c r="H51" i="206"/>
  <c r="K24" i="206"/>
  <c r="K39" i="206"/>
  <c r="K18" i="206"/>
  <c r="K40" i="206"/>
  <c r="K36" i="206"/>
  <c r="K37" i="206"/>
  <c r="K31" i="206"/>
  <c r="K17" i="206"/>
  <c r="K41" i="206"/>
  <c r="K15" i="206"/>
  <c r="K22" i="206"/>
  <c r="K51" i="206"/>
  <c r="K16" i="206"/>
  <c r="K27" i="206"/>
  <c r="K38" i="206"/>
  <c r="K28" i="206"/>
  <c r="K19" i="206"/>
  <c r="K23" i="206"/>
  <c r="K25" i="206"/>
  <c r="K29" i="206"/>
  <c r="K47" i="206"/>
  <c r="K30" i="206"/>
  <c r="K35" i="206"/>
  <c r="K48" i="206"/>
  <c r="K34" i="206"/>
  <c r="K50" i="206"/>
  <c r="H40" i="7"/>
  <c r="I38" i="76"/>
  <c r="I40" i="7" s="1"/>
  <c r="J44" i="61"/>
  <c r="H50" i="51"/>
  <c r="I50" i="51" s="1"/>
  <c r="J38" i="25"/>
  <c r="K50" i="56"/>
  <c r="H43" i="53"/>
  <c r="I43" i="53" s="1"/>
  <c r="H45" i="51"/>
  <c r="I45" i="51" s="1"/>
  <c r="F26" i="7" l="1"/>
  <c r="I23" i="171"/>
  <c r="G26" i="7" s="1"/>
  <c r="G37" i="5"/>
  <c r="H34" i="5"/>
  <c r="I34" i="5" s="1"/>
  <c r="G35" i="5"/>
  <c r="G36" i="5" s="1"/>
  <c r="I39" i="70"/>
  <c r="I39" i="7" s="1"/>
  <c r="H39" i="7"/>
  <c r="F25" i="7"/>
  <c r="I23" i="5"/>
  <c r="G25" i="7" s="1"/>
  <c r="J34" i="52"/>
  <c r="G35" i="171"/>
  <c r="G36" i="171" s="1"/>
  <c r="G37" i="171"/>
  <c r="H34" i="171"/>
  <c r="I34" i="171" s="1"/>
  <c r="J43" i="53"/>
  <c r="J34" i="53"/>
  <c r="J35" i="53"/>
  <c r="I23" i="81"/>
  <c r="G45" i="7" s="1"/>
  <c r="F45" i="7"/>
  <c r="I23" i="173"/>
  <c r="G44" i="7" s="1"/>
  <c r="F44" i="7"/>
  <c r="H27" i="81"/>
  <c r="I27" i="81" s="1"/>
  <c r="H27" i="79"/>
  <c r="I27" i="79" s="1"/>
  <c r="G37" i="173"/>
  <c r="G35" i="173"/>
  <c r="H34" i="173"/>
  <c r="I34" i="173" s="1"/>
  <c r="I23" i="79"/>
  <c r="G43" i="7" s="1"/>
  <c r="F43" i="7"/>
  <c r="J45" i="51"/>
  <c r="J35" i="52"/>
  <c r="J43" i="52"/>
  <c r="G37" i="81"/>
  <c r="H37" i="81" s="1"/>
  <c r="I37" i="81" s="1"/>
  <c r="G35" i="81"/>
  <c r="G36" i="81" s="1"/>
  <c r="H34" i="81"/>
  <c r="I34" i="81" s="1"/>
  <c r="G37" i="79"/>
  <c r="G35" i="79"/>
  <c r="H34" i="79"/>
  <c r="I34" i="79" s="1"/>
  <c r="H27" i="173"/>
  <c r="I27" i="173" s="1"/>
  <c r="J26" i="54"/>
  <c r="J13" i="54"/>
  <c r="J14" i="54"/>
  <c r="J33" i="54"/>
  <c r="J38" i="54"/>
  <c r="J12" i="54"/>
  <c r="J21" i="54"/>
  <c r="J36" i="54"/>
  <c r="H46" i="54"/>
  <c r="I46" i="54" s="1"/>
  <c r="J31" i="54"/>
  <c r="J20" i="54"/>
  <c r="J18" i="54"/>
  <c r="J27" i="54"/>
  <c r="J41" i="54"/>
  <c r="J46" i="54"/>
  <c r="J40" i="54"/>
  <c r="J37" i="54"/>
  <c r="J24" i="54"/>
  <c r="J39" i="54"/>
  <c r="J32" i="54"/>
  <c r="J28" i="54"/>
  <c r="J22" i="54"/>
  <c r="J19" i="54"/>
  <c r="J23" i="54"/>
  <c r="J25" i="54"/>
  <c r="J42" i="54"/>
  <c r="J29" i="54"/>
  <c r="J30" i="54"/>
  <c r="J34" i="54"/>
  <c r="J35" i="54"/>
  <c r="J43" i="54"/>
  <c r="J45" i="54"/>
  <c r="I51" i="204"/>
  <c r="I57" i="7" s="1"/>
  <c r="H57" i="7"/>
  <c r="I51" i="56"/>
  <c r="I16" i="7" s="1"/>
  <c r="H16" i="7"/>
  <c r="I39" i="25"/>
  <c r="I31" i="7" s="1"/>
  <c r="H31" i="7"/>
  <c r="J44" i="54"/>
  <c r="I51" i="203"/>
  <c r="I49" i="7" s="1"/>
  <c r="H49" i="7"/>
  <c r="I51" i="57"/>
  <c r="I17" i="7" s="1"/>
  <c r="H17" i="7"/>
  <c r="G51" i="53"/>
  <c r="H49" i="53"/>
  <c r="I49" i="53" s="1"/>
  <c r="K49" i="54"/>
  <c r="K38" i="54"/>
  <c r="K16" i="54"/>
  <c r="K51" i="54"/>
  <c r="K27" i="54"/>
  <c r="K17" i="54"/>
  <c r="H51" i="54"/>
  <c r="K33" i="54"/>
  <c r="K15" i="54"/>
  <c r="K18" i="54"/>
  <c r="K22" i="54"/>
  <c r="K37" i="54"/>
  <c r="K21" i="54"/>
  <c r="K20" i="54"/>
  <c r="K28" i="54"/>
  <c r="K24" i="54"/>
  <c r="K41" i="54"/>
  <c r="K26" i="54"/>
  <c r="K40" i="54"/>
  <c r="K31" i="54"/>
  <c r="K36" i="54"/>
  <c r="K32" i="54"/>
  <c r="K39" i="54"/>
  <c r="K19" i="54"/>
  <c r="K23" i="54"/>
  <c r="K25" i="54"/>
  <c r="K29" i="54"/>
  <c r="K30" i="54"/>
  <c r="K47" i="54"/>
  <c r="K48" i="54"/>
  <c r="K35" i="54"/>
  <c r="K50" i="54"/>
  <c r="K34" i="54"/>
  <c r="K50" i="181"/>
  <c r="H21" i="7"/>
  <c r="I51" i="60"/>
  <c r="I21" i="7" s="1"/>
  <c r="G46" i="181"/>
  <c r="J44" i="181" s="1"/>
  <c r="H44" i="181"/>
  <c r="I44" i="181" s="1"/>
  <c r="J44" i="53"/>
  <c r="J32" i="53"/>
  <c r="J24" i="53"/>
  <c r="J26" i="53"/>
  <c r="J40" i="53"/>
  <c r="J33" i="53"/>
  <c r="J21" i="53"/>
  <c r="J28" i="53"/>
  <c r="J38" i="53"/>
  <c r="J12" i="53"/>
  <c r="J18" i="53"/>
  <c r="J41" i="53"/>
  <c r="J14" i="53"/>
  <c r="J36" i="53"/>
  <c r="J39" i="53"/>
  <c r="J31" i="53"/>
  <c r="J22" i="53"/>
  <c r="J46" i="53"/>
  <c r="J13" i="53"/>
  <c r="J27" i="53"/>
  <c r="H46" i="53"/>
  <c r="I46" i="53" s="1"/>
  <c r="J37" i="53"/>
  <c r="J20" i="53"/>
  <c r="J19" i="53"/>
  <c r="J23" i="53"/>
  <c r="J25" i="53"/>
  <c r="J42" i="53"/>
  <c r="J30" i="53"/>
  <c r="J29" i="53"/>
  <c r="G51" i="52"/>
  <c r="H49" i="52"/>
  <c r="I49" i="52" s="1"/>
  <c r="J37" i="64"/>
  <c r="J29" i="64"/>
  <c r="J23" i="64"/>
  <c r="J25" i="64"/>
  <c r="J27" i="64"/>
  <c r="J13" i="64"/>
  <c r="J21" i="64"/>
  <c r="J26" i="64"/>
  <c r="J31" i="64"/>
  <c r="J32" i="64"/>
  <c r="J39" i="64"/>
  <c r="J18" i="64"/>
  <c r="J17" i="64"/>
  <c r="J16" i="64"/>
  <c r="J30" i="64"/>
  <c r="J12" i="64"/>
  <c r="J20" i="64"/>
  <c r="J34" i="64"/>
  <c r="H39" i="64"/>
  <c r="J33" i="64"/>
  <c r="J14" i="64"/>
  <c r="J15" i="64"/>
  <c r="J19" i="64"/>
  <c r="J22" i="64"/>
  <c r="J24" i="64"/>
  <c r="J28" i="64"/>
  <c r="J35" i="64"/>
  <c r="J38" i="64"/>
  <c r="J36" i="64"/>
  <c r="J44" i="51"/>
  <c r="J31" i="51"/>
  <c r="J40" i="51"/>
  <c r="J18" i="51"/>
  <c r="J13" i="51"/>
  <c r="J37" i="51"/>
  <c r="J36" i="51"/>
  <c r="J33" i="51"/>
  <c r="J14" i="51"/>
  <c r="J41" i="51"/>
  <c r="J28" i="51"/>
  <c r="J39" i="51"/>
  <c r="J32" i="51"/>
  <c r="J24" i="51"/>
  <c r="J46" i="51"/>
  <c r="J20" i="51"/>
  <c r="J38" i="51"/>
  <c r="H46" i="51"/>
  <c r="I46" i="51" s="1"/>
  <c r="J21" i="51"/>
  <c r="J12" i="51"/>
  <c r="J26" i="51"/>
  <c r="J27" i="51"/>
  <c r="J22" i="51"/>
  <c r="J19" i="51"/>
  <c r="J23" i="51"/>
  <c r="J25" i="51"/>
  <c r="J42" i="51"/>
  <c r="J29" i="51"/>
  <c r="J30" i="51"/>
  <c r="H49" i="51"/>
  <c r="I49" i="51" s="1"/>
  <c r="G51" i="51"/>
  <c r="J34" i="51"/>
  <c r="J35" i="51"/>
  <c r="J26" i="169"/>
  <c r="J27" i="169"/>
  <c r="J29" i="169"/>
  <c r="J21" i="169"/>
  <c r="J33" i="169"/>
  <c r="J32" i="169"/>
  <c r="J14" i="169"/>
  <c r="H39" i="169"/>
  <c r="J17" i="169"/>
  <c r="J25" i="169"/>
  <c r="J23" i="169"/>
  <c r="J20" i="169"/>
  <c r="J16" i="169"/>
  <c r="J18" i="169"/>
  <c r="J31" i="169"/>
  <c r="J12" i="169"/>
  <c r="J39" i="169"/>
  <c r="J34" i="169"/>
  <c r="J30" i="169"/>
  <c r="J13" i="169"/>
  <c r="J15" i="169"/>
  <c r="J19" i="169"/>
  <c r="J22" i="169"/>
  <c r="J24" i="169"/>
  <c r="J28" i="169"/>
  <c r="J35" i="169"/>
  <c r="J38" i="169"/>
  <c r="J36" i="169"/>
  <c r="K18" i="181"/>
  <c r="K20" i="181"/>
  <c r="K31" i="181"/>
  <c r="K40" i="181"/>
  <c r="K37" i="181"/>
  <c r="K22" i="181"/>
  <c r="K26" i="181"/>
  <c r="K51" i="181"/>
  <c r="K32" i="181"/>
  <c r="K33" i="181"/>
  <c r="K38" i="181"/>
  <c r="H51" i="181"/>
  <c r="K27" i="181"/>
  <c r="K36" i="181"/>
  <c r="K17" i="181"/>
  <c r="K24" i="181"/>
  <c r="K21" i="181"/>
  <c r="K41" i="181"/>
  <c r="K28" i="181"/>
  <c r="K39" i="181"/>
  <c r="K15" i="181"/>
  <c r="K16" i="181"/>
  <c r="K19" i="181"/>
  <c r="K23" i="181"/>
  <c r="K25" i="181"/>
  <c r="K30" i="181"/>
  <c r="K29" i="181"/>
  <c r="K47" i="181"/>
  <c r="I51" i="206"/>
  <c r="I59" i="7" s="1"/>
  <c r="H59" i="7"/>
  <c r="K48" i="181"/>
  <c r="K49" i="168"/>
  <c r="K38" i="168"/>
  <c r="K39" i="168"/>
  <c r="K40" i="168"/>
  <c r="K21" i="168"/>
  <c r="K28" i="168"/>
  <c r="K27" i="168"/>
  <c r="K36" i="168"/>
  <c r="K41" i="168"/>
  <c r="K51" i="168"/>
  <c r="K22" i="168"/>
  <c r="K33" i="168"/>
  <c r="K17" i="168"/>
  <c r="K24" i="168"/>
  <c r="K32" i="168"/>
  <c r="K20" i="168"/>
  <c r="K37" i="168"/>
  <c r="K15" i="168"/>
  <c r="K31" i="168"/>
  <c r="K18" i="168"/>
  <c r="H51" i="168"/>
  <c r="K26" i="168"/>
  <c r="K16" i="168"/>
  <c r="K19" i="168"/>
  <c r="K23" i="168"/>
  <c r="K25" i="168"/>
  <c r="K30" i="168"/>
  <c r="K47" i="168"/>
  <c r="K29" i="168"/>
  <c r="K50" i="168"/>
  <c r="K34" i="168"/>
  <c r="K35" i="168"/>
  <c r="K48" i="168"/>
  <c r="K34" i="181"/>
  <c r="J38" i="52"/>
  <c r="J33" i="52"/>
  <c r="J18" i="52"/>
  <c r="J24" i="52"/>
  <c r="J39" i="52"/>
  <c r="J13" i="52"/>
  <c r="J14" i="52"/>
  <c r="J46" i="52"/>
  <c r="J37" i="52"/>
  <c r="J32" i="52"/>
  <c r="J41" i="52"/>
  <c r="H46" i="52"/>
  <c r="I46" i="52" s="1"/>
  <c r="J31" i="52"/>
  <c r="J26" i="52"/>
  <c r="J21" i="52"/>
  <c r="J22" i="52"/>
  <c r="J27" i="52"/>
  <c r="J28" i="52"/>
  <c r="J20" i="52"/>
  <c r="J12" i="52"/>
  <c r="J40" i="52"/>
  <c r="J36" i="52"/>
  <c r="J19" i="52"/>
  <c r="J23" i="52"/>
  <c r="J25" i="52"/>
  <c r="J30" i="52"/>
  <c r="J29" i="52"/>
  <c r="J42" i="52"/>
  <c r="H58" i="7"/>
  <c r="I51" i="205"/>
  <c r="I58" i="7" s="1"/>
  <c r="K35" i="181"/>
  <c r="J45" i="52"/>
  <c r="H37" i="5" l="1"/>
  <c r="I37" i="5" s="1"/>
  <c r="H37" i="171"/>
  <c r="I37" i="171" s="1"/>
  <c r="G38" i="5"/>
  <c r="J37" i="5" s="1"/>
  <c r="H36" i="5"/>
  <c r="I36" i="5" s="1"/>
  <c r="H36" i="171"/>
  <c r="I36" i="171" s="1"/>
  <c r="G38" i="171"/>
  <c r="J36" i="171" s="1"/>
  <c r="H35" i="171"/>
  <c r="I35" i="171" s="1"/>
  <c r="H35" i="5"/>
  <c r="I35" i="5" s="1"/>
  <c r="G36" i="79"/>
  <c r="H35" i="79"/>
  <c r="I35" i="79" s="1"/>
  <c r="H37" i="79"/>
  <c r="I37" i="79" s="1"/>
  <c r="H35" i="81"/>
  <c r="I35" i="81" s="1"/>
  <c r="G38" i="81"/>
  <c r="J36" i="81" s="1"/>
  <c r="H36" i="81"/>
  <c r="I36" i="81" s="1"/>
  <c r="G36" i="173"/>
  <c r="H35" i="173"/>
  <c r="I35" i="173" s="1"/>
  <c r="H37" i="173"/>
  <c r="I37" i="173" s="1"/>
  <c r="H14" i="7"/>
  <c r="I51" i="54"/>
  <c r="I14" i="7" s="1"/>
  <c r="K49" i="53"/>
  <c r="K15" i="53"/>
  <c r="K36" i="53"/>
  <c r="K22" i="53"/>
  <c r="K33" i="53"/>
  <c r="K40" i="53"/>
  <c r="K16" i="53"/>
  <c r="K41" i="53"/>
  <c r="K21" i="53"/>
  <c r="K20" i="53"/>
  <c r="K18" i="53"/>
  <c r="K51" i="53"/>
  <c r="K39" i="53"/>
  <c r="K17" i="53"/>
  <c r="K32" i="53"/>
  <c r="K27" i="53"/>
  <c r="K28" i="53"/>
  <c r="H51" i="53"/>
  <c r="K26" i="53"/>
  <c r="K38" i="53"/>
  <c r="K31" i="53"/>
  <c r="K37" i="53"/>
  <c r="K24" i="53"/>
  <c r="K19" i="53"/>
  <c r="K23" i="53"/>
  <c r="K25" i="53"/>
  <c r="K30" i="53"/>
  <c r="K29" i="53"/>
  <c r="K47" i="53"/>
  <c r="K50" i="53"/>
  <c r="K48" i="53"/>
  <c r="K34" i="53"/>
  <c r="K35" i="53"/>
  <c r="I51" i="168"/>
  <c r="I15" i="7" s="1"/>
  <c r="H15" i="7"/>
  <c r="I51" i="181"/>
  <c r="I12" i="7" s="1"/>
  <c r="H12" i="7"/>
  <c r="H32" i="7"/>
  <c r="I39" i="169"/>
  <c r="I32" i="7" s="1"/>
  <c r="I39" i="64"/>
  <c r="I33" i="7" s="1"/>
  <c r="H33" i="7"/>
  <c r="K49" i="52"/>
  <c r="K41" i="52"/>
  <c r="K26" i="52"/>
  <c r="K27" i="52"/>
  <c r="K18" i="52"/>
  <c r="K15" i="52"/>
  <c r="K17" i="52"/>
  <c r="K40" i="52"/>
  <c r="K38" i="52"/>
  <c r="K22" i="52"/>
  <c r="K36" i="52"/>
  <c r="K33" i="52"/>
  <c r="K37" i="52"/>
  <c r="K32" i="52"/>
  <c r="K20" i="52"/>
  <c r="K21" i="52"/>
  <c r="K31" i="52"/>
  <c r="K16" i="52"/>
  <c r="K39" i="52"/>
  <c r="K24" i="52"/>
  <c r="K28" i="52"/>
  <c r="K51" i="52"/>
  <c r="H51" i="52"/>
  <c r="K19" i="52"/>
  <c r="K23" i="52"/>
  <c r="K25" i="52"/>
  <c r="K47" i="52"/>
  <c r="K29" i="52"/>
  <c r="K30" i="52"/>
  <c r="K50" i="52"/>
  <c r="K48" i="52"/>
  <c r="K34" i="52"/>
  <c r="K35" i="52"/>
  <c r="J21" i="181"/>
  <c r="J13" i="181"/>
  <c r="J24" i="181"/>
  <c r="J41" i="181"/>
  <c r="J37" i="181"/>
  <c r="J22" i="181"/>
  <c r="J20" i="181"/>
  <c r="J26" i="181"/>
  <c r="J14" i="181"/>
  <c r="J28" i="181"/>
  <c r="J12" i="181"/>
  <c r="J32" i="181"/>
  <c r="J31" i="181"/>
  <c r="J27" i="181"/>
  <c r="J36" i="181"/>
  <c r="J40" i="181"/>
  <c r="J46" i="181"/>
  <c r="J18" i="181"/>
  <c r="J33" i="181"/>
  <c r="H46" i="181"/>
  <c r="I46" i="181" s="1"/>
  <c r="J38" i="181"/>
  <c r="J39" i="181"/>
  <c r="J19" i="181"/>
  <c r="J23" i="181"/>
  <c r="J25" i="181"/>
  <c r="J29" i="181"/>
  <c r="J30" i="181"/>
  <c r="J42" i="181"/>
  <c r="J45" i="181"/>
  <c r="J35" i="181"/>
  <c r="J43" i="181"/>
  <c r="J34" i="181"/>
  <c r="K49" i="51"/>
  <c r="K39" i="51"/>
  <c r="K18" i="51"/>
  <c r="K27" i="51"/>
  <c r="K40" i="51"/>
  <c r="K20" i="51"/>
  <c r="K17" i="51"/>
  <c r="K22" i="51"/>
  <c r="K31" i="51"/>
  <c r="K24" i="51"/>
  <c r="K21" i="51"/>
  <c r="H51" i="51"/>
  <c r="K15" i="51"/>
  <c r="K41" i="51"/>
  <c r="K36" i="51"/>
  <c r="K51" i="51"/>
  <c r="K26" i="51"/>
  <c r="K32" i="51"/>
  <c r="K38" i="51"/>
  <c r="K33" i="51"/>
  <c r="K37" i="51"/>
  <c r="K28" i="51"/>
  <c r="K16" i="51"/>
  <c r="K19" i="51"/>
  <c r="K23" i="51"/>
  <c r="K25" i="51"/>
  <c r="K30" i="51"/>
  <c r="K47" i="51"/>
  <c r="K29" i="51"/>
  <c r="K35" i="51"/>
  <c r="K34" i="51"/>
  <c r="K48" i="51"/>
  <c r="K50" i="51"/>
  <c r="J35" i="5" l="1"/>
  <c r="J36" i="5"/>
  <c r="J35" i="171"/>
  <c r="J37" i="171"/>
  <c r="J38" i="171"/>
  <c r="J31" i="171"/>
  <c r="J33" i="171"/>
  <c r="J14" i="171"/>
  <c r="J17" i="171"/>
  <c r="J20" i="171"/>
  <c r="J28" i="171"/>
  <c r="J32" i="171"/>
  <c r="J13" i="171"/>
  <c r="J16" i="171"/>
  <c r="J34" i="171"/>
  <c r="J21" i="171"/>
  <c r="J19" i="171"/>
  <c r="J29" i="171"/>
  <c r="J30" i="171"/>
  <c r="J15" i="171"/>
  <c r="J23" i="171"/>
  <c r="J22" i="171"/>
  <c r="J18" i="171"/>
  <c r="J24" i="171"/>
  <c r="J26" i="171"/>
  <c r="J27" i="171"/>
  <c r="H38" i="171"/>
  <c r="J25" i="171"/>
  <c r="J15" i="5"/>
  <c r="J32" i="5"/>
  <c r="J17" i="5"/>
  <c r="J14" i="5"/>
  <c r="J29" i="5"/>
  <c r="J21" i="5"/>
  <c r="J19" i="5"/>
  <c r="J28" i="5"/>
  <c r="J18" i="5"/>
  <c r="J25" i="5"/>
  <c r="J26" i="5"/>
  <c r="H38" i="5"/>
  <c r="J22" i="5"/>
  <c r="J38" i="5"/>
  <c r="J16" i="5"/>
  <c r="J34" i="5"/>
  <c r="J31" i="5"/>
  <c r="J33" i="5"/>
  <c r="J20" i="5"/>
  <c r="J13" i="5"/>
  <c r="J30" i="5"/>
  <c r="J24" i="5"/>
  <c r="J23" i="5"/>
  <c r="J27" i="5"/>
  <c r="G38" i="173"/>
  <c r="J36" i="173" s="1"/>
  <c r="H36" i="173"/>
  <c r="I36" i="173" s="1"/>
  <c r="J37" i="81"/>
  <c r="J13" i="81"/>
  <c r="J19" i="81"/>
  <c r="J26" i="81"/>
  <c r="J25" i="81"/>
  <c r="J33" i="81"/>
  <c r="J32" i="81"/>
  <c r="J18" i="81"/>
  <c r="J31" i="81"/>
  <c r="J28" i="81"/>
  <c r="J30" i="81"/>
  <c r="J22" i="81"/>
  <c r="J21" i="81"/>
  <c r="J17" i="81"/>
  <c r="J14" i="81"/>
  <c r="J38" i="81"/>
  <c r="J24" i="81"/>
  <c r="J29" i="81"/>
  <c r="J15" i="81"/>
  <c r="H38" i="81"/>
  <c r="J16" i="81"/>
  <c r="J20" i="81"/>
  <c r="J23" i="81"/>
  <c r="J27" i="81"/>
  <c r="J34" i="81"/>
  <c r="J35" i="81"/>
  <c r="G38" i="79"/>
  <c r="J36" i="79" s="1"/>
  <c r="H36" i="79"/>
  <c r="I36" i="79" s="1"/>
  <c r="H10" i="7"/>
  <c r="I51" i="51"/>
  <c r="I10" i="7" s="1"/>
  <c r="H13" i="7"/>
  <c r="I51" i="53"/>
  <c r="I13" i="7" s="1"/>
  <c r="I51" i="52"/>
  <c r="I11" i="7" s="1"/>
  <c r="H11" i="7"/>
  <c r="I38" i="5" l="1"/>
  <c r="I25" i="7" s="1"/>
  <c r="H25" i="7"/>
  <c r="H26" i="7"/>
  <c r="I38" i="171"/>
  <c r="I26" i="7" s="1"/>
  <c r="J35" i="79"/>
  <c r="J15" i="79"/>
  <c r="J18" i="79"/>
  <c r="J25" i="79"/>
  <c r="J30" i="79"/>
  <c r="J14" i="79"/>
  <c r="J19" i="79"/>
  <c r="J29" i="79"/>
  <c r="J28" i="79"/>
  <c r="J22" i="79"/>
  <c r="J38" i="79"/>
  <c r="J17" i="79"/>
  <c r="J24" i="79"/>
  <c r="J26" i="79"/>
  <c r="J21" i="79"/>
  <c r="J32" i="79"/>
  <c r="J33" i="79"/>
  <c r="J13" i="79"/>
  <c r="J31" i="79"/>
  <c r="H38" i="79"/>
  <c r="J16" i="79"/>
  <c r="J20" i="79"/>
  <c r="J23" i="79"/>
  <c r="J34" i="79"/>
  <c r="J27" i="79"/>
  <c r="J37" i="79"/>
  <c r="I38" i="81"/>
  <c r="I45" i="7" s="1"/>
  <c r="H45" i="7"/>
  <c r="J38" i="173"/>
  <c r="J26" i="173"/>
  <c r="J33" i="173"/>
  <c r="J13" i="173"/>
  <c r="J19" i="173"/>
  <c r="J24" i="173"/>
  <c r="J14" i="173"/>
  <c r="J30" i="173"/>
  <c r="J25" i="173"/>
  <c r="J32" i="173"/>
  <c r="J29" i="173"/>
  <c r="J31" i="173"/>
  <c r="J18" i="173"/>
  <c r="J15" i="173"/>
  <c r="J22" i="173"/>
  <c r="J28" i="173"/>
  <c r="J17" i="173"/>
  <c r="J21" i="173"/>
  <c r="H38" i="173"/>
  <c r="J16" i="173"/>
  <c r="J20" i="173"/>
  <c r="J23" i="173"/>
  <c r="J34" i="173"/>
  <c r="J27" i="173"/>
  <c r="J37" i="173"/>
  <c r="J35" i="173"/>
  <c r="I38" i="79" l="1"/>
  <c r="I43" i="7" s="1"/>
  <c r="H43" i="7"/>
  <c r="I38" i="173"/>
  <c r="I44" i="7" s="1"/>
  <c r="H44" i="7"/>
</calcChain>
</file>

<file path=xl/comments1.xml><?xml version="1.0" encoding="utf-8"?>
<comments xmlns="http://schemas.openxmlformats.org/spreadsheetml/2006/main">
  <authors>
    <author>Yun(Eva) Gao</author>
    <author>SHETH Nikita</author>
    <author>AKSELRUD Uri</author>
    <author>KIM Susan</author>
  </authors>
  <commentList>
    <comment ref="J2" authorId="0">
      <text>
        <r>
          <rPr>
            <b/>
            <sz val="8"/>
            <color indexed="81"/>
            <rFont val="Tahoma"/>
            <family val="2"/>
          </rPr>
          <t>Yun(Eva) Gao:</t>
        </r>
        <r>
          <rPr>
            <sz val="8"/>
            <color indexed="81"/>
            <rFont val="Tahoma"/>
            <family val="2"/>
          </rPr>
          <t xml:space="preserve">
include CSTA, Hopper Foundry Adder</t>
        </r>
      </text>
    </comment>
    <comment ref="K2" authorId="1">
      <text>
        <r>
          <rPr>
            <b/>
            <sz val="8"/>
            <color indexed="81"/>
            <rFont val="Tahoma"/>
            <family val="2"/>
          </rPr>
          <t>SHETH Nikita:</t>
        </r>
        <r>
          <rPr>
            <sz val="8"/>
            <color indexed="81"/>
            <rFont val="Tahoma"/>
            <family val="2"/>
          </rPr>
          <t xml:space="preserve">
Forgone revenue rider is not taken into account when comparing bill impacts of 2017 rates over 2016. Same approach as 2016.</t>
        </r>
      </text>
    </comment>
    <comment ref="W2" authorId="0">
      <text>
        <r>
          <rPr>
            <sz val="8"/>
            <color indexed="81"/>
            <rFont val="Tahoma"/>
            <family val="2"/>
          </rPr>
          <t xml:space="preserve">
INCLUDES NEW RSVA WMSC FOR CLASS B ONLY</t>
        </r>
      </text>
    </comment>
    <comment ref="Y12" authorId="2">
      <text>
        <r>
          <rPr>
            <sz val="9"/>
            <color indexed="81"/>
            <rFont val="Tahoma"/>
            <family val="2"/>
          </rPr>
          <t>uplifted for applicable line losses</t>
        </r>
      </text>
    </comment>
    <comment ref="Y13" authorId="2">
      <text>
        <r>
          <rPr>
            <sz val="9"/>
            <color indexed="81"/>
            <rFont val="Tahoma"/>
            <family val="2"/>
          </rPr>
          <t>uplifted for applicable line losses</t>
        </r>
      </text>
    </comment>
    <comment ref="Y14" authorId="2">
      <text>
        <r>
          <rPr>
            <b/>
            <sz val="9"/>
            <color indexed="81"/>
            <rFont val="Tahoma"/>
            <family val="2"/>
          </rPr>
          <t xml:space="preserve">
</t>
        </r>
        <r>
          <rPr>
            <sz val="9"/>
            <color indexed="81"/>
            <rFont val="Tahoma"/>
            <family val="2"/>
          </rPr>
          <t>uplifted for applicable line losses</t>
        </r>
      </text>
    </comment>
    <comment ref="Q15" authorId="3">
      <text>
        <r>
          <rPr>
            <b/>
            <sz val="8"/>
            <color indexed="81"/>
            <rFont val="Tahoma"/>
            <family val="2"/>
          </rPr>
          <t>KIM Susan:</t>
        </r>
        <r>
          <rPr>
            <sz val="8"/>
            <color indexed="81"/>
            <rFont val="Tahoma"/>
            <family val="2"/>
          </rPr>
          <t xml:space="preserve">
from ST rate model, not rate design</t>
        </r>
      </text>
    </comment>
    <comment ref="S15" authorId="3">
      <text>
        <r>
          <rPr>
            <b/>
            <sz val="8"/>
            <color indexed="81"/>
            <rFont val="Tahoma"/>
            <family val="2"/>
          </rPr>
          <t>KIM Susan:</t>
        </r>
        <r>
          <rPr>
            <sz val="8"/>
            <color indexed="81"/>
            <rFont val="Tahoma"/>
            <family val="2"/>
          </rPr>
          <t xml:space="preserve">
from ST rate model not rate design (ST common line)</t>
        </r>
      </text>
    </comment>
    <comment ref="Y15" authorId="0">
      <text>
        <r>
          <rPr>
            <sz val="8"/>
            <color indexed="81"/>
            <rFont val="Tahoma"/>
            <family val="2"/>
          </rPr>
          <t xml:space="preserve">
uplifted for applicable line losses</t>
        </r>
      </text>
    </comment>
  </commentList>
</comments>
</file>

<file path=xl/comments2.xml><?xml version="1.0" encoding="utf-8"?>
<comments xmlns="http://schemas.openxmlformats.org/spreadsheetml/2006/main">
  <authors>
    <author>SHETH Nikita</author>
  </authors>
  <commentList>
    <comment ref="A46" authorId="0">
      <text>
        <r>
          <rPr>
            <b/>
            <sz val="8"/>
            <color indexed="81"/>
            <rFont val="Tahoma"/>
            <family val="2"/>
          </rPr>
          <t>SHETH Nikita:</t>
        </r>
        <r>
          <rPr>
            <sz val="8"/>
            <color indexed="81"/>
            <rFont val="Tahoma"/>
            <family val="2"/>
          </rPr>
          <t xml:space="preserve">
OCEB only applies to first 3000 kWh per month. So the model was run at 3000 kWh and the OCEB from that OCEB value is then applied here for 15000 kWh</t>
        </r>
      </text>
    </comment>
    <comment ref="A50" authorId="0">
      <text>
        <r>
          <rPr>
            <b/>
            <sz val="8"/>
            <color indexed="81"/>
            <rFont val="Tahoma"/>
            <family val="2"/>
          </rPr>
          <t>SHETH Nikita:</t>
        </r>
        <r>
          <rPr>
            <sz val="8"/>
            <color indexed="81"/>
            <rFont val="Tahoma"/>
            <family val="2"/>
          </rPr>
          <t xml:space="preserve">
OCEB only applies to first 3000 kWh per month. So the model was run at 3000 kWh and the OCEB from that OCEB value is then applied here for 15000 kWh</t>
        </r>
      </text>
    </comment>
  </commentList>
</comments>
</file>

<file path=xl/comments3.xml><?xml version="1.0" encoding="utf-8"?>
<comments xmlns="http://schemas.openxmlformats.org/spreadsheetml/2006/main">
  <authors>
    <author>SHETH Nikita</author>
  </authors>
  <commentList>
    <comment ref="A46" authorId="0">
      <text>
        <r>
          <rPr>
            <b/>
            <sz val="8"/>
            <color indexed="81"/>
            <rFont val="Tahoma"/>
            <family val="2"/>
          </rPr>
          <t>SHETH Nikita:</t>
        </r>
        <r>
          <rPr>
            <sz val="8"/>
            <color indexed="81"/>
            <rFont val="Tahoma"/>
            <family val="2"/>
          </rPr>
          <t xml:space="preserve">
OCEB only applies to first 3000 kWh per month. So the model was run at 3000 kWh and the OCEB from that OCEB value is then applied here for 15000 kWh</t>
        </r>
      </text>
    </comment>
    <comment ref="A50" authorId="0">
      <text>
        <r>
          <rPr>
            <b/>
            <sz val="8"/>
            <color indexed="81"/>
            <rFont val="Tahoma"/>
            <family val="2"/>
          </rPr>
          <t>SHETH Nikita:</t>
        </r>
        <r>
          <rPr>
            <sz val="8"/>
            <color indexed="81"/>
            <rFont val="Tahoma"/>
            <family val="2"/>
          </rPr>
          <t xml:space="preserve">
OCEB only applies to first 3000 kWh per month. So the model was run at 3000 kWh and the OCEB from that OCEB value is then applied here for 15000 kWh</t>
        </r>
      </text>
    </comment>
  </commentList>
</comments>
</file>

<file path=xl/comments4.xml><?xml version="1.0" encoding="utf-8"?>
<comments xmlns="http://schemas.openxmlformats.org/spreadsheetml/2006/main">
  <authors>
    <author>Uri AKSELRUD</author>
  </authors>
  <commentList>
    <comment ref="F16" authorId="0">
      <text>
        <r>
          <rPr>
            <b/>
            <sz val="8"/>
            <color indexed="81"/>
            <rFont val="Tahoma"/>
            <family val="2"/>
          </rPr>
          <t>Uri AKSELRUD:</t>
        </r>
        <r>
          <rPr>
            <sz val="8"/>
            <color indexed="81"/>
            <rFont val="Tahoma"/>
            <family val="2"/>
          </rPr>
          <t xml:space="preserve">
adjusted fixed rate to limit Dgen Bill Impact to 10%</t>
        </r>
      </text>
    </comment>
  </commentList>
</comments>
</file>

<file path=xl/comments5.xml><?xml version="1.0" encoding="utf-8"?>
<comments xmlns="http://schemas.openxmlformats.org/spreadsheetml/2006/main">
  <authors>
    <author>SHETH Nikita</author>
  </authors>
  <commentList>
    <comment ref="A46" authorId="0">
      <text>
        <r>
          <rPr>
            <b/>
            <sz val="8"/>
            <color indexed="81"/>
            <rFont val="Tahoma"/>
            <family val="2"/>
          </rPr>
          <t>SHETH Nikita:</t>
        </r>
        <r>
          <rPr>
            <sz val="8"/>
            <color indexed="81"/>
            <rFont val="Tahoma"/>
            <family val="2"/>
          </rPr>
          <t xml:space="preserve">
OCEB only applies to first 3000 kWh per month. So the model was run at 3000 kWh and the OCEB from that OCEB value is then applied here for 15000 kWh</t>
        </r>
      </text>
    </comment>
    <comment ref="A50" authorId="0">
      <text>
        <r>
          <rPr>
            <b/>
            <sz val="8"/>
            <color indexed="81"/>
            <rFont val="Tahoma"/>
            <family val="2"/>
          </rPr>
          <t>SHETH Nikita:</t>
        </r>
        <r>
          <rPr>
            <sz val="8"/>
            <color indexed="81"/>
            <rFont val="Tahoma"/>
            <family val="2"/>
          </rPr>
          <t xml:space="preserve">
OCEB only applies to first 3000 kWh per month. So the model was run at 3000 kWh and the OCEB from that OCEB value is then applied here for 15000 kWh</t>
        </r>
      </text>
    </comment>
  </commentList>
</comments>
</file>

<file path=xl/comments6.xml><?xml version="1.0" encoding="utf-8"?>
<comments xmlns="http://schemas.openxmlformats.org/spreadsheetml/2006/main">
  <authors>
    <author>SHETH Nikita</author>
  </authors>
  <commentList>
    <comment ref="A46" authorId="0">
      <text>
        <r>
          <rPr>
            <b/>
            <sz val="8"/>
            <color indexed="81"/>
            <rFont val="Tahoma"/>
            <family val="2"/>
          </rPr>
          <t>SHETH Nikita:</t>
        </r>
        <r>
          <rPr>
            <sz val="8"/>
            <color indexed="81"/>
            <rFont val="Tahoma"/>
            <family val="2"/>
          </rPr>
          <t xml:space="preserve">
OCEB only applies to first 3000 kWh per month. So the model was run at 3000 kWh and the OCEB from that OCEB value is then applied here for 15000 kWh</t>
        </r>
      </text>
    </comment>
    <comment ref="A50" authorId="0">
      <text>
        <r>
          <rPr>
            <b/>
            <sz val="8"/>
            <color indexed="81"/>
            <rFont val="Tahoma"/>
            <family val="2"/>
          </rPr>
          <t>SHETH Nikita:</t>
        </r>
        <r>
          <rPr>
            <sz val="8"/>
            <color indexed="81"/>
            <rFont val="Tahoma"/>
            <family val="2"/>
          </rPr>
          <t xml:space="preserve">
OCEB only applies to first 3000 kWh per month. So the model was run at 3000 kWh and the OCEB from that OCEB value is then applied here for 15000 kWh</t>
        </r>
      </text>
    </comment>
  </commentList>
</comments>
</file>

<file path=xl/sharedStrings.xml><?xml version="1.0" encoding="utf-8"?>
<sst xmlns="http://schemas.openxmlformats.org/spreadsheetml/2006/main" count="3788" uniqueCount="136">
  <si>
    <t>UR</t>
  </si>
  <si>
    <t>R1</t>
  </si>
  <si>
    <t>R2</t>
  </si>
  <si>
    <t>Seasonal</t>
  </si>
  <si>
    <t>GSe</t>
  </si>
  <si>
    <t>GSd</t>
  </si>
  <si>
    <t>UGe</t>
  </si>
  <si>
    <t>UGd</t>
  </si>
  <si>
    <t>St Lgt</t>
  </si>
  <si>
    <t>Sen Lgt</t>
  </si>
  <si>
    <t>Dgen</t>
  </si>
  <si>
    <t>ST</t>
  </si>
  <si>
    <t>USL</t>
  </si>
  <si>
    <t>Rate Class</t>
  </si>
  <si>
    <t>Loss Factor</t>
  </si>
  <si>
    <t>Commodity Threshold</t>
  </si>
  <si>
    <t>Peak (kW)</t>
  </si>
  <si>
    <t>Charge Determinant</t>
  </si>
  <si>
    <t>kWh</t>
  </si>
  <si>
    <t>kW</t>
  </si>
  <si>
    <t>Loss factor</t>
  </si>
  <si>
    <t>Charge determinant</t>
  </si>
  <si>
    <t>Volume</t>
  </si>
  <si>
    <t>Current Rate ($)</t>
  </si>
  <si>
    <t>Current Charge ($)</t>
  </si>
  <si>
    <t>Proposed Rate ($)</t>
  </si>
  <si>
    <t>Proposed Charge ($)</t>
  </si>
  <si>
    <t>Change ($)</t>
  </si>
  <si>
    <t>Change (%)</t>
  </si>
  <si>
    <t>% of Total Bill on RPP</t>
  </si>
  <si>
    <t>% of Total Bill on TOU</t>
  </si>
  <si>
    <t>Energy First Tier (kWh)</t>
  </si>
  <si>
    <t>Energy Second Tier (kWh)</t>
  </si>
  <si>
    <t>Sub-Total:  Energy (RPP)</t>
  </si>
  <si>
    <t>TOU-Off Peak</t>
  </si>
  <si>
    <t>TOU-Mid Peak</t>
  </si>
  <si>
    <t>TOU-On Peak</t>
  </si>
  <si>
    <t>Sub-Total:  Energy (TOU)</t>
  </si>
  <si>
    <t>Service Charge</t>
  </si>
  <si>
    <t>Distribution Volumetric Rate</t>
  </si>
  <si>
    <t>Retail Transmission Rate – Network Service Rate</t>
  </si>
  <si>
    <t>Retail Transmission Rate – Line and Transformation Connection Service Rate</t>
  </si>
  <si>
    <t xml:space="preserve">Wholesale Market Service Rate </t>
  </si>
  <si>
    <t>Rural Rate Protection Charge</t>
  </si>
  <si>
    <t>Standard Supply Service – Administration Charge (if applicable)</t>
  </si>
  <si>
    <t>Sub-Total:  Regulatory</t>
  </si>
  <si>
    <t>Debt Retirement Charge (DRC)</t>
  </si>
  <si>
    <t>DGen</t>
  </si>
  <si>
    <t>Load factor</t>
  </si>
  <si>
    <t xml:space="preserve">% of Total Bill </t>
  </si>
  <si>
    <t>TOU</t>
  </si>
  <si>
    <t>Current Variable Charge ($/kWh or $/kW))</t>
  </si>
  <si>
    <t>Smart Metering Entity Charge ($/month)</t>
  </si>
  <si>
    <t>Smart Meter Adder ($/month)</t>
  </si>
  <si>
    <t>Current Fixed Charge ($/month)</t>
  </si>
  <si>
    <t>Proposed Fixed Charge ($/month)</t>
  </si>
  <si>
    <t>Proposed RTSR-NW ($/kWh or $/kW)</t>
  </si>
  <si>
    <t>Proposed volumetric Charge ($/kWh or $/kW)</t>
  </si>
  <si>
    <t>Current RTSR-NW ($/kWh or $/kW)</t>
  </si>
  <si>
    <t>Current RTSR-CONN ($/kWh or $/kW)</t>
  </si>
  <si>
    <t>Low</t>
  </si>
  <si>
    <t>High</t>
  </si>
  <si>
    <t>Monthly Consumption (kWh)</t>
  </si>
  <si>
    <t>Change in DX Bill ($)</t>
  </si>
  <si>
    <t>Change in Total Bill ($)</t>
  </si>
  <si>
    <t>Change in DX Bill (%)</t>
  </si>
  <si>
    <t>Change in Total Bill (%)</t>
  </si>
  <si>
    <t>Consumption Level</t>
  </si>
  <si>
    <t>Monthly Peak (kW)</t>
  </si>
  <si>
    <t>Commodity Price Used</t>
  </si>
  <si>
    <t>RPP Tier 1 (assumed RPP Tier 1 price is close to WAHSP)</t>
  </si>
  <si>
    <t>Avg Monthly Peak (kW)</t>
  </si>
  <si>
    <t>Sub-Total:  Distribution (excluding pass through)</t>
  </si>
  <si>
    <t>Smart Metering Entity Charge</t>
  </si>
  <si>
    <t>Line Losses on Cost of Power (based on TOU prices)</t>
  </si>
  <si>
    <t>Line Losses on Cost of Power (based on two-tier RPP prices)</t>
  </si>
  <si>
    <t xml:space="preserve">Sub-Total:  Retail Transmission </t>
  </si>
  <si>
    <t>Sub-Total:  Distribution (based on TOU prices)</t>
  </si>
  <si>
    <t>Sub-Total:  Distribution (based on two-tier RPP prices)</t>
  </si>
  <si>
    <t xml:space="preserve">Sub-Total:  Distribution </t>
  </si>
  <si>
    <t xml:space="preserve">Sub-Total:  Delivery </t>
  </si>
  <si>
    <t xml:space="preserve">Line Losses on Cost of Power </t>
  </si>
  <si>
    <t>Monthly Consumption (kWh) - Uplifted</t>
  </si>
  <si>
    <t>Smart Meter Adder</t>
  </si>
  <si>
    <t>Fixed Smoothing Rider</t>
  </si>
  <si>
    <t>Fixed Deferral/Variance Account Rider</t>
  </si>
  <si>
    <t>Volumetric Smoothing Rider</t>
  </si>
  <si>
    <t>Proposed Def/VA rate rider Volumetric($/kWh or $/kW)</t>
  </si>
  <si>
    <t xml:space="preserve">Smart Meter Adder </t>
  </si>
  <si>
    <t>Proposed Def/VA rate rider Fixed ($/month)</t>
  </si>
  <si>
    <t>Current Def/VA rate rider Fixed ($/month)</t>
  </si>
  <si>
    <t>Current Def/VA rate rider Volumetric ($/kWh or $/kW)</t>
  </si>
  <si>
    <t>Typical</t>
  </si>
  <si>
    <t>Sub-Total:  Delivery (based on two-tier RPP prices)</t>
  </si>
  <si>
    <t>Sub-Total:  Delivery (based on TOU prices)</t>
  </si>
  <si>
    <t>Sub-Total:  Distribution</t>
  </si>
  <si>
    <t>Fixed Foregone Rider</t>
  </si>
  <si>
    <t>Current Foregone Revenue Riders Fixed ($/month)</t>
  </si>
  <si>
    <t>Two-tier RPP</t>
  </si>
  <si>
    <t>Ontario Electricity Support Program Charge</t>
  </si>
  <si>
    <t>Proposed RTSR-CONN ($/kWh or $/kW)</t>
  </si>
  <si>
    <t>HONI Avg Monthly Consumption (kWh)</t>
  </si>
  <si>
    <t>HONI Avg Monthly Peak (kW)</t>
  </si>
  <si>
    <t>Typical Monthly Consumption (kWh)</t>
  </si>
  <si>
    <t>Current Rate Rider for Disposition of Global Adjustment Account</t>
  </si>
  <si>
    <t>Proposed Rate Rider for Disposition of Global Adjustment Account</t>
  </si>
  <si>
    <t>Average</t>
  </si>
  <si>
    <t xml:space="preserve">Total  Electricty Charge on Two-Tier RPP </t>
  </si>
  <si>
    <t xml:space="preserve">     HST</t>
  </si>
  <si>
    <t>Total Electricity Charge on Two-Tier RPP (including HST)</t>
  </si>
  <si>
    <t>Rebate equal to Ontario portion of HST (8%)</t>
  </si>
  <si>
    <t>Total Amount on Two-Tier RPP</t>
  </si>
  <si>
    <t>Total Electricty Charge on TOU (before HST)</t>
  </si>
  <si>
    <t>Total Electricity Charge on TOU (including HST)</t>
  </si>
  <si>
    <t>Total Amount on TOU</t>
  </si>
  <si>
    <t>Foregone Revenue Rider Fixed</t>
  </si>
  <si>
    <t>Total Electricity Charge on Two-Tier RPP (before HST)</t>
  </si>
  <si>
    <t>Volumetric Global Adjustment Account Rider</t>
  </si>
  <si>
    <t>Avg kW</t>
  </si>
  <si>
    <t>AR</t>
  </si>
  <si>
    <t>AGSe</t>
  </si>
  <si>
    <t>AGSd</t>
  </si>
  <si>
    <t>Avg kWh</t>
  </si>
  <si>
    <t>Link to Rate Design:</t>
  </si>
  <si>
    <t>2022 Bill Impacts (Low Consumption Level)</t>
  </si>
  <si>
    <t>2021 Total Bill</t>
  </si>
  <si>
    <t>2022 Bill Impacts (Typical Consumption Level)</t>
  </si>
  <si>
    <t>2022 Bill Impacts (Average Consumption Level)</t>
  </si>
  <si>
    <t>2022 Bill Impacts (High Consumption Level)</t>
  </si>
  <si>
    <t>Volumetric Deferral/Variance Account Rider (including CBR Class B rider)</t>
  </si>
  <si>
    <t>AUR</t>
  </si>
  <si>
    <t>AUGe</t>
  </si>
  <si>
    <t>AUGd</t>
  </si>
  <si>
    <t>Number of Customers</t>
  </si>
  <si>
    <t>GWh</t>
  </si>
  <si>
    <t>kWs</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</si>
</sst>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6" formatCode="&quot;$&quot;#,##0_);[Red]\(&quot;$&quot;#,##0\)"/>
    <numFmt numFmtId="7" formatCode="&quot;$&quot;#,##0.00_);\(&quot;$&quot;#,##0.00\)"/>
    <numFmt numFmtId="44" formatCode="_(&quot;$&quot;* #,##0.00_);_(&quot;$&quot;* \(#,##0.00\);_(&quot;$&quot;* &quot;-&quot;??_);_(@_)"/>
    <numFmt numFmtId="43" formatCode="_(* #,##0.00_);_(* \(#,##0.00\);_(* &quot;-&quot;??_);_(@_)"/>
    <numFmt numFmtId="164" formatCode="_(* #,##0_);_(* \(#,##0\);_(* &quot;-&quot;??_);_(@_)"/>
    <numFmt numFmtId="165" formatCode="0.0000"/>
    <numFmt numFmtId="166" formatCode="#,##0.000"/>
    <numFmt numFmtId="167" formatCode="#,##0.0000"/>
    <numFmt numFmtId="168" formatCode="0.00000000"/>
    <numFmt numFmtId="169" formatCode="0.000"/>
    <numFmt numFmtId="170" formatCode="_(&quot;$&quot;* #,##0_);_(&quot;$&quot;* \(#,##0\);_(&quot;$&quot;* &quot;-&quot;??_);_(@_)"/>
    <numFmt numFmtId="171" formatCode="#,##0.0_);\(#,##0.0\)"/>
    <numFmt numFmtId="172" formatCode="_(* #,##0.0_);_(* \(#,##0.0\);_(* &quot;-&quot;??_);_(@_)"/>
    <numFmt numFmtId="173" formatCode="#,##0.00000_);\(#,##0.00000\)"/>
    <numFmt numFmtId="174" formatCode="0.0\x"/>
    <numFmt numFmtId="175" formatCode="#,##0.000_);\(#,##0.000\)"/>
    <numFmt numFmtId="176" formatCode="#,##0;&quot;\&quot;&quot;\&quot;&quot;\&quot;&quot;\&quot;\(#,##0&quot;\&quot;&quot;\&quot;&quot;\&quot;&quot;\&quot;\)"/>
    <numFmt numFmtId="177" formatCode="&quot;\&quot;&quot;\&quot;&quot;\&quot;&quot;\&quot;\$#,##0.00;&quot;\&quot;&quot;\&quot;&quot;\&quot;&quot;\&quot;\(&quot;\&quot;&quot;\&quot;&quot;\&quot;&quot;\&quot;\$#,##0.00&quot;\&quot;&quot;\&quot;&quot;\&quot;&quot;\&quot;\)"/>
    <numFmt numFmtId="178" formatCode="&quot;\&quot;&quot;\&quot;&quot;\&quot;&quot;\&quot;\$#,##0;&quot;\&quot;&quot;\&quot;&quot;\&quot;&quot;\&quot;\(&quot;\&quot;&quot;\&quot;&quot;\&quot;&quot;\&quot;\$#,##0&quot;\&quot;&quot;\&quot;&quot;\&quot;&quot;\&quot;\)"/>
    <numFmt numFmtId="179" formatCode="_-&quot;$&quot;* #,##0.00_-;\-&quot;$&quot;* #,##0.00_-;_-&quot;$&quot;* &quot;-&quot;??_-;_-@_-"/>
    <numFmt numFmtId="180" formatCode="0.00\x"/>
    <numFmt numFmtId="181" formatCode="0.00000"/>
  </numFmts>
  <fonts count="18" x14ac:knownFonts="1">
    <font>
      <sz val="10"/>
      <name val="Arial"/>
      <family val="2"/>
    </font>
    <font>
      <sz val="11"/>
      <color theme="1"/>
      <name val="Calibri"/>
      <family val="2"/>
      <scheme val="minor"/>
    </font>
    <font>
      <sz val="11"/>
      <color theme="1"/>
      <name val="Calibri"/>
      <family val="2"/>
      <scheme val="minor"/>
    </font>
    <font>
      <sz val="10"/>
      <name val="Arial"/>
      <family val="2"/>
    </font>
    <font>
      <b/>
      <sz val="10"/>
      <name val="Arial"/>
      <family val="2"/>
    </font>
    <font>
      <sz val="8"/>
      <color indexed="81"/>
      <name val="Tahoma"/>
      <family val="2"/>
    </font>
    <font>
      <b/>
      <sz val="8"/>
      <color indexed="81"/>
      <name val="Tahoma"/>
      <family val="2"/>
    </font>
    <font>
      <b/>
      <sz val="12"/>
      <name val="Times New Roman"/>
      <family val="1"/>
    </font>
    <font>
      <sz val="9"/>
      <color indexed="81"/>
      <name val="Tahoma"/>
      <family val="2"/>
    </font>
    <font>
      <b/>
      <sz val="9"/>
      <color indexed="81"/>
      <name val="Tahoma"/>
      <family val="2"/>
    </font>
    <font>
      <sz val="10"/>
      <name val="Arial"/>
      <family val="2"/>
    </font>
    <font>
      <sz val="9"/>
      <name val="Arial"/>
      <family val="2"/>
    </font>
    <font>
      <sz val="10"/>
      <name val="Times New Roman"/>
      <family val="1"/>
    </font>
    <font>
      <sz val="8"/>
      <name val="Arial"/>
      <family val="2"/>
    </font>
    <font>
      <b/>
      <sz val="12"/>
      <name val="Arial"/>
      <family val="2"/>
    </font>
    <font>
      <sz val="8"/>
      <name val="Times New Roman"/>
      <family val="1"/>
    </font>
    <font>
      <sz val="10"/>
      <name val="MS Sans Serif"/>
      <family val="2"/>
    </font>
    <font>
      <b/>
      <sz val="10"/>
      <name val="MS Sans Serif"/>
      <family val="2"/>
    </font>
  </fonts>
  <fills count="13">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CCCC"/>
        <bgColor indexed="64"/>
      </patternFill>
    </fill>
    <fill>
      <patternFill patternType="solid">
        <fgColor rgb="FFCCFFCC"/>
        <bgColor indexed="64"/>
      </patternFill>
    </fill>
    <fill>
      <patternFill patternType="solid">
        <fgColor rgb="FFFFFF00"/>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bottom/>
      <diagonal/>
    </border>
    <border>
      <left style="medium">
        <color indexed="64"/>
      </left>
      <right style="thick">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s>
  <cellStyleXfs count="48">
    <xf numFmtId="0" fontId="0" fillId="0" borderId="0"/>
    <xf numFmtId="43" fontId="3" fillId="0" borderId="0" applyFont="0" applyFill="0" applyBorder="0" applyAlignment="0" applyProtection="0"/>
    <xf numFmtId="44" fontId="3"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0" fontId="3" fillId="0" borderId="0"/>
    <xf numFmtId="0" fontId="10" fillId="0" borderId="0"/>
    <xf numFmtId="164" fontId="3" fillId="0" borderId="0"/>
    <xf numFmtId="164" fontId="3" fillId="0" borderId="0"/>
    <xf numFmtId="164" fontId="3" fillId="0" borderId="0"/>
    <xf numFmtId="170" fontId="11" fillId="0" borderId="0"/>
    <xf numFmtId="171" fontId="3" fillId="0" borderId="0" applyFont="0" applyFill="0" applyBorder="0" applyAlignment="0" applyProtection="0"/>
    <xf numFmtId="172" fontId="3" fillId="0" borderId="0" applyFont="0" applyFill="0" applyBorder="0" applyAlignment="0" applyProtection="0"/>
    <xf numFmtId="39" fontId="3" fillId="0" borderId="0" applyFont="0" applyFill="0" applyBorder="0" applyAlignment="0" applyProtection="0"/>
    <xf numFmtId="170" fontId="3" fillId="0" borderId="0" applyFont="0" applyFill="0" applyBorder="0" applyAlignment="0" applyProtection="0"/>
    <xf numFmtId="173" fontId="3" fillId="0" borderId="0" applyFont="0" applyFill="0" applyBorder="0" applyAlignment="0" applyProtection="0"/>
    <xf numFmtId="174" fontId="3" fillId="0" borderId="0" applyFont="0" applyFill="0" applyBorder="0" applyAlignment="0" applyProtection="0"/>
    <xf numFmtId="175" fontId="3" fillId="0" borderId="0" applyFont="0" applyFill="0" applyBorder="0" applyAlignment="0" applyProtection="0"/>
    <xf numFmtId="0" fontId="3" fillId="0" borderId="0" applyFont="0" applyFill="0" applyBorder="0" applyAlignment="0" applyProtection="0"/>
    <xf numFmtId="175" fontId="3" fillId="0" borderId="0" applyFont="0" applyFill="0" applyBorder="0" applyAlignment="0" applyProtection="0"/>
    <xf numFmtId="176" fontId="12" fillId="0" borderId="0"/>
    <xf numFmtId="177" fontId="12" fillId="0" borderId="0"/>
    <xf numFmtId="178" fontId="12" fillId="0" borderId="0"/>
    <xf numFmtId="38" fontId="13" fillId="9" borderId="0" applyNumberFormat="0" applyBorder="0" applyAlignment="0" applyProtection="0"/>
    <xf numFmtId="0" fontId="14" fillId="0" borderId="16" applyNumberFormat="0" applyAlignment="0" applyProtection="0">
      <alignment horizontal="left" vertical="center"/>
    </xf>
    <xf numFmtId="0" fontId="14" fillId="0" borderId="15">
      <alignment horizontal="left" vertical="center"/>
    </xf>
    <xf numFmtId="10" fontId="13" fillId="10" borderId="1" applyNumberFormat="0" applyBorder="0" applyAlignment="0" applyProtection="0"/>
    <xf numFmtId="179" fontId="11" fillId="0" borderId="0"/>
    <xf numFmtId="166" fontId="3" fillId="0" borderId="0"/>
    <xf numFmtId="0" fontId="3" fillId="0" borderId="0"/>
    <xf numFmtId="7" fontId="12" fillId="0" borderId="0"/>
    <xf numFmtId="37" fontId="15" fillId="11" borderId="0">
      <alignment horizontal="right"/>
    </xf>
    <xf numFmtId="10" fontId="3" fillId="0" borderId="0" applyFont="0" applyFill="0" applyBorder="0" applyAlignment="0" applyProtection="0"/>
    <xf numFmtId="0" fontId="16" fillId="0" borderId="0" applyNumberFormat="0" applyFont="0" applyFill="0" applyBorder="0" applyAlignment="0" applyProtection="0">
      <alignment horizontal="left"/>
    </xf>
    <xf numFmtId="15" fontId="16" fillId="0" borderId="0" applyFont="0" applyFill="0" applyBorder="0" applyAlignment="0" applyProtection="0"/>
    <xf numFmtId="4" fontId="16" fillId="0" borderId="0" applyFont="0" applyFill="0" applyBorder="0" applyAlignment="0" applyProtection="0"/>
    <xf numFmtId="0" fontId="17" fillId="0" borderId="37">
      <alignment horizontal="center"/>
    </xf>
    <xf numFmtId="3" fontId="16" fillId="0" borderId="0" applyFont="0" applyFill="0" applyBorder="0" applyAlignment="0" applyProtection="0"/>
    <xf numFmtId="0" fontId="16" fillId="12" borderId="0" applyNumberFormat="0" applyFont="0" applyBorder="0" applyAlignment="0" applyProtection="0"/>
    <xf numFmtId="1" fontId="3" fillId="0" borderId="0"/>
    <xf numFmtId="0" fontId="3" fillId="0" borderId="0" applyFont="0" applyFill="0" applyBorder="0" applyAlignment="0" applyProtection="0"/>
    <xf numFmtId="0" fontId="3" fillId="0" borderId="0">
      <alignment vertical="top"/>
    </xf>
    <xf numFmtId="0" fontId="3" fillId="0" borderId="0">
      <alignment vertical="top"/>
    </xf>
    <xf numFmtId="180" fontId="3" fillId="0" borderId="0"/>
    <xf numFmtId="180" fontId="3" fillId="0" borderId="0"/>
    <xf numFmtId="180" fontId="3" fillId="0" borderId="0"/>
    <xf numFmtId="0" fontId="1" fillId="0" borderId="0"/>
    <xf numFmtId="0" fontId="1" fillId="0" borderId="0"/>
  </cellStyleXfs>
  <cellXfs count="208">
    <xf numFmtId="0" fontId="0" fillId="0" borderId="0" xfId="0"/>
    <xf numFmtId="0" fontId="4" fillId="0" borderId="0" xfId="0" applyFont="1"/>
    <xf numFmtId="0" fontId="0" fillId="0" borderId="1" xfId="0" applyBorder="1"/>
    <xf numFmtId="2" fontId="0" fillId="0" borderId="1" xfId="0" applyNumberFormat="1" applyBorder="1"/>
    <xf numFmtId="0" fontId="0" fillId="0" borderId="1" xfId="0" applyBorder="1" applyAlignment="1">
      <alignment horizontal="center"/>
    </xf>
    <xf numFmtId="0" fontId="4" fillId="0" borderId="1" xfId="0" applyFont="1" applyBorder="1"/>
    <xf numFmtId="3" fontId="0" fillId="0" borderId="1" xfId="0" applyNumberFormat="1" applyBorder="1"/>
    <xf numFmtId="0" fontId="4" fillId="0" borderId="1" xfId="0" applyFont="1" applyFill="1" applyBorder="1"/>
    <xf numFmtId="0" fontId="4" fillId="0" borderId="1" xfId="0" applyFont="1" applyBorder="1" applyAlignment="1">
      <alignment horizont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0" fillId="0" borderId="0" xfId="0" applyAlignment="1">
      <alignment vertical="center"/>
    </xf>
    <xf numFmtId="0" fontId="4" fillId="2" borderId="1" xfId="0" applyFont="1" applyFill="1" applyBorder="1" applyAlignment="1">
      <alignment horizontal="center"/>
    </xf>
    <xf numFmtId="10" fontId="3" fillId="0" borderId="0" xfId="4" applyNumberFormat="1" applyFont="1"/>
    <xf numFmtId="0" fontId="0" fillId="2" borderId="1" xfId="0" applyFill="1" applyBorder="1"/>
    <xf numFmtId="0" fontId="0" fillId="2" borderId="1" xfId="0" applyFill="1" applyBorder="1" applyAlignment="1">
      <alignment horizontal="right"/>
    </xf>
    <xf numFmtId="0" fontId="4" fillId="0" borderId="4" xfId="0" applyFont="1" applyBorder="1" applyAlignment="1">
      <alignment horizontal="center" wrapText="1"/>
    </xf>
    <xf numFmtId="0" fontId="4" fillId="0" borderId="5" xfId="0" applyFont="1" applyBorder="1" applyAlignment="1">
      <alignment horizontal="center" wrapText="1"/>
    </xf>
    <xf numFmtId="10" fontId="4" fillId="0" borderId="6" xfId="4" applyNumberFormat="1" applyFont="1" applyBorder="1" applyAlignment="1">
      <alignment horizontal="center" wrapText="1"/>
    </xf>
    <xf numFmtId="0" fontId="4" fillId="0" borderId="0" xfId="0" applyFont="1" applyAlignment="1">
      <alignment horizontal="center" wrapText="1"/>
    </xf>
    <xf numFmtId="166" fontId="0" fillId="0" borderId="1" xfId="0" applyNumberFormat="1" applyBorder="1"/>
    <xf numFmtId="4" fontId="0" fillId="0" borderId="1" xfId="0" applyNumberFormat="1" applyBorder="1"/>
    <xf numFmtId="10" fontId="0" fillId="0" borderId="1" xfId="4" applyNumberFormat="1" applyFont="1" applyBorder="1"/>
    <xf numFmtId="4" fontId="4" fillId="3" borderId="1" xfId="0" applyNumberFormat="1" applyFont="1" applyFill="1" applyBorder="1" applyAlignment="1">
      <alignment horizontal="center"/>
    </xf>
    <xf numFmtId="4" fontId="4" fillId="3" borderId="1" xfId="0" applyNumberFormat="1" applyFont="1" applyFill="1" applyBorder="1"/>
    <xf numFmtId="4" fontId="0" fillId="3" borderId="1" xfId="0" applyNumberFormat="1" applyFill="1" applyBorder="1"/>
    <xf numFmtId="10" fontId="4" fillId="3" borderId="1" xfId="4" applyNumberFormat="1" applyFont="1" applyFill="1" applyBorder="1"/>
    <xf numFmtId="166" fontId="3" fillId="0" borderId="1" xfId="0" applyNumberFormat="1" applyFont="1" applyBorder="1"/>
    <xf numFmtId="4" fontId="4" fillId="4" borderId="1" xfId="0" applyNumberFormat="1" applyFont="1" applyFill="1" applyBorder="1" applyAlignment="1">
      <alignment horizontal="center"/>
    </xf>
    <xf numFmtId="4" fontId="4" fillId="4" borderId="1" xfId="0" applyNumberFormat="1" applyFont="1" applyFill="1" applyBorder="1"/>
    <xf numFmtId="4" fontId="0" fillId="4" borderId="1" xfId="0" applyNumberFormat="1" applyFill="1" applyBorder="1"/>
    <xf numFmtId="10" fontId="3" fillId="4" borderId="1" xfId="4" applyNumberFormat="1" applyFont="1" applyFill="1" applyBorder="1"/>
    <xf numFmtId="10" fontId="4" fillId="4" borderId="1" xfId="4" applyNumberFormat="1" applyFont="1" applyFill="1" applyBorder="1"/>
    <xf numFmtId="167" fontId="0" fillId="0" borderId="1" xfId="0" applyNumberFormat="1" applyBorder="1"/>
    <xf numFmtId="4" fontId="4" fillId="0" borderId="1" xfId="0" applyNumberFormat="1" applyFont="1" applyBorder="1"/>
    <xf numFmtId="10" fontId="4" fillId="0" borderId="1" xfId="4" applyNumberFormat="1" applyFont="1" applyBorder="1"/>
    <xf numFmtId="0" fontId="4" fillId="3" borderId="7" xfId="0" applyFont="1" applyFill="1" applyBorder="1"/>
    <xf numFmtId="4" fontId="4" fillId="3" borderId="8" xfId="0" applyNumberFormat="1" applyFont="1" applyFill="1" applyBorder="1" applyAlignment="1">
      <alignment horizontal="center"/>
    </xf>
    <xf numFmtId="4" fontId="4" fillId="3" borderId="8" xfId="0" applyNumberFormat="1" applyFont="1" applyFill="1" applyBorder="1"/>
    <xf numFmtId="10" fontId="4" fillId="3" borderId="8" xfId="4" applyNumberFormat="1" applyFont="1" applyFill="1" applyBorder="1"/>
    <xf numFmtId="10" fontId="4" fillId="3" borderId="9" xfId="4" applyNumberFormat="1" applyFont="1" applyFill="1" applyBorder="1"/>
    <xf numFmtId="0" fontId="3" fillId="3" borderId="10" xfId="0" applyFont="1" applyFill="1" applyBorder="1"/>
    <xf numFmtId="4" fontId="0" fillId="3" borderId="1" xfId="0" applyNumberFormat="1" applyFill="1" applyBorder="1" applyAlignment="1">
      <alignment horizontal="center"/>
    </xf>
    <xf numFmtId="10" fontId="3" fillId="3" borderId="1" xfId="4" applyNumberFormat="1" applyFont="1" applyFill="1" applyBorder="1"/>
    <xf numFmtId="10" fontId="3" fillId="3" borderId="11" xfId="4" applyNumberFormat="1" applyFont="1" applyFill="1" applyBorder="1"/>
    <xf numFmtId="0" fontId="4" fillId="3" borderId="10" xfId="0" applyFont="1" applyFill="1" applyBorder="1"/>
    <xf numFmtId="10" fontId="4" fillId="3" borderId="11" xfId="4" applyNumberFormat="1" applyFont="1" applyFill="1" applyBorder="1"/>
    <xf numFmtId="0" fontId="4" fillId="3" borderId="12" xfId="0" applyFont="1" applyFill="1" applyBorder="1"/>
    <xf numFmtId="4" fontId="4" fillId="3" borderId="13" xfId="0" applyNumberFormat="1" applyFont="1" applyFill="1" applyBorder="1" applyAlignment="1">
      <alignment horizontal="center"/>
    </xf>
    <xf numFmtId="4" fontId="4" fillId="3" borderId="13" xfId="0" applyNumberFormat="1" applyFont="1" applyFill="1" applyBorder="1"/>
    <xf numFmtId="10" fontId="4" fillId="3" borderId="13" xfId="4" applyNumberFormat="1" applyFont="1" applyFill="1" applyBorder="1"/>
    <xf numFmtId="10" fontId="4" fillId="3" borderId="14" xfId="4" applyNumberFormat="1" applyFont="1" applyFill="1" applyBorder="1"/>
    <xf numFmtId="0" fontId="4" fillId="4" borderId="7" xfId="0" applyFont="1" applyFill="1" applyBorder="1"/>
    <xf numFmtId="4" fontId="4" fillId="4" borderId="8" xfId="0" applyNumberFormat="1" applyFont="1" applyFill="1" applyBorder="1" applyAlignment="1">
      <alignment horizontal="center"/>
    </xf>
    <xf numFmtId="4" fontId="4" fillId="4" borderId="8" xfId="0" applyNumberFormat="1" applyFont="1" applyFill="1" applyBorder="1"/>
    <xf numFmtId="10" fontId="4" fillId="4" borderId="8" xfId="4" applyNumberFormat="1" applyFont="1" applyFill="1" applyBorder="1"/>
    <xf numFmtId="10" fontId="4" fillId="4" borderId="9" xfId="4" applyNumberFormat="1" applyFont="1" applyFill="1" applyBorder="1"/>
    <xf numFmtId="0" fontId="3" fillId="4" borderId="10" xfId="0" applyFont="1" applyFill="1" applyBorder="1"/>
    <xf numFmtId="4" fontId="0" fillId="4" borderId="1" xfId="0" applyNumberFormat="1" applyFill="1" applyBorder="1" applyAlignment="1">
      <alignment horizontal="center"/>
    </xf>
    <xf numFmtId="10" fontId="3" fillId="4" borderId="11" xfId="4" applyNumberFormat="1" applyFont="1" applyFill="1" applyBorder="1"/>
    <xf numFmtId="0" fontId="4" fillId="4" borderId="10" xfId="0" applyFont="1" applyFill="1" applyBorder="1"/>
    <xf numFmtId="10" fontId="4" fillId="4" borderId="11" xfId="4" applyNumberFormat="1" applyFont="1" applyFill="1" applyBorder="1"/>
    <xf numFmtId="0" fontId="4" fillId="4" borderId="12" xfId="0" applyFont="1" applyFill="1" applyBorder="1"/>
    <xf numFmtId="4" fontId="4" fillId="4" borderId="13" xfId="0" applyNumberFormat="1" applyFont="1" applyFill="1" applyBorder="1" applyAlignment="1">
      <alignment horizontal="center"/>
    </xf>
    <xf numFmtId="4" fontId="4" fillId="4" borderId="13" xfId="0" applyNumberFormat="1" applyFont="1" applyFill="1" applyBorder="1"/>
    <xf numFmtId="10" fontId="4" fillId="4" borderId="13" xfId="4" applyNumberFormat="1" applyFont="1" applyFill="1" applyBorder="1"/>
    <xf numFmtId="10" fontId="4" fillId="4" borderId="14" xfId="4" applyNumberFormat="1" applyFont="1" applyFill="1" applyBorder="1"/>
    <xf numFmtId="165" fontId="0" fillId="0" borderId="0" xfId="0" applyNumberFormat="1"/>
    <xf numFmtId="10" fontId="0" fillId="0" borderId="0" xfId="4" applyNumberFormat="1" applyFont="1"/>
    <xf numFmtId="6" fontId="0" fillId="0" borderId="0" xfId="0" applyNumberFormat="1"/>
    <xf numFmtId="164" fontId="0" fillId="0" borderId="0" xfId="1" applyNumberFormat="1" applyFont="1"/>
    <xf numFmtId="168" fontId="0" fillId="0" borderId="0" xfId="0" applyNumberFormat="1"/>
    <xf numFmtId="3" fontId="0" fillId="0" borderId="1" xfId="0" applyNumberFormat="1" applyBorder="1" applyAlignment="1">
      <alignment horizontal="center"/>
    </xf>
    <xf numFmtId="3" fontId="4" fillId="0" borderId="1" xfId="0" applyNumberFormat="1" applyFont="1" applyBorder="1" applyAlignment="1">
      <alignment horizontal="center"/>
    </xf>
    <xf numFmtId="3" fontId="3" fillId="0" borderId="1" xfId="0" applyNumberFormat="1" applyFont="1" applyBorder="1" applyAlignment="1">
      <alignment horizontal="center"/>
    </xf>
    <xf numFmtId="3" fontId="0" fillId="3" borderId="1" xfId="0" applyNumberFormat="1" applyFill="1" applyBorder="1" applyAlignment="1">
      <alignment horizontal="center"/>
    </xf>
    <xf numFmtId="3" fontId="0" fillId="4" borderId="1" xfId="0" applyNumberFormat="1" applyFill="1" applyBorder="1" applyAlignment="1">
      <alignment horizontal="center"/>
    </xf>
    <xf numFmtId="0" fontId="0" fillId="5" borderId="1" xfId="0" applyFill="1" applyBorder="1"/>
    <xf numFmtId="3" fontId="0" fillId="2" borderId="1" xfId="0" applyNumberFormat="1" applyFill="1" applyBorder="1"/>
    <xf numFmtId="166" fontId="0" fillId="2" borderId="1" xfId="0" applyNumberFormat="1" applyFill="1" applyBorder="1"/>
    <xf numFmtId="0" fontId="3" fillId="2" borderId="1" xfId="0" applyFont="1" applyFill="1" applyBorder="1"/>
    <xf numFmtId="9" fontId="3" fillId="2" borderId="1" xfId="4" applyFont="1" applyFill="1" applyBorder="1"/>
    <xf numFmtId="3" fontId="4" fillId="0" borderId="9" xfId="0" applyNumberFormat="1" applyFont="1" applyBorder="1" applyAlignment="1">
      <alignment horizontal="center"/>
    </xf>
    <xf numFmtId="3" fontId="4" fillId="0" borderId="11" xfId="0" applyNumberFormat="1" applyFont="1" applyBorder="1" applyAlignment="1">
      <alignment horizontal="center"/>
    </xf>
    <xf numFmtId="3" fontId="4" fillId="0" borderId="14" xfId="0" applyNumberFormat="1" applyFont="1" applyBorder="1" applyAlignment="1">
      <alignment horizontal="center"/>
    </xf>
    <xf numFmtId="0" fontId="4" fillId="6" borderId="4"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4" fillId="0" borderId="16" xfId="0" applyFont="1" applyBorder="1" applyAlignment="1">
      <alignment horizontal="center" vertical="center" wrapText="1"/>
    </xf>
    <xf numFmtId="0" fontId="4" fillId="0" borderId="30" xfId="0" applyFont="1" applyBorder="1" applyAlignment="1">
      <alignment horizontal="center"/>
    </xf>
    <xf numFmtId="0" fontId="4" fillId="0" borderId="15" xfId="0" applyFont="1" applyBorder="1" applyAlignment="1">
      <alignment horizontal="center"/>
    </xf>
    <xf numFmtId="0" fontId="4" fillId="0" borderId="31" xfId="0" applyFont="1" applyBorder="1" applyAlignment="1">
      <alignment horizontal="center"/>
    </xf>
    <xf numFmtId="3" fontId="4" fillId="0" borderId="10" xfId="0" applyNumberFormat="1" applyFont="1" applyBorder="1" applyAlignment="1">
      <alignment horizontal="center"/>
    </xf>
    <xf numFmtId="3" fontId="4" fillId="0" borderId="12" xfId="0" applyNumberFormat="1" applyFont="1" applyBorder="1" applyAlignment="1">
      <alignment horizontal="center"/>
    </xf>
    <xf numFmtId="0" fontId="4" fillId="0" borderId="23" xfId="0" applyFont="1" applyBorder="1" applyAlignment="1">
      <alignment horizontal="center" vertical="center" wrapText="1"/>
    </xf>
    <xf numFmtId="0" fontId="4" fillId="0" borderId="32" xfId="0" applyFont="1" applyBorder="1" applyAlignment="1">
      <alignment horizontal="center" wrapText="1"/>
    </xf>
    <xf numFmtId="0" fontId="4" fillId="0" borderId="33" xfId="0" applyFont="1" applyBorder="1" applyAlignment="1">
      <alignment horizontal="center" vertical="center" wrapText="1"/>
    </xf>
    <xf numFmtId="3" fontId="4" fillId="0" borderId="7" xfId="0" applyNumberFormat="1" applyFont="1" applyBorder="1" applyAlignment="1">
      <alignment horizontal="center"/>
    </xf>
    <xf numFmtId="0" fontId="4" fillId="0" borderId="24" xfId="0" applyFont="1" applyBorder="1" applyAlignment="1">
      <alignment horizontal="center" vertical="center" wrapText="1"/>
    </xf>
    <xf numFmtId="165" fontId="0" fillId="0" borderId="1" xfId="0" applyNumberFormat="1" applyBorder="1"/>
    <xf numFmtId="0" fontId="0" fillId="0" borderId="7" xfId="0" applyBorder="1"/>
    <xf numFmtId="3" fontId="0" fillId="0" borderId="8" xfId="0" applyNumberFormat="1" applyBorder="1" applyAlignment="1">
      <alignment horizontal="center"/>
    </xf>
    <xf numFmtId="166" fontId="0" fillId="0" borderId="8" xfId="0" applyNumberFormat="1" applyBorder="1"/>
    <xf numFmtId="4" fontId="0" fillId="0" borderId="8" xfId="0" applyNumberFormat="1" applyBorder="1"/>
    <xf numFmtId="10" fontId="0" fillId="0" borderId="8" xfId="4" applyNumberFormat="1" applyFont="1" applyBorder="1"/>
    <xf numFmtId="10" fontId="3" fillId="0" borderId="9" xfId="4" applyNumberFormat="1" applyFont="1" applyBorder="1"/>
    <xf numFmtId="0" fontId="0" fillId="0" borderId="10" xfId="0" applyBorder="1"/>
    <xf numFmtId="10" fontId="3" fillId="0" borderId="11" xfId="4" applyNumberFormat="1" applyFont="1" applyBorder="1"/>
    <xf numFmtId="0" fontId="3" fillId="0" borderId="10" xfId="0" applyFont="1" applyBorder="1"/>
    <xf numFmtId="0" fontId="4" fillId="0" borderId="10" xfId="0" applyFont="1" applyBorder="1"/>
    <xf numFmtId="10" fontId="4" fillId="0" borderId="11" xfId="4" applyNumberFormat="1" applyFont="1" applyBorder="1"/>
    <xf numFmtId="0" fontId="4" fillId="0" borderId="12" xfId="0" applyFont="1" applyBorder="1"/>
    <xf numFmtId="3" fontId="3" fillId="0" borderId="13" xfId="0" applyNumberFormat="1" applyFont="1" applyBorder="1" applyAlignment="1">
      <alignment horizontal="center"/>
    </xf>
    <xf numFmtId="166" fontId="3" fillId="0" borderId="13" xfId="0" applyNumberFormat="1" applyFont="1" applyBorder="1"/>
    <xf numFmtId="4" fontId="4" fillId="0" borderId="13" xfId="0" applyNumberFormat="1" applyFont="1" applyBorder="1"/>
    <xf numFmtId="3" fontId="0" fillId="0" borderId="13" xfId="0" applyNumberFormat="1" applyBorder="1" applyAlignment="1">
      <alignment horizontal="center"/>
    </xf>
    <xf numFmtId="10" fontId="4" fillId="0" borderId="13" xfId="4" applyNumberFormat="1" applyFont="1" applyBorder="1"/>
    <xf numFmtId="10" fontId="4" fillId="0" borderId="14" xfId="4" applyNumberFormat="1" applyFont="1" applyBorder="1"/>
    <xf numFmtId="0" fontId="0" fillId="0" borderId="10" xfId="0" applyFont="1" applyBorder="1"/>
    <xf numFmtId="3" fontId="0" fillId="0" borderId="1" xfId="0" applyNumberFormat="1" applyFont="1" applyBorder="1" applyAlignment="1">
      <alignment horizontal="center"/>
    </xf>
    <xf numFmtId="2" fontId="0" fillId="5" borderId="1" xfId="0" applyNumberFormat="1" applyFill="1" applyBorder="1"/>
    <xf numFmtId="0" fontId="4" fillId="0" borderId="6" xfId="0" applyFont="1" applyBorder="1" applyAlignment="1">
      <alignment horizontal="center" wrapText="1"/>
    </xf>
    <xf numFmtId="10" fontId="0" fillId="0" borderId="9" xfId="4" applyNumberFormat="1" applyFont="1" applyBorder="1"/>
    <xf numFmtId="10" fontId="0" fillId="0" borderId="11" xfId="4" applyNumberFormat="1" applyFont="1" applyBorder="1"/>
    <xf numFmtId="165" fontId="0" fillId="5" borderId="1" xfId="0" applyNumberFormat="1" applyFill="1" applyBorder="1"/>
    <xf numFmtId="169" fontId="0" fillId="0" borderId="1" xfId="0" applyNumberFormat="1" applyBorder="1"/>
    <xf numFmtId="0" fontId="7" fillId="0" borderId="0" xfId="0" applyFont="1" applyBorder="1" applyAlignment="1"/>
    <xf numFmtId="4" fontId="0" fillId="0" borderId="0" xfId="0" applyNumberFormat="1"/>
    <xf numFmtId="0" fontId="0" fillId="0" borderId="0" xfId="0" applyAlignment="1">
      <alignment horizontal="right"/>
    </xf>
    <xf numFmtId="0" fontId="0" fillId="0" borderId="0" xfId="0" quotePrefix="1" applyAlignment="1">
      <alignment horizontal="right"/>
    </xf>
    <xf numFmtId="10" fontId="0" fillId="0" borderId="0" xfId="4" applyNumberFormat="1" applyFont="1" applyAlignment="1">
      <alignment horizontal="right"/>
    </xf>
    <xf numFmtId="0" fontId="4" fillId="6" borderId="6" xfId="0" applyFont="1" applyFill="1" applyBorder="1" applyAlignment="1">
      <alignment horizontal="center" vertical="center" wrapText="1"/>
    </xf>
    <xf numFmtId="7" fontId="0" fillId="0" borderId="27" xfId="0" applyNumberFormat="1" applyFont="1" applyBorder="1" applyAlignment="1">
      <alignment horizontal="center"/>
    </xf>
    <xf numFmtId="7" fontId="0" fillId="0" borderId="28" xfId="0" applyNumberFormat="1" applyFont="1" applyBorder="1" applyAlignment="1">
      <alignment horizontal="center"/>
    </xf>
    <xf numFmtId="7" fontId="0" fillId="0" borderId="29" xfId="0" applyNumberFormat="1" applyFont="1" applyBorder="1" applyAlignment="1">
      <alignment horizontal="center"/>
    </xf>
    <xf numFmtId="0" fontId="4" fillId="4" borderId="10" xfId="0" applyFont="1" applyFill="1" applyBorder="1" applyAlignment="1">
      <alignment horizontal="left"/>
    </xf>
    <xf numFmtId="0" fontId="4" fillId="7" borderId="1" xfId="0" applyFont="1" applyFill="1" applyBorder="1" applyAlignment="1">
      <alignment horizontal="center" vertical="center" wrapText="1"/>
    </xf>
    <xf numFmtId="0" fontId="4" fillId="5" borderId="1" xfId="0" applyFont="1" applyFill="1" applyBorder="1" applyAlignment="1">
      <alignment horizontal="center"/>
    </xf>
    <xf numFmtId="0" fontId="0" fillId="5" borderId="0" xfId="0" applyFill="1"/>
    <xf numFmtId="169" fontId="0" fillId="0" borderId="1" xfId="0" applyNumberFormat="1" applyFill="1" applyBorder="1"/>
    <xf numFmtId="3" fontId="0" fillId="8" borderId="1" xfId="0" applyNumberFormat="1" applyFill="1" applyBorder="1"/>
    <xf numFmtId="0" fontId="4" fillId="8" borderId="1" xfId="0" applyFont="1" applyFill="1" applyBorder="1" applyAlignment="1">
      <alignment horizontal="center" vertical="center" wrapText="1"/>
    </xf>
    <xf numFmtId="0" fontId="0" fillId="3" borderId="10" xfId="0" applyFont="1" applyFill="1" applyBorder="1"/>
    <xf numFmtId="0" fontId="0" fillId="4" borderId="10" xfId="0" applyFont="1" applyFill="1" applyBorder="1"/>
    <xf numFmtId="165" fontId="0" fillId="0" borderId="1" xfId="0" applyNumberFormat="1" applyFill="1" applyBorder="1"/>
    <xf numFmtId="3" fontId="0" fillId="0" borderId="1" xfId="0" applyNumberFormat="1" applyFill="1" applyBorder="1"/>
    <xf numFmtId="0" fontId="0" fillId="0" borderId="1" xfId="0" applyFill="1" applyBorder="1" applyAlignment="1">
      <alignment horizontal="center"/>
    </xf>
    <xf numFmtId="164" fontId="0" fillId="2" borderId="1" xfId="1" applyNumberFormat="1" applyFont="1" applyFill="1" applyBorder="1"/>
    <xf numFmtId="1" fontId="0" fillId="2" borderId="1" xfId="0" applyNumberFormat="1" applyFill="1" applyBorder="1"/>
    <xf numFmtId="0" fontId="4" fillId="0" borderId="43" xfId="0" applyFont="1" applyBorder="1" applyAlignment="1">
      <alignment horizontal="center"/>
    </xf>
    <xf numFmtId="3" fontId="4" fillId="0" borderId="44" xfId="0" applyNumberFormat="1" applyFont="1" applyBorder="1" applyAlignment="1">
      <alignment horizontal="center"/>
    </xf>
    <xf numFmtId="3" fontId="4" fillId="0" borderId="45" xfId="0" applyNumberFormat="1" applyFont="1" applyBorder="1" applyAlignment="1">
      <alignment horizontal="center"/>
    </xf>
    <xf numFmtId="7" fontId="0" fillId="0" borderId="42" xfId="0" applyNumberFormat="1" applyFont="1" applyBorder="1" applyAlignment="1">
      <alignment horizontal="center"/>
    </xf>
    <xf numFmtId="165" fontId="4" fillId="0" borderId="1" xfId="0" applyNumberFormat="1" applyFont="1" applyBorder="1"/>
    <xf numFmtId="0" fontId="0" fillId="0" borderId="1" xfId="0" applyFill="1" applyBorder="1"/>
    <xf numFmtId="3" fontId="4" fillId="0" borderId="47" xfId="0" applyNumberFormat="1" applyFont="1" applyBorder="1" applyAlignment="1">
      <alignment horizontal="center"/>
    </xf>
    <xf numFmtId="3" fontId="4" fillId="0" borderId="48" xfId="0" applyNumberFormat="1" applyFont="1" applyBorder="1" applyAlignment="1">
      <alignment horizontal="center"/>
    </xf>
    <xf numFmtId="3" fontId="4" fillId="0" borderId="41" xfId="0" applyNumberFormat="1" applyFont="1" applyBorder="1" applyAlignment="1">
      <alignment horizontal="center"/>
    </xf>
    <xf numFmtId="3" fontId="4" fillId="0" borderId="49" xfId="0" applyNumberFormat="1" applyFont="1" applyBorder="1" applyAlignment="1">
      <alignment horizontal="center"/>
    </xf>
    <xf numFmtId="0" fontId="0" fillId="0" borderId="0" xfId="0" applyFont="1"/>
    <xf numFmtId="7" fontId="0" fillId="7" borderId="19" xfId="2" applyNumberFormat="1" applyFont="1" applyFill="1" applyBorder="1" applyAlignment="1">
      <alignment horizontal="center"/>
    </xf>
    <xf numFmtId="10" fontId="0" fillId="7" borderId="22" xfId="3" applyNumberFormat="1" applyFont="1" applyFill="1" applyBorder="1" applyAlignment="1">
      <alignment horizontal="center"/>
    </xf>
    <xf numFmtId="7" fontId="0" fillId="6" borderId="7" xfId="0" applyNumberFormat="1" applyFont="1" applyFill="1" applyBorder="1" applyAlignment="1">
      <alignment horizontal="center"/>
    </xf>
    <xf numFmtId="10" fontId="0" fillId="6" borderId="14" xfId="3" applyNumberFormat="1" applyFont="1" applyFill="1" applyBorder="1" applyAlignment="1">
      <alignment horizontal="center"/>
    </xf>
    <xf numFmtId="10" fontId="0" fillId="7" borderId="21" xfId="3" applyNumberFormat="1" applyFont="1" applyFill="1" applyBorder="1" applyAlignment="1">
      <alignment horizontal="center"/>
    </xf>
    <xf numFmtId="10" fontId="0" fillId="6" borderId="9" xfId="3" applyNumberFormat="1" applyFont="1" applyFill="1" applyBorder="1" applyAlignment="1">
      <alignment horizontal="center"/>
    </xf>
    <xf numFmtId="7" fontId="0" fillId="7" borderId="3" xfId="2" applyNumberFormat="1" applyFont="1" applyFill="1" applyBorder="1" applyAlignment="1">
      <alignment horizontal="center"/>
    </xf>
    <xf numFmtId="10" fontId="0" fillId="7" borderId="3" xfId="3" applyNumberFormat="1" applyFont="1" applyFill="1" applyBorder="1" applyAlignment="1">
      <alignment horizontal="center"/>
    </xf>
    <xf numFmtId="7" fontId="0" fillId="6" borderId="10" xfId="0" applyNumberFormat="1" applyFont="1" applyFill="1" applyBorder="1" applyAlignment="1">
      <alignment horizontal="center"/>
    </xf>
    <xf numFmtId="10" fontId="0" fillId="6" borderId="11" xfId="3" applyNumberFormat="1" applyFont="1" applyFill="1" applyBorder="1" applyAlignment="1">
      <alignment horizontal="center"/>
    </xf>
    <xf numFmtId="7" fontId="0" fillId="7" borderId="20" xfId="2" applyNumberFormat="1" applyFont="1" applyFill="1" applyBorder="1" applyAlignment="1">
      <alignment horizontal="center"/>
    </xf>
    <xf numFmtId="7" fontId="0" fillId="6" borderId="12" xfId="0" applyNumberFormat="1" applyFont="1" applyFill="1" applyBorder="1" applyAlignment="1">
      <alignment horizontal="center"/>
    </xf>
    <xf numFmtId="10" fontId="0" fillId="7" borderId="2" xfId="3" applyNumberFormat="1" applyFont="1" applyFill="1" applyBorder="1" applyAlignment="1">
      <alignment horizontal="center"/>
    </xf>
    <xf numFmtId="7" fontId="0" fillId="7" borderId="46" xfId="2" applyNumberFormat="1" applyFont="1" applyFill="1" applyBorder="1" applyAlignment="1">
      <alignment horizontal="center"/>
    </xf>
    <xf numFmtId="7" fontId="0" fillId="6" borderId="44" xfId="0" applyNumberFormat="1" applyFont="1" applyFill="1" applyBorder="1" applyAlignment="1">
      <alignment horizontal="center"/>
    </xf>
    <xf numFmtId="0" fontId="0" fillId="0" borderId="0" xfId="0" applyFont="1" applyAlignment="1">
      <alignment horizontal="center" vertical="center"/>
    </xf>
    <xf numFmtId="0" fontId="0" fillId="0" borderId="0" xfId="0" applyFont="1" applyAlignment="1">
      <alignment horizontal="center" vertical="center" wrapText="1"/>
    </xf>
    <xf numFmtId="164" fontId="0" fillId="0" borderId="0" xfId="1" applyNumberFormat="1" applyFont="1" applyAlignment="1">
      <alignment horizontal="center" vertical="center"/>
    </xf>
    <xf numFmtId="0" fontId="4" fillId="0" borderId="0" xfId="0" applyFont="1" applyAlignment="1">
      <alignment horizontal="center" vertical="center"/>
    </xf>
    <xf numFmtId="43" fontId="0" fillId="8" borderId="1" xfId="1" applyFont="1" applyFill="1" applyBorder="1" applyAlignment="1">
      <alignment horizontal="right"/>
    </xf>
    <xf numFmtId="0" fontId="4" fillId="0" borderId="0" xfId="0" applyFont="1" applyFill="1" applyBorder="1"/>
    <xf numFmtId="0" fontId="0" fillId="0" borderId="0" xfId="0" applyFill="1"/>
    <xf numFmtId="0" fontId="0" fillId="0" borderId="36" xfId="0" applyFont="1" applyBorder="1"/>
    <xf numFmtId="0" fontId="0" fillId="0" borderId="43" xfId="0" applyBorder="1"/>
    <xf numFmtId="0" fontId="0" fillId="0" borderId="0" xfId="0" applyBorder="1"/>
    <xf numFmtId="6" fontId="0" fillId="0" borderId="0" xfId="0" applyNumberFormat="1" applyBorder="1"/>
    <xf numFmtId="167" fontId="0" fillId="0" borderId="1" xfId="0" applyNumberFormat="1" applyFont="1" applyBorder="1"/>
    <xf numFmtId="181" fontId="0" fillId="5" borderId="1" xfId="0" applyNumberFormat="1" applyFill="1" applyBorder="1"/>
    <xf numFmtId="181" fontId="0" fillId="0" borderId="1" xfId="0" applyNumberFormat="1" applyBorder="1"/>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0" fillId="0" borderId="38" xfId="0" applyFont="1" applyBorder="1" applyAlignment="1">
      <alignment horizontal="center" vertical="center" wrapText="1"/>
    </xf>
    <xf numFmtId="0" fontId="0" fillId="0" borderId="39" xfId="0" applyFont="1" applyBorder="1" applyAlignment="1">
      <alignment horizontal="center" vertical="center" wrapText="1"/>
    </xf>
    <xf numFmtId="0" fontId="0" fillId="0" borderId="40" xfId="0" applyFont="1" applyBorder="1" applyAlignment="1">
      <alignment horizontal="center" vertical="center" wrapText="1"/>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42" xfId="0" applyFont="1" applyBorder="1" applyAlignment="1">
      <alignment horizontal="center" vertical="center"/>
    </xf>
    <xf numFmtId="0" fontId="4" fillId="0" borderId="29" xfId="0" applyFont="1" applyBorder="1" applyAlignment="1">
      <alignment horizontal="center" vertical="center"/>
    </xf>
    <xf numFmtId="0" fontId="4" fillId="0" borderId="24" xfId="0" applyFont="1" applyBorder="1" applyAlignment="1">
      <alignment horizontal="center" vertical="center"/>
    </xf>
    <xf numFmtId="0" fontId="0" fillId="0" borderId="24" xfId="0" applyFont="1" applyBorder="1" applyAlignment="1">
      <alignment horizontal="center" vertical="center"/>
    </xf>
    <xf numFmtId="0" fontId="0" fillId="0" borderId="25" xfId="0" applyFont="1" applyBorder="1" applyAlignment="1">
      <alignment horizontal="center" vertical="center"/>
    </xf>
    <xf numFmtId="0" fontId="0" fillId="0" borderId="26" xfId="0" applyFont="1" applyBorder="1" applyAlignment="1">
      <alignment horizontal="center" vertical="center"/>
    </xf>
    <xf numFmtId="0" fontId="0" fillId="0" borderId="24"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26" xfId="0" applyFont="1" applyBorder="1" applyAlignment="1">
      <alignment horizontal="center" vertical="center" wrapText="1"/>
    </xf>
    <xf numFmtId="0" fontId="7" fillId="0" borderId="34" xfId="0" applyFont="1" applyBorder="1" applyAlignment="1">
      <alignment horizontal="center"/>
    </xf>
    <xf numFmtId="0" fontId="7" fillId="0" borderId="16" xfId="0" applyFont="1" applyBorder="1" applyAlignment="1">
      <alignment horizontal="center"/>
    </xf>
    <xf numFmtId="0" fontId="7" fillId="0" borderId="35" xfId="0" applyFont="1" applyBorder="1" applyAlignment="1">
      <alignment horizontal="center"/>
    </xf>
  </cellXfs>
  <cellStyles count="48">
    <cellStyle name="$" xfId="7"/>
    <cellStyle name="$_CCA-Request_H11bps" xfId="8"/>
    <cellStyle name="$_CCA-Request_H11bps July 9" xfId="9"/>
    <cellStyle name="$comma" xfId="10"/>
    <cellStyle name="_Comma" xfId="11"/>
    <cellStyle name="_Currency" xfId="12"/>
    <cellStyle name="_CurrencySpace" xfId="13"/>
    <cellStyle name="_Multiple" xfId="14"/>
    <cellStyle name="_MultipleSpace" xfId="15"/>
    <cellStyle name="_Percent" xfId="16"/>
    <cellStyle name="_PercentSpace" xfId="17"/>
    <cellStyle name="_PercentSpace_AR Analysis 061207" xfId="18"/>
    <cellStyle name="_PercentSpace_RMDx BP050513a 051212a" xfId="19"/>
    <cellStyle name="Comma" xfId="1" builtinId="3"/>
    <cellStyle name="comma zerodec" xfId="20"/>
    <cellStyle name="Currency" xfId="2" builtinId="4"/>
    <cellStyle name="Currency1" xfId="21"/>
    <cellStyle name="Dollar (zero dec)" xfId="22"/>
    <cellStyle name="Grey" xfId="23"/>
    <cellStyle name="Header1" xfId="24"/>
    <cellStyle name="Header2" xfId="25"/>
    <cellStyle name="Input [yellow]" xfId="26"/>
    <cellStyle name="multiple" xfId="27"/>
    <cellStyle name="Normal" xfId="0" builtinId="0"/>
    <cellStyle name="Normal - Style1" xfId="28"/>
    <cellStyle name="Normal 2" xfId="5"/>
    <cellStyle name="Normal 3" xfId="6"/>
    <cellStyle name="Normal 4" xfId="46"/>
    <cellStyle name="Normal 5" xfId="47"/>
    <cellStyle name="Number" xfId="29"/>
    <cellStyle name="OH01" xfId="30"/>
    <cellStyle name="OHnplode" xfId="31"/>
    <cellStyle name="Percent" xfId="3" builtinId="5"/>
    <cellStyle name="Percent [2]" xfId="32"/>
    <cellStyle name="Percent 2" xfId="4"/>
    <cellStyle name="PSChar" xfId="33"/>
    <cellStyle name="PSDate" xfId="34"/>
    <cellStyle name="PSDec" xfId="35"/>
    <cellStyle name="PSHeading" xfId="36"/>
    <cellStyle name="PSInt" xfId="37"/>
    <cellStyle name="PSSpacer" xfId="38"/>
    <cellStyle name="ShOut" xfId="39"/>
    <cellStyle name="Style 1" xfId="40"/>
    <cellStyle name="Style 2" xfId="41"/>
    <cellStyle name="Style 3" xfId="42"/>
    <cellStyle name="x" xfId="43"/>
    <cellStyle name="x_CCA-Request_H11bps" xfId="44"/>
    <cellStyle name="x_CCA-Request_H11bps July 9" xfId="45"/>
  </cellStyles>
  <dxfs count="0"/>
  <tableStyles count="0" defaultTableStyle="TableStyleMedium2" defaultPivotStyle="PivotStyleLight16"/>
  <colors>
    <mruColors>
      <color rgb="FFCCFFCC"/>
      <color rgb="FFFFCCFF"/>
      <color rgb="FFFFCCCC"/>
      <color rgb="FFFFFFFF"/>
      <color rgb="FFCCFFFF"/>
      <color rgb="FFCCCCFF"/>
      <color rgb="FFCCE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ustomXml" Target="../customXml/item4.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75"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Y31"/>
  <sheetViews>
    <sheetView zoomScaleNormal="100" workbookViewId="0">
      <pane xSplit="2" ySplit="2" topLeftCell="H3" activePane="bottomRight" state="frozen"/>
      <selection activeCell="B27" sqref="B27"/>
      <selection pane="topRight" activeCell="B27" sqref="B27"/>
      <selection pane="bottomLeft" activeCell="B27" sqref="B27"/>
      <selection pane="bottomRight" activeCell="B27" sqref="B27"/>
    </sheetView>
  </sheetViews>
  <sheetFormatPr defaultRowHeight="12.75" x14ac:dyDescent="0.2"/>
  <cols>
    <col min="1" max="1" width="18.42578125" bestFit="1" customWidth="1"/>
    <col min="2" max="3" width="14.7109375" customWidth="1"/>
    <col min="4" max="4" width="11.140625" customWidth="1"/>
    <col min="5" max="5" width="13" customWidth="1"/>
    <col min="6" max="6" width="12.140625" customWidth="1"/>
    <col min="7" max="7" width="13.5703125" style="138" customWidth="1"/>
    <col min="8" max="8" width="10" style="138" customWidth="1"/>
    <col min="9" max="9" width="10.7109375" style="138" customWidth="1"/>
    <col min="10" max="10" width="9.5703125" style="138" customWidth="1"/>
    <col min="11" max="11" width="10.42578125" style="138" customWidth="1"/>
    <col min="12" max="12" width="11" style="138" customWidth="1"/>
    <col min="13" max="13" width="11.42578125" style="138" customWidth="1"/>
    <col min="14" max="14" width="11.85546875" style="138" customWidth="1"/>
    <col min="15" max="15" width="9.85546875" style="138" customWidth="1"/>
    <col min="16" max="16" width="11.5703125" style="138" customWidth="1"/>
    <col min="17" max="18" width="10" customWidth="1"/>
    <col min="19" max="20" width="11" customWidth="1"/>
    <col min="21" max="21" width="13.85546875" bestFit="1" customWidth="1"/>
    <col min="22" max="23" width="10.7109375" customWidth="1"/>
    <col min="24" max="24" width="9.5703125" customWidth="1"/>
    <col min="25" max="25" width="10.5703125" customWidth="1"/>
    <col min="26" max="26" width="11" customWidth="1"/>
    <col min="27" max="27" width="10.28515625" customWidth="1"/>
    <col min="28" max="28" width="10.7109375" customWidth="1"/>
  </cols>
  <sheetData>
    <row r="1" spans="1:25" x14ac:dyDescent="0.2">
      <c r="A1" s="8">
        <v>1</v>
      </c>
      <c r="B1" s="8">
        <v>2</v>
      </c>
      <c r="C1" s="8">
        <v>3</v>
      </c>
      <c r="D1" s="8">
        <v>4</v>
      </c>
      <c r="E1" s="8">
        <v>5</v>
      </c>
      <c r="F1" s="8">
        <v>6</v>
      </c>
      <c r="G1" s="137">
        <v>7</v>
      </c>
      <c r="H1" s="137">
        <v>8</v>
      </c>
      <c r="I1" s="137">
        <v>9</v>
      </c>
      <c r="J1" s="137">
        <v>10</v>
      </c>
      <c r="K1" s="137">
        <v>11</v>
      </c>
      <c r="L1" s="137">
        <v>12</v>
      </c>
      <c r="M1" s="137">
        <v>13</v>
      </c>
      <c r="N1" s="137">
        <v>14</v>
      </c>
      <c r="O1" s="137">
        <v>15</v>
      </c>
      <c r="P1" s="137">
        <v>16</v>
      </c>
      <c r="Q1" s="8">
        <v>17</v>
      </c>
      <c r="R1" s="8">
        <v>18</v>
      </c>
      <c r="S1" s="8">
        <v>19</v>
      </c>
      <c r="T1" s="8">
        <v>20</v>
      </c>
      <c r="U1" s="8">
        <v>21</v>
      </c>
      <c r="V1" s="8">
        <v>22</v>
      </c>
      <c r="W1" s="8">
        <v>23</v>
      </c>
      <c r="X1" s="8">
        <v>24</v>
      </c>
      <c r="Y1" s="8">
        <v>25</v>
      </c>
    </row>
    <row r="2" spans="1:25" s="11" customFormat="1" ht="89.25" x14ac:dyDescent="0.2">
      <c r="A2" s="9" t="s">
        <v>13</v>
      </c>
      <c r="B2" s="9" t="s">
        <v>14</v>
      </c>
      <c r="C2" s="9" t="s">
        <v>103</v>
      </c>
      <c r="D2" s="9" t="s">
        <v>15</v>
      </c>
      <c r="E2" s="9" t="s">
        <v>71</v>
      </c>
      <c r="F2" s="10" t="s">
        <v>17</v>
      </c>
      <c r="G2" s="10" t="s">
        <v>54</v>
      </c>
      <c r="H2" s="10" t="s">
        <v>53</v>
      </c>
      <c r="I2" s="10" t="s">
        <v>52</v>
      </c>
      <c r="J2" s="10" t="s">
        <v>51</v>
      </c>
      <c r="K2" s="10" t="s">
        <v>97</v>
      </c>
      <c r="M2" s="10" t="s">
        <v>90</v>
      </c>
      <c r="N2" s="10" t="s">
        <v>91</v>
      </c>
      <c r="O2" s="10" t="s">
        <v>58</v>
      </c>
      <c r="P2" s="10" t="s">
        <v>59</v>
      </c>
      <c r="Q2" s="136" t="s">
        <v>55</v>
      </c>
      <c r="R2" s="10" t="s">
        <v>52</v>
      </c>
      <c r="S2" s="136" t="s">
        <v>57</v>
      </c>
      <c r="T2" s="10" t="s">
        <v>104</v>
      </c>
      <c r="U2" s="136" t="s">
        <v>105</v>
      </c>
      <c r="V2" s="136" t="s">
        <v>89</v>
      </c>
      <c r="W2" s="136" t="s">
        <v>87</v>
      </c>
      <c r="X2" s="136" t="s">
        <v>56</v>
      </c>
      <c r="Y2" s="136" t="s">
        <v>100</v>
      </c>
    </row>
    <row r="3" spans="1:25" x14ac:dyDescent="0.2">
      <c r="A3" s="5" t="s">
        <v>0</v>
      </c>
      <c r="B3" s="125">
        <v>1.0569999999999999</v>
      </c>
      <c r="C3" s="6">
        <v>750</v>
      </c>
      <c r="D3" s="6">
        <v>600</v>
      </c>
      <c r="E3" s="2"/>
      <c r="F3" s="4" t="s">
        <v>18</v>
      </c>
      <c r="G3" s="120">
        <v>36.67</v>
      </c>
      <c r="H3" s="77">
        <v>0</v>
      </c>
      <c r="I3" s="77">
        <v>0.79</v>
      </c>
      <c r="J3" s="124">
        <v>0</v>
      </c>
      <c r="K3" s="120"/>
      <c r="L3" s="124"/>
      <c r="M3" s="120">
        <v>7.0000000000000001E-3</v>
      </c>
      <c r="N3" s="187">
        <v>3.0000000000000004E-5</v>
      </c>
      <c r="O3" s="124">
        <v>7.7000000000000002E-3</v>
      </c>
      <c r="P3" s="124">
        <v>6.3E-3</v>
      </c>
      <c r="Q3" s="3">
        <v>37.369999999999997</v>
      </c>
      <c r="R3" s="2">
        <v>0.79</v>
      </c>
      <c r="S3" s="99">
        <v>0</v>
      </c>
      <c r="T3" s="124">
        <v>0</v>
      </c>
      <c r="U3" s="99">
        <f>T3</f>
        <v>0</v>
      </c>
      <c r="V3" s="99">
        <f>M3</f>
        <v>7.0000000000000001E-3</v>
      </c>
      <c r="W3" s="188">
        <f>N3</f>
        <v>3.0000000000000004E-5</v>
      </c>
      <c r="X3" s="99">
        <v>7.7000000000000002E-3</v>
      </c>
      <c r="Y3" s="99">
        <v>6.3E-3</v>
      </c>
    </row>
    <row r="4" spans="1:25" x14ac:dyDescent="0.2">
      <c r="A4" s="5" t="s">
        <v>1</v>
      </c>
      <c r="B4" s="125">
        <v>1.0760000000000001</v>
      </c>
      <c r="C4" s="6">
        <v>750</v>
      </c>
      <c r="D4" s="6">
        <v>600</v>
      </c>
      <c r="E4" s="2"/>
      <c r="F4" s="4" t="s">
        <v>18</v>
      </c>
      <c r="G4" s="120">
        <v>52.31</v>
      </c>
      <c r="H4" s="77">
        <v>0</v>
      </c>
      <c r="I4" s="77">
        <v>0.79</v>
      </c>
      <c r="J4" s="124">
        <v>1.1599999999999999E-2</v>
      </c>
      <c r="K4" s="120"/>
      <c r="L4" s="124"/>
      <c r="M4" s="120">
        <v>4.0000000000000001E-3</v>
      </c>
      <c r="N4" s="187">
        <v>2.0000000000000002E-5</v>
      </c>
      <c r="O4" s="124">
        <v>7.1999999999999998E-3</v>
      </c>
      <c r="P4" s="124">
        <v>5.8999999999999999E-3</v>
      </c>
      <c r="Q4" s="3">
        <v>58.26</v>
      </c>
      <c r="R4" s="2">
        <v>0.79</v>
      </c>
      <c r="S4" s="99">
        <v>6.6E-3</v>
      </c>
      <c r="T4" s="124">
        <v>0</v>
      </c>
      <c r="U4" s="99">
        <f t="shared" ref="U4:U21" si="0">T4</f>
        <v>0</v>
      </c>
      <c r="V4" s="99">
        <f t="shared" ref="V4:V21" si="1">M4</f>
        <v>4.0000000000000001E-3</v>
      </c>
      <c r="W4" s="188">
        <f t="shared" ref="W4:W21" si="2">N4</f>
        <v>2.0000000000000002E-5</v>
      </c>
      <c r="X4" s="99">
        <v>7.1999999999999998E-3</v>
      </c>
      <c r="Y4" s="99">
        <v>5.8999999999999999E-3</v>
      </c>
    </row>
    <row r="5" spans="1:25" x14ac:dyDescent="0.2">
      <c r="A5" s="5" t="s">
        <v>2</v>
      </c>
      <c r="B5" s="125">
        <v>1.105</v>
      </c>
      <c r="C5" s="6">
        <v>750</v>
      </c>
      <c r="D5" s="6">
        <v>600</v>
      </c>
      <c r="E5" s="2"/>
      <c r="F5" s="4" t="s">
        <v>18</v>
      </c>
      <c r="G5" s="120">
        <v>55.259678307903926</v>
      </c>
      <c r="H5" s="77">
        <v>0</v>
      </c>
      <c r="I5" s="77">
        <v>0.79</v>
      </c>
      <c r="J5" s="124">
        <v>2.01E-2</v>
      </c>
      <c r="K5" s="120"/>
      <c r="L5" s="124"/>
      <c r="M5" s="120">
        <v>-2.1000000000000001E-2</v>
      </c>
      <c r="N5" s="187">
        <v>1.0000000000000003E-5</v>
      </c>
      <c r="O5" s="124">
        <v>6.7999999999999996E-3</v>
      </c>
      <c r="P5" s="124">
        <v>5.4999999999999997E-3</v>
      </c>
      <c r="Q5" s="3">
        <v>68.119678307903939</v>
      </c>
      <c r="R5" s="2">
        <v>0.79</v>
      </c>
      <c r="S5" s="99">
        <v>1.17E-2</v>
      </c>
      <c r="T5" s="124">
        <v>0</v>
      </c>
      <c r="U5" s="99">
        <f t="shared" si="0"/>
        <v>0</v>
      </c>
      <c r="V5" s="99">
        <f t="shared" si="1"/>
        <v>-2.1000000000000001E-2</v>
      </c>
      <c r="W5" s="188">
        <f t="shared" si="2"/>
        <v>1.0000000000000003E-5</v>
      </c>
      <c r="X5" s="99">
        <v>6.7999999999999996E-3</v>
      </c>
      <c r="Y5" s="99">
        <v>5.4999999999999997E-3</v>
      </c>
    </row>
    <row r="6" spans="1:25" x14ac:dyDescent="0.2">
      <c r="A6" s="5" t="s">
        <v>3</v>
      </c>
      <c r="B6" s="125">
        <v>1.1040000000000001</v>
      </c>
      <c r="C6" s="6">
        <v>500</v>
      </c>
      <c r="D6" s="6">
        <v>600</v>
      </c>
      <c r="E6" s="2"/>
      <c r="F6" s="4" t="s">
        <v>18</v>
      </c>
      <c r="G6" s="120">
        <v>55.37</v>
      </c>
      <c r="H6" s="77">
        <v>0</v>
      </c>
      <c r="I6" s="77">
        <v>0.79</v>
      </c>
      <c r="J6" s="124">
        <v>3.1699999999999999E-2</v>
      </c>
      <c r="K6" s="120"/>
      <c r="L6" s="124"/>
      <c r="M6" s="120">
        <v>-2E-3</v>
      </c>
      <c r="N6" s="187">
        <v>1.0000000000000003E-5</v>
      </c>
      <c r="O6" s="124">
        <v>5.7999999999999996E-3</v>
      </c>
      <c r="P6" s="124">
        <v>4.7000000000000002E-3</v>
      </c>
      <c r="Q6" s="3">
        <v>61.48</v>
      </c>
      <c r="R6" s="2">
        <v>0.79</v>
      </c>
      <c r="S6" s="99">
        <v>1.84E-2</v>
      </c>
      <c r="T6" s="124">
        <v>0</v>
      </c>
      <c r="U6" s="99">
        <f t="shared" si="0"/>
        <v>0</v>
      </c>
      <c r="V6" s="99">
        <f t="shared" si="1"/>
        <v>-2E-3</v>
      </c>
      <c r="W6" s="188">
        <f t="shared" si="2"/>
        <v>1.0000000000000003E-5</v>
      </c>
      <c r="X6" s="99">
        <v>5.7999999999999996E-3</v>
      </c>
      <c r="Y6" s="99">
        <v>4.7000000000000002E-3</v>
      </c>
    </row>
    <row r="7" spans="1:25" x14ac:dyDescent="0.2">
      <c r="A7" s="5" t="s">
        <v>4</v>
      </c>
      <c r="B7" s="125">
        <v>1.0960000000000001</v>
      </c>
      <c r="C7" s="6">
        <v>2000</v>
      </c>
      <c r="D7" s="6">
        <v>750</v>
      </c>
      <c r="E7" s="2"/>
      <c r="F7" s="4" t="s">
        <v>18</v>
      </c>
      <c r="G7" s="120">
        <v>31.38</v>
      </c>
      <c r="H7" s="77">
        <v>0</v>
      </c>
      <c r="I7" s="77">
        <v>0.79</v>
      </c>
      <c r="J7" s="124">
        <v>6.5199999999999994E-2</v>
      </c>
      <c r="K7" s="120"/>
      <c r="L7" s="124"/>
      <c r="M7" s="120">
        <v>2E-3</v>
      </c>
      <c r="N7" s="187">
        <v>2.0000000000000002E-5</v>
      </c>
      <c r="O7" s="124">
        <v>5.4999999999999997E-3</v>
      </c>
      <c r="P7" s="124">
        <v>4.4999999999999997E-3</v>
      </c>
      <c r="Q7" s="3">
        <v>31.94</v>
      </c>
      <c r="R7" s="2">
        <v>0.79</v>
      </c>
      <c r="S7" s="99">
        <v>6.7000000000000004E-2</v>
      </c>
      <c r="T7" s="124">
        <v>0</v>
      </c>
      <c r="U7" s="99">
        <f t="shared" si="0"/>
        <v>0</v>
      </c>
      <c r="V7" s="99">
        <f t="shared" si="1"/>
        <v>2E-3</v>
      </c>
      <c r="W7" s="188">
        <f t="shared" si="2"/>
        <v>2.0000000000000002E-5</v>
      </c>
      <c r="X7" s="99">
        <v>5.4999999999999997E-3</v>
      </c>
      <c r="Y7" s="99">
        <v>4.4999999999999997E-3</v>
      </c>
    </row>
    <row r="8" spans="1:25" x14ac:dyDescent="0.2">
      <c r="A8" s="5" t="s">
        <v>6</v>
      </c>
      <c r="B8" s="125">
        <v>1.0669999999999999</v>
      </c>
      <c r="C8" s="6">
        <v>2000</v>
      </c>
      <c r="D8" s="6">
        <v>750</v>
      </c>
      <c r="E8" s="2"/>
      <c r="F8" s="4" t="s">
        <v>18</v>
      </c>
      <c r="G8" s="120">
        <v>25.55</v>
      </c>
      <c r="H8" s="77">
        <v>0</v>
      </c>
      <c r="I8" s="77">
        <v>0.79</v>
      </c>
      <c r="J8" s="124">
        <v>3.0800000000000001E-2</v>
      </c>
      <c r="K8" s="120"/>
      <c r="L8" s="124"/>
      <c r="M8" s="120">
        <v>8.0000000000000002E-3</v>
      </c>
      <c r="N8" s="187">
        <v>3.0000000000000004E-5</v>
      </c>
      <c r="O8" s="124">
        <v>5.7999999999999996E-3</v>
      </c>
      <c r="P8" s="124">
        <v>4.7000000000000002E-3</v>
      </c>
      <c r="Q8" s="3">
        <v>26.07</v>
      </c>
      <c r="R8" s="2">
        <v>0.79</v>
      </c>
      <c r="S8" s="99">
        <v>3.1600000000000003E-2</v>
      </c>
      <c r="T8" s="124">
        <v>0</v>
      </c>
      <c r="U8" s="99">
        <f t="shared" si="0"/>
        <v>0</v>
      </c>
      <c r="V8" s="99">
        <f t="shared" si="1"/>
        <v>8.0000000000000002E-3</v>
      </c>
      <c r="W8" s="188">
        <f t="shared" si="2"/>
        <v>3.0000000000000004E-5</v>
      </c>
      <c r="X8" s="99">
        <v>5.7999999999999996E-3</v>
      </c>
      <c r="Y8" s="99">
        <v>4.7000000000000002E-3</v>
      </c>
    </row>
    <row r="9" spans="1:25" x14ac:dyDescent="0.2">
      <c r="A9" s="5" t="s">
        <v>8</v>
      </c>
      <c r="B9" s="125">
        <v>1.0920000000000001</v>
      </c>
      <c r="C9" s="6">
        <v>1440</v>
      </c>
      <c r="D9" s="6">
        <v>750</v>
      </c>
      <c r="E9" s="2"/>
      <c r="F9" s="4" t="s">
        <v>18</v>
      </c>
      <c r="G9" s="120">
        <v>4.7699999999999996</v>
      </c>
      <c r="H9" s="77">
        <v>0</v>
      </c>
      <c r="I9" s="77">
        <v>0</v>
      </c>
      <c r="J9" s="124">
        <v>0.1069</v>
      </c>
      <c r="K9" s="120"/>
      <c r="L9" s="124"/>
      <c r="M9" s="120">
        <v>7.0000000000000001E-3</v>
      </c>
      <c r="N9" s="187">
        <v>-9.9999999999999991E-6</v>
      </c>
      <c r="O9" s="124">
        <v>3.836E-3</v>
      </c>
      <c r="P9" s="124">
        <v>3.6240000000000001E-3</v>
      </c>
      <c r="Q9" s="3">
        <v>4.88</v>
      </c>
      <c r="R9" s="2">
        <v>0</v>
      </c>
      <c r="S9" s="99">
        <v>0.10970000000000001</v>
      </c>
      <c r="T9" s="124">
        <v>0</v>
      </c>
      <c r="U9" s="99">
        <f t="shared" si="0"/>
        <v>0</v>
      </c>
      <c r="V9" s="99">
        <f t="shared" si="1"/>
        <v>7.0000000000000001E-3</v>
      </c>
      <c r="W9" s="188">
        <f t="shared" si="2"/>
        <v>-9.9999999999999991E-6</v>
      </c>
      <c r="X9" s="99">
        <v>3.836E-3</v>
      </c>
      <c r="Y9" s="99">
        <v>3.6240000000000001E-3</v>
      </c>
    </row>
    <row r="10" spans="1:25" x14ac:dyDescent="0.2">
      <c r="A10" s="5" t="s">
        <v>9</v>
      </c>
      <c r="B10" s="125">
        <v>1.0920000000000001</v>
      </c>
      <c r="C10" s="6">
        <v>62</v>
      </c>
      <c r="D10" s="6">
        <v>750</v>
      </c>
      <c r="E10" s="2"/>
      <c r="F10" s="4" t="s">
        <v>18</v>
      </c>
      <c r="G10" s="120">
        <v>3.72</v>
      </c>
      <c r="H10" s="77">
        <v>0</v>
      </c>
      <c r="I10" s="77">
        <v>0</v>
      </c>
      <c r="J10" s="124">
        <v>0.13830000000000001</v>
      </c>
      <c r="K10" s="120"/>
      <c r="L10" s="124"/>
      <c r="M10" s="120">
        <v>6.0000000000000001E-3</v>
      </c>
      <c r="N10" s="187">
        <v>-6.0000000000000002E-5</v>
      </c>
      <c r="O10" s="124">
        <v>3.836E-3</v>
      </c>
      <c r="P10" s="124">
        <v>3.6240000000000001E-3</v>
      </c>
      <c r="Q10" s="3">
        <v>3.87</v>
      </c>
      <c r="R10" s="2">
        <v>0</v>
      </c>
      <c r="S10" s="99">
        <v>0.14399999999999999</v>
      </c>
      <c r="T10" s="124">
        <v>0</v>
      </c>
      <c r="U10" s="99">
        <f t="shared" si="0"/>
        <v>0</v>
      </c>
      <c r="V10" s="99">
        <f t="shared" si="1"/>
        <v>6.0000000000000001E-3</v>
      </c>
      <c r="W10" s="188">
        <f t="shared" si="2"/>
        <v>-6.0000000000000002E-5</v>
      </c>
      <c r="X10" s="99">
        <f>X9</f>
        <v>3.836E-3</v>
      </c>
      <c r="Y10" s="99">
        <f>Y9</f>
        <v>3.6240000000000001E-3</v>
      </c>
    </row>
    <row r="11" spans="1:25" x14ac:dyDescent="0.2">
      <c r="A11" s="7" t="s">
        <v>12</v>
      </c>
      <c r="B11" s="125">
        <v>1.0920000000000001</v>
      </c>
      <c r="C11" s="6">
        <v>500</v>
      </c>
      <c r="D11" s="6">
        <v>750</v>
      </c>
      <c r="E11" s="2"/>
      <c r="F11" s="4" t="s">
        <v>18</v>
      </c>
      <c r="G11" s="120">
        <v>37.369999999999997</v>
      </c>
      <c r="H11" s="77">
        <v>0</v>
      </c>
      <c r="I11" s="77">
        <v>0</v>
      </c>
      <c r="J11" s="124">
        <v>3.0300000000000001E-2</v>
      </c>
      <c r="K11" s="120"/>
      <c r="L11" s="124"/>
      <c r="M11" s="120">
        <v>2E-3</v>
      </c>
      <c r="N11" s="187">
        <v>2.0000000000000002E-5</v>
      </c>
      <c r="O11" s="124">
        <v>4.7000000000000002E-3</v>
      </c>
      <c r="P11" s="124">
        <v>3.8E-3</v>
      </c>
      <c r="Q11" s="3">
        <v>38.299999999999997</v>
      </c>
      <c r="R11" s="2">
        <v>0</v>
      </c>
      <c r="S11" s="99">
        <v>3.09E-2</v>
      </c>
      <c r="T11" s="124">
        <v>0</v>
      </c>
      <c r="U11" s="99">
        <f t="shared" si="0"/>
        <v>0</v>
      </c>
      <c r="V11" s="99">
        <f t="shared" si="1"/>
        <v>2E-3</v>
      </c>
      <c r="W11" s="188">
        <f t="shared" si="2"/>
        <v>2.0000000000000002E-5</v>
      </c>
      <c r="X11" s="99">
        <v>4.7000000000000002E-3</v>
      </c>
      <c r="Y11" s="99">
        <v>3.8E-3</v>
      </c>
    </row>
    <row r="12" spans="1:25" x14ac:dyDescent="0.2">
      <c r="A12" s="5" t="s">
        <v>5</v>
      </c>
      <c r="B12" s="125">
        <v>1.0609999999999999</v>
      </c>
      <c r="C12" s="6">
        <v>36000</v>
      </c>
      <c r="D12" s="6">
        <v>0</v>
      </c>
      <c r="E12" s="2">
        <v>117</v>
      </c>
      <c r="F12" s="4" t="s">
        <v>19</v>
      </c>
      <c r="G12" s="120">
        <v>107.59</v>
      </c>
      <c r="H12" s="77">
        <v>0</v>
      </c>
      <c r="I12" s="77">
        <v>0</v>
      </c>
      <c r="J12" s="124">
        <v>18.531200000000002</v>
      </c>
      <c r="K12" s="120"/>
      <c r="L12" s="124"/>
      <c r="M12" s="120">
        <v>-8.9999999999999993E-3</v>
      </c>
      <c r="N12" s="187">
        <v>5.1599999999999997E-3</v>
      </c>
      <c r="O12" s="124">
        <v>1.5908</v>
      </c>
      <c r="P12" s="124">
        <v>1.2918000000000001</v>
      </c>
      <c r="Q12" s="3">
        <v>109.21</v>
      </c>
      <c r="R12" s="2">
        <v>0</v>
      </c>
      <c r="S12" s="99">
        <v>18.919599999999999</v>
      </c>
      <c r="T12" s="124">
        <v>0</v>
      </c>
      <c r="U12" s="99">
        <f t="shared" si="0"/>
        <v>0</v>
      </c>
      <c r="V12" s="99">
        <f t="shared" si="1"/>
        <v>-8.9999999999999993E-3</v>
      </c>
      <c r="W12" s="188">
        <f t="shared" si="2"/>
        <v>5.1599999999999997E-3</v>
      </c>
      <c r="X12" s="99">
        <v>1.5908</v>
      </c>
      <c r="Y12" s="99">
        <v>1.2918000000000001</v>
      </c>
    </row>
    <row r="13" spans="1:25" x14ac:dyDescent="0.2">
      <c r="A13" s="5" t="s">
        <v>7</v>
      </c>
      <c r="B13" s="125">
        <v>1.05</v>
      </c>
      <c r="C13" s="6">
        <v>36000</v>
      </c>
      <c r="D13" s="6">
        <v>0</v>
      </c>
      <c r="E13" s="2">
        <v>117</v>
      </c>
      <c r="F13" s="4" t="s">
        <v>19</v>
      </c>
      <c r="G13" s="120">
        <v>106.68</v>
      </c>
      <c r="H13" s="77">
        <v>0</v>
      </c>
      <c r="I13" s="77">
        <v>0</v>
      </c>
      <c r="J13" s="124">
        <v>10.6761</v>
      </c>
      <c r="K13" s="120"/>
      <c r="L13" s="124"/>
      <c r="M13" s="120">
        <v>1.7999999999999999E-2</v>
      </c>
      <c r="N13" s="187">
        <v>1.1179999999999999E-2</v>
      </c>
      <c r="O13" s="124">
        <v>2.1349</v>
      </c>
      <c r="P13" s="124">
        <v>1.7284999999999999</v>
      </c>
      <c r="Q13" s="3">
        <v>108.5</v>
      </c>
      <c r="R13" s="2">
        <v>0</v>
      </c>
      <c r="S13" s="99">
        <v>10.8703</v>
      </c>
      <c r="T13" s="124">
        <v>0</v>
      </c>
      <c r="U13" s="99">
        <f t="shared" si="0"/>
        <v>0</v>
      </c>
      <c r="V13" s="99">
        <f t="shared" si="1"/>
        <v>1.7999999999999999E-2</v>
      </c>
      <c r="W13" s="188">
        <f t="shared" si="2"/>
        <v>1.1179999999999999E-2</v>
      </c>
      <c r="X13" s="99">
        <v>2.1349</v>
      </c>
      <c r="Y13" s="99">
        <v>1.7284999999999999</v>
      </c>
    </row>
    <row r="14" spans="1:25" x14ac:dyDescent="0.2">
      <c r="A14" s="7" t="s">
        <v>10</v>
      </c>
      <c r="B14" s="125">
        <v>1.0609999999999999</v>
      </c>
      <c r="C14" s="6">
        <v>2000</v>
      </c>
      <c r="D14" s="6">
        <v>0</v>
      </c>
      <c r="E14" s="2">
        <v>15</v>
      </c>
      <c r="F14" s="4" t="s">
        <v>19</v>
      </c>
      <c r="G14" s="120">
        <v>196.16</v>
      </c>
      <c r="H14" s="77">
        <v>0</v>
      </c>
      <c r="I14" s="77">
        <v>0</v>
      </c>
      <c r="J14" s="124">
        <v>11.4922</v>
      </c>
      <c r="K14" s="120"/>
      <c r="L14" s="124"/>
      <c r="M14" s="120">
        <v>1.0999999999999999E-2</v>
      </c>
      <c r="N14" s="187">
        <v>2.82E-3</v>
      </c>
      <c r="O14" s="124">
        <v>0.63949999999999996</v>
      </c>
      <c r="P14" s="124">
        <v>0.55430000000000001</v>
      </c>
      <c r="Q14" s="3">
        <v>196.16</v>
      </c>
      <c r="R14" s="2">
        <v>0</v>
      </c>
      <c r="S14" s="99">
        <v>12.169</v>
      </c>
      <c r="T14" s="124">
        <v>0</v>
      </c>
      <c r="U14" s="99">
        <f t="shared" si="0"/>
        <v>0</v>
      </c>
      <c r="V14" s="99">
        <f t="shared" si="1"/>
        <v>1.0999999999999999E-2</v>
      </c>
      <c r="W14" s="188">
        <f t="shared" si="2"/>
        <v>2.82E-3</v>
      </c>
      <c r="X14" s="99">
        <v>0.63949999999999996</v>
      </c>
      <c r="Y14" s="99">
        <v>0.55430000000000001</v>
      </c>
    </row>
    <row r="15" spans="1:25" x14ac:dyDescent="0.2">
      <c r="A15" s="7" t="s">
        <v>11</v>
      </c>
      <c r="B15" s="125">
        <v>1.034</v>
      </c>
      <c r="C15" s="6">
        <v>36000</v>
      </c>
      <c r="D15" s="6">
        <v>0</v>
      </c>
      <c r="E15" s="2">
        <v>117</v>
      </c>
      <c r="F15" s="4" t="s">
        <v>19</v>
      </c>
      <c r="G15" s="120">
        <v>1270.3699999999999</v>
      </c>
      <c r="H15" s="77">
        <v>0</v>
      </c>
      <c r="I15" s="77">
        <v>0</v>
      </c>
      <c r="J15" s="124">
        <v>1.4496644372303882</v>
      </c>
      <c r="K15" s="120"/>
      <c r="L15" s="124"/>
      <c r="M15" s="120">
        <v>3.819</v>
      </c>
      <c r="N15" s="187">
        <v>-0.13666999999999996</v>
      </c>
      <c r="O15" s="124">
        <v>3.5367000000000002</v>
      </c>
      <c r="P15" s="124">
        <v>2.6514000000000002</v>
      </c>
      <c r="Q15" s="3">
        <v>1300.23</v>
      </c>
      <c r="R15" s="2">
        <v>0</v>
      </c>
      <c r="S15" s="99">
        <v>1.491185317574055</v>
      </c>
      <c r="T15" s="124">
        <v>0</v>
      </c>
      <c r="U15" s="99">
        <f t="shared" si="0"/>
        <v>0</v>
      </c>
      <c r="V15" s="99">
        <f t="shared" si="1"/>
        <v>3.819</v>
      </c>
      <c r="W15" s="188">
        <f t="shared" si="2"/>
        <v>-0.13666999999999996</v>
      </c>
      <c r="X15" s="144">
        <v>3.5367000000000002</v>
      </c>
      <c r="Y15" s="144">
        <v>2.6514000000000002</v>
      </c>
    </row>
    <row r="16" spans="1:25" s="181" customFormat="1" x14ac:dyDescent="0.2">
      <c r="A16" s="7" t="s">
        <v>130</v>
      </c>
      <c r="B16" s="139">
        <v>1.0569999999999999</v>
      </c>
      <c r="C16" s="154">
        <v>750</v>
      </c>
      <c r="D16" s="154">
        <v>600</v>
      </c>
      <c r="E16" s="154"/>
      <c r="F16" s="146" t="s">
        <v>18</v>
      </c>
      <c r="G16" s="120">
        <v>30.78</v>
      </c>
      <c r="H16" s="154">
        <v>0</v>
      </c>
      <c r="I16" s="154">
        <v>0.79</v>
      </c>
      <c r="J16" s="124">
        <v>0</v>
      </c>
      <c r="K16" s="154"/>
      <c r="L16" s="154"/>
      <c r="M16" s="120">
        <v>0</v>
      </c>
      <c r="N16" s="187">
        <v>0</v>
      </c>
      <c r="O16" s="124">
        <v>7.3000000000000001E-3</v>
      </c>
      <c r="P16" s="124">
        <v>6.1999999999999998E-3</v>
      </c>
      <c r="Q16" s="3">
        <v>31.59</v>
      </c>
      <c r="R16" s="154">
        <v>0.79</v>
      </c>
      <c r="S16" s="144">
        <v>0</v>
      </c>
      <c r="T16" s="145">
        <v>0</v>
      </c>
      <c r="U16" s="99">
        <f t="shared" si="0"/>
        <v>0</v>
      </c>
      <c r="V16" s="99">
        <f t="shared" si="1"/>
        <v>0</v>
      </c>
      <c r="W16" s="188">
        <f t="shared" si="2"/>
        <v>0</v>
      </c>
      <c r="X16" s="144">
        <v>7.3000000000000001E-3</v>
      </c>
      <c r="Y16" s="144">
        <v>6.1999999999999998E-3</v>
      </c>
    </row>
    <row r="17" spans="1:25" s="181" customFormat="1" x14ac:dyDescent="0.2">
      <c r="A17" s="7" t="s">
        <v>131</v>
      </c>
      <c r="B17" s="139">
        <v>1.0569999999999999</v>
      </c>
      <c r="C17" s="154">
        <v>2000</v>
      </c>
      <c r="D17" s="154">
        <v>750</v>
      </c>
      <c r="E17" s="154"/>
      <c r="F17" s="146" t="s">
        <v>18</v>
      </c>
      <c r="G17" s="120">
        <v>30.26</v>
      </c>
      <c r="H17" s="154">
        <v>0</v>
      </c>
      <c r="I17" s="154">
        <v>0.79</v>
      </c>
      <c r="J17" s="124">
        <v>1.7399999999999999E-2</v>
      </c>
      <c r="K17" s="154"/>
      <c r="L17" s="154"/>
      <c r="M17" s="120">
        <v>0</v>
      </c>
      <c r="N17" s="187">
        <v>0</v>
      </c>
      <c r="O17" s="124">
        <v>5.5999999999999999E-3</v>
      </c>
      <c r="P17" s="124">
        <v>4.5999999999999999E-3</v>
      </c>
      <c r="Q17" s="3">
        <v>36.369999999999997</v>
      </c>
      <c r="R17" s="154">
        <v>0.79</v>
      </c>
      <c r="S17" s="144">
        <v>2.1000000000000001E-2</v>
      </c>
      <c r="T17" s="145">
        <v>0</v>
      </c>
      <c r="U17" s="99">
        <f t="shared" si="0"/>
        <v>0</v>
      </c>
      <c r="V17" s="99">
        <f t="shared" si="1"/>
        <v>0</v>
      </c>
      <c r="W17" s="188">
        <f t="shared" si="2"/>
        <v>0</v>
      </c>
      <c r="X17" s="144">
        <v>5.5999999999999999E-3</v>
      </c>
      <c r="Y17" s="144">
        <v>4.5999999999999999E-3</v>
      </c>
    </row>
    <row r="18" spans="1:25" s="181" customFormat="1" x14ac:dyDescent="0.2">
      <c r="A18" s="7" t="s">
        <v>132</v>
      </c>
      <c r="B18" s="139">
        <v>1.0465</v>
      </c>
      <c r="C18" s="145">
        <v>36000</v>
      </c>
      <c r="D18" s="154">
        <v>0</v>
      </c>
      <c r="E18" s="154">
        <v>117</v>
      </c>
      <c r="F18" s="146" t="s">
        <v>19</v>
      </c>
      <c r="G18" s="120">
        <v>207.78</v>
      </c>
      <c r="H18" s="154">
        <v>0</v>
      </c>
      <c r="I18" s="154">
        <v>0</v>
      </c>
      <c r="J18" s="124">
        <v>3.9915999999999996</v>
      </c>
      <c r="K18" s="154"/>
      <c r="L18" s="154"/>
      <c r="M18" s="120">
        <v>0</v>
      </c>
      <c r="N18" s="187">
        <v>0</v>
      </c>
      <c r="O18" s="124">
        <v>1.8612</v>
      </c>
      <c r="P18" s="124">
        <v>1.5062</v>
      </c>
      <c r="Q18" s="3">
        <v>283.62</v>
      </c>
      <c r="R18" s="154">
        <v>0</v>
      </c>
      <c r="S18" s="144">
        <v>5.2968000000000002</v>
      </c>
      <c r="T18" s="145">
        <v>0</v>
      </c>
      <c r="U18" s="99">
        <f t="shared" si="0"/>
        <v>0</v>
      </c>
      <c r="V18" s="99">
        <f t="shared" si="1"/>
        <v>0</v>
      </c>
      <c r="W18" s="188">
        <f t="shared" si="2"/>
        <v>0</v>
      </c>
      <c r="X18" s="144">
        <v>1.8612</v>
      </c>
      <c r="Y18" s="144">
        <v>1.5062</v>
      </c>
    </row>
    <row r="19" spans="1:25" s="181" customFormat="1" x14ac:dyDescent="0.2">
      <c r="A19" s="7" t="s">
        <v>119</v>
      </c>
      <c r="B19" s="139">
        <v>1.0667</v>
      </c>
      <c r="C19" s="145">
        <v>750</v>
      </c>
      <c r="D19" s="154">
        <v>600</v>
      </c>
      <c r="E19" s="154"/>
      <c r="F19" s="146" t="s">
        <v>18</v>
      </c>
      <c r="G19" s="120">
        <v>40.43</v>
      </c>
      <c r="H19" s="154">
        <v>0</v>
      </c>
      <c r="I19" s="154">
        <v>0.79</v>
      </c>
      <c r="J19" s="124">
        <v>0</v>
      </c>
      <c r="K19" s="154"/>
      <c r="L19" s="154"/>
      <c r="M19" s="120">
        <v>0</v>
      </c>
      <c r="N19" s="187">
        <v>0</v>
      </c>
      <c r="O19" s="124">
        <v>7.1000000000000004E-3</v>
      </c>
      <c r="P19" s="124">
        <v>6.0000000000000001E-3</v>
      </c>
      <c r="Q19" s="3">
        <v>41.49</v>
      </c>
      <c r="R19" s="154">
        <v>0.79</v>
      </c>
      <c r="S19" s="144">
        <v>0</v>
      </c>
      <c r="T19" s="145">
        <v>0</v>
      </c>
      <c r="U19" s="99">
        <f t="shared" si="0"/>
        <v>0</v>
      </c>
      <c r="V19" s="99">
        <f t="shared" si="1"/>
        <v>0</v>
      </c>
      <c r="W19" s="188">
        <f t="shared" si="2"/>
        <v>0</v>
      </c>
      <c r="X19" s="144">
        <v>7.1000000000000004E-3</v>
      </c>
      <c r="Y19" s="144">
        <v>6.0000000000000001E-3</v>
      </c>
    </row>
    <row r="20" spans="1:25" s="181" customFormat="1" x14ac:dyDescent="0.2">
      <c r="A20" s="7" t="s">
        <v>120</v>
      </c>
      <c r="B20" s="139">
        <v>1.0667</v>
      </c>
      <c r="C20" s="145">
        <v>2000</v>
      </c>
      <c r="D20" s="154">
        <v>750</v>
      </c>
      <c r="E20" s="154"/>
      <c r="F20" s="146" t="s">
        <v>18</v>
      </c>
      <c r="G20" s="120">
        <v>40.92</v>
      </c>
      <c r="H20" s="154">
        <v>0</v>
      </c>
      <c r="I20" s="154">
        <v>0.79</v>
      </c>
      <c r="J20" s="124">
        <v>1.8800000000000001E-2</v>
      </c>
      <c r="K20" s="154"/>
      <c r="L20" s="154"/>
      <c r="M20" s="120">
        <v>0</v>
      </c>
      <c r="N20" s="187">
        <v>0</v>
      </c>
      <c r="O20" s="124">
        <v>5.3E-3</v>
      </c>
      <c r="P20" s="124">
        <v>4.4000000000000003E-3</v>
      </c>
      <c r="Q20" s="3">
        <v>43.26</v>
      </c>
      <c r="R20" s="154">
        <v>0.79</v>
      </c>
      <c r="S20" s="144">
        <v>2.01E-2</v>
      </c>
      <c r="T20" s="145">
        <v>0</v>
      </c>
      <c r="U20" s="99">
        <f t="shared" si="0"/>
        <v>0</v>
      </c>
      <c r="V20" s="99">
        <f t="shared" si="1"/>
        <v>0</v>
      </c>
      <c r="W20" s="188">
        <f t="shared" si="2"/>
        <v>0</v>
      </c>
      <c r="X20" s="144">
        <v>5.3E-3</v>
      </c>
      <c r="Y20" s="144">
        <v>4.4000000000000003E-3</v>
      </c>
    </row>
    <row r="21" spans="1:25" s="181" customFormat="1" x14ac:dyDescent="0.2">
      <c r="A21" s="7" t="s">
        <v>121</v>
      </c>
      <c r="B21" s="139">
        <v>1.0563</v>
      </c>
      <c r="C21" s="145">
        <v>36000</v>
      </c>
      <c r="D21" s="154">
        <v>0</v>
      </c>
      <c r="E21" s="154">
        <v>117</v>
      </c>
      <c r="F21" s="146" t="s">
        <v>19</v>
      </c>
      <c r="G21" s="120">
        <v>206.23</v>
      </c>
      <c r="H21" s="154">
        <v>0</v>
      </c>
      <c r="I21" s="154">
        <v>0</v>
      </c>
      <c r="J21" s="124">
        <v>5.2489999999999997</v>
      </c>
      <c r="K21" s="154"/>
      <c r="L21" s="154"/>
      <c r="M21" s="120">
        <v>0</v>
      </c>
      <c r="N21" s="187">
        <v>0</v>
      </c>
      <c r="O21" s="124">
        <v>1.8483000000000001</v>
      </c>
      <c r="P21" s="124">
        <v>1.5101</v>
      </c>
      <c r="Q21" s="3">
        <v>252.41</v>
      </c>
      <c r="R21" s="154">
        <v>0</v>
      </c>
      <c r="S21" s="144">
        <v>6.4095000000000004</v>
      </c>
      <c r="T21" s="145">
        <v>0</v>
      </c>
      <c r="U21" s="99">
        <f t="shared" si="0"/>
        <v>0</v>
      </c>
      <c r="V21" s="99">
        <f t="shared" si="1"/>
        <v>0</v>
      </c>
      <c r="W21" s="188">
        <f t="shared" si="2"/>
        <v>0</v>
      </c>
      <c r="X21" s="144">
        <v>1.8483000000000001</v>
      </c>
      <c r="Y21" s="144">
        <v>1.5101</v>
      </c>
    </row>
    <row r="22" spans="1:25" x14ac:dyDescent="0.2">
      <c r="G22"/>
      <c r="H22"/>
      <c r="I22"/>
      <c r="J22"/>
      <c r="K22"/>
      <c r="L22"/>
      <c r="M22"/>
      <c r="N22"/>
      <c r="O22" s="67"/>
      <c r="P22" s="67"/>
    </row>
    <row r="23" spans="1:25" x14ac:dyDescent="0.2">
      <c r="G23"/>
      <c r="H23"/>
      <c r="I23"/>
      <c r="J23"/>
      <c r="K23"/>
      <c r="L23"/>
      <c r="M23"/>
      <c r="N23"/>
      <c r="O23" s="67"/>
      <c r="P23" s="67"/>
    </row>
    <row r="24" spans="1:25" x14ac:dyDescent="0.2">
      <c r="G24"/>
      <c r="H24"/>
      <c r="I24"/>
      <c r="J24"/>
      <c r="K24"/>
      <c r="L24"/>
      <c r="M24"/>
      <c r="N24"/>
      <c r="O24" s="67"/>
      <c r="P24" s="67"/>
    </row>
    <row r="25" spans="1:25" x14ac:dyDescent="0.2">
      <c r="G25"/>
      <c r="H25"/>
      <c r="I25"/>
      <c r="J25"/>
      <c r="K25"/>
      <c r="L25"/>
      <c r="M25"/>
      <c r="N25"/>
      <c r="O25" s="67"/>
      <c r="P25" s="67"/>
    </row>
    <row r="26" spans="1:25" x14ac:dyDescent="0.2">
      <c r="G26"/>
      <c r="H26"/>
      <c r="I26"/>
      <c r="J26"/>
      <c r="K26"/>
      <c r="L26"/>
      <c r="M26"/>
      <c r="N26"/>
      <c r="O26" s="67"/>
      <c r="P26" s="67"/>
    </row>
    <row r="27" spans="1:25" x14ac:dyDescent="0.2">
      <c r="G27"/>
      <c r="H27"/>
      <c r="I27"/>
      <c r="J27"/>
      <c r="K27"/>
      <c r="L27"/>
      <c r="M27"/>
      <c r="N27"/>
      <c r="O27" s="67"/>
      <c r="P27" s="67"/>
    </row>
    <row r="28" spans="1:25" x14ac:dyDescent="0.2">
      <c r="G28"/>
      <c r="H28"/>
      <c r="I28"/>
      <c r="J28"/>
      <c r="K28"/>
      <c r="L28"/>
      <c r="M28"/>
      <c r="N28"/>
      <c r="O28" s="67"/>
      <c r="P28" s="67"/>
    </row>
    <row r="29" spans="1:25" x14ac:dyDescent="0.2">
      <c r="G29"/>
      <c r="H29"/>
      <c r="I29"/>
      <c r="J29"/>
      <c r="K29"/>
      <c r="L29"/>
      <c r="M29"/>
      <c r="N29"/>
      <c r="O29" s="67"/>
      <c r="P29" s="67"/>
    </row>
    <row r="30" spans="1:25" x14ac:dyDescent="0.2">
      <c r="G30"/>
      <c r="H30"/>
      <c r="I30"/>
      <c r="J30"/>
      <c r="K30"/>
      <c r="L30"/>
      <c r="M30"/>
      <c r="N30"/>
      <c r="O30" s="67"/>
      <c r="P30" s="67"/>
    </row>
    <row r="31" spans="1:25" x14ac:dyDescent="0.2">
      <c r="G31"/>
      <c r="H31"/>
      <c r="I31"/>
      <c r="J31"/>
      <c r="K31"/>
      <c r="L31"/>
      <c r="M31"/>
      <c r="N31"/>
      <c r="O31" s="67"/>
      <c r="P31" s="67"/>
    </row>
  </sheetData>
  <pageMargins left="0.7" right="0.7" top="0.75" bottom="0.75" header="0.3" footer="0.3"/>
  <pageSetup paperSize="17" scale="69" orientation="landscape" r:id="rId1"/>
  <headerFooter>
    <oddHeader xml:space="preserve">&amp;RUpdated: 2017-06-07
EB-2017-0049
Exhibit H1-4-1
Attachment 5
</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4">
    <tabColor theme="1" tint="0.499984740745262"/>
    <pageSetUpPr fitToPage="1"/>
  </sheetPr>
  <dimension ref="A1:K68"/>
  <sheetViews>
    <sheetView tabSelected="1" topLeftCell="A6" zoomScaleNormal="100" zoomScaleSheetLayoutView="9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3"/>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205" t="s">
        <v>127</v>
      </c>
      <c r="B1" s="206"/>
      <c r="C1" s="206"/>
      <c r="D1" s="206"/>
      <c r="E1" s="206"/>
      <c r="F1" s="206"/>
      <c r="G1" s="206"/>
      <c r="H1" s="206"/>
      <c r="I1" s="206"/>
      <c r="J1" s="206"/>
      <c r="K1" s="207"/>
    </row>
    <row r="3" spans="1:11" x14ac:dyDescent="0.2">
      <c r="A3" s="12" t="s">
        <v>13</v>
      </c>
      <c r="B3" s="12" t="s">
        <v>1</v>
      </c>
    </row>
    <row r="4" spans="1:11" x14ac:dyDescent="0.2">
      <c r="A4" s="14" t="s">
        <v>62</v>
      </c>
      <c r="B4" s="78">
        <f>'Data for Bill Impacts_HONI Avg '!C4</f>
        <v>920</v>
      </c>
    </row>
    <row r="5" spans="1:11" x14ac:dyDescent="0.2">
      <c r="A5" s="14" t="s">
        <v>16</v>
      </c>
      <c r="B5" s="14">
        <f>VLOOKUP($B$3,'Data for Bill Impacts'!$A$3:$Y$15,5,0)</f>
        <v>0</v>
      </c>
    </row>
    <row r="6" spans="1:11" x14ac:dyDescent="0.2">
      <c r="A6" s="14" t="s">
        <v>20</v>
      </c>
      <c r="B6" s="14">
        <f>VLOOKUP($B$3,'Data for Bill Impacts'!$A$3:$Y$15,2,0)</f>
        <v>1.0760000000000001</v>
      </c>
    </row>
    <row r="7" spans="1:11" x14ac:dyDescent="0.2">
      <c r="A7" s="14" t="s">
        <v>15</v>
      </c>
      <c r="B7" s="14">
        <f>VLOOKUP($B$3,'Data for Bill Impacts'!$A$3:$Y$15,4,0)</f>
        <v>600</v>
      </c>
    </row>
    <row r="8" spans="1:11" x14ac:dyDescent="0.2">
      <c r="A8" s="14" t="s">
        <v>82</v>
      </c>
      <c r="B8" s="148">
        <f>B4*B6</f>
        <v>989.92000000000007</v>
      </c>
    </row>
    <row r="9" spans="1:11" x14ac:dyDescent="0.2">
      <c r="A9" s="14" t="s">
        <v>21</v>
      </c>
      <c r="B9" s="15" t="str">
        <f>VLOOKUP($B$3,'Data for Bill Impacts'!$A$3:$Y$15,6,0)</f>
        <v>kWh</v>
      </c>
    </row>
    <row r="10" spans="1:11" ht="13.5" thickBot="1" x14ac:dyDescent="0.25"/>
    <row r="11" spans="1:11" s="19" customFormat="1" ht="39" thickBot="1" x14ac:dyDescent="0.25">
      <c r="A11" s="16"/>
      <c r="B11" s="17" t="s">
        <v>22</v>
      </c>
      <c r="C11" s="17" t="s">
        <v>23</v>
      </c>
      <c r="D11" s="17" t="s">
        <v>24</v>
      </c>
      <c r="E11" s="17" t="s">
        <v>22</v>
      </c>
      <c r="F11" s="17" t="s">
        <v>25</v>
      </c>
      <c r="G11" s="17" t="s">
        <v>26</v>
      </c>
      <c r="H11" s="17" t="s">
        <v>27</v>
      </c>
      <c r="I11" s="17" t="s">
        <v>28</v>
      </c>
      <c r="J11" s="17" t="s">
        <v>29</v>
      </c>
      <c r="K11" s="18" t="s">
        <v>30</v>
      </c>
    </row>
    <row r="12" spans="1:11" x14ac:dyDescent="0.2">
      <c r="A12" s="100" t="s">
        <v>31</v>
      </c>
      <c r="B12" s="101">
        <f>IF(B4&gt;B7,B7,B4)</f>
        <v>600</v>
      </c>
      <c r="C12" s="102">
        <v>9.0999999999999998E-2</v>
      </c>
      <c r="D12" s="103">
        <f>B12*C12</f>
        <v>54.6</v>
      </c>
      <c r="E12" s="101">
        <f>B12</f>
        <v>600</v>
      </c>
      <c r="F12" s="102">
        <f>C12</f>
        <v>9.0999999999999998E-2</v>
      </c>
      <c r="G12" s="103">
        <f>E12*F12</f>
        <v>54.6</v>
      </c>
      <c r="H12" s="103">
        <f>G12-D12</f>
        <v>0</v>
      </c>
      <c r="I12" s="104">
        <f>IF(ISERROR(H12/ABS(D12)),"N/A",(H12/ABS(D12)))</f>
        <v>0</v>
      </c>
      <c r="J12" s="104">
        <f>G12/$G$46</f>
        <v>0.28899097334471752</v>
      </c>
      <c r="K12" s="105"/>
    </row>
    <row r="13" spans="1:11" x14ac:dyDescent="0.2">
      <c r="A13" s="106" t="s">
        <v>32</v>
      </c>
      <c r="B13" s="72">
        <f>IF(B4&gt;B7,(B4)-B7,0)</f>
        <v>320</v>
      </c>
      <c r="C13" s="20">
        <v>0.106</v>
      </c>
      <c r="D13" s="21">
        <f>B13*C13</f>
        <v>33.92</v>
      </c>
      <c r="E13" s="72">
        <f t="shared" ref="E13" si="0">B13</f>
        <v>320</v>
      </c>
      <c r="F13" s="20">
        <f>C13</f>
        <v>0.106</v>
      </c>
      <c r="G13" s="21">
        <f>E13*F13</f>
        <v>33.92</v>
      </c>
      <c r="H13" s="21">
        <f t="shared" ref="H13:H46" si="1">G13-D13</f>
        <v>0</v>
      </c>
      <c r="I13" s="22">
        <f t="shared" ref="I13:I51" si="2">IF(ISERROR(H13/ABS(D13)),"N/A",(H13/ABS(D13)))</f>
        <v>0</v>
      </c>
      <c r="J13" s="22">
        <f>G13/$G$46</f>
        <v>0.17953431897166333</v>
      </c>
      <c r="K13" s="107"/>
    </row>
    <row r="14" spans="1:11" s="1" customFormat="1" x14ac:dyDescent="0.2">
      <c r="A14" s="45" t="s">
        <v>33</v>
      </c>
      <c r="B14" s="23"/>
      <c r="C14" s="24"/>
      <c r="D14" s="24">
        <f>SUM(D12:D13)</f>
        <v>88.52000000000001</v>
      </c>
      <c r="E14" s="75"/>
      <c r="F14" s="24"/>
      <c r="G14" s="24">
        <f>SUM(G12:G13)</f>
        <v>88.52000000000001</v>
      </c>
      <c r="H14" s="24">
        <f t="shared" si="1"/>
        <v>0</v>
      </c>
      <c r="I14" s="26">
        <f t="shared" si="2"/>
        <v>0</v>
      </c>
      <c r="J14" s="26">
        <f>G14/$G$46</f>
        <v>0.4685252923163809</v>
      </c>
      <c r="K14" s="107"/>
    </row>
    <row r="15" spans="1:11" s="1" customFormat="1" x14ac:dyDescent="0.2">
      <c r="A15" s="108" t="s">
        <v>34</v>
      </c>
      <c r="B15" s="74">
        <f>B4*0.65</f>
        <v>598</v>
      </c>
      <c r="C15" s="27">
        <v>7.6999999999999999E-2</v>
      </c>
      <c r="D15" s="21">
        <f>B15*C15</f>
        <v>46.045999999999999</v>
      </c>
      <c r="E15" s="72">
        <f t="shared" ref="E15:F17" si="3">B15</f>
        <v>598</v>
      </c>
      <c r="F15" s="27">
        <f t="shared" si="3"/>
        <v>7.6999999999999999E-2</v>
      </c>
      <c r="G15" s="21">
        <f>E15*F15</f>
        <v>46.045999999999999</v>
      </c>
      <c r="H15" s="21">
        <f t="shared" si="1"/>
        <v>0</v>
      </c>
      <c r="I15" s="22">
        <f t="shared" si="2"/>
        <v>0</v>
      </c>
      <c r="J15" s="22"/>
      <c r="K15" s="107">
        <f t="shared" ref="K15:K26" si="4">G15/$G$51</f>
        <v>0.24289837812476911</v>
      </c>
    </row>
    <row r="16" spans="1:11" s="1" customFormat="1" x14ac:dyDescent="0.2">
      <c r="A16" s="108" t="s">
        <v>35</v>
      </c>
      <c r="B16" s="74">
        <f>B4*0.17</f>
        <v>156.4</v>
      </c>
      <c r="C16" s="27">
        <v>0.113</v>
      </c>
      <c r="D16" s="21">
        <f>B16*C16</f>
        <v>17.673200000000001</v>
      </c>
      <c r="E16" s="72">
        <f t="shared" si="3"/>
        <v>156.4</v>
      </c>
      <c r="F16" s="27">
        <f t="shared" si="3"/>
        <v>0.113</v>
      </c>
      <c r="G16" s="21">
        <f>E16*F16</f>
        <v>17.673200000000001</v>
      </c>
      <c r="H16" s="21">
        <f t="shared" si="1"/>
        <v>0</v>
      </c>
      <c r="I16" s="22">
        <f t="shared" si="2"/>
        <v>0</v>
      </c>
      <c r="J16" s="22"/>
      <c r="K16" s="107">
        <f t="shared" si="4"/>
        <v>9.3228328546989314E-2</v>
      </c>
    </row>
    <row r="17" spans="1:11" s="1" customFormat="1" x14ac:dyDescent="0.2">
      <c r="A17" s="108" t="s">
        <v>36</v>
      </c>
      <c r="B17" s="74">
        <f>B4*0.18</f>
        <v>165.6</v>
      </c>
      <c r="C17" s="27">
        <v>0.157</v>
      </c>
      <c r="D17" s="21">
        <f>B17*C17</f>
        <v>25.999199999999998</v>
      </c>
      <c r="E17" s="72">
        <f t="shared" si="3"/>
        <v>165.6</v>
      </c>
      <c r="F17" s="27">
        <f t="shared" si="3"/>
        <v>0.157</v>
      </c>
      <c r="G17" s="21">
        <f>E17*F17</f>
        <v>25.999199999999998</v>
      </c>
      <c r="H17" s="21">
        <f t="shared" si="1"/>
        <v>0</v>
      </c>
      <c r="I17" s="22">
        <f t="shared" si="2"/>
        <v>0</v>
      </c>
      <c r="J17" s="22"/>
      <c r="K17" s="107">
        <f t="shared" si="4"/>
        <v>0.13714901430181767</v>
      </c>
    </row>
    <row r="18" spans="1:11" s="1" customFormat="1" x14ac:dyDescent="0.2">
      <c r="A18" s="60" t="s">
        <v>37</v>
      </c>
      <c r="B18" s="28"/>
      <c r="C18" s="29"/>
      <c r="D18" s="29">
        <f>SUM(D15:D17)</f>
        <v>89.718400000000003</v>
      </c>
      <c r="E18" s="76"/>
      <c r="F18" s="29"/>
      <c r="G18" s="29">
        <f>SUM(G15:G17)</f>
        <v>89.718400000000003</v>
      </c>
      <c r="H18" s="30">
        <f t="shared" si="1"/>
        <v>0</v>
      </c>
      <c r="I18" s="31">
        <f t="shared" si="2"/>
        <v>0</v>
      </c>
      <c r="J18" s="32">
        <f t="shared" ref="J18:J23" si="5">G18/$G$46</f>
        <v>0.47486827368004952</v>
      </c>
      <c r="K18" s="61">
        <f t="shared" si="4"/>
        <v>0.47327572097357612</v>
      </c>
    </row>
    <row r="19" spans="1:11" x14ac:dyDescent="0.2">
      <c r="A19" s="106" t="s">
        <v>38</v>
      </c>
      <c r="B19" s="72">
        <v>1</v>
      </c>
      <c r="C19" s="77">
        <f>VLOOKUP($B$3,'Data for Bill Impacts'!$A$3:$Y$15,7,0)</f>
        <v>52.31</v>
      </c>
      <c r="D19" s="21">
        <f>B19*C19</f>
        <v>52.31</v>
      </c>
      <c r="E19" s="72">
        <f t="shared" ref="E19:E41" si="6">B19</f>
        <v>1</v>
      </c>
      <c r="F19" s="77">
        <f>VLOOKUP($B$3,'Data for Bill Impacts'!$A$3:$Y$15,17,0)</f>
        <v>58.26</v>
      </c>
      <c r="G19" s="21">
        <f>E19*F19</f>
        <v>58.26</v>
      </c>
      <c r="H19" s="21">
        <f t="shared" si="1"/>
        <v>5.9499999999999957</v>
      </c>
      <c r="I19" s="22">
        <f t="shared" si="2"/>
        <v>0.11374498183903643</v>
      </c>
      <c r="J19" s="22">
        <f t="shared" si="5"/>
        <v>0.30836289573375897</v>
      </c>
      <c r="K19" s="107">
        <f t="shared" si="4"/>
        <v>0.30732874754699752</v>
      </c>
    </row>
    <row r="20" spans="1:11" hidden="1" x14ac:dyDescent="0.2">
      <c r="A20" s="106" t="s">
        <v>83</v>
      </c>
      <c r="B20" s="72">
        <v>1</v>
      </c>
      <c r="C20" s="77">
        <f>VLOOKUP($B$3,'Data for Bill Impacts'!$A$3:$Y$15,8,0)</f>
        <v>0</v>
      </c>
      <c r="D20" s="21">
        <f>B20*C20</f>
        <v>0</v>
      </c>
      <c r="E20" s="72">
        <f t="shared" si="6"/>
        <v>1</v>
      </c>
      <c r="F20" s="77">
        <v>0</v>
      </c>
      <c r="G20" s="21">
        <f t="shared" ref="G20:G22" si="7">E20*F20</f>
        <v>0</v>
      </c>
      <c r="H20" s="21">
        <f t="shared" si="1"/>
        <v>0</v>
      </c>
      <c r="I20" s="22" t="str">
        <f t="shared" si="2"/>
        <v>N/A</v>
      </c>
      <c r="J20" s="22">
        <f t="shared" si="5"/>
        <v>0</v>
      </c>
      <c r="K20" s="107">
        <f t="shared" si="4"/>
        <v>0</v>
      </c>
    </row>
    <row r="21" spans="1:11" hidden="1" x14ac:dyDescent="0.2">
      <c r="A21" s="106" t="s">
        <v>115</v>
      </c>
      <c r="B21" s="72">
        <v>1</v>
      </c>
      <c r="C21" s="77">
        <f>VLOOKUP($B$3,'Data for Bill Impacts'!$A$3:$Y$15,11,0)</f>
        <v>0</v>
      </c>
      <c r="D21" s="21">
        <f t="shared" ref="D21:D22" si="8">B21*C21</f>
        <v>0</v>
      </c>
      <c r="E21" s="72">
        <f t="shared" si="6"/>
        <v>1</v>
      </c>
      <c r="F21" s="120">
        <f>VLOOKUP($B$3,'Data for Bill Impacts'!$A$3:$Y$15,12,0)</f>
        <v>0</v>
      </c>
      <c r="G21" s="21">
        <f t="shared" si="7"/>
        <v>0</v>
      </c>
      <c r="H21" s="21">
        <f t="shared" si="1"/>
        <v>0</v>
      </c>
      <c r="I21" s="22" t="str">
        <f t="shared" si="2"/>
        <v>N/A</v>
      </c>
      <c r="J21" s="22">
        <f t="shared" si="5"/>
        <v>0</v>
      </c>
      <c r="K21" s="107">
        <f t="shared" si="4"/>
        <v>0</v>
      </c>
    </row>
    <row r="22" spans="1:11" x14ac:dyDescent="0.2">
      <c r="A22" s="106" t="s">
        <v>85</v>
      </c>
      <c r="B22" s="72">
        <v>1</v>
      </c>
      <c r="C22" s="120">
        <f>VLOOKUP($B$3,'Data for Bill Impacts'!$A$3:$Y$15,13,0)</f>
        <v>4.0000000000000001E-3</v>
      </c>
      <c r="D22" s="21">
        <f t="shared" si="8"/>
        <v>4.0000000000000001E-3</v>
      </c>
      <c r="E22" s="72">
        <f t="shared" si="6"/>
        <v>1</v>
      </c>
      <c r="F22" s="120">
        <f>VLOOKUP($B$3,'Data for Bill Impacts'!$A$3:$Y$15,22,0)</f>
        <v>4.0000000000000001E-3</v>
      </c>
      <c r="G22" s="21">
        <f t="shared" si="7"/>
        <v>4.0000000000000001E-3</v>
      </c>
      <c r="H22" s="21">
        <f t="shared" si="1"/>
        <v>0</v>
      </c>
      <c r="I22" s="22">
        <f t="shared" si="2"/>
        <v>0</v>
      </c>
      <c r="J22" s="22">
        <f t="shared" si="5"/>
        <v>2.1171499878733883E-5</v>
      </c>
      <c r="K22" s="107">
        <f t="shared" si="4"/>
        <v>2.1100497600205802E-5</v>
      </c>
    </row>
    <row r="23" spans="1:11" x14ac:dyDescent="0.2">
      <c r="A23" s="106" t="s">
        <v>39</v>
      </c>
      <c r="B23" s="72">
        <f>IF($B$9="kWh",$B$4,$B$5)</f>
        <v>920</v>
      </c>
      <c r="C23" s="77">
        <f>VLOOKUP($B$3,'Data for Bill Impacts'!$A$3:$Y$15,10,0)</f>
        <v>1.1599999999999999E-2</v>
      </c>
      <c r="D23" s="21">
        <f>B23*C23</f>
        <v>10.671999999999999</v>
      </c>
      <c r="E23" s="72">
        <f t="shared" si="6"/>
        <v>920</v>
      </c>
      <c r="F23" s="77">
        <f>VLOOKUP($B$3,'Data for Bill Impacts'!$A$3:$Y$15,19,0)</f>
        <v>6.6E-3</v>
      </c>
      <c r="G23" s="21">
        <f>E23*F23</f>
        <v>6.0720000000000001</v>
      </c>
      <c r="H23" s="21">
        <f t="shared" si="1"/>
        <v>-4.5999999999999988</v>
      </c>
      <c r="I23" s="22">
        <f t="shared" si="2"/>
        <v>-0.43103448275862061</v>
      </c>
      <c r="J23" s="22">
        <f t="shared" si="5"/>
        <v>3.2138336815918031E-2</v>
      </c>
      <c r="K23" s="107">
        <f t="shared" si="4"/>
        <v>3.2030555357112411E-2</v>
      </c>
    </row>
    <row r="24" spans="1:11" x14ac:dyDescent="0.2">
      <c r="A24" s="106" t="s">
        <v>129</v>
      </c>
      <c r="B24" s="72">
        <f>IF($B$9="kWh",$B$4,$B$5)</f>
        <v>920</v>
      </c>
      <c r="C24" s="124">
        <f>VLOOKUP($B$3,'Data for Bill Impacts'!$A$3:$Y$15,14,0)</f>
        <v>2.0000000000000002E-5</v>
      </c>
      <c r="D24" s="21">
        <f>B24*C24</f>
        <v>1.8400000000000003E-2</v>
      </c>
      <c r="E24" s="72">
        <f t="shared" si="6"/>
        <v>920</v>
      </c>
      <c r="F24" s="124">
        <f>VLOOKUP($B$3,'Data for Bill Impacts'!$A$3:$Y$15,23,0)</f>
        <v>2.0000000000000002E-5</v>
      </c>
      <c r="G24" s="21">
        <f>E24*F24</f>
        <v>1.8400000000000003E-2</v>
      </c>
      <c r="H24" s="21">
        <f t="shared" si="1"/>
        <v>0</v>
      </c>
      <c r="I24" s="22">
        <f t="shared" si="2"/>
        <v>0</v>
      </c>
      <c r="J24" s="22">
        <f t="shared" ref="J24" si="9">G24/$G$46</f>
        <v>9.7388899442175873E-5</v>
      </c>
      <c r="K24" s="107">
        <f t="shared" si="4"/>
        <v>9.706228896094671E-5</v>
      </c>
    </row>
    <row r="25" spans="1:11" s="1" customFormat="1" x14ac:dyDescent="0.2">
      <c r="A25" s="109" t="s">
        <v>72</v>
      </c>
      <c r="B25" s="73"/>
      <c r="C25" s="34"/>
      <c r="D25" s="34">
        <f>SUM(D19:D24)</f>
        <v>63.004399999999997</v>
      </c>
      <c r="E25" s="72"/>
      <c r="F25" s="34"/>
      <c r="G25" s="34">
        <f>SUM(G19:G24)</f>
        <v>64.354399999999998</v>
      </c>
      <c r="H25" s="34">
        <f t="shared" si="1"/>
        <v>1.3500000000000014</v>
      </c>
      <c r="I25" s="35">
        <f t="shared" si="2"/>
        <v>2.1427074934449047E-2</v>
      </c>
      <c r="J25" s="35">
        <f>G25/$G$46</f>
        <v>0.34061979294899791</v>
      </c>
      <c r="K25" s="110">
        <f t="shared" si="4"/>
        <v>0.33947746569067105</v>
      </c>
    </row>
    <row r="26" spans="1:11" s="1" customFormat="1" x14ac:dyDescent="0.2">
      <c r="A26" s="118" t="s">
        <v>73</v>
      </c>
      <c r="B26" s="119">
        <v>1</v>
      </c>
      <c r="C26" s="77">
        <f>VLOOKUP($B$3,'Data for Bill Impacts'!$A$3:$Y$15,9,0)</f>
        <v>0.79</v>
      </c>
      <c r="D26" s="21">
        <f>B26*C26</f>
        <v>0.79</v>
      </c>
      <c r="E26" s="72">
        <v>1</v>
      </c>
      <c r="F26" s="77">
        <f>VLOOKUP($B$3,'Data for Bill Impacts'!$A$3:$Y$15,18,0)</f>
        <v>0.79</v>
      </c>
      <c r="G26" s="21">
        <f>E26*F26</f>
        <v>0.79</v>
      </c>
      <c r="H26" s="21">
        <f t="shared" si="1"/>
        <v>0</v>
      </c>
      <c r="I26" s="22">
        <f t="shared" si="2"/>
        <v>0</v>
      </c>
      <c r="J26" s="22">
        <f>G26/$G$46</f>
        <v>4.1813712260499424E-3</v>
      </c>
      <c r="K26" s="107">
        <f t="shared" si="4"/>
        <v>4.1673482760406465E-3</v>
      </c>
    </row>
    <row r="27" spans="1:11" s="1" customFormat="1" x14ac:dyDescent="0.2">
      <c r="A27" s="118" t="s">
        <v>75</v>
      </c>
      <c r="B27" s="119">
        <f>B8-B4</f>
        <v>69.920000000000073</v>
      </c>
      <c r="C27" s="186">
        <f>IF(B4&gt;B7,C13,C12)</f>
        <v>0.106</v>
      </c>
      <c r="D27" s="21">
        <f>B27*C27</f>
        <v>7.4115200000000074</v>
      </c>
      <c r="E27" s="72">
        <f>B27</f>
        <v>69.920000000000073</v>
      </c>
      <c r="F27" s="186">
        <f>C27</f>
        <v>0.106</v>
      </c>
      <c r="G27" s="21">
        <f>E27*F27</f>
        <v>7.4115200000000074</v>
      </c>
      <c r="H27" s="21">
        <f t="shared" si="1"/>
        <v>0</v>
      </c>
      <c r="I27" s="22">
        <f t="shared" si="2"/>
        <v>0</v>
      </c>
      <c r="J27" s="22">
        <f t="shared" ref="J27:J46" si="10">G27/$G$46</f>
        <v>3.9228248695308478E-2</v>
      </c>
      <c r="K27" s="107">
        <f t="shared" ref="K27:K41" si="11">G27/$G$51</f>
        <v>3.9096689993469366E-2</v>
      </c>
    </row>
    <row r="28" spans="1:11" s="1" customFormat="1" x14ac:dyDescent="0.2">
      <c r="A28" s="118" t="s">
        <v>74</v>
      </c>
      <c r="B28" s="119">
        <f>B8-B4</f>
        <v>69.920000000000073</v>
      </c>
      <c r="C28" s="186">
        <f>0.65*C15+0.17*C16+0.18*C17</f>
        <v>9.7519999999999996E-2</v>
      </c>
      <c r="D28" s="21">
        <f>B28*C28</f>
        <v>6.8185984000000071</v>
      </c>
      <c r="E28" s="72">
        <f>B28</f>
        <v>69.920000000000073</v>
      </c>
      <c r="F28" s="186">
        <f>C28</f>
        <v>9.7519999999999996E-2</v>
      </c>
      <c r="G28" s="21">
        <f>E28*F28</f>
        <v>6.8185984000000071</v>
      </c>
      <c r="H28" s="21">
        <f t="shared" si="1"/>
        <v>0</v>
      </c>
      <c r="I28" s="22">
        <f t="shared" si="2"/>
        <v>0</v>
      </c>
      <c r="J28" s="22">
        <f t="shared" si="10"/>
        <v>3.6089988799683802E-2</v>
      </c>
      <c r="K28" s="107">
        <f t="shared" si="11"/>
        <v>3.5968954793991821E-2</v>
      </c>
    </row>
    <row r="29" spans="1:11" s="1" customFormat="1" x14ac:dyDescent="0.2">
      <c r="A29" s="109" t="s">
        <v>78</v>
      </c>
      <c r="B29" s="73"/>
      <c r="C29" s="34"/>
      <c r="D29" s="34">
        <f>SUM(D25,D26:D27)</f>
        <v>71.205920000000006</v>
      </c>
      <c r="E29" s="72"/>
      <c r="F29" s="34"/>
      <c r="G29" s="34">
        <f>SUM(G25,G26:G27)</f>
        <v>72.555920000000015</v>
      </c>
      <c r="H29" s="34">
        <f t="shared" si="1"/>
        <v>1.3500000000000085</v>
      </c>
      <c r="I29" s="35">
        <f t="shared" si="2"/>
        <v>1.8959097782881091E-2</v>
      </c>
      <c r="J29" s="35">
        <f t="shared" si="10"/>
        <v>0.38402941287035641</v>
      </c>
      <c r="K29" s="110">
        <f t="shared" si="11"/>
        <v>0.38274150396018114</v>
      </c>
    </row>
    <row r="30" spans="1:11" s="1" customFormat="1" x14ac:dyDescent="0.2">
      <c r="A30" s="109" t="s">
        <v>77</v>
      </c>
      <c r="B30" s="73"/>
      <c r="C30" s="34"/>
      <c r="D30" s="34">
        <f>SUM(D25,D26,D28)</f>
        <v>70.612998400000009</v>
      </c>
      <c r="E30" s="72"/>
      <c r="F30" s="34"/>
      <c r="G30" s="34">
        <f>SUM(G25,G26,G28)</f>
        <v>71.962998400000018</v>
      </c>
      <c r="H30" s="34">
        <f t="shared" si="1"/>
        <v>1.3500000000000085</v>
      </c>
      <c r="I30" s="35">
        <f t="shared" si="2"/>
        <v>1.911829309885258E-2</v>
      </c>
      <c r="J30" s="35">
        <f t="shared" si="10"/>
        <v>0.38089115297473175</v>
      </c>
      <c r="K30" s="110">
        <f t="shared" si="11"/>
        <v>0.37961376876070363</v>
      </c>
    </row>
    <row r="31" spans="1:11" x14ac:dyDescent="0.2">
      <c r="A31" s="106" t="s">
        <v>40</v>
      </c>
      <c r="B31" s="72">
        <f>B8</f>
        <v>989.92000000000007</v>
      </c>
      <c r="C31" s="124">
        <f>VLOOKUP($B$3,'Data for Bill Impacts'!$A$3:$Y$15,15,0)</f>
        <v>7.1999999999999998E-3</v>
      </c>
      <c r="D31" s="21">
        <f>B31*C31</f>
        <v>7.1274240000000004</v>
      </c>
      <c r="E31" s="72">
        <f t="shared" si="6"/>
        <v>989.92000000000007</v>
      </c>
      <c r="F31" s="77">
        <f>VLOOKUP($B$3,'Data for Bill Impacts'!$A$3:$Y$15,24,0)</f>
        <v>7.1999999999999998E-3</v>
      </c>
      <c r="G31" s="21">
        <f>E31*F31</f>
        <v>7.1274240000000004</v>
      </c>
      <c r="H31" s="21">
        <f t="shared" si="1"/>
        <v>0</v>
      </c>
      <c r="I31" s="22">
        <f t="shared" si="2"/>
        <v>0</v>
      </c>
      <c r="J31" s="22">
        <f t="shared" si="10"/>
        <v>3.7724564087921242E-2</v>
      </c>
      <c r="K31" s="107">
        <f t="shared" si="11"/>
        <v>3.7598048251912312E-2</v>
      </c>
    </row>
    <row r="32" spans="1:11" x14ac:dyDescent="0.2">
      <c r="A32" s="106" t="s">
        <v>41</v>
      </c>
      <c r="B32" s="72">
        <f>B8</f>
        <v>989.92000000000007</v>
      </c>
      <c r="C32" s="124">
        <f>VLOOKUP($B$3,'Data for Bill Impacts'!$A$3:$Y$15,16,0)</f>
        <v>5.8999999999999999E-3</v>
      </c>
      <c r="D32" s="21">
        <f>B32*C32</f>
        <v>5.8405279999999999</v>
      </c>
      <c r="E32" s="72">
        <f t="shared" si="6"/>
        <v>989.92000000000007</v>
      </c>
      <c r="F32" s="77">
        <f>VLOOKUP($B$3,'Data for Bill Impacts'!$A$3:$Y$15,25,0)</f>
        <v>5.8999999999999999E-3</v>
      </c>
      <c r="G32" s="21">
        <f>E32*F32</f>
        <v>5.8405279999999999</v>
      </c>
      <c r="H32" s="21">
        <f t="shared" si="1"/>
        <v>0</v>
      </c>
      <c r="I32" s="22">
        <f t="shared" si="2"/>
        <v>0</v>
      </c>
      <c r="J32" s="22">
        <f t="shared" si="10"/>
        <v>3.091318446093546E-2</v>
      </c>
      <c r="K32" s="107">
        <f t="shared" si="11"/>
        <v>3.08095117619837E-2</v>
      </c>
    </row>
    <row r="33" spans="1:11" s="1" customFormat="1" x14ac:dyDescent="0.2">
      <c r="A33" s="109" t="s">
        <v>76</v>
      </c>
      <c r="B33" s="73"/>
      <c r="C33" s="34"/>
      <c r="D33" s="34">
        <f>SUM(D31:D32)</f>
        <v>12.967952</v>
      </c>
      <c r="E33" s="72"/>
      <c r="F33" s="34"/>
      <c r="G33" s="34">
        <f>SUM(G31:G32)</f>
        <v>12.967952</v>
      </c>
      <c r="H33" s="34">
        <f t="shared" si="1"/>
        <v>0</v>
      </c>
      <c r="I33" s="35">
        <f t="shared" si="2"/>
        <v>0</v>
      </c>
      <c r="J33" s="35">
        <f t="shared" si="10"/>
        <v>6.8637748548856709E-2</v>
      </c>
      <c r="K33" s="110">
        <f t="shared" si="11"/>
        <v>6.8407560013896015E-2</v>
      </c>
    </row>
    <row r="34" spans="1:11" s="1" customFormat="1" x14ac:dyDescent="0.2">
      <c r="A34" s="109" t="s">
        <v>93</v>
      </c>
      <c r="B34" s="73"/>
      <c r="C34" s="34"/>
      <c r="D34" s="34">
        <f>D29+D33</f>
        <v>84.173872000000003</v>
      </c>
      <c r="E34" s="72"/>
      <c r="F34" s="34"/>
      <c r="G34" s="34">
        <f>G29+G33</f>
        <v>85.523872000000011</v>
      </c>
      <c r="H34" s="34">
        <f t="shared" si="1"/>
        <v>1.3500000000000085</v>
      </c>
      <c r="I34" s="35">
        <f t="shared" si="2"/>
        <v>1.6038230960790403E-2</v>
      </c>
      <c r="J34" s="35">
        <f t="shared" si="10"/>
        <v>0.45266716141921309</v>
      </c>
      <c r="K34" s="110">
        <f t="shared" si="11"/>
        <v>0.45114906397407711</v>
      </c>
    </row>
    <row r="35" spans="1:11" s="1" customFormat="1" x14ac:dyDescent="0.2">
      <c r="A35" s="109" t="s">
        <v>94</v>
      </c>
      <c r="B35" s="73"/>
      <c r="C35" s="34"/>
      <c r="D35" s="34">
        <f>D30+D33</f>
        <v>83.580950400000006</v>
      </c>
      <c r="E35" s="72"/>
      <c r="F35" s="34"/>
      <c r="G35" s="34">
        <f>G30+G33</f>
        <v>84.930950400000015</v>
      </c>
      <c r="H35" s="34">
        <f t="shared" si="1"/>
        <v>1.3500000000000085</v>
      </c>
      <c r="I35" s="35">
        <f t="shared" si="2"/>
        <v>1.6152005852281007E-2</v>
      </c>
      <c r="J35" s="35">
        <f t="shared" si="10"/>
        <v>0.44952890152358843</v>
      </c>
      <c r="K35" s="110">
        <f t="shared" si="11"/>
        <v>0.4480213287745996</v>
      </c>
    </row>
    <row r="36" spans="1:11" x14ac:dyDescent="0.2">
      <c r="A36" s="106" t="s">
        <v>42</v>
      </c>
      <c r="B36" s="72">
        <f>B8</f>
        <v>989.92000000000007</v>
      </c>
      <c r="C36" s="33">
        <v>3.5999999999999999E-3</v>
      </c>
      <c r="D36" s="21">
        <f>B36*C36</f>
        <v>3.5637120000000002</v>
      </c>
      <c r="E36" s="72">
        <f t="shared" si="6"/>
        <v>989.92000000000007</v>
      </c>
      <c r="F36" s="33">
        <v>3.5999999999999999E-3</v>
      </c>
      <c r="G36" s="21">
        <f>E36*F36</f>
        <v>3.5637120000000002</v>
      </c>
      <c r="H36" s="21">
        <f t="shared" si="1"/>
        <v>0</v>
      </c>
      <c r="I36" s="22">
        <f t="shared" si="2"/>
        <v>0</v>
      </c>
      <c r="J36" s="22">
        <f t="shared" si="10"/>
        <v>1.8862282043960621E-2</v>
      </c>
      <c r="K36" s="107">
        <f t="shared" si="11"/>
        <v>1.8799024125956156E-2</v>
      </c>
    </row>
    <row r="37" spans="1:11" x14ac:dyDescent="0.2">
      <c r="A37" s="106" t="s">
        <v>43</v>
      </c>
      <c r="B37" s="72">
        <f>B8</f>
        <v>989.92000000000007</v>
      </c>
      <c r="C37" s="33">
        <v>2.0999999999999999E-3</v>
      </c>
      <c r="D37" s="21">
        <f>B37*C37</f>
        <v>2.0788320000000002</v>
      </c>
      <c r="E37" s="72">
        <f t="shared" si="6"/>
        <v>989.92000000000007</v>
      </c>
      <c r="F37" s="33">
        <v>2.0999999999999999E-3</v>
      </c>
      <c r="G37" s="21">
        <f>E37*F37</f>
        <v>2.0788320000000002</v>
      </c>
      <c r="H37" s="21">
        <f>G37-D37</f>
        <v>0</v>
      </c>
      <c r="I37" s="22">
        <f t="shared" si="2"/>
        <v>0</v>
      </c>
      <c r="J37" s="22">
        <f t="shared" si="10"/>
        <v>1.1002997858977031E-2</v>
      </c>
      <c r="K37" s="107">
        <f t="shared" si="11"/>
        <v>1.0966097406807759E-2</v>
      </c>
    </row>
    <row r="38" spans="1:11" x14ac:dyDescent="0.2">
      <c r="A38" s="106" t="s">
        <v>99</v>
      </c>
      <c r="B38" s="72">
        <f>B8</f>
        <v>989.92000000000007</v>
      </c>
      <c r="C38" s="33">
        <v>0</v>
      </c>
      <c r="D38" s="21">
        <f>B38*C38</f>
        <v>0</v>
      </c>
      <c r="E38" s="72">
        <f t="shared" si="6"/>
        <v>989.92000000000007</v>
      </c>
      <c r="F38" s="33">
        <v>0</v>
      </c>
      <c r="G38" s="21">
        <f>E38*F38</f>
        <v>0</v>
      </c>
      <c r="H38" s="21">
        <f>G38-D38</f>
        <v>0</v>
      </c>
      <c r="I38" s="22" t="str">
        <f t="shared" si="2"/>
        <v>N/A</v>
      </c>
      <c r="J38" s="22">
        <f t="shared" si="10"/>
        <v>0</v>
      </c>
      <c r="K38" s="107">
        <f t="shared" si="11"/>
        <v>0</v>
      </c>
    </row>
    <row r="39" spans="1:11" x14ac:dyDescent="0.2">
      <c r="A39" s="106" t="s">
        <v>44</v>
      </c>
      <c r="B39" s="72">
        <v>1</v>
      </c>
      <c r="C39" s="21">
        <v>0.25</v>
      </c>
      <c r="D39" s="21">
        <f>B39*C39</f>
        <v>0.25</v>
      </c>
      <c r="E39" s="72">
        <f t="shared" si="6"/>
        <v>1</v>
      </c>
      <c r="F39" s="21">
        <f>C39</f>
        <v>0.25</v>
      </c>
      <c r="G39" s="21">
        <f>E39*F39</f>
        <v>0.25</v>
      </c>
      <c r="H39" s="21">
        <f t="shared" si="1"/>
        <v>0</v>
      </c>
      <c r="I39" s="22">
        <f t="shared" si="2"/>
        <v>0</v>
      </c>
      <c r="J39" s="22">
        <f t="shared" si="10"/>
        <v>1.3232187424208678E-3</v>
      </c>
      <c r="K39" s="107">
        <f t="shared" si="11"/>
        <v>1.3187811000128628E-3</v>
      </c>
    </row>
    <row r="40" spans="1:11" s="1" customFormat="1" x14ac:dyDescent="0.2">
      <c r="A40" s="109" t="s">
        <v>45</v>
      </c>
      <c r="B40" s="73"/>
      <c r="C40" s="34"/>
      <c r="D40" s="34">
        <f>SUM(D36:D39)</f>
        <v>5.8925440000000009</v>
      </c>
      <c r="E40" s="72"/>
      <c r="F40" s="34"/>
      <c r="G40" s="34">
        <f>SUM(G36:G39)</f>
        <v>5.8925440000000009</v>
      </c>
      <c r="H40" s="34">
        <f t="shared" si="1"/>
        <v>0</v>
      </c>
      <c r="I40" s="35">
        <f t="shared" si="2"/>
        <v>0</v>
      </c>
      <c r="J40" s="35">
        <f t="shared" si="10"/>
        <v>3.1188498645358522E-2</v>
      </c>
      <c r="K40" s="110">
        <f t="shared" si="11"/>
        <v>3.1083902632776782E-2</v>
      </c>
    </row>
    <row r="41" spans="1:11" s="1" customFormat="1" ht="13.5" thickBot="1" x14ac:dyDescent="0.25">
      <c r="A41" s="111" t="s">
        <v>46</v>
      </c>
      <c r="B41" s="112">
        <f>B4</f>
        <v>920</v>
      </c>
      <c r="C41" s="113">
        <v>0</v>
      </c>
      <c r="D41" s="114">
        <f>B41*C41</f>
        <v>0</v>
      </c>
      <c r="E41" s="115">
        <f t="shared" si="6"/>
        <v>920</v>
      </c>
      <c r="F41" s="113">
        <f>C41</f>
        <v>0</v>
      </c>
      <c r="G41" s="114">
        <f>E41*F41</f>
        <v>0</v>
      </c>
      <c r="H41" s="114">
        <f t="shared" si="1"/>
        <v>0</v>
      </c>
      <c r="I41" s="116" t="str">
        <f t="shared" si="2"/>
        <v>N/A</v>
      </c>
      <c r="J41" s="116">
        <f t="shared" si="10"/>
        <v>0</v>
      </c>
      <c r="K41" s="117">
        <f t="shared" si="11"/>
        <v>0</v>
      </c>
    </row>
    <row r="42" spans="1:11" s="1" customFormat="1" x14ac:dyDescent="0.2">
      <c r="A42" s="36" t="s">
        <v>107</v>
      </c>
      <c r="B42" s="37"/>
      <c r="C42" s="38"/>
      <c r="D42" s="38">
        <f>SUM(D14,D25,D26,D27,D33,D40,D41)</f>
        <v>178.58641599999999</v>
      </c>
      <c r="E42" s="37"/>
      <c r="F42" s="38"/>
      <c r="G42" s="38">
        <f>SUM(G14,G25,G26,G27,G33,G40,G41)</f>
        <v>179.93641600000001</v>
      </c>
      <c r="H42" s="38">
        <f t="shared" si="1"/>
        <v>1.3500000000000227</v>
      </c>
      <c r="I42" s="39">
        <f t="shared" si="2"/>
        <v>7.5593655454736421E-3</v>
      </c>
      <c r="J42" s="39">
        <f t="shared" si="10"/>
        <v>0.95238095238095244</v>
      </c>
      <c r="K42" s="40"/>
    </row>
    <row r="43" spans="1:11" x14ac:dyDescent="0.2">
      <c r="A43" s="142" t="s">
        <v>108</v>
      </c>
      <c r="B43" s="42"/>
      <c r="C43" s="25">
        <v>0.13</v>
      </c>
      <c r="D43" s="25">
        <f>D42*C43</f>
        <v>23.21623408</v>
      </c>
      <c r="E43" s="25"/>
      <c r="F43" s="25">
        <f>C43</f>
        <v>0.13</v>
      </c>
      <c r="G43" s="25">
        <f>G42*F43</f>
        <v>23.391734080000003</v>
      </c>
      <c r="H43" s="25">
        <f t="shared" si="1"/>
        <v>0.1755000000000031</v>
      </c>
      <c r="I43" s="43">
        <f t="shared" si="2"/>
        <v>7.5593655454736482E-3</v>
      </c>
      <c r="J43" s="43">
        <f t="shared" si="10"/>
        <v>0.12380952380952383</v>
      </c>
      <c r="K43" s="44"/>
    </row>
    <row r="44" spans="1:11" s="1" customFormat="1" x14ac:dyDescent="0.2">
      <c r="A44" s="45" t="s">
        <v>109</v>
      </c>
      <c r="B44" s="23"/>
      <c r="C44" s="24"/>
      <c r="D44" s="24">
        <f>SUM(D42:D43)</f>
        <v>201.80265007999998</v>
      </c>
      <c r="E44" s="24"/>
      <c r="F44" s="24"/>
      <c r="G44" s="24">
        <f>SUM(G42:G43)</f>
        <v>203.32815008</v>
      </c>
      <c r="H44" s="24">
        <f t="shared" si="1"/>
        <v>1.5255000000000223</v>
      </c>
      <c r="I44" s="26">
        <f t="shared" si="2"/>
        <v>7.5593655454736257E-3</v>
      </c>
      <c r="J44" s="26">
        <f t="shared" si="10"/>
        <v>1.0761904761904761</v>
      </c>
      <c r="K44" s="46"/>
    </row>
    <row r="45" spans="1:11" x14ac:dyDescent="0.2">
      <c r="A45" s="41" t="s">
        <v>110</v>
      </c>
      <c r="B45" s="42"/>
      <c r="C45" s="25">
        <v>-0.08</v>
      </c>
      <c r="D45" s="25">
        <f>D42*C45</f>
        <v>-14.286913279999998</v>
      </c>
      <c r="E45" s="25"/>
      <c r="F45" s="25">
        <f>C45</f>
        <v>-0.08</v>
      </c>
      <c r="G45" s="25">
        <f>G42*F45</f>
        <v>-14.394913280000001</v>
      </c>
      <c r="H45" s="25">
        <f t="shared" si="1"/>
        <v>-0.10800000000000232</v>
      </c>
      <c r="I45" s="43">
        <f t="shared" si="2"/>
        <v>-7.5593655454736777E-3</v>
      </c>
      <c r="J45" s="43">
        <f t="shared" si="10"/>
        <v>-7.6190476190476197E-2</v>
      </c>
      <c r="K45" s="44"/>
    </row>
    <row r="46" spans="1:11" s="1" customFormat="1" ht="13.5" thickBot="1" x14ac:dyDescent="0.25">
      <c r="A46" s="47" t="s">
        <v>111</v>
      </c>
      <c r="B46" s="48"/>
      <c r="C46" s="49"/>
      <c r="D46" s="49">
        <f>SUM(D44:D45)</f>
        <v>187.51573679999998</v>
      </c>
      <c r="E46" s="49"/>
      <c r="F46" s="49"/>
      <c r="G46" s="49">
        <f>SUM(G44:G45)</f>
        <v>188.9332368</v>
      </c>
      <c r="H46" s="49">
        <f t="shared" si="1"/>
        <v>1.4175000000000182</v>
      </c>
      <c r="I46" s="50">
        <f t="shared" si="2"/>
        <v>7.5593655454736126E-3</v>
      </c>
      <c r="J46" s="50">
        <f t="shared" si="10"/>
        <v>1</v>
      </c>
      <c r="K46" s="51"/>
    </row>
    <row r="47" spans="1:11" x14ac:dyDescent="0.2">
      <c r="A47" s="52" t="s">
        <v>112</v>
      </c>
      <c r="B47" s="53"/>
      <c r="C47" s="54"/>
      <c r="D47" s="54">
        <f>SUM(D18,D25,D26,D28,D33,D40,D41)</f>
        <v>179.19189440000002</v>
      </c>
      <c r="E47" s="54"/>
      <c r="F47" s="54"/>
      <c r="G47" s="54">
        <f>SUM(G18,G25,G26,G28,G33,G40,G41)</f>
        <v>180.54189439999999</v>
      </c>
      <c r="H47" s="54">
        <f>G47-D47</f>
        <v>1.3499999999999659</v>
      </c>
      <c r="I47" s="55">
        <f t="shared" si="2"/>
        <v>7.5338229138112497E-3</v>
      </c>
      <c r="J47" s="55"/>
      <c r="K47" s="56">
        <f>G47/$G$51</f>
        <v>0.95238095238095233</v>
      </c>
    </row>
    <row r="48" spans="1:11" x14ac:dyDescent="0.2">
      <c r="A48" s="57" t="s">
        <v>108</v>
      </c>
      <c r="B48" s="58"/>
      <c r="C48" s="30">
        <v>0.13</v>
      </c>
      <c r="D48" s="30">
        <f>D47*C48</f>
        <v>23.294946272000004</v>
      </c>
      <c r="E48" s="30"/>
      <c r="F48" s="30">
        <f>C48</f>
        <v>0.13</v>
      </c>
      <c r="G48" s="30">
        <f>G47*F48</f>
        <v>23.470446272</v>
      </c>
      <c r="H48" s="30">
        <f>G48-D48</f>
        <v>0.17549999999999599</v>
      </c>
      <c r="I48" s="31">
        <f t="shared" si="2"/>
        <v>7.533822913811267E-3</v>
      </c>
      <c r="J48" s="31"/>
      <c r="K48" s="59">
        <f>G48/$G$51</f>
        <v>0.12380952380952381</v>
      </c>
    </row>
    <row r="49" spans="1:11" x14ac:dyDescent="0.2">
      <c r="A49" s="60" t="s">
        <v>113</v>
      </c>
      <c r="B49" s="28"/>
      <c r="C49" s="29"/>
      <c r="D49" s="29">
        <f>SUM(D47:D48)</f>
        <v>202.48684067200003</v>
      </c>
      <c r="E49" s="29"/>
      <c r="F49" s="29"/>
      <c r="G49" s="29">
        <f>SUM(G47:G48)</f>
        <v>204.01234067199999</v>
      </c>
      <c r="H49" s="29">
        <f>G49-D49</f>
        <v>1.5254999999999654</v>
      </c>
      <c r="I49" s="32">
        <f t="shared" si="2"/>
        <v>7.5338229138112688E-3</v>
      </c>
      <c r="J49" s="32"/>
      <c r="K49" s="61">
        <f>G49/$G$51</f>
        <v>1.0761904761904761</v>
      </c>
    </row>
    <row r="50" spans="1:11" x14ac:dyDescent="0.2">
      <c r="A50" s="57" t="s">
        <v>110</v>
      </c>
      <c r="B50" s="58"/>
      <c r="C50" s="30">
        <v>-0.08</v>
      </c>
      <c r="D50" s="30">
        <f>D47*C50</f>
        <v>-14.335351552000002</v>
      </c>
      <c r="E50" s="30"/>
      <c r="F50" s="30">
        <f>C50</f>
        <v>-0.08</v>
      </c>
      <c r="G50" s="30">
        <f>G47*F50</f>
        <v>-14.443351551999999</v>
      </c>
      <c r="H50" s="30">
        <f>G50-D50</f>
        <v>-0.10799999999999699</v>
      </c>
      <c r="I50" s="31">
        <f t="shared" si="2"/>
        <v>-7.5338229138112297E-3</v>
      </c>
      <c r="J50" s="31"/>
      <c r="K50" s="59">
        <f>G50/$G$51</f>
        <v>-7.6190476190476183E-2</v>
      </c>
    </row>
    <row r="51" spans="1:11" ht="13.5" thickBot="1" x14ac:dyDescent="0.25">
      <c r="A51" s="62" t="s">
        <v>114</v>
      </c>
      <c r="B51" s="63"/>
      <c r="C51" s="64"/>
      <c r="D51" s="64">
        <f>SUM(D49:D50)</f>
        <v>188.15148912000004</v>
      </c>
      <c r="E51" s="64"/>
      <c r="F51" s="64"/>
      <c r="G51" s="64">
        <f>SUM(G49:G50)</f>
        <v>189.56898912</v>
      </c>
      <c r="H51" s="64">
        <f>G51-D51</f>
        <v>1.4174999999999613</v>
      </c>
      <c r="I51" s="65">
        <f t="shared" si="2"/>
        <v>7.5338229138112341E-3</v>
      </c>
      <c r="J51" s="65"/>
      <c r="K51" s="66">
        <f>G51/$G$51</f>
        <v>1</v>
      </c>
    </row>
    <row r="52" spans="1:11" x14ac:dyDescent="0.2">
      <c r="C52" s="67"/>
      <c r="F52" s="68"/>
    </row>
    <row r="53" spans="1:11" x14ac:dyDescent="0.2">
      <c r="F53" s="68"/>
    </row>
    <row r="54" spans="1:11" x14ac:dyDescent="0.2">
      <c r="F54" s="68"/>
    </row>
    <row r="55" spans="1:11" x14ac:dyDescent="0.2">
      <c r="A55" s="69"/>
      <c r="B55" s="70"/>
      <c r="F55" s="68"/>
    </row>
    <row r="56" spans="1:11" x14ac:dyDescent="0.2">
      <c r="B56" s="70"/>
      <c r="F56" s="68"/>
    </row>
    <row r="57" spans="1:11" x14ac:dyDescent="0.2">
      <c r="F57" s="68"/>
    </row>
    <row r="58" spans="1:11" x14ac:dyDescent="0.2">
      <c r="D58" s="71"/>
      <c r="F58" s="68"/>
    </row>
    <row r="59" spans="1:11" x14ac:dyDescent="0.2">
      <c r="F59" s="68"/>
    </row>
    <row r="60" spans="1:11" x14ac:dyDescent="0.2">
      <c r="A60" s="69"/>
      <c r="B60" s="70"/>
      <c r="F60" s="68"/>
    </row>
    <row r="61" spans="1:11" x14ac:dyDescent="0.2">
      <c r="B61" s="71"/>
      <c r="D61" s="71"/>
      <c r="F61" s="68"/>
    </row>
    <row r="62" spans="1:11" x14ac:dyDescent="0.2">
      <c r="F62" s="68"/>
    </row>
    <row r="63" spans="1:11" x14ac:dyDescent="0.2">
      <c r="F63" s="68"/>
    </row>
    <row r="64" spans="1:11" x14ac:dyDescent="0.2">
      <c r="F64" s="68"/>
      <c r="K64"/>
    </row>
    <row r="65" spans="6:11" x14ac:dyDescent="0.2">
      <c r="F65" s="68"/>
      <c r="K65"/>
    </row>
    <row r="66" spans="6:11" x14ac:dyDescent="0.2">
      <c r="F66" s="68"/>
      <c r="K66"/>
    </row>
    <row r="67" spans="6:11" x14ac:dyDescent="0.2">
      <c r="F67" s="68"/>
      <c r="K67"/>
    </row>
    <row r="68" spans="6:11" x14ac:dyDescent="0.2">
      <c r="F68" s="68"/>
      <c r="K68"/>
    </row>
  </sheetData>
  <mergeCells count="1">
    <mergeCell ref="A1:K1"/>
  </mergeCells>
  <pageMargins left="0.7" right="0.7" top="0.75" bottom="0.75" header="0.3" footer="0.3"/>
  <pageSetup scale="7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1" tint="0.499984740745262"/>
    <pageSetUpPr fitToPage="1"/>
  </sheetPr>
  <dimension ref="A1:K68"/>
  <sheetViews>
    <sheetView tabSelected="1"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3"/>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205" t="s">
        <v>128</v>
      </c>
      <c r="B1" s="206"/>
      <c r="C1" s="206"/>
      <c r="D1" s="206"/>
      <c r="E1" s="206"/>
      <c r="F1" s="206"/>
      <c r="G1" s="206"/>
      <c r="H1" s="206"/>
      <c r="I1" s="206"/>
      <c r="J1" s="206"/>
      <c r="K1" s="207"/>
    </row>
    <row r="3" spans="1:11" x14ac:dyDescent="0.2">
      <c r="A3" s="12" t="s">
        <v>13</v>
      </c>
      <c r="B3" s="12" t="s">
        <v>1</v>
      </c>
    </row>
    <row r="4" spans="1:11" x14ac:dyDescent="0.2">
      <c r="A4" s="14" t="s">
        <v>62</v>
      </c>
      <c r="B4" s="14">
        <v>1800</v>
      </c>
    </row>
    <row r="5" spans="1:11" x14ac:dyDescent="0.2">
      <c r="A5" s="14" t="s">
        <v>16</v>
      </c>
      <c r="B5" s="14">
        <f>VLOOKUP($B$3,'Data for Bill Impacts'!$A$3:$Y$15,5,0)</f>
        <v>0</v>
      </c>
    </row>
    <row r="6" spans="1:11" x14ac:dyDescent="0.2">
      <c r="A6" s="14" t="s">
        <v>20</v>
      </c>
      <c r="B6" s="14">
        <f>VLOOKUP($B$3,'Data for Bill Impacts'!$A$3:$Y$15,2,0)</f>
        <v>1.0760000000000001</v>
      </c>
    </row>
    <row r="7" spans="1:11" x14ac:dyDescent="0.2">
      <c r="A7" s="14" t="s">
        <v>15</v>
      </c>
      <c r="B7" s="14">
        <f>VLOOKUP($B$3,'Data for Bill Impacts'!$A$3:$Y$15,4,0)</f>
        <v>600</v>
      </c>
    </row>
    <row r="8" spans="1:11" x14ac:dyDescent="0.2">
      <c r="A8" s="14" t="s">
        <v>82</v>
      </c>
      <c r="B8" s="148">
        <f>B4*B6</f>
        <v>1936.8000000000002</v>
      </c>
    </row>
    <row r="9" spans="1:11" x14ac:dyDescent="0.2">
      <c r="A9" s="14" t="s">
        <v>21</v>
      </c>
      <c r="B9" s="15" t="str">
        <f>VLOOKUP($B$3,'Data for Bill Impacts'!$A$3:$Y$15,6,0)</f>
        <v>kWh</v>
      </c>
    </row>
    <row r="10" spans="1:11" ht="13.5" thickBot="1" x14ac:dyDescent="0.25"/>
    <row r="11" spans="1:11" s="19" customFormat="1" ht="39" thickBot="1" x14ac:dyDescent="0.25">
      <c r="A11" s="16"/>
      <c r="B11" s="17" t="s">
        <v>22</v>
      </c>
      <c r="C11" s="17" t="s">
        <v>23</v>
      </c>
      <c r="D11" s="17" t="s">
        <v>24</v>
      </c>
      <c r="E11" s="17" t="s">
        <v>22</v>
      </c>
      <c r="F11" s="17" t="s">
        <v>25</v>
      </c>
      <c r="G11" s="17" t="s">
        <v>26</v>
      </c>
      <c r="H11" s="17" t="s">
        <v>27</v>
      </c>
      <c r="I11" s="17" t="s">
        <v>28</v>
      </c>
      <c r="J11" s="17" t="s">
        <v>29</v>
      </c>
      <c r="K11" s="18" t="s">
        <v>30</v>
      </c>
    </row>
    <row r="12" spans="1:11" x14ac:dyDescent="0.2">
      <c r="A12" s="100" t="s">
        <v>31</v>
      </c>
      <c r="B12" s="101">
        <f>IF(B4&gt;B7,B7,B4)</f>
        <v>600</v>
      </c>
      <c r="C12" s="102">
        <v>9.0999999999999998E-2</v>
      </c>
      <c r="D12" s="103">
        <f>B12*C12</f>
        <v>54.6</v>
      </c>
      <c r="E12" s="101">
        <f>B12</f>
        <v>600</v>
      </c>
      <c r="F12" s="102">
        <f>C12</f>
        <v>9.0999999999999998E-2</v>
      </c>
      <c r="G12" s="103">
        <f>E12*F12</f>
        <v>54.6</v>
      </c>
      <c r="H12" s="103">
        <f>G12-D12</f>
        <v>0</v>
      </c>
      <c r="I12" s="104">
        <f>IF(ISERROR(H12/ABS(D12)),"N/A",(H12/ABS(D12)))</f>
        <v>0</v>
      </c>
      <c r="J12" s="104">
        <f>G12/$G$46</f>
        <v>0.17109054164106888</v>
      </c>
      <c r="K12" s="105"/>
    </row>
    <row r="13" spans="1:11" x14ac:dyDescent="0.2">
      <c r="A13" s="106" t="s">
        <v>32</v>
      </c>
      <c r="B13" s="72">
        <f>IF(B4&gt;B7,(B4)-B7,0)</f>
        <v>1200</v>
      </c>
      <c r="C13" s="20">
        <v>0.106</v>
      </c>
      <c r="D13" s="21">
        <f>B13*C13</f>
        <v>127.2</v>
      </c>
      <c r="E13" s="72">
        <f t="shared" ref="E13" si="0">B13</f>
        <v>1200</v>
      </c>
      <c r="F13" s="20">
        <f>C13</f>
        <v>0.106</v>
      </c>
      <c r="G13" s="21">
        <f>E13*F13</f>
        <v>127.2</v>
      </c>
      <c r="H13" s="21">
        <f t="shared" ref="H13:H46" si="1">G13-D13</f>
        <v>0</v>
      </c>
      <c r="I13" s="22">
        <f t="shared" ref="I13:I51" si="2">IF(ISERROR(H13/ABS(D13)),"N/A",(H13/ABS(D13)))</f>
        <v>0</v>
      </c>
      <c r="J13" s="22">
        <f>G13/$G$46</f>
        <v>0.39858455854842423</v>
      </c>
      <c r="K13" s="107"/>
    </row>
    <row r="14" spans="1:11" s="1" customFormat="1" x14ac:dyDescent="0.2">
      <c r="A14" s="45" t="s">
        <v>33</v>
      </c>
      <c r="B14" s="23"/>
      <c r="C14" s="24"/>
      <c r="D14" s="24">
        <f>SUM(D12:D13)</f>
        <v>181.8</v>
      </c>
      <c r="E14" s="75"/>
      <c r="F14" s="24"/>
      <c r="G14" s="24">
        <f>SUM(G12:G13)</f>
        <v>181.8</v>
      </c>
      <c r="H14" s="24">
        <f t="shared" si="1"/>
        <v>0</v>
      </c>
      <c r="I14" s="26">
        <f t="shared" si="2"/>
        <v>0</v>
      </c>
      <c r="J14" s="26">
        <f>G14/$G$46</f>
        <v>0.56967510018949308</v>
      </c>
      <c r="K14" s="107"/>
    </row>
    <row r="15" spans="1:11" s="1" customFormat="1" x14ac:dyDescent="0.2">
      <c r="A15" s="108" t="s">
        <v>34</v>
      </c>
      <c r="B15" s="74">
        <f>B4*0.65</f>
        <v>1170</v>
      </c>
      <c r="C15" s="27">
        <v>7.6999999999999999E-2</v>
      </c>
      <c r="D15" s="21">
        <f>B15*C15</f>
        <v>90.09</v>
      </c>
      <c r="E15" s="72">
        <f t="shared" ref="E15:F17" si="3">B15</f>
        <v>1170</v>
      </c>
      <c r="F15" s="27">
        <f t="shared" si="3"/>
        <v>7.6999999999999999E-2</v>
      </c>
      <c r="G15" s="21">
        <f>E15*F15</f>
        <v>90.09</v>
      </c>
      <c r="H15" s="21">
        <f t="shared" si="1"/>
        <v>0</v>
      </c>
      <c r="I15" s="22">
        <f t="shared" si="2"/>
        <v>0</v>
      </c>
      <c r="J15" s="22"/>
      <c r="K15" s="107">
        <f t="shared" ref="K15:K26" si="4">G15/$G$51</f>
        <v>0.28936768425881887</v>
      </c>
    </row>
    <row r="16" spans="1:11" s="1" customFormat="1" x14ac:dyDescent="0.2">
      <c r="A16" s="108" t="s">
        <v>35</v>
      </c>
      <c r="B16" s="74">
        <f>B4*0.17</f>
        <v>306</v>
      </c>
      <c r="C16" s="27">
        <v>0.113</v>
      </c>
      <c r="D16" s="21">
        <f>B16*C16</f>
        <v>34.578000000000003</v>
      </c>
      <c r="E16" s="72">
        <f t="shared" si="3"/>
        <v>306</v>
      </c>
      <c r="F16" s="27">
        <f t="shared" si="3"/>
        <v>0.113</v>
      </c>
      <c r="G16" s="21">
        <f>E16*F16</f>
        <v>34.578000000000003</v>
      </c>
      <c r="H16" s="21">
        <f t="shared" si="1"/>
        <v>0</v>
      </c>
      <c r="I16" s="22">
        <f t="shared" si="2"/>
        <v>0</v>
      </c>
      <c r="J16" s="22"/>
      <c r="K16" s="107">
        <f t="shared" si="4"/>
        <v>0.11106400029194627</v>
      </c>
    </row>
    <row r="17" spans="1:11" s="1" customFormat="1" x14ac:dyDescent="0.2">
      <c r="A17" s="108" t="s">
        <v>36</v>
      </c>
      <c r="B17" s="74">
        <f>B4*0.18</f>
        <v>324</v>
      </c>
      <c r="C17" s="27">
        <v>0.157</v>
      </c>
      <c r="D17" s="21">
        <f>B17*C17</f>
        <v>50.868000000000002</v>
      </c>
      <c r="E17" s="72">
        <f t="shared" si="3"/>
        <v>324</v>
      </c>
      <c r="F17" s="27">
        <f t="shared" si="3"/>
        <v>0.157</v>
      </c>
      <c r="G17" s="21">
        <f>E17*F17</f>
        <v>50.868000000000002</v>
      </c>
      <c r="H17" s="21">
        <f t="shared" si="1"/>
        <v>0</v>
      </c>
      <c r="I17" s="22">
        <f t="shared" si="2"/>
        <v>0</v>
      </c>
      <c r="J17" s="22"/>
      <c r="K17" s="107">
        <f t="shared" si="4"/>
        <v>0.16338722791516927</v>
      </c>
    </row>
    <row r="18" spans="1:11" s="1" customFormat="1" x14ac:dyDescent="0.2">
      <c r="A18" s="60" t="s">
        <v>37</v>
      </c>
      <c r="B18" s="28"/>
      <c r="C18" s="29"/>
      <c r="D18" s="29">
        <f>SUM(D15:D17)</f>
        <v>175.536</v>
      </c>
      <c r="E18" s="76"/>
      <c r="F18" s="29"/>
      <c r="G18" s="29">
        <f>SUM(G15:G17)</f>
        <v>175.536</v>
      </c>
      <c r="H18" s="30">
        <f t="shared" si="1"/>
        <v>0</v>
      </c>
      <c r="I18" s="31">
        <f t="shared" si="2"/>
        <v>0</v>
      </c>
      <c r="J18" s="32">
        <f t="shared" ref="J18:J23" si="5">G18/$G$46</f>
        <v>0.55004669079682544</v>
      </c>
      <c r="K18" s="61">
        <f t="shared" si="4"/>
        <v>0.56381891246593441</v>
      </c>
    </row>
    <row r="19" spans="1:11" x14ac:dyDescent="0.2">
      <c r="A19" s="106" t="s">
        <v>38</v>
      </c>
      <c r="B19" s="72">
        <v>1</v>
      </c>
      <c r="C19" s="77">
        <f>VLOOKUP($B$3,'Data for Bill Impacts'!$A$3:$Y$15,7,0)</f>
        <v>52.31</v>
      </c>
      <c r="D19" s="21">
        <f>B19*C19</f>
        <v>52.31</v>
      </c>
      <c r="E19" s="72">
        <f t="shared" ref="E19:E41" si="6">B19</f>
        <v>1</v>
      </c>
      <c r="F19" s="77">
        <f>VLOOKUP($B$3,'Data for Bill Impacts'!$A$3:$Y$15,17,0)</f>
        <v>58.26</v>
      </c>
      <c r="G19" s="21">
        <f>E19*F19</f>
        <v>58.26</v>
      </c>
      <c r="H19" s="21">
        <f t="shared" si="1"/>
        <v>5.9499999999999957</v>
      </c>
      <c r="I19" s="22">
        <f t="shared" si="2"/>
        <v>0.11374498183903643</v>
      </c>
      <c r="J19" s="22">
        <f t="shared" si="5"/>
        <v>0.18255924827854711</v>
      </c>
      <c r="K19" s="107">
        <f t="shared" si="4"/>
        <v>0.18713021739281593</v>
      </c>
    </row>
    <row r="20" spans="1:11" hidden="1" x14ac:dyDescent="0.2">
      <c r="A20" s="106" t="s">
        <v>83</v>
      </c>
      <c r="B20" s="72">
        <v>1</v>
      </c>
      <c r="C20" s="77">
        <f>VLOOKUP($B$3,'Data for Bill Impacts'!$A$3:$Y$15,8,0)</f>
        <v>0</v>
      </c>
      <c r="D20" s="21">
        <f>B20*C20</f>
        <v>0</v>
      </c>
      <c r="E20" s="72">
        <f t="shared" si="6"/>
        <v>1</v>
      </c>
      <c r="F20" s="77">
        <v>0</v>
      </c>
      <c r="G20" s="21">
        <f t="shared" ref="G20:G22" si="7">E20*F20</f>
        <v>0</v>
      </c>
      <c r="H20" s="21">
        <f t="shared" si="1"/>
        <v>0</v>
      </c>
      <c r="I20" s="22" t="str">
        <f t="shared" si="2"/>
        <v>N/A</v>
      </c>
      <c r="J20" s="22">
        <f t="shared" si="5"/>
        <v>0</v>
      </c>
      <c r="K20" s="107">
        <f t="shared" si="4"/>
        <v>0</v>
      </c>
    </row>
    <row r="21" spans="1:11" hidden="1" x14ac:dyDescent="0.2">
      <c r="A21" s="106" t="s">
        <v>115</v>
      </c>
      <c r="B21" s="72">
        <v>1</v>
      </c>
      <c r="C21" s="77">
        <f>VLOOKUP($B$3,'Data for Bill Impacts'!$A$3:$Y$15,11,0)</f>
        <v>0</v>
      </c>
      <c r="D21" s="21">
        <f t="shared" ref="D21:D22" si="8">B21*C21</f>
        <v>0</v>
      </c>
      <c r="E21" s="72">
        <f t="shared" si="6"/>
        <v>1</v>
      </c>
      <c r="F21" s="120">
        <f>VLOOKUP($B$3,'Data for Bill Impacts'!$A$3:$Y$15,12,0)</f>
        <v>0</v>
      </c>
      <c r="G21" s="21">
        <f t="shared" si="7"/>
        <v>0</v>
      </c>
      <c r="H21" s="21">
        <f t="shared" si="1"/>
        <v>0</v>
      </c>
      <c r="I21" s="22" t="str">
        <f t="shared" si="2"/>
        <v>N/A</v>
      </c>
      <c r="J21" s="22">
        <f t="shared" si="5"/>
        <v>0</v>
      </c>
      <c r="K21" s="107">
        <f t="shared" si="4"/>
        <v>0</v>
      </c>
    </row>
    <row r="22" spans="1:11" x14ac:dyDescent="0.2">
      <c r="A22" s="106" t="s">
        <v>85</v>
      </c>
      <c r="B22" s="72">
        <v>1</v>
      </c>
      <c r="C22" s="120">
        <f>VLOOKUP($B$3,'Data for Bill Impacts'!$A$3:$Y$15,13,0)</f>
        <v>4.0000000000000001E-3</v>
      </c>
      <c r="D22" s="21">
        <f t="shared" si="8"/>
        <v>4.0000000000000001E-3</v>
      </c>
      <c r="E22" s="72">
        <f t="shared" si="6"/>
        <v>1</v>
      </c>
      <c r="F22" s="120">
        <f>VLOOKUP($B$3,'Data for Bill Impacts'!$A$3:$Y$15,22,0)</f>
        <v>4.0000000000000001E-3</v>
      </c>
      <c r="G22" s="21">
        <f t="shared" si="7"/>
        <v>4.0000000000000001E-3</v>
      </c>
      <c r="H22" s="21">
        <f t="shared" si="1"/>
        <v>0</v>
      </c>
      <c r="I22" s="22">
        <f t="shared" si="2"/>
        <v>0</v>
      </c>
      <c r="J22" s="22">
        <f t="shared" si="5"/>
        <v>1.2534105614730321E-5</v>
      </c>
      <c r="K22" s="107">
        <f t="shared" si="4"/>
        <v>1.2847938029029588E-5</v>
      </c>
    </row>
    <row r="23" spans="1:11" x14ac:dyDescent="0.2">
      <c r="A23" s="106" t="s">
        <v>39</v>
      </c>
      <c r="B23" s="72">
        <f>IF($B$9="kWh",$B$4,$B$5)</f>
        <v>1800</v>
      </c>
      <c r="C23" s="77">
        <f>VLOOKUP($B$3,'Data for Bill Impacts'!$A$3:$Y$15,10,0)</f>
        <v>1.1599999999999999E-2</v>
      </c>
      <c r="D23" s="21">
        <f>B23*C23</f>
        <v>20.88</v>
      </c>
      <c r="E23" s="72">
        <f t="shared" si="6"/>
        <v>1800</v>
      </c>
      <c r="F23" s="77">
        <f>VLOOKUP($B$3,'Data for Bill Impacts'!$A$3:$Y$15,19,0)</f>
        <v>6.6E-3</v>
      </c>
      <c r="G23" s="21">
        <f>E23*F23</f>
        <v>11.88</v>
      </c>
      <c r="H23" s="21">
        <f t="shared" si="1"/>
        <v>-8.9999999999999982</v>
      </c>
      <c r="I23" s="22">
        <f t="shared" si="2"/>
        <v>-0.43103448275862061</v>
      </c>
      <c r="J23" s="22">
        <f t="shared" si="5"/>
        <v>3.7226293675749055E-2</v>
      </c>
      <c r="K23" s="107">
        <f t="shared" si="4"/>
        <v>3.8158375946217876E-2</v>
      </c>
    </row>
    <row r="24" spans="1:11" x14ac:dyDescent="0.2">
      <c r="A24" s="106" t="s">
        <v>129</v>
      </c>
      <c r="B24" s="72">
        <f>IF($B$9="kWh",$B$4,$B$5)</f>
        <v>1800</v>
      </c>
      <c r="C24" s="124">
        <f>VLOOKUP($B$3,'Data for Bill Impacts'!$A$3:$Y$15,14,0)</f>
        <v>2.0000000000000002E-5</v>
      </c>
      <c r="D24" s="21">
        <f>B24*C24</f>
        <v>3.6000000000000004E-2</v>
      </c>
      <c r="E24" s="72">
        <f t="shared" si="6"/>
        <v>1800</v>
      </c>
      <c r="F24" s="124">
        <f>VLOOKUP($B$3,'Data for Bill Impacts'!$A$3:$Y$15,23,0)</f>
        <v>2.0000000000000002E-5</v>
      </c>
      <c r="G24" s="21">
        <f>E24*F24</f>
        <v>3.6000000000000004E-2</v>
      </c>
      <c r="H24" s="21">
        <f t="shared" si="1"/>
        <v>0</v>
      </c>
      <c r="I24" s="22">
        <f t="shared" si="2"/>
        <v>0</v>
      </c>
      <c r="J24" s="22">
        <f t="shared" ref="J24" si="9">G24/$G$46</f>
        <v>1.128069505325729E-4</v>
      </c>
      <c r="K24" s="107">
        <f t="shared" si="4"/>
        <v>1.156314422612663E-4</v>
      </c>
    </row>
    <row r="25" spans="1:11" s="1" customFormat="1" x14ac:dyDescent="0.2">
      <c r="A25" s="109" t="s">
        <v>72</v>
      </c>
      <c r="B25" s="73"/>
      <c r="C25" s="34"/>
      <c r="D25" s="34">
        <f>SUM(D19:D24)</f>
        <v>73.23</v>
      </c>
      <c r="E25" s="72"/>
      <c r="F25" s="34"/>
      <c r="G25" s="34">
        <f>SUM(G19:G24)</f>
        <v>70.179999999999993</v>
      </c>
      <c r="H25" s="34">
        <f t="shared" si="1"/>
        <v>-3.0500000000000114</v>
      </c>
      <c r="I25" s="35">
        <f t="shared" si="2"/>
        <v>-4.1649597159634184E-2</v>
      </c>
      <c r="J25" s="35">
        <f>G25/$G$46</f>
        <v>0.21991088301044345</v>
      </c>
      <c r="K25" s="110">
        <f t="shared" si="4"/>
        <v>0.22541707271932407</v>
      </c>
    </row>
    <row r="26" spans="1:11" s="1" customFormat="1" x14ac:dyDescent="0.2">
      <c r="A26" s="118" t="s">
        <v>73</v>
      </c>
      <c r="B26" s="119">
        <v>1</v>
      </c>
      <c r="C26" s="77">
        <f>VLOOKUP($B$3,'Data for Bill Impacts'!$A$3:$Y$15,9,0)</f>
        <v>0.79</v>
      </c>
      <c r="D26" s="21">
        <f>B26*C26</f>
        <v>0.79</v>
      </c>
      <c r="E26" s="72">
        <v>1</v>
      </c>
      <c r="F26" s="77">
        <f>VLOOKUP($B$3,'Data for Bill Impacts'!$A$3:$Y$15,18,0)</f>
        <v>0.79</v>
      </c>
      <c r="G26" s="21">
        <f>E26*F26</f>
        <v>0.79</v>
      </c>
      <c r="H26" s="21">
        <f t="shared" si="1"/>
        <v>0</v>
      </c>
      <c r="I26" s="22">
        <f t="shared" si="2"/>
        <v>0</v>
      </c>
      <c r="J26" s="22">
        <f>G26/$G$46</f>
        <v>2.4754858589092384E-3</v>
      </c>
      <c r="K26" s="107">
        <f t="shared" si="4"/>
        <v>2.5374677607333434E-3</v>
      </c>
    </row>
    <row r="27" spans="1:11" s="1" customFormat="1" x14ac:dyDescent="0.2">
      <c r="A27" s="118" t="s">
        <v>75</v>
      </c>
      <c r="B27" s="119">
        <f>B8-B4</f>
        <v>136.80000000000018</v>
      </c>
      <c r="C27" s="186">
        <f>IF(B4&gt;B7,C13,C12)</f>
        <v>0.106</v>
      </c>
      <c r="D27" s="21">
        <f>B27*C27</f>
        <v>14.500800000000019</v>
      </c>
      <c r="E27" s="72">
        <f>B27</f>
        <v>136.80000000000018</v>
      </c>
      <c r="F27" s="186">
        <f>C27</f>
        <v>0.106</v>
      </c>
      <c r="G27" s="21">
        <f>E27*F27</f>
        <v>14.500800000000019</v>
      </c>
      <c r="H27" s="21">
        <f t="shared" si="1"/>
        <v>0</v>
      </c>
      <c r="I27" s="22">
        <f t="shared" si="2"/>
        <v>0</v>
      </c>
      <c r="J27" s="22">
        <f t="shared" ref="J27:J46" si="10">G27/$G$46</f>
        <v>4.5438639674520422E-2</v>
      </c>
      <c r="K27" s="107">
        <f t="shared" ref="K27:K41" si="11">G27/$G$51</f>
        <v>4.6576344942838119E-2</v>
      </c>
    </row>
    <row r="28" spans="1:11" s="1" customFormat="1" x14ac:dyDescent="0.2">
      <c r="A28" s="118" t="s">
        <v>74</v>
      </c>
      <c r="B28" s="119">
        <f>B8-B4</f>
        <v>136.80000000000018</v>
      </c>
      <c r="C28" s="186">
        <f>0.65*C15+0.17*C16+0.18*C17</f>
        <v>9.7519999999999996E-2</v>
      </c>
      <c r="D28" s="21">
        <f>B28*C28</f>
        <v>13.340736000000017</v>
      </c>
      <c r="E28" s="72">
        <f>B28</f>
        <v>136.80000000000018</v>
      </c>
      <c r="F28" s="186">
        <f>C28</f>
        <v>9.7519999999999996E-2</v>
      </c>
      <c r="G28" s="21">
        <f>E28*F28</f>
        <v>13.340736000000017</v>
      </c>
      <c r="H28" s="21">
        <f t="shared" si="1"/>
        <v>0</v>
      </c>
      <c r="I28" s="22">
        <f t="shared" si="2"/>
        <v>0</v>
      </c>
      <c r="J28" s="22">
        <f t="shared" si="10"/>
        <v>4.1803548500558785E-2</v>
      </c>
      <c r="K28" s="107">
        <f t="shared" si="11"/>
        <v>4.2850237347411071E-2</v>
      </c>
    </row>
    <row r="29" spans="1:11" s="1" customFormat="1" x14ac:dyDescent="0.2">
      <c r="A29" s="109" t="s">
        <v>78</v>
      </c>
      <c r="B29" s="73"/>
      <c r="C29" s="34"/>
      <c r="D29" s="34">
        <f>SUM(D25,D26:D27)</f>
        <v>88.520800000000037</v>
      </c>
      <c r="E29" s="72"/>
      <c r="F29" s="34"/>
      <c r="G29" s="34">
        <f>SUM(G25,G26:G27)</f>
        <v>85.470800000000025</v>
      </c>
      <c r="H29" s="34">
        <f t="shared" si="1"/>
        <v>-3.0500000000000114</v>
      </c>
      <c r="I29" s="35">
        <f t="shared" si="2"/>
        <v>-3.4455178895807653E-2</v>
      </c>
      <c r="J29" s="35">
        <f t="shared" si="10"/>
        <v>0.26782500854387314</v>
      </c>
      <c r="K29" s="110">
        <f t="shared" si="11"/>
        <v>0.27453088542289561</v>
      </c>
    </row>
    <row r="30" spans="1:11" s="1" customFormat="1" x14ac:dyDescent="0.2">
      <c r="A30" s="109" t="s">
        <v>77</v>
      </c>
      <c r="B30" s="73"/>
      <c r="C30" s="34"/>
      <c r="D30" s="34">
        <f>SUM(D25,D26,D28)</f>
        <v>87.360736000000031</v>
      </c>
      <c r="E30" s="72"/>
      <c r="F30" s="34"/>
      <c r="G30" s="34">
        <f>SUM(G25,G26,G28)</f>
        <v>84.31073600000002</v>
      </c>
      <c r="H30" s="34">
        <f t="shared" si="1"/>
        <v>-3.0500000000000114</v>
      </c>
      <c r="I30" s="35">
        <f t="shared" si="2"/>
        <v>-3.4912709526623155E-2</v>
      </c>
      <c r="J30" s="35">
        <f t="shared" si="10"/>
        <v>0.26418991736991149</v>
      </c>
      <c r="K30" s="110">
        <f t="shared" si="11"/>
        <v>0.27080477782746853</v>
      </c>
    </row>
    <row r="31" spans="1:11" x14ac:dyDescent="0.2">
      <c r="A31" s="106" t="s">
        <v>40</v>
      </c>
      <c r="B31" s="72">
        <f>B8</f>
        <v>1936.8000000000002</v>
      </c>
      <c r="C31" s="124">
        <f>VLOOKUP($B$3,'Data for Bill Impacts'!$A$3:$Y$15,15,0)</f>
        <v>7.1999999999999998E-3</v>
      </c>
      <c r="D31" s="21">
        <f>B31*C31</f>
        <v>13.944960000000002</v>
      </c>
      <c r="E31" s="72">
        <f t="shared" si="6"/>
        <v>1936.8000000000002</v>
      </c>
      <c r="F31" s="77">
        <f>VLOOKUP($B$3,'Data for Bill Impacts'!$A$3:$Y$15,24,0)</f>
        <v>7.1999999999999998E-3</v>
      </c>
      <c r="G31" s="21">
        <f>E31*F31</f>
        <v>13.944960000000002</v>
      </c>
      <c r="H31" s="21">
        <f t="shared" si="1"/>
        <v>0</v>
      </c>
      <c r="I31" s="22">
        <f t="shared" si="2"/>
        <v>0</v>
      </c>
      <c r="J31" s="22">
        <f t="shared" si="10"/>
        <v>4.3696900358297437E-2</v>
      </c>
      <c r="K31" s="107">
        <f t="shared" si="11"/>
        <v>4.4790995474324115E-2</v>
      </c>
    </row>
    <row r="32" spans="1:11" x14ac:dyDescent="0.2">
      <c r="A32" s="106" t="s">
        <v>41</v>
      </c>
      <c r="B32" s="72">
        <f>B8</f>
        <v>1936.8000000000002</v>
      </c>
      <c r="C32" s="124">
        <f>VLOOKUP($B$3,'Data for Bill Impacts'!$A$3:$Y$15,16,0)</f>
        <v>5.8999999999999999E-3</v>
      </c>
      <c r="D32" s="21">
        <f>B32*C32</f>
        <v>11.42712</v>
      </c>
      <c r="E32" s="72">
        <f t="shared" si="6"/>
        <v>1936.8000000000002</v>
      </c>
      <c r="F32" s="77">
        <f>VLOOKUP($B$3,'Data for Bill Impacts'!$A$3:$Y$15,25,0)</f>
        <v>5.8999999999999999E-3</v>
      </c>
      <c r="G32" s="21">
        <f>E32*F32</f>
        <v>11.42712</v>
      </c>
      <c r="H32" s="21">
        <f t="shared" si="1"/>
        <v>0</v>
      </c>
      <c r="I32" s="22">
        <f t="shared" si="2"/>
        <v>0</v>
      </c>
      <c r="J32" s="22">
        <f t="shared" si="10"/>
        <v>3.5807182238049289E-2</v>
      </c>
      <c r="K32" s="107">
        <f t="shared" si="11"/>
        <v>3.6703732402571146E-2</v>
      </c>
    </row>
    <row r="33" spans="1:11" s="1" customFormat="1" x14ac:dyDescent="0.2">
      <c r="A33" s="109" t="s">
        <v>76</v>
      </c>
      <c r="B33" s="73"/>
      <c r="C33" s="34"/>
      <c r="D33" s="34">
        <f>SUM(D31:D32)</f>
        <v>25.372080000000004</v>
      </c>
      <c r="E33" s="72"/>
      <c r="F33" s="34"/>
      <c r="G33" s="34">
        <f>SUM(G31:G32)</f>
        <v>25.372080000000004</v>
      </c>
      <c r="H33" s="34">
        <f t="shared" si="1"/>
        <v>0</v>
      </c>
      <c r="I33" s="35">
        <f t="shared" si="2"/>
        <v>0</v>
      </c>
      <c r="J33" s="35">
        <f t="shared" si="10"/>
        <v>7.950408259634674E-2</v>
      </c>
      <c r="K33" s="110">
        <f t="shared" si="11"/>
        <v>8.1494727876895268E-2</v>
      </c>
    </row>
    <row r="34" spans="1:11" s="1" customFormat="1" x14ac:dyDescent="0.2">
      <c r="A34" s="109" t="s">
        <v>93</v>
      </c>
      <c r="B34" s="73"/>
      <c r="C34" s="34"/>
      <c r="D34" s="34">
        <f>D29+D33</f>
        <v>113.89288000000005</v>
      </c>
      <c r="E34" s="72"/>
      <c r="F34" s="34"/>
      <c r="G34" s="34">
        <f>G29+G33</f>
        <v>110.84288000000004</v>
      </c>
      <c r="H34" s="34">
        <f t="shared" si="1"/>
        <v>-3.0500000000000114</v>
      </c>
      <c r="I34" s="35">
        <f t="shared" si="2"/>
        <v>-2.677954934496353E-2</v>
      </c>
      <c r="J34" s="35">
        <f t="shared" si="10"/>
        <v>0.34732909114021993</v>
      </c>
      <c r="K34" s="110">
        <f t="shared" si="11"/>
        <v>0.35602561329979088</v>
      </c>
    </row>
    <row r="35" spans="1:11" s="1" customFormat="1" x14ac:dyDescent="0.2">
      <c r="A35" s="109" t="s">
        <v>94</v>
      </c>
      <c r="B35" s="73"/>
      <c r="C35" s="34"/>
      <c r="D35" s="34">
        <f>D30+D33</f>
        <v>112.73281600000004</v>
      </c>
      <c r="E35" s="72"/>
      <c r="F35" s="34"/>
      <c r="G35" s="34">
        <f>G30+G33</f>
        <v>109.68281600000003</v>
      </c>
      <c r="H35" s="34">
        <f t="shared" si="1"/>
        <v>-3.0500000000000114</v>
      </c>
      <c r="I35" s="35">
        <f t="shared" si="2"/>
        <v>-2.7055121199136997E-2</v>
      </c>
      <c r="J35" s="35">
        <f t="shared" si="10"/>
        <v>0.34369399996625827</v>
      </c>
      <c r="K35" s="110">
        <f t="shared" si="11"/>
        <v>0.3522995057043638</v>
      </c>
    </row>
    <row r="36" spans="1:11" x14ac:dyDescent="0.2">
      <c r="A36" s="106" t="s">
        <v>42</v>
      </c>
      <c r="B36" s="72">
        <f>B8</f>
        <v>1936.8000000000002</v>
      </c>
      <c r="C36" s="33">
        <v>3.5999999999999999E-3</v>
      </c>
      <c r="D36" s="21">
        <f>B36*C36</f>
        <v>6.9724800000000009</v>
      </c>
      <c r="E36" s="72">
        <f t="shared" si="6"/>
        <v>1936.8000000000002</v>
      </c>
      <c r="F36" s="33">
        <v>3.5999999999999999E-3</v>
      </c>
      <c r="G36" s="21">
        <f>E36*F36</f>
        <v>6.9724800000000009</v>
      </c>
      <c r="H36" s="21">
        <f t="shared" si="1"/>
        <v>0</v>
      </c>
      <c r="I36" s="22">
        <f t="shared" si="2"/>
        <v>0</v>
      </c>
      <c r="J36" s="22">
        <f t="shared" si="10"/>
        <v>2.1848450179148719E-2</v>
      </c>
      <c r="K36" s="107">
        <f t="shared" si="11"/>
        <v>2.2395497737162057E-2</v>
      </c>
    </row>
    <row r="37" spans="1:11" x14ac:dyDescent="0.2">
      <c r="A37" s="106" t="s">
        <v>43</v>
      </c>
      <c r="B37" s="72">
        <f>B8</f>
        <v>1936.8000000000002</v>
      </c>
      <c r="C37" s="33">
        <v>2.0999999999999999E-3</v>
      </c>
      <c r="D37" s="21">
        <f>B37*C37</f>
        <v>4.0672800000000002</v>
      </c>
      <c r="E37" s="72">
        <f t="shared" si="6"/>
        <v>1936.8000000000002</v>
      </c>
      <c r="F37" s="33">
        <v>2.0999999999999999E-3</v>
      </c>
      <c r="G37" s="21">
        <f>E37*F37</f>
        <v>4.0672800000000002</v>
      </c>
      <c r="H37" s="21">
        <f>G37-D37</f>
        <v>0</v>
      </c>
      <c r="I37" s="22">
        <f t="shared" si="2"/>
        <v>0</v>
      </c>
      <c r="J37" s="22">
        <f t="shared" si="10"/>
        <v>1.2744929271170085E-2</v>
      </c>
      <c r="K37" s="107">
        <f t="shared" si="11"/>
        <v>1.3064040346677866E-2</v>
      </c>
    </row>
    <row r="38" spans="1:11" x14ac:dyDescent="0.2">
      <c r="A38" s="106" t="s">
        <v>99</v>
      </c>
      <c r="B38" s="72">
        <f>B8</f>
        <v>1936.8000000000002</v>
      </c>
      <c r="C38" s="33">
        <v>0</v>
      </c>
      <c r="D38" s="21">
        <f>B38*C38</f>
        <v>0</v>
      </c>
      <c r="E38" s="72">
        <f t="shared" si="6"/>
        <v>1936.8000000000002</v>
      </c>
      <c r="F38" s="33">
        <v>0</v>
      </c>
      <c r="G38" s="21">
        <f>E38*F38</f>
        <v>0</v>
      </c>
      <c r="H38" s="21">
        <f>G38-D38</f>
        <v>0</v>
      </c>
      <c r="I38" s="22" t="str">
        <f t="shared" si="2"/>
        <v>N/A</v>
      </c>
      <c r="J38" s="22">
        <f t="shared" ref="J38" si="12">G38/$G$46</f>
        <v>0</v>
      </c>
      <c r="K38" s="107">
        <f t="shared" ref="K38" si="13">G38/$G$51</f>
        <v>0</v>
      </c>
    </row>
    <row r="39" spans="1:11" x14ac:dyDescent="0.2">
      <c r="A39" s="106" t="s">
        <v>44</v>
      </c>
      <c r="B39" s="72">
        <v>1</v>
      </c>
      <c r="C39" s="21">
        <v>0.25</v>
      </c>
      <c r="D39" s="21">
        <f>B39*C39</f>
        <v>0.25</v>
      </c>
      <c r="E39" s="72">
        <f t="shared" si="6"/>
        <v>1</v>
      </c>
      <c r="F39" s="21">
        <f>C39</f>
        <v>0.25</v>
      </c>
      <c r="G39" s="21">
        <f>E39*F39</f>
        <v>0.25</v>
      </c>
      <c r="H39" s="21">
        <f t="shared" si="1"/>
        <v>0</v>
      </c>
      <c r="I39" s="22">
        <f t="shared" si="2"/>
        <v>0</v>
      </c>
      <c r="J39" s="22">
        <f t="shared" si="10"/>
        <v>7.8338160092064504E-4</v>
      </c>
      <c r="K39" s="107">
        <f t="shared" si="11"/>
        <v>8.0299612681434922E-4</v>
      </c>
    </row>
    <row r="40" spans="1:11" s="1" customFormat="1" x14ac:dyDescent="0.2">
      <c r="A40" s="109" t="s">
        <v>45</v>
      </c>
      <c r="B40" s="73"/>
      <c r="C40" s="34"/>
      <c r="D40" s="34">
        <f>SUM(D36:D39)</f>
        <v>11.289760000000001</v>
      </c>
      <c r="E40" s="72"/>
      <c r="F40" s="34"/>
      <c r="G40" s="34">
        <f>SUM(G36:G39)</f>
        <v>11.289760000000001</v>
      </c>
      <c r="H40" s="34">
        <f t="shared" si="1"/>
        <v>0</v>
      </c>
      <c r="I40" s="35">
        <f t="shared" si="2"/>
        <v>0</v>
      </c>
      <c r="J40" s="35">
        <f t="shared" si="10"/>
        <v>3.537676105123945E-2</v>
      </c>
      <c r="K40" s="110">
        <f t="shared" si="11"/>
        <v>3.6262534210654271E-2</v>
      </c>
    </row>
    <row r="41" spans="1:11" s="1" customFormat="1" ht="13.5" thickBot="1" x14ac:dyDescent="0.25">
      <c r="A41" s="111" t="s">
        <v>46</v>
      </c>
      <c r="B41" s="112">
        <f>B4</f>
        <v>1800</v>
      </c>
      <c r="C41" s="113">
        <v>0</v>
      </c>
      <c r="D41" s="114">
        <f>B41*C41</f>
        <v>0</v>
      </c>
      <c r="E41" s="115">
        <f t="shared" si="6"/>
        <v>1800</v>
      </c>
      <c r="F41" s="113">
        <f>C41</f>
        <v>0</v>
      </c>
      <c r="G41" s="114">
        <f>E41*F41</f>
        <v>0</v>
      </c>
      <c r="H41" s="114">
        <f t="shared" si="1"/>
        <v>0</v>
      </c>
      <c r="I41" s="116" t="str">
        <f t="shared" si="2"/>
        <v>N/A</v>
      </c>
      <c r="J41" s="116">
        <f t="shared" si="10"/>
        <v>0</v>
      </c>
      <c r="K41" s="117">
        <f t="shared" si="11"/>
        <v>0</v>
      </c>
    </row>
    <row r="42" spans="1:11" s="1" customFormat="1" x14ac:dyDescent="0.2">
      <c r="A42" s="36" t="s">
        <v>107</v>
      </c>
      <c r="B42" s="37"/>
      <c r="C42" s="38"/>
      <c r="D42" s="38">
        <f>SUM(D14,D25,D26,D27,D33,D40,D41)</f>
        <v>306.98264</v>
      </c>
      <c r="E42" s="37"/>
      <c r="F42" s="38"/>
      <c r="G42" s="38">
        <f>SUM(G14,G25,G26,G27,G33,G40,G41)</f>
        <v>303.93263999999999</v>
      </c>
      <c r="H42" s="38">
        <f t="shared" si="1"/>
        <v>-3.0500000000000114</v>
      </c>
      <c r="I42" s="39">
        <f t="shared" si="2"/>
        <v>-9.9354152404188441E-3</v>
      </c>
      <c r="J42" s="39">
        <f t="shared" si="10"/>
        <v>0.95238095238095233</v>
      </c>
      <c r="K42" s="40"/>
    </row>
    <row r="43" spans="1:11" x14ac:dyDescent="0.2">
      <c r="A43" s="142" t="s">
        <v>108</v>
      </c>
      <c r="B43" s="42"/>
      <c r="C43" s="25">
        <v>0.13</v>
      </c>
      <c r="D43" s="25">
        <f>D42*C43</f>
        <v>39.907743199999999</v>
      </c>
      <c r="E43" s="25"/>
      <c r="F43" s="25">
        <f>C43</f>
        <v>0.13</v>
      </c>
      <c r="G43" s="25">
        <f>G42*F43</f>
        <v>39.511243200000003</v>
      </c>
      <c r="H43" s="25">
        <f t="shared" si="1"/>
        <v>-0.39649999999999608</v>
      </c>
      <c r="I43" s="43">
        <f t="shared" si="2"/>
        <v>-9.9354152404187088E-3</v>
      </c>
      <c r="J43" s="43">
        <f t="shared" si="10"/>
        <v>0.12380952380952381</v>
      </c>
      <c r="K43" s="44"/>
    </row>
    <row r="44" spans="1:11" s="1" customFormat="1" x14ac:dyDescent="0.2">
      <c r="A44" s="45" t="s">
        <v>109</v>
      </c>
      <c r="B44" s="23"/>
      <c r="C44" s="24"/>
      <c r="D44" s="24">
        <f>SUM(D42:D43)</f>
        <v>346.89038319999997</v>
      </c>
      <c r="E44" s="24"/>
      <c r="F44" s="24"/>
      <c r="G44" s="24">
        <f>SUM(G42:G43)</f>
        <v>343.44388320000002</v>
      </c>
      <c r="H44" s="24">
        <f t="shared" si="1"/>
        <v>-3.4464999999999577</v>
      </c>
      <c r="I44" s="26">
        <f t="shared" si="2"/>
        <v>-9.9354152404186862E-3</v>
      </c>
      <c r="J44" s="26">
        <f t="shared" si="10"/>
        <v>1.0761904761904761</v>
      </c>
      <c r="K44" s="46"/>
    </row>
    <row r="45" spans="1:11" x14ac:dyDescent="0.2">
      <c r="A45" s="41" t="s">
        <v>110</v>
      </c>
      <c r="B45" s="42"/>
      <c r="C45" s="25">
        <v>-0.08</v>
      </c>
      <c r="D45" s="25">
        <f>D42*C45</f>
        <v>-24.558611200000001</v>
      </c>
      <c r="E45" s="25"/>
      <c r="F45" s="25">
        <f>C45</f>
        <v>-0.08</v>
      </c>
      <c r="G45" s="25">
        <f>G42*F45</f>
        <v>-24.314611200000002</v>
      </c>
      <c r="H45" s="25">
        <f t="shared" si="1"/>
        <v>0.24399999999999977</v>
      </c>
      <c r="I45" s="43">
        <f t="shared" si="2"/>
        <v>9.9354152404187972E-3</v>
      </c>
      <c r="J45" s="43">
        <f t="shared" si="10"/>
        <v>-7.6190476190476197E-2</v>
      </c>
      <c r="K45" s="44"/>
    </row>
    <row r="46" spans="1:11" s="1" customFormat="1" ht="13.5" thickBot="1" x14ac:dyDescent="0.25">
      <c r="A46" s="47" t="s">
        <v>111</v>
      </c>
      <c r="B46" s="48"/>
      <c r="C46" s="49"/>
      <c r="D46" s="49">
        <f>SUM(D44:D45)</f>
        <v>322.331772</v>
      </c>
      <c r="E46" s="49"/>
      <c r="F46" s="49"/>
      <c r="G46" s="49">
        <f>SUM(G44:G45)</f>
        <v>319.12927200000001</v>
      </c>
      <c r="H46" s="49">
        <f t="shared" si="1"/>
        <v>-3.2024999999999864</v>
      </c>
      <c r="I46" s="50">
        <f t="shared" si="2"/>
        <v>-9.9354152404187643E-3</v>
      </c>
      <c r="J46" s="50">
        <f t="shared" si="10"/>
        <v>1</v>
      </c>
      <c r="K46" s="51"/>
    </row>
    <row r="47" spans="1:11" x14ac:dyDescent="0.2">
      <c r="A47" s="52" t="s">
        <v>112</v>
      </c>
      <c r="B47" s="53"/>
      <c r="C47" s="54"/>
      <c r="D47" s="54">
        <f>SUM(D18,D25,D26,D28,D33,D40,D41)</f>
        <v>299.55857600000002</v>
      </c>
      <c r="E47" s="54"/>
      <c r="F47" s="54"/>
      <c r="G47" s="54">
        <f>SUM(G18,G25,G26,G28,G33,G40,G41)</f>
        <v>296.50857600000001</v>
      </c>
      <c r="H47" s="54">
        <f>G47-D47</f>
        <v>-3.0500000000000114</v>
      </c>
      <c r="I47" s="55">
        <f t="shared" si="2"/>
        <v>-1.0181648079406049E-2</v>
      </c>
      <c r="J47" s="55"/>
      <c r="K47" s="56">
        <f>G47/$G$51</f>
        <v>0.95238095238095244</v>
      </c>
    </row>
    <row r="48" spans="1:11" x14ac:dyDescent="0.2">
      <c r="A48" s="57" t="s">
        <v>108</v>
      </c>
      <c r="B48" s="58"/>
      <c r="C48" s="30">
        <v>0.13</v>
      </c>
      <c r="D48" s="30">
        <f>D47*C48</f>
        <v>38.942614880000001</v>
      </c>
      <c r="E48" s="30"/>
      <c r="F48" s="30">
        <f>C48</f>
        <v>0.13</v>
      </c>
      <c r="G48" s="30">
        <f>G47*F48</f>
        <v>38.546114880000005</v>
      </c>
      <c r="H48" s="30">
        <f>G48-D48</f>
        <v>-0.39649999999999608</v>
      </c>
      <c r="I48" s="31">
        <f t="shared" si="2"/>
        <v>-1.0181648079405912E-2</v>
      </c>
      <c r="J48" s="31"/>
      <c r="K48" s="59">
        <f>G48/$G$51</f>
        <v>0.12380952380952383</v>
      </c>
    </row>
    <row r="49" spans="1:11" x14ac:dyDescent="0.2">
      <c r="A49" s="60" t="s">
        <v>113</v>
      </c>
      <c r="B49" s="28"/>
      <c r="C49" s="29"/>
      <c r="D49" s="29">
        <f>SUM(D47:D48)</f>
        <v>338.50119088000002</v>
      </c>
      <c r="E49" s="29"/>
      <c r="F49" s="29"/>
      <c r="G49" s="29">
        <f>SUM(G47:G48)</f>
        <v>335.05469088000001</v>
      </c>
      <c r="H49" s="29">
        <f>G49-D49</f>
        <v>-3.4465000000000146</v>
      </c>
      <c r="I49" s="32">
        <f t="shared" si="2"/>
        <v>-1.0181648079406054E-2</v>
      </c>
      <c r="J49" s="32"/>
      <c r="K49" s="61">
        <f>G49/$G$51</f>
        <v>1.0761904761904761</v>
      </c>
    </row>
    <row r="50" spans="1:11" x14ac:dyDescent="0.2">
      <c r="A50" s="57" t="s">
        <v>110</v>
      </c>
      <c r="B50" s="58"/>
      <c r="C50" s="30">
        <v>-0.08</v>
      </c>
      <c r="D50" s="30">
        <f>D47*C50</f>
        <v>-23.964686080000003</v>
      </c>
      <c r="E50" s="30"/>
      <c r="F50" s="30">
        <f>C50</f>
        <v>-0.08</v>
      </c>
      <c r="G50" s="30">
        <f>G47*F50</f>
        <v>-23.72068608</v>
      </c>
      <c r="H50" s="30">
        <f>G50-D50</f>
        <v>0.24400000000000333</v>
      </c>
      <c r="I50" s="31">
        <f t="shared" si="2"/>
        <v>1.018164807940615E-2</v>
      </c>
      <c r="J50" s="31"/>
      <c r="K50" s="59">
        <f>G50/$G$51</f>
        <v>-7.6190476190476183E-2</v>
      </c>
    </row>
    <row r="51" spans="1:11" ht="13.5" thickBot="1" x14ac:dyDescent="0.25">
      <c r="A51" s="62" t="s">
        <v>114</v>
      </c>
      <c r="B51" s="63"/>
      <c r="C51" s="64"/>
      <c r="D51" s="64">
        <f>SUM(D49:D50)</f>
        <v>314.53650480000005</v>
      </c>
      <c r="E51" s="64"/>
      <c r="F51" s="64"/>
      <c r="G51" s="64">
        <f>SUM(G49:G50)</f>
        <v>311.3340048</v>
      </c>
      <c r="H51" s="64">
        <f>G51-D51</f>
        <v>-3.2025000000000432</v>
      </c>
      <c r="I51" s="65">
        <f t="shared" si="2"/>
        <v>-1.0181648079406148E-2</v>
      </c>
      <c r="J51" s="65"/>
      <c r="K51" s="66">
        <f>G51/$G$51</f>
        <v>1</v>
      </c>
    </row>
    <row r="52" spans="1:11" x14ac:dyDescent="0.2">
      <c r="C52" s="67"/>
      <c r="F52" s="68"/>
    </row>
    <row r="53" spans="1:11" x14ac:dyDescent="0.2">
      <c r="F53" s="68"/>
    </row>
    <row r="54" spans="1:11" x14ac:dyDescent="0.2">
      <c r="F54" s="68"/>
    </row>
    <row r="55" spans="1:11" x14ac:dyDescent="0.2">
      <c r="A55" s="69"/>
      <c r="B55" s="70"/>
      <c r="F55" s="68"/>
    </row>
    <row r="56" spans="1:11" x14ac:dyDescent="0.2">
      <c r="B56" s="70"/>
      <c r="F56" s="68"/>
    </row>
    <row r="57" spans="1:11" x14ac:dyDescent="0.2">
      <c r="F57" s="68"/>
    </row>
    <row r="58" spans="1:11" x14ac:dyDescent="0.2">
      <c r="D58" s="71"/>
      <c r="F58" s="68"/>
    </row>
    <row r="59" spans="1:11" x14ac:dyDescent="0.2">
      <c r="F59" s="68"/>
    </row>
    <row r="60" spans="1:11" x14ac:dyDescent="0.2">
      <c r="A60" s="69"/>
      <c r="B60" s="70"/>
      <c r="F60" s="68"/>
    </row>
    <row r="61" spans="1:11" x14ac:dyDescent="0.2">
      <c r="B61" s="71"/>
      <c r="D61" s="71"/>
      <c r="F61" s="68"/>
    </row>
    <row r="62" spans="1:11" x14ac:dyDescent="0.2">
      <c r="F62" s="68"/>
    </row>
    <row r="63" spans="1:11" x14ac:dyDescent="0.2">
      <c r="F63" s="68"/>
    </row>
    <row r="64" spans="1:11" x14ac:dyDescent="0.2">
      <c r="F64" s="68"/>
    </row>
    <row r="65" spans="6:6" x14ac:dyDescent="0.2">
      <c r="F65" s="68"/>
    </row>
    <row r="66" spans="6:6" x14ac:dyDescent="0.2">
      <c r="F66" s="68"/>
    </row>
    <row r="67" spans="6:6" x14ac:dyDescent="0.2">
      <c r="F67" s="68"/>
    </row>
    <row r="68" spans="6:6" x14ac:dyDescent="0.2">
      <c r="F68" s="68"/>
    </row>
  </sheetData>
  <mergeCells count="1">
    <mergeCell ref="A1:K1"/>
  </mergeCells>
  <pageMargins left="0.7" right="0.7" top="0.75" bottom="0.75" header="0.3" footer="0.3"/>
  <pageSetup scale="7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1" tint="0.499984740745262"/>
    <pageSetUpPr fitToPage="1"/>
  </sheetPr>
  <dimension ref="A1:K68"/>
  <sheetViews>
    <sheetView tabSelected="1" topLeftCell="A4"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3"/>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205" t="s">
        <v>124</v>
      </c>
      <c r="B1" s="206"/>
      <c r="C1" s="206"/>
      <c r="D1" s="206"/>
      <c r="E1" s="206"/>
      <c r="F1" s="206"/>
      <c r="G1" s="206"/>
      <c r="H1" s="206"/>
      <c r="I1" s="206"/>
      <c r="J1" s="206"/>
      <c r="K1" s="207"/>
    </row>
    <row r="3" spans="1:11" x14ac:dyDescent="0.2">
      <c r="A3" s="12" t="s">
        <v>13</v>
      </c>
      <c r="B3" s="12" t="s">
        <v>2</v>
      </c>
    </row>
    <row r="4" spans="1:11" x14ac:dyDescent="0.2">
      <c r="A4" s="14" t="s">
        <v>62</v>
      </c>
      <c r="B4" s="14">
        <v>450</v>
      </c>
    </row>
    <row r="5" spans="1:11" x14ac:dyDescent="0.2">
      <c r="A5" s="14" t="s">
        <v>16</v>
      </c>
      <c r="B5" s="14">
        <f>VLOOKUP($B$3,'Data for Bill Impacts'!$A$3:$Y$15,5,0)</f>
        <v>0</v>
      </c>
    </row>
    <row r="6" spans="1:11" x14ac:dyDescent="0.2">
      <c r="A6" s="14" t="s">
        <v>20</v>
      </c>
      <c r="B6" s="14">
        <f>VLOOKUP($B$3,'Data for Bill Impacts'!$A$3:$Y$15,2,0)</f>
        <v>1.105</v>
      </c>
    </row>
    <row r="7" spans="1:11" x14ac:dyDescent="0.2">
      <c r="A7" s="14" t="s">
        <v>15</v>
      </c>
      <c r="B7" s="14">
        <f>VLOOKUP($B$3,'Data for Bill Impacts'!$A$3:$Y$15,4,0)</f>
        <v>600</v>
      </c>
    </row>
    <row r="8" spans="1:11" x14ac:dyDescent="0.2">
      <c r="A8" s="14" t="s">
        <v>82</v>
      </c>
      <c r="B8" s="148">
        <f>B4*B6</f>
        <v>497.25</v>
      </c>
    </row>
    <row r="9" spans="1:11" x14ac:dyDescent="0.2">
      <c r="A9" s="14" t="s">
        <v>21</v>
      </c>
      <c r="B9" s="15" t="str">
        <f>VLOOKUP($B$3,'Data for Bill Impacts'!$A$3:$Y$15,6,0)</f>
        <v>kWh</v>
      </c>
    </row>
    <row r="10" spans="1:11" ht="13.5" thickBot="1" x14ac:dyDescent="0.25"/>
    <row r="11" spans="1:11" s="19" customFormat="1" ht="39" thickBot="1" x14ac:dyDescent="0.25">
      <c r="A11" s="16"/>
      <c r="B11" s="17" t="s">
        <v>22</v>
      </c>
      <c r="C11" s="17" t="s">
        <v>23</v>
      </c>
      <c r="D11" s="17" t="s">
        <v>24</v>
      </c>
      <c r="E11" s="17" t="s">
        <v>22</v>
      </c>
      <c r="F11" s="17" t="s">
        <v>25</v>
      </c>
      <c r="G11" s="17" t="s">
        <v>26</v>
      </c>
      <c r="H11" s="17" t="s">
        <v>27</v>
      </c>
      <c r="I11" s="17" t="s">
        <v>28</v>
      </c>
      <c r="J11" s="17" t="s">
        <v>29</v>
      </c>
      <c r="K11" s="18" t="s">
        <v>30</v>
      </c>
    </row>
    <row r="12" spans="1:11" x14ac:dyDescent="0.2">
      <c r="A12" s="100" t="s">
        <v>31</v>
      </c>
      <c r="B12" s="101">
        <f>IF(B4&gt;B7,B7,B4)</f>
        <v>450</v>
      </c>
      <c r="C12" s="102">
        <v>9.0999999999999998E-2</v>
      </c>
      <c r="D12" s="103">
        <f>B12*C12</f>
        <v>40.949999999999996</v>
      </c>
      <c r="E12" s="101">
        <f>B12</f>
        <v>450</v>
      </c>
      <c r="F12" s="102">
        <f>C12</f>
        <v>9.0999999999999998E-2</v>
      </c>
      <c r="G12" s="103">
        <f>E12*F12</f>
        <v>40.949999999999996</v>
      </c>
      <c r="H12" s="103">
        <f>G12-D12</f>
        <v>0</v>
      </c>
      <c r="I12" s="104">
        <f>IF(ISERROR(H12/ABS(D12)),"N/A",(H12/ABS(D12)))</f>
        <v>0</v>
      </c>
      <c r="J12" s="104">
        <f>G12/$G$46</f>
        <v>0.30324606647574703</v>
      </c>
      <c r="K12" s="105"/>
    </row>
    <row r="13" spans="1:11" x14ac:dyDescent="0.2">
      <c r="A13" s="106" t="s">
        <v>32</v>
      </c>
      <c r="B13" s="72">
        <f>IF(B4&gt;B7,(B4)-B7,0)</f>
        <v>0</v>
      </c>
      <c r="C13" s="20">
        <v>0.106</v>
      </c>
      <c r="D13" s="21">
        <f>B13*C13</f>
        <v>0</v>
      </c>
      <c r="E13" s="72">
        <f t="shared" ref="E13" si="0">B13</f>
        <v>0</v>
      </c>
      <c r="F13" s="20">
        <f>C13</f>
        <v>0.106</v>
      </c>
      <c r="G13" s="21">
        <f>E13*F13</f>
        <v>0</v>
      </c>
      <c r="H13" s="21">
        <f t="shared" ref="H13:H46" si="1">G13-D13</f>
        <v>0</v>
      </c>
      <c r="I13" s="22" t="str">
        <f t="shared" ref="I13:I51" si="2">IF(ISERROR(H13/ABS(D13)),"N/A",(H13/ABS(D13)))</f>
        <v>N/A</v>
      </c>
      <c r="J13" s="22">
        <f>G13/$G$46</f>
        <v>0</v>
      </c>
      <c r="K13" s="107"/>
    </row>
    <row r="14" spans="1:11" s="1" customFormat="1" x14ac:dyDescent="0.2">
      <c r="A14" s="45" t="s">
        <v>33</v>
      </c>
      <c r="B14" s="23"/>
      <c r="C14" s="24"/>
      <c r="D14" s="24">
        <f>SUM(D12:D13)</f>
        <v>40.949999999999996</v>
      </c>
      <c r="E14" s="75"/>
      <c r="F14" s="24"/>
      <c r="G14" s="24">
        <f>SUM(G12:G13)</f>
        <v>40.949999999999996</v>
      </c>
      <c r="H14" s="24">
        <f t="shared" si="1"/>
        <v>0</v>
      </c>
      <c r="I14" s="26">
        <f t="shared" si="2"/>
        <v>0</v>
      </c>
      <c r="J14" s="26">
        <f>G14/$G$46</f>
        <v>0.30324606647574703</v>
      </c>
      <c r="K14" s="107"/>
    </row>
    <row r="15" spans="1:11" s="1" customFormat="1" x14ac:dyDescent="0.2">
      <c r="A15" s="108" t="s">
        <v>34</v>
      </c>
      <c r="B15" s="74">
        <f>B4*0.65</f>
        <v>292.5</v>
      </c>
      <c r="C15" s="27">
        <v>7.6999999999999999E-2</v>
      </c>
      <c r="D15" s="21">
        <f>B15*C15</f>
        <v>22.522500000000001</v>
      </c>
      <c r="E15" s="72">
        <f t="shared" ref="E15:F17" si="3">B15</f>
        <v>292.5</v>
      </c>
      <c r="F15" s="27">
        <f t="shared" si="3"/>
        <v>7.6999999999999999E-2</v>
      </c>
      <c r="G15" s="21">
        <f>E15*F15</f>
        <v>22.522500000000001</v>
      </c>
      <c r="H15" s="21">
        <f t="shared" si="1"/>
        <v>0</v>
      </c>
      <c r="I15" s="22">
        <f t="shared" si="2"/>
        <v>0</v>
      </c>
      <c r="J15" s="22"/>
      <c r="K15" s="107">
        <f t="shared" ref="K15:K26" si="4">G15/$G$51</f>
        <v>0.16268425432802594</v>
      </c>
    </row>
    <row r="16" spans="1:11" s="1" customFormat="1" x14ac:dyDescent="0.2">
      <c r="A16" s="108" t="s">
        <v>35</v>
      </c>
      <c r="B16" s="74">
        <f>B4*0.17</f>
        <v>76.5</v>
      </c>
      <c r="C16" s="27">
        <v>0.113</v>
      </c>
      <c r="D16" s="21">
        <f>B16*C16</f>
        <v>8.6445000000000007</v>
      </c>
      <c r="E16" s="72">
        <f t="shared" si="3"/>
        <v>76.5</v>
      </c>
      <c r="F16" s="27">
        <f t="shared" si="3"/>
        <v>0.113</v>
      </c>
      <c r="G16" s="21">
        <f>E16*F16</f>
        <v>8.6445000000000007</v>
      </c>
      <c r="H16" s="21">
        <f t="shared" si="1"/>
        <v>0</v>
      </c>
      <c r="I16" s="22">
        <f t="shared" si="2"/>
        <v>0</v>
      </c>
      <c r="J16" s="22"/>
      <c r="K16" s="107">
        <f t="shared" si="4"/>
        <v>6.2440849663164405E-2</v>
      </c>
    </row>
    <row r="17" spans="1:11" s="1" customFormat="1" x14ac:dyDescent="0.2">
      <c r="A17" s="108" t="s">
        <v>36</v>
      </c>
      <c r="B17" s="74">
        <f>B4*0.18</f>
        <v>81</v>
      </c>
      <c r="C17" s="27">
        <v>0.157</v>
      </c>
      <c r="D17" s="21">
        <f>B17*C17</f>
        <v>12.717000000000001</v>
      </c>
      <c r="E17" s="72">
        <f t="shared" si="3"/>
        <v>81</v>
      </c>
      <c r="F17" s="27">
        <f t="shared" si="3"/>
        <v>0.157</v>
      </c>
      <c r="G17" s="21">
        <f>E17*F17</f>
        <v>12.717000000000001</v>
      </c>
      <c r="H17" s="21">
        <f t="shared" si="1"/>
        <v>0</v>
      </c>
      <c r="I17" s="22">
        <f t="shared" si="2"/>
        <v>0</v>
      </c>
      <c r="J17" s="22"/>
      <c r="K17" s="107">
        <f t="shared" si="4"/>
        <v>9.1857283262937323E-2</v>
      </c>
    </row>
    <row r="18" spans="1:11" s="1" customFormat="1" x14ac:dyDescent="0.2">
      <c r="A18" s="60" t="s">
        <v>37</v>
      </c>
      <c r="B18" s="28"/>
      <c r="C18" s="29"/>
      <c r="D18" s="29">
        <f>SUM(D15:D17)</f>
        <v>43.884</v>
      </c>
      <c r="E18" s="76"/>
      <c r="F18" s="29"/>
      <c r="G18" s="29">
        <f>SUM(G15:G17)</f>
        <v>43.884</v>
      </c>
      <c r="H18" s="30">
        <f t="shared" si="1"/>
        <v>0</v>
      </c>
      <c r="I18" s="31">
        <f t="shared" si="2"/>
        <v>0</v>
      </c>
      <c r="J18" s="32">
        <f t="shared" ref="J18:J23" si="5">G18/$G$46</f>
        <v>0.32497314728258087</v>
      </c>
      <c r="K18" s="61">
        <f t="shared" si="4"/>
        <v>0.31698238725412764</v>
      </c>
    </row>
    <row r="19" spans="1:11" x14ac:dyDescent="0.2">
      <c r="A19" s="106" t="s">
        <v>38</v>
      </c>
      <c r="B19" s="72">
        <v>1</v>
      </c>
      <c r="C19" s="120">
        <f>VLOOKUP($B$3,'Data for Bill Impacts'!$A$3:$Y$15,7,0)</f>
        <v>55.259678307903926</v>
      </c>
      <c r="D19" s="21">
        <f>B19*C19</f>
        <v>55.259678307903926</v>
      </c>
      <c r="E19" s="72">
        <f t="shared" ref="E19:E41" si="6">B19</f>
        <v>1</v>
      </c>
      <c r="F19" s="120">
        <f>VLOOKUP($B$3,'Data for Bill Impacts'!$A$3:$Y$15,17,0)</f>
        <v>68.119678307903939</v>
      </c>
      <c r="G19" s="21">
        <f>E19*F19</f>
        <v>68.119678307903939</v>
      </c>
      <c r="H19" s="21">
        <f t="shared" si="1"/>
        <v>12.860000000000014</v>
      </c>
      <c r="I19" s="22">
        <f t="shared" si="2"/>
        <v>0.23271941483887751</v>
      </c>
      <c r="J19" s="22">
        <f t="shared" si="5"/>
        <v>0.50444504264872148</v>
      </c>
      <c r="K19" s="107">
        <f t="shared" si="4"/>
        <v>0.49204125077528499</v>
      </c>
    </row>
    <row r="20" spans="1:11" hidden="1" x14ac:dyDescent="0.2">
      <c r="A20" s="106" t="s">
        <v>83</v>
      </c>
      <c r="B20" s="72">
        <v>1</v>
      </c>
      <c r="C20" s="77">
        <f>VLOOKUP($B$3,'Data for Bill Impacts'!$A$3:$Y$15,8,0)</f>
        <v>0</v>
      </c>
      <c r="D20" s="21">
        <f>B20*C20</f>
        <v>0</v>
      </c>
      <c r="E20" s="72">
        <f t="shared" si="6"/>
        <v>1</v>
      </c>
      <c r="F20" s="77">
        <v>0</v>
      </c>
      <c r="G20" s="21">
        <f t="shared" ref="G20:G22" si="7">E20*F20</f>
        <v>0</v>
      </c>
      <c r="H20" s="21">
        <f t="shared" si="1"/>
        <v>0</v>
      </c>
      <c r="I20" s="22" t="str">
        <f t="shared" si="2"/>
        <v>N/A</v>
      </c>
      <c r="J20" s="22">
        <f t="shared" si="5"/>
        <v>0</v>
      </c>
      <c r="K20" s="107">
        <f t="shared" si="4"/>
        <v>0</v>
      </c>
    </row>
    <row r="21" spans="1:11" hidden="1" x14ac:dyDescent="0.2">
      <c r="A21" s="106" t="s">
        <v>115</v>
      </c>
      <c r="B21" s="72">
        <v>1</v>
      </c>
      <c r="C21" s="77">
        <f>VLOOKUP($B$3,'Data for Bill Impacts'!$A$3:$Y$15,11,0)</f>
        <v>0</v>
      </c>
      <c r="D21" s="21">
        <f t="shared" ref="D21:D22" si="8">B21*C21</f>
        <v>0</v>
      </c>
      <c r="E21" s="72">
        <f t="shared" si="6"/>
        <v>1</v>
      </c>
      <c r="F21" s="120">
        <f>VLOOKUP($B$3,'Data for Bill Impacts'!$A$3:$Y$15,12,0)</f>
        <v>0</v>
      </c>
      <c r="G21" s="21">
        <f t="shared" si="7"/>
        <v>0</v>
      </c>
      <c r="H21" s="21">
        <f t="shared" si="1"/>
        <v>0</v>
      </c>
      <c r="I21" s="22" t="str">
        <f t="shared" si="2"/>
        <v>N/A</v>
      </c>
      <c r="J21" s="22">
        <f t="shared" si="5"/>
        <v>0</v>
      </c>
      <c r="K21" s="107">
        <f t="shared" si="4"/>
        <v>0</v>
      </c>
    </row>
    <row r="22" spans="1:11" x14ac:dyDescent="0.2">
      <c r="A22" s="106" t="s">
        <v>85</v>
      </c>
      <c r="B22" s="72">
        <v>1</v>
      </c>
      <c r="C22" s="120">
        <f>VLOOKUP($B$3,'Data for Bill Impacts'!$A$3:$Y$15,13,0)</f>
        <v>-2.1000000000000001E-2</v>
      </c>
      <c r="D22" s="21">
        <f t="shared" si="8"/>
        <v>-2.1000000000000001E-2</v>
      </c>
      <c r="E22" s="72">
        <f t="shared" si="6"/>
        <v>1</v>
      </c>
      <c r="F22" s="120">
        <f>VLOOKUP($B$3,'Data for Bill Impacts'!$A$3:$Y$15,22,0)</f>
        <v>-2.1000000000000001E-2</v>
      </c>
      <c r="G22" s="21">
        <f t="shared" si="7"/>
        <v>-2.1000000000000001E-2</v>
      </c>
      <c r="H22" s="21">
        <f t="shared" si="1"/>
        <v>0</v>
      </c>
      <c r="I22" s="22">
        <f t="shared" si="2"/>
        <v>0</v>
      </c>
      <c r="J22" s="22">
        <f t="shared" si="5"/>
        <v>-1.5551080332089595E-4</v>
      </c>
      <c r="K22" s="107">
        <f t="shared" si="4"/>
        <v>-1.5168695042240183E-4</v>
      </c>
    </row>
    <row r="23" spans="1:11" x14ac:dyDescent="0.2">
      <c r="A23" s="106" t="s">
        <v>39</v>
      </c>
      <c r="B23" s="72">
        <f>IF($B$9="kWh",$B$4,$B$5)</f>
        <v>450</v>
      </c>
      <c r="C23" s="77">
        <f>VLOOKUP($B$3,'Data for Bill Impacts'!$A$3:$Y$15,10,0)</f>
        <v>2.01E-2</v>
      </c>
      <c r="D23" s="21">
        <f>B23*C23</f>
        <v>9.0449999999999999</v>
      </c>
      <c r="E23" s="72">
        <f t="shared" si="6"/>
        <v>450</v>
      </c>
      <c r="F23" s="77">
        <f>VLOOKUP($B$3,'Data for Bill Impacts'!$A$3:$Y$15,19,0)</f>
        <v>1.17E-2</v>
      </c>
      <c r="G23" s="21">
        <f>E23*F23</f>
        <v>5.2650000000000006</v>
      </c>
      <c r="H23" s="21">
        <f t="shared" si="1"/>
        <v>-3.7799999999999994</v>
      </c>
      <c r="I23" s="22">
        <f t="shared" si="2"/>
        <v>-0.41791044776119396</v>
      </c>
      <c r="J23" s="22">
        <f t="shared" si="5"/>
        <v>3.8988779975453199E-2</v>
      </c>
      <c r="K23" s="107">
        <f t="shared" si="4"/>
        <v>3.8030085427330745E-2</v>
      </c>
    </row>
    <row r="24" spans="1:11" x14ac:dyDescent="0.2">
      <c r="A24" s="106" t="s">
        <v>129</v>
      </c>
      <c r="B24" s="72">
        <f>IF($B$9="kWh",$B$4,$B$5)</f>
        <v>450</v>
      </c>
      <c r="C24" s="124">
        <f>VLOOKUP($B$3,'Data for Bill Impacts'!$A$3:$Y$15,14,0)</f>
        <v>1.0000000000000003E-5</v>
      </c>
      <c r="D24" s="21">
        <f>B24*C24</f>
        <v>4.5000000000000014E-3</v>
      </c>
      <c r="E24" s="72">
        <f t="shared" si="6"/>
        <v>450</v>
      </c>
      <c r="F24" s="124">
        <f>VLOOKUP($B$3,'Data for Bill Impacts'!$A$3:$Y$15,23,0)</f>
        <v>1.0000000000000003E-5</v>
      </c>
      <c r="G24" s="21">
        <f>E24*F24</f>
        <v>4.5000000000000014E-3</v>
      </c>
      <c r="H24" s="21">
        <f t="shared" si="1"/>
        <v>0</v>
      </c>
      <c r="I24" s="22">
        <f t="shared" si="2"/>
        <v>0</v>
      </c>
      <c r="J24" s="22">
        <f t="shared" ref="J24" si="9">G24/$G$46</f>
        <v>3.3323743568763425E-5</v>
      </c>
      <c r="K24" s="107">
        <f t="shared" si="4"/>
        <v>3.2504346519086109E-5</v>
      </c>
    </row>
    <row r="25" spans="1:11" s="1" customFormat="1" x14ac:dyDescent="0.2">
      <c r="A25" s="109" t="s">
        <v>72</v>
      </c>
      <c r="B25" s="73"/>
      <c r="C25" s="34"/>
      <c r="D25" s="34">
        <f>SUM(D19:D24)</f>
        <v>64.28817830790392</v>
      </c>
      <c r="E25" s="72"/>
      <c r="F25" s="34"/>
      <c r="G25" s="34">
        <f>SUM(G19:G24)</f>
        <v>73.368178307903932</v>
      </c>
      <c r="H25" s="34">
        <f t="shared" si="1"/>
        <v>9.0800000000000125</v>
      </c>
      <c r="I25" s="35">
        <f t="shared" si="2"/>
        <v>0.14123903086057224</v>
      </c>
      <c r="J25" s="35">
        <f>G25/$G$46</f>
        <v>0.54331163556442252</v>
      </c>
      <c r="K25" s="110">
        <f t="shared" si="4"/>
        <v>0.52995215359871239</v>
      </c>
    </row>
    <row r="26" spans="1:11" s="1" customFormat="1" x14ac:dyDescent="0.2">
      <c r="A26" s="118" t="s">
        <v>73</v>
      </c>
      <c r="B26" s="119">
        <v>1</v>
      </c>
      <c r="C26" s="77">
        <f>VLOOKUP($B$3,'Data for Bill Impacts'!$A$3:$Y$15,9,0)</f>
        <v>0.79</v>
      </c>
      <c r="D26" s="21">
        <f>B26*C26</f>
        <v>0.79</v>
      </c>
      <c r="E26" s="72">
        <v>1</v>
      </c>
      <c r="F26" s="77">
        <f>VLOOKUP($B$3,'Data for Bill Impacts'!$A$3:$Y$15,18,0)</f>
        <v>0.79</v>
      </c>
      <c r="G26" s="21">
        <f>E26*F26</f>
        <v>0.79</v>
      </c>
      <c r="H26" s="21">
        <f t="shared" si="1"/>
        <v>0</v>
      </c>
      <c r="I26" s="22">
        <f t="shared" si="2"/>
        <v>0</v>
      </c>
      <c r="J26" s="22">
        <f>G26/$G$46</f>
        <v>5.8501683154051336E-3</v>
      </c>
      <c r="K26" s="107">
        <f t="shared" si="4"/>
        <v>5.7063186111284492E-3</v>
      </c>
    </row>
    <row r="27" spans="1:11" s="1" customFormat="1" x14ac:dyDescent="0.2">
      <c r="A27" s="118" t="s">
        <v>75</v>
      </c>
      <c r="B27" s="119">
        <f>B8-B4</f>
        <v>47.25</v>
      </c>
      <c r="C27" s="186">
        <f>IF(B4&gt;B7,C13,C12)</f>
        <v>9.0999999999999998E-2</v>
      </c>
      <c r="D27" s="21">
        <f>B27*C27</f>
        <v>4.2997499999999995</v>
      </c>
      <c r="E27" s="72">
        <f>B27</f>
        <v>47.25</v>
      </c>
      <c r="F27" s="186">
        <f>C27</f>
        <v>9.0999999999999998E-2</v>
      </c>
      <c r="G27" s="21">
        <f>E27*F27</f>
        <v>4.2997499999999995</v>
      </c>
      <c r="H27" s="21">
        <f t="shared" si="1"/>
        <v>0</v>
      </c>
      <c r="I27" s="22">
        <f t="shared" si="2"/>
        <v>0</v>
      </c>
      <c r="J27" s="22">
        <f t="shared" ref="J27:J46" si="10">G27/$G$46</f>
        <v>3.1840836979953442E-2</v>
      </c>
      <c r="K27" s="107">
        <f t="shared" ref="K27:K41" si="11">G27/$G$51</f>
        <v>3.1057903098986765E-2</v>
      </c>
    </row>
    <row r="28" spans="1:11" s="1" customFormat="1" x14ac:dyDescent="0.2">
      <c r="A28" s="118" t="s">
        <v>74</v>
      </c>
      <c r="B28" s="119">
        <f>B8-B4</f>
        <v>47.25</v>
      </c>
      <c r="C28" s="186">
        <f>0.65*C15+0.17*C16+0.18*C17</f>
        <v>9.7519999999999996E-2</v>
      </c>
      <c r="D28" s="21">
        <f>B28*C28</f>
        <v>4.6078199999999994</v>
      </c>
      <c r="E28" s="72">
        <f>B28</f>
        <v>47.25</v>
      </c>
      <c r="F28" s="186">
        <f>C28</f>
        <v>9.7519999999999996E-2</v>
      </c>
      <c r="G28" s="21">
        <f>E28*F28</f>
        <v>4.6078199999999994</v>
      </c>
      <c r="H28" s="21">
        <f t="shared" si="1"/>
        <v>0</v>
      </c>
      <c r="I28" s="22">
        <f t="shared" si="2"/>
        <v>0</v>
      </c>
      <c r="J28" s="22">
        <f t="shared" si="10"/>
        <v>3.4122180464670984E-2</v>
      </c>
      <c r="K28" s="107">
        <f t="shared" si="11"/>
        <v>3.32831506616834E-2</v>
      </c>
    </row>
    <row r="29" spans="1:11" s="1" customFormat="1" x14ac:dyDescent="0.2">
      <c r="A29" s="109" t="s">
        <v>78</v>
      </c>
      <c r="B29" s="73"/>
      <c r="C29" s="34"/>
      <c r="D29" s="34">
        <f>SUM(D25,D26:D27)</f>
        <v>69.377928307903929</v>
      </c>
      <c r="E29" s="72"/>
      <c r="F29" s="34"/>
      <c r="G29" s="34">
        <f>SUM(G25,G26:G27)</f>
        <v>78.457928307903941</v>
      </c>
      <c r="H29" s="34">
        <f t="shared" si="1"/>
        <v>9.0800000000000125</v>
      </c>
      <c r="I29" s="35">
        <f t="shared" si="2"/>
        <v>0.13087735857003915</v>
      </c>
      <c r="J29" s="35">
        <f t="shared" si="10"/>
        <v>0.58100264085978115</v>
      </c>
      <c r="K29" s="110">
        <f t="shared" si="11"/>
        <v>0.56671637530882768</v>
      </c>
    </row>
    <row r="30" spans="1:11" s="1" customFormat="1" x14ac:dyDescent="0.2">
      <c r="A30" s="109" t="s">
        <v>77</v>
      </c>
      <c r="B30" s="73"/>
      <c r="C30" s="34"/>
      <c r="D30" s="34">
        <f>SUM(D25,D26,D28)</f>
        <v>69.68599830790393</v>
      </c>
      <c r="E30" s="72"/>
      <c r="F30" s="34"/>
      <c r="G30" s="34">
        <f>SUM(G25,G26,G28)</f>
        <v>78.765998307903942</v>
      </c>
      <c r="H30" s="34">
        <f t="shared" si="1"/>
        <v>9.0800000000000125</v>
      </c>
      <c r="I30" s="35">
        <f t="shared" si="2"/>
        <v>0.13029877192661443</v>
      </c>
      <c r="J30" s="35">
        <f t="shared" si="10"/>
        <v>0.58328398434449868</v>
      </c>
      <c r="K30" s="110">
        <f t="shared" si="11"/>
        <v>0.56894162287152428</v>
      </c>
    </row>
    <row r="31" spans="1:11" x14ac:dyDescent="0.2">
      <c r="A31" s="106" t="s">
        <v>40</v>
      </c>
      <c r="B31" s="72">
        <f>B8</f>
        <v>497.25</v>
      </c>
      <c r="C31" s="124">
        <f>VLOOKUP($B$3,'Data for Bill Impacts'!$A$3:$Y$15,15,0)</f>
        <v>6.7999999999999996E-3</v>
      </c>
      <c r="D31" s="21">
        <f>B31*C31</f>
        <v>3.3813</v>
      </c>
      <c r="E31" s="72">
        <f t="shared" si="6"/>
        <v>497.25</v>
      </c>
      <c r="F31" s="77">
        <f>VLOOKUP($B$3,'Data for Bill Impacts'!$A$3:$Y$15,24,0)</f>
        <v>6.7999999999999996E-3</v>
      </c>
      <c r="G31" s="21">
        <f>E31*F31</f>
        <v>3.3813</v>
      </c>
      <c r="H31" s="21">
        <f t="shared" si="1"/>
        <v>0</v>
      </c>
      <c r="I31" s="22">
        <f t="shared" si="2"/>
        <v>0</v>
      </c>
      <c r="J31" s="22">
        <f t="shared" si="10"/>
        <v>2.5039460917568829E-2</v>
      </c>
      <c r="K31" s="107">
        <f t="shared" si="11"/>
        <v>2.4423765974441295E-2</v>
      </c>
    </row>
    <row r="32" spans="1:11" x14ac:dyDescent="0.2">
      <c r="A32" s="106" t="s">
        <v>41</v>
      </c>
      <c r="B32" s="72">
        <f>B8</f>
        <v>497.25</v>
      </c>
      <c r="C32" s="124">
        <f>VLOOKUP($B$3,'Data for Bill Impacts'!$A$3:$Y$15,16,0)</f>
        <v>5.4999999999999997E-3</v>
      </c>
      <c r="D32" s="21">
        <f>B32*C32</f>
        <v>2.7348749999999997</v>
      </c>
      <c r="E32" s="72">
        <f t="shared" si="6"/>
        <v>497.25</v>
      </c>
      <c r="F32" s="77">
        <f>VLOOKUP($B$3,'Data for Bill Impacts'!$A$3:$Y$15,25,0)</f>
        <v>5.4999999999999997E-3</v>
      </c>
      <c r="G32" s="21">
        <f>E32*F32</f>
        <v>2.7348749999999997</v>
      </c>
      <c r="H32" s="21">
        <f t="shared" si="1"/>
        <v>0</v>
      </c>
      <c r="I32" s="22">
        <f t="shared" si="2"/>
        <v>0</v>
      </c>
      <c r="J32" s="22">
        <f t="shared" si="10"/>
        <v>2.0252505153915964E-2</v>
      </c>
      <c r="K32" s="107">
        <f t="shared" si="11"/>
        <v>1.9754516596974577E-2</v>
      </c>
    </row>
    <row r="33" spans="1:11" s="1" customFormat="1" x14ac:dyDescent="0.2">
      <c r="A33" s="109" t="s">
        <v>76</v>
      </c>
      <c r="B33" s="73"/>
      <c r="C33" s="34"/>
      <c r="D33" s="34">
        <f>SUM(D31:D32)</f>
        <v>6.1161750000000001</v>
      </c>
      <c r="E33" s="72"/>
      <c r="F33" s="34"/>
      <c r="G33" s="34">
        <f>SUM(G31:G32)</f>
        <v>6.1161750000000001</v>
      </c>
      <c r="H33" s="34">
        <f t="shared" si="1"/>
        <v>0</v>
      </c>
      <c r="I33" s="35">
        <f t="shared" si="2"/>
        <v>0</v>
      </c>
      <c r="J33" s="35">
        <f t="shared" si="10"/>
        <v>4.52919660714848E-2</v>
      </c>
      <c r="K33" s="110">
        <f t="shared" si="11"/>
        <v>4.4178282571415872E-2</v>
      </c>
    </row>
    <row r="34" spans="1:11" s="1" customFormat="1" x14ac:dyDescent="0.2">
      <c r="A34" s="109" t="s">
        <v>93</v>
      </c>
      <c r="B34" s="73"/>
      <c r="C34" s="34"/>
      <c r="D34" s="34">
        <f>D29+D33</f>
        <v>75.494103307903927</v>
      </c>
      <c r="E34" s="72"/>
      <c r="F34" s="34"/>
      <c r="G34" s="34">
        <f>G29+G33</f>
        <v>84.57410330790394</v>
      </c>
      <c r="H34" s="34">
        <f t="shared" si="1"/>
        <v>9.0800000000000125</v>
      </c>
      <c r="I34" s="35">
        <f t="shared" si="2"/>
        <v>0.12027429431100181</v>
      </c>
      <c r="J34" s="35">
        <f t="shared" si="10"/>
        <v>0.62629460693126593</v>
      </c>
      <c r="K34" s="110">
        <f t="shared" si="11"/>
        <v>0.61089465788024355</v>
      </c>
    </row>
    <row r="35" spans="1:11" s="1" customFormat="1" x14ac:dyDescent="0.2">
      <c r="A35" s="109" t="s">
        <v>94</v>
      </c>
      <c r="B35" s="73"/>
      <c r="C35" s="34"/>
      <c r="D35" s="34">
        <f>D30+D33</f>
        <v>75.802173307903928</v>
      </c>
      <c r="E35" s="72"/>
      <c r="F35" s="34"/>
      <c r="G35" s="34">
        <f>G30+G33</f>
        <v>84.88217330790394</v>
      </c>
      <c r="H35" s="34">
        <f t="shared" si="1"/>
        <v>9.0800000000000125</v>
      </c>
      <c r="I35" s="35">
        <f t="shared" si="2"/>
        <v>0.11978548376334267</v>
      </c>
      <c r="J35" s="35">
        <f t="shared" si="10"/>
        <v>0.62857595041598346</v>
      </c>
      <c r="K35" s="110">
        <f t="shared" si="11"/>
        <v>0.61311990544294015</v>
      </c>
    </row>
    <row r="36" spans="1:11" x14ac:dyDescent="0.2">
      <c r="A36" s="106" t="s">
        <v>42</v>
      </c>
      <c r="B36" s="72">
        <f>B8</f>
        <v>497.25</v>
      </c>
      <c r="C36" s="33">
        <v>3.5999999999999999E-3</v>
      </c>
      <c r="D36" s="21">
        <f>B36*C36</f>
        <v>1.7901</v>
      </c>
      <c r="E36" s="72">
        <f t="shared" si="6"/>
        <v>497.25</v>
      </c>
      <c r="F36" s="33">
        <v>3.5999999999999999E-3</v>
      </c>
      <c r="G36" s="21">
        <f>E36*F36</f>
        <v>1.7901</v>
      </c>
      <c r="H36" s="21">
        <f t="shared" si="1"/>
        <v>0</v>
      </c>
      <c r="I36" s="22">
        <f t="shared" si="2"/>
        <v>0</v>
      </c>
      <c r="J36" s="22">
        <f t="shared" si="10"/>
        <v>1.3256185191654087E-2</v>
      </c>
      <c r="K36" s="107">
        <f t="shared" si="11"/>
        <v>1.2930229045292452E-2</v>
      </c>
    </row>
    <row r="37" spans="1:11" x14ac:dyDescent="0.2">
      <c r="A37" s="106" t="s">
        <v>43</v>
      </c>
      <c r="B37" s="72">
        <f>B8</f>
        <v>497.25</v>
      </c>
      <c r="C37" s="33">
        <v>2.0999999999999999E-3</v>
      </c>
      <c r="D37" s="21">
        <f>B37*C37</f>
        <v>1.044225</v>
      </c>
      <c r="E37" s="72">
        <f t="shared" si="6"/>
        <v>497.25</v>
      </c>
      <c r="F37" s="33">
        <v>2.0999999999999999E-3</v>
      </c>
      <c r="G37" s="21">
        <f>E37*F37</f>
        <v>1.044225</v>
      </c>
      <c r="H37" s="21">
        <f>G37-D37</f>
        <v>0</v>
      </c>
      <c r="I37" s="22">
        <f t="shared" si="2"/>
        <v>0</v>
      </c>
      <c r="J37" s="22">
        <f t="shared" si="10"/>
        <v>7.7327746951315508E-3</v>
      </c>
      <c r="K37" s="107">
        <f t="shared" si="11"/>
        <v>7.5426336097539296E-3</v>
      </c>
    </row>
    <row r="38" spans="1:11" x14ac:dyDescent="0.2">
      <c r="A38" s="106" t="s">
        <v>99</v>
      </c>
      <c r="B38" s="72">
        <f>B8</f>
        <v>497.25</v>
      </c>
      <c r="C38" s="33">
        <v>0</v>
      </c>
      <c r="D38" s="21">
        <f>B38*C38</f>
        <v>0</v>
      </c>
      <c r="E38" s="72">
        <f t="shared" si="6"/>
        <v>497.25</v>
      </c>
      <c r="F38" s="33">
        <v>0</v>
      </c>
      <c r="G38" s="21">
        <f>E38*F38</f>
        <v>0</v>
      </c>
      <c r="H38" s="21">
        <f>G38-D38</f>
        <v>0</v>
      </c>
      <c r="I38" s="22" t="str">
        <f t="shared" si="2"/>
        <v>N/A</v>
      </c>
      <c r="J38" s="22">
        <f t="shared" ref="J38" si="12">G38/$G$46</f>
        <v>0</v>
      </c>
      <c r="K38" s="107">
        <f t="shared" ref="K38" si="13">G38/$G$51</f>
        <v>0</v>
      </c>
    </row>
    <row r="39" spans="1:11" x14ac:dyDescent="0.2">
      <c r="A39" s="106" t="s">
        <v>44</v>
      </c>
      <c r="B39" s="72">
        <v>1</v>
      </c>
      <c r="C39" s="21">
        <v>0.25</v>
      </c>
      <c r="D39" s="21">
        <f>B39*C39</f>
        <v>0.25</v>
      </c>
      <c r="E39" s="72">
        <f t="shared" si="6"/>
        <v>1</v>
      </c>
      <c r="F39" s="21">
        <f>C39</f>
        <v>0.25</v>
      </c>
      <c r="G39" s="21">
        <f>E39*F39</f>
        <v>0.25</v>
      </c>
      <c r="H39" s="21">
        <f t="shared" si="1"/>
        <v>0</v>
      </c>
      <c r="I39" s="22">
        <f t="shared" si="2"/>
        <v>0</v>
      </c>
      <c r="J39" s="22">
        <f t="shared" si="10"/>
        <v>1.851319087153523E-3</v>
      </c>
      <c r="K39" s="107">
        <f t="shared" si="11"/>
        <v>1.8057970288381168E-3</v>
      </c>
    </row>
    <row r="40" spans="1:11" s="1" customFormat="1" x14ac:dyDescent="0.2">
      <c r="A40" s="109" t="s">
        <v>45</v>
      </c>
      <c r="B40" s="73"/>
      <c r="C40" s="34"/>
      <c r="D40" s="34">
        <f>SUM(D36:D39)</f>
        <v>3.0843249999999998</v>
      </c>
      <c r="E40" s="72"/>
      <c r="F40" s="34"/>
      <c r="G40" s="34">
        <f>SUM(G36:G39)</f>
        <v>3.0843249999999998</v>
      </c>
      <c r="H40" s="34">
        <f t="shared" si="1"/>
        <v>0</v>
      </c>
      <c r="I40" s="35">
        <f t="shared" si="2"/>
        <v>0</v>
      </c>
      <c r="J40" s="35">
        <f t="shared" si="10"/>
        <v>2.2840278973939161E-2</v>
      </c>
      <c r="K40" s="110">
        <f t="shared" si="11"/>
        <v>2.2278659683884497E-2</v>
      </c>
    </row>
    <row r="41" spans="1:11" s="1" customFormat="1" ht="13.5" thickBot="1" x14ac:dyDescent="0.25">
      <c r="A41" s="111" t="s">
        <v>46</v>
      </c>
      <c r="B41" s="112">
        <f>B4</f>
        <v>450</v>
      </c>
      <c r="C41" s="113">
        <v>0</v>
      </c>
      <c r="D41" s="114">
        <f>B41*C41</f>
        <v>0</v>
      </c>
      <c r="E41" s="115">
        <f t="shared" si="6"/>
        <v>450</v>
      </c>
      <c r="F41" s="113">
        <f>C41</f>
        <v>0</v>
      </c>
      <c r="G41" s="114">
        <f>E41*F41</f>
        <v>0</v>
      </c>
      <c r="H41" s="114">
        <f t="shared" si="1"/>
        <v>0</v>
      </c>
      <c r="I41" s="116" t="str">
        <f t="shared" si="2"/>
        <v>N/A</v>
      </c>
      <c r="J41" s="116">
        <f t="shared" si="10"/>
        <v>0</v>
      </c>
      <c r="K41" s="117">
        <f t="shared" si="11"/>
        <v>0</v>
      </c>
    </row>
    <row r="42" spans="1:11" s="1" customFormat="1" x14ac:dyDescent="0.2">
      <c r="A42" s="36" t="s">
        <v>107</v>
      </c>
      <c r="B42" s="37"/>
      <c r="C42" s="38"/>
      <c r="D42" s="38">
        <f>SUM(D14,D25,D26,D27,D33,D40,D41)</f>
        <v>119.52842830790394</v>
      </c>
      <c r="E42" s="37"/>
      <c r="F42" s="38"/>
      <c r="G42" s="38">
        <f>SUM(G14,G25,G26,G27,G33,G40,G41)</f>
        <v>128.60842830790395</v>
      </c>
      <c r="H42" s="38">
        <f t="shared" si="1"/>
        <v>9.0800000000000125</v>
      </c>
      <c r="I42" s="39">
        <f t="shared" si="2"/>
        <v>7.5965191950905855E-2</v>
      </c>
      <c r="J42" s="39">
        <f t="shared" si="10"/>
        <v>0.95238095238095222</v>
      </c>
      <c r="K42" s="40"/>
    </row>
    <row r="43" spans="1:11" x14ac:dyDescent="0.2">
      <c r="A43" s="142" t="s">
        <v>108</v>
      </c>
      <c r="B43" s="42"/>
      <c r="C43" s="25">
        <v>0.13</v>
      </c>
      <c r="D43" s="25">
        <f>D42*C43</f>
        <v>15.538695680027512</v>
      </c>
      <c r="E43" s="25"/>
      <c r="F43" s="25">
        <f>C43</f>
        <v>0.13</v>
      </c>
      <c r="G43" s="25">
        <f>G42*F43</f>
        <v>16.719095680027515</v>
      </c>
      <c r="H43" s="25">
        <f t="shared" si="1"/>
        <v>1.1804000000000023</v>
      </c>
      <c r="I43" s="43">
        <f t="shared" si="2"/>
        <v>7.5965191950905911E-2</v>
      </c>
      <c r="J43" s="43">
        <f t="shared" si="10"/>
        <v>0.1238095238095238</v>
      </c>
      <c r="K43" s="44"/>
    </row>
    <row r="44" spans="1:11" s="1" customFormat="1" x14ac:dyDescent="0.2">
      <c r="A44" s="45" t="s">
        <v>109</v>
      </c>
      <c r="B44" s="23"/>
      <c r="C44" s="24"/>
      <c r="D44" s="24">
        <f>SUM(D42:D43)</f>
        <v>135.06712398793144</v>
      </c>
      <c r="E44" s="24"/>
      <c r="F44" s="24"/>
      <c r="G44" s="24">
        <f>SUM(G42:G43)</f>
        <v>145.32752398793147</v>
      </c>
      <c r="H44" s="24">
        <f t="shared" si="1"/>
        <v>10.260400000000033</v>
      </c>
      <c r="I44" s="26">
        <f t="shared" si="2"/>
        <v>7.5965191950906008E-2</v>
      </c>
      <c r="J44" s="26">
        <f t="shared" si="10"/>
        <v>1.0761904761904761</v>
      </c>
      <c r="K44" s="46"/>
    </row>
    <row r="45" spans="1:11" x14ac:dyDescent="0.2">
      <c r="A45" s="41" t="s">
        <v>110</v>
      </c>
      <c r="B45" s="42"/>
      <c r="C45" s="25">
        <v>-0.08</v>
      </c>
      <c r="D45" s="25">
        <f>D42*C45</f>
        <v>-9.5622742646323147</v>
      </c>
      <c r="E45" s="25"/>
      <c r="F45" s="25">
        <f>C45</f>
        <v>-0.08</v>
      </c>
      <c r="G45" s="25">
        <f>G42*F45</f>
        <v>-10.288674264632316</v>
      </c>
      <c r="H45" s="25">
        <f t="shared" si="1"/>
        <v>-0.72640000000000171</v>
      </c>
      <c r="I45" s="43">
        <f t="shared" si="2"/>
        <v>-7.5965191950905939E-2</v>
      </c>
      <c r="J45" s="43">
        <f t="shared" si="10"/>
        <v>-7.6190476190476183E-2</v>
      </c>
      <c r="K45" s="44"/>
    </row>
    <row r="46" spans="1:11" s="1" customFormat="1" ht="13.5" thickBot="1" x14ac:dyDescent="0.25">
      <c r="A46" s="47" t="s">
        <v>111</v>
      </c>
      <c r="B46" s="48"/>
      <c r="C46" s="49"/>
      <c r="D46" s="49">
        <f>SUM(D44:D45)</f>
        <v>125.50484972329912</v>
      </c>
      <c r="E46" s="49"/>
      <c r="F46" s="49"/>
      <c r="G46" s="49">
        <f>SUM(G44:G45)</f>
        <v>135.03884972329917</v>
      </c>
      <c r="H46" s="49">
        <f t="shared" si="1"/>
        <v>9.5340000000000487</v>
      </c>
      <c r="I46" s="50">
        <f t="shared" si="2"/>
        <v>7.5965191950906161E-2</v>
      </c>
      <c r="J46" s="50">
        <f t="shared" si="10"/>
        <v>1</v>
      </c>
      <c r="K46" s="51"/>
    </row>
    <row r="47" spans="1:11" x14ac:dyDescent="0.2">
      <c r="A47" s="52" t="s">
        <v>112</v>
      </c>
      <c r="B47" s="53"/>
      <c r="C47" s="54"/>
      <c r="D47" s="54">
        <f>SUM(D18,D25,D26,D28,D33,D40,D41)</f>
        <v>122.77049830790392</v>
      </c>
      <c r="E47" s="54"/>
      <c r="F47" s="54"/>
      <c r="G47" s="54">
        <f>SUM(G18,G25,G26,G28,G33,G40,G41)</f>
        <v>131.85049830790396</v>
      </c>
      <c r="H47" s="54">
        <f>G47-D47</f>
        <v>9.0800000000000409</v>
      </c>
      <c r="I47" s="55">
        <f t="shared" si="2"/>
        <v>7.3959136153603722E-2</v>
      </c>
      <c r="J47" s="55"/>
      <c r="K47" s="56">
        <f>G47/$G$51</f>
        <v>0.95238095238095244</v>
      </c>
    </row>
    <row r="48" spans="1:11" x14ac:dyDescent="0.2">
      <c r="A48" s="143" t="s">
        <v>108</v>
      </c>
      <c r="B48" s="58"/>
      <c r="C48" s="30">
        <v>0.13</v>
      </c>
      <c r="D48" s="30">
        <f>D47*C48</f>
        <v>15.96016478002751</v>
      </c>
      <c r="E48" s="30"/>
      <c r="F48" s="30">
        <f>C48</f>
        <v>0.13</v>
      </c>
      <c r="G48" s="30">
        <f>G47*F48</f>
        <v>17.140564780027514</v>
      </c>
      <c r="H48" s="30">
        <f>G48-D48</f>
        <v>1.1804000000000041</v>
      </c>
      <c r="I48" s="31">
        <f t="shared" si="2"/>
        <v>7.3959136153603638E-2</v>
      </c>
      <c r="J48" s="31"/>
      <c r="K48" s="59">
        <f>G48/$G$51</f>
        <v>0.12380952380952381</v>
      </c>
    </row>
    <row r="49" spans="1:11" x14ac:dyDescent="0.2">
      <c r="A49" s="60" t="s">
        <v>113</v>
      </c>
      <c r="B49" s="28"/>
      <c r="C49" s="29"/>
      <c r="D49" s="29">
        <f>SUM(D47:D48)</f>
        <v>138.73066308793142</v>
      </c>
      <c r="E49" s="29"/>
      <c r="F49" s="29"/>
      <c r="G49" s="29">
        <f>SUM(G47:G48)</f>
        <v>148.99106308793148</v>
      </c>
      <c r="H49" s="29">
        <f>G49-D49</f>
        <v>10.260400000000061</v>
      </c>
      <c r="I49" s="32">
        <f t="shared" si="2"/>
        <v>7.3959136153603833E-2</v>
      </c>
      <c r="J49" s="32"/>
      <c r="K49" s="61">
        <f>G49/$G$51</f>
        <v>1.0761904761904764</v>
      </c>
    </row>
    <row r="50" spans="1:11" x14ac:dyDescent="0.2">
      <c r="A50" s="57" t="s">
        <v>110</v>
      </c>
      <c r="B50" s="58"/>
      <c r="C50" s="30">
        <v>-0.08</v>
      </c>
      <c r="D50" s="30">
        <f>D47*C50</f>
        <v>-9.8216398646323135</v>
      </c>
      <c r="E50" s="30"/>
      <c r="F50" s="30">
        <f>C50</f>
        <v>-0.08</v>
      </c>
      <c r="G50" s="30">
        <f>G47*F50</f>
        <v>-10.548039864632317</v>
      </c>
      <c r="H50" s="30">
        <f>G50-D50</f>
        <v>-0.72640000000000349</v>
      </c>
      <c r="I50" s="31">
        <f t="shared" si="2"/>
        <v>-7.3959136153603736E-2</v>
      </c>
      <c r="J50" s="31"/>
      <c r="K50" s="59">
        <f>G50/$G$51</f>
        <v>-7.6190476190476197E-2</v>
      </c>
    </row>
    <row r="51" spans="1:11" ht="13.5" thickBot="1" x14ac:dyDescent="0.25">
      <c r="A51" s="62" t="s">
        <v>114</v>
      </c>
      <c r="B51" s="63"/>
      <c r="C51" s="64"/>
      <c r="D51" s="64">
        <f>SUM(D49:D50)</f>
        <v>128.9090232232991</v>
      </c>
      <c r="E51" s="64"/>
      <c r="F51" s="64"/>
      <c r="G51" s="64">
        <f>SUM(G49:G50)</f>
        <v>138.44302322329915</v>
      </c>
      <c r="H51" s="64">
        <f>G51-D51</f>
        <v>9.5340000000000487</v>
      </c>
      <c r="I51" s="65">
        <f t="shared" si="2"/>
        <v>7.3959136153603777E-2</v>
      </c>
      <c r="J51" s="65"/>
      <c r="K51" s="66">
        <f>G51/$G$51</f>
        <v>1</v>
      </c>
    </row>
    <row r="52" spans="1:11" x14ac:dyDescent="0.2">
      <c r="C52" s="67"/>
      <c r="F52" s="68"/>
    </row>
    <row r="53" spans="1:11" x14ac:dyDescent="0.2">
      <c r="F53" s="68"/>
    </row>
    <row r="54" spans="1:11" x14ac:dyDescent="0.2">
      <c r="F54" s="68"/>
    </row>
    <row r="55" spans="1:11" x14ac:dyDescent="0.2">
      <c r="A55" s="69"/>
      <c r="B55" s="70"/>
      <c r="F55" s="68"/>
    </row>
    <row r="56" spans="1:11" x14ac:dyDescent="0.2">
      <c r="B56" s="70"/>
      <c r="F56" s="68"/>
    </row>
    <row r="57" spans="1:11" x14ac:dyDescent="0.2">
      <c r="F57" s="68"/>
    </row>
    <row r="58" spans="1:11" x14ac:dyDescent="0.2">
      <c r="D58" s="71"/>
      <c r="F58" s="68"/>
    </row>
    <row r="59" spans="1:11" x14ac:dyDescent="0.2">
      <c r="F59" s="68"/>
    </row>
    <row r="60" spans="1:11" x14ac:dyDescent="0.2">
      <c r="A60" s="69"/>
      <c r="B60" s="70"/>
      <c r="F60" s="68"/>
    </row>
    <row r="61" spans="1:11" x14ac:dyDescent="0.2">
      <c r="B61" s="71"/>
      <c r="D61" s="71"/>
      <c r="F61" s="68"/>
    </row>
    <row r="62" spans="1:11" x14ac:dyDescent="0.2">
      <c r="F62" s="68"/>
    </row>
    <row r="63" spans="1:11" x14ac:dyDescent="0.2">
      <c r="F63" s="68"/>
    </row>
    <row r="64" spans="1:11" x14ac:dyDescent="0.2">
      <c r="F64" s="68"/>
    </row>
    <row r="65" spans="6:6" x14ac:dyDescent="0.2">
      <c r="F65" s="68"/>
    </row>
    <row r="66" spans="6:6" x14ac:dyDescent="0.2">
      <c r="F66" s="68"/>
    </row>
    <row r="67" spans="6:6" x14ac:dyDescent="0.2">
      <c r="F67" s="68"/>
    </row>
    <row r="68" spans="6:6" x14ac:dyDescent="0.2">
      <c r="F68" s="68"/>
    </row>
  </sheetData>
  <mergeCells count="1">
    <mergeCell ref="A1:K1"/>
  </mergeCells>
  <pageMargins left="0.7" right="0.7" top="0.75" bottom="0.75" header="0.3" footer="0.3"/>
  <pageSetup scale="7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1" tint="0.499984740745262"/>
    <pageSetUpPr fitToPage="1"/>
  </sheetPr>
  <dimension ref="A1:K68"/>
  <sheetViews>
    <sheetView tabSelected="1" topLeftCell="A4"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3"/>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205" t="s">
        <v>126</v>
      </c>
      <c r="B1" s="206"/>
      <c r="C1" s="206"/>
      <c r="D1" s="206"/>
      <c r="E1" s="206"/>
      <c r="F1" s="206"/>
      <c r="G1" s="206"/>
      <c r="H1" s="206"/>
      <c r="I1" s="206"/>
      <c r="J1" s="206"/>
      <c r="K1" s="207"/>
    </row>
    <row r="3" spans="1:11" x14ac:dyDescent="0.2">
      <c r="A3" s="12" t="s">
        <v>13</v>
      </c>
      <c r="B3" s="12" t="s">
        <v>2</v>
      </c>
    </row>
    <row r="4" spans="1:11" x14ac:dyDescent="0.2">
      <c r="A4" s="14" t="s">
        <v>62</v>
      </c>
      <c r="B4" s="14">
        <v>750</v>
      </c>
    </row>
    <row r="5" spans="1:11" x14ac:dyDescent="0.2">
      <c r="A5" s="14" t="s">
        <v>16</v>
      </c>
      <c r="B5" s="14">
        <f>VLOOKUP($B$3,'Data for Bill Impacts'!$A$3:$Y$15,5,0)</f>
        <v>0</v>
      </c>
    </row>
    <row r="6" spans="1:11" x14ac:dyDescent="0.2">
      <c r="A6" s="14" t="s">
        <v>20</v>
      </c>
      <c r="B6" s="14">
        <f>VLOOKUP($B$3,'Data for Bill Impacts'!$A$3:$Y$15,2,0)</f>
        <v>1.105</v>
      </c>
    </row>
    <row r="7" spans="1:11" x14ac:dyDescent="0.2">
      <c r="A7" s="14" t="s">
        <v>15</v>
      </c>
      <c r="B7" s="14">
        <f>VLOOKUP($B$3,'Data for Bill Impacts'!$A$3:$Y$15,4,0)</f>
        <v>600</v>
      </c>
    </row>
    <row r="8" spans="1:11" x14ac:dyDescent="0.2">
      <c r="A8" s="14" t="s">
        <v>82</v>
      </c>
      <c r="B8" s="148">
        <f>B4*B6</f>
        <v>828.75</v>
      </c>
    </row>
    <row r="9" spans="1:11" x14ac:dyDescent="0.2">
      <c r="A9" s="14" t="s">
        <v>21</v>
      </c>
      <c r="B9" s="15" t="str">
        <f>VLOOKUP($B$3,'Data for Bill Impacts'!$A$3:$Y$15,6,0)</f>
        <v>kWh</v>
      </c>
    </row>
    <row r="10" spans="1:11" ht="13.5" thickBot="1" x14ac:dyDescent="0.25"/>
    <row r="11" spans="1:11" s="19" customFormat="1" ht="39" thickBot="1" x14ac:dyDescent="0.25">
      <c r="A11" s="16"/>
      <c r="B11" s="17" t="s">
        <v>22</v>
      </c>
      <c r="C11" s="17" t="s">
        <v>23</v>
      </c>
      <c r="D11" s="17" t="s">
        <v>24</v>
      </c>
      <c r="E11" s="17" t="s">
        <v>22</v>
      </c>
      <c r="F11" s="17" t="s">
        <v>25</v>
      </c>
      <c r="G11" s="17" t="s">
        <v>26</v>
      </c>
      <c r="H11" s="17" t="s">
        <v>27</v>
      </c>
      <c r="I11" s="17" t="s">
        <v>28</v>
      </c>
      <c r="J11" s="17" t="s">
        <v>29</v>
      </c>
      <c r="K11" s="18" t="s">
        <v>30</v>
      </c>
    </row>
    <row r="12" spans="1:11" x14ac:dyDescent="0.2">
      <c r="A12" s="100" t="s">
        <v>31</v>
      </c>
      <c r="B12" s="101">
        <f>IF(B4&gt;B7,B7,B4)</f>
        <v>600</v>
      </c>
      <c r="C12" s="102">
        <v>9.0999999999999998E-2</v>
      </c>
      <c r="D12" s="103">
        <f>B12*C12</f>
        <v>54.6</v>
      </c>
      <c r="E12" s="101">
        <f>B12</f>
        <v>600</v>
      </c>
      <c r="F12" s="102">
        <f>C12</f>
        <v>9.0999999999999998E-2</v>
      </c>
      <c r="G12" s="103">
        <f>E12*F12</f>
        <v>54.6</v>
      </c>
      <c r="H12" s="103">
        <f>G12-D12</f>
        <v>0</v>
      </c>
      <c r="I12" s="104">
        <f>IF(ISERROR(H12/ABS(D12)),"N/A",(H12/ABS(D12)))</f>
        <v>0</v>
      </c>
      <c r="J12" s="104">
        <f>G12/$G$46</f>
        <v>0.30287819620949696</v>
      </c>
      <c r="K12" s="105"/>
    </row>
    <row r="13" spans="1:11" x14ac:dyDescent="0.2">
      <c r="A13" s="106" t="s">
        <v>32</v>
      </c>
      <c r="B13" s="72">
        <f>IF(B4&gt;B7,(B4)-B7,0)</f>
        <v>150</v>
      </c>
      <c r="C13" s="20">
        <v>0.106</v>
      </c>
      <c r="D13" s="21">
        <f>B13*C13</f>
        <v>15.9</v>
      </c>
      <c r="E13" s="72">
        <f t="shared" ref="E13" si="0">B13</f>
        <v>150</v>
      </c>
      <c r="F13" s="20">
        <f>C13</f>
        <v>0.106</v>
      </c>
      <c r="G13" s="21">
        <f>E13*F13</f>
        <v>15.9</v>
      </c>
      <c r="H13" s="21">
        <f t="shared" ref="H13:H46" si="1">G13-D13</f>
        <v>0</v>
      </c>
      <c r="I13" s="22">
        <f t="shared" ref="I13:I51" si="2">IF(ISERROR(H13/ABS(D13)),"N/A",(H13/ABS(D13)))</f>
        <v>0</v>
      </c>
      <c r="J13" s="22">
        <f>G13/$G$46</f>
        <v>8.8200793401666699E-2</v>
      </c>
      <c r="K13" s="107"/>
    </row>
    <row r="14" spans="1:11" s="1" customFormat="1" x14ac:dyDescent="0.2">
      <c r="A14" s="45" t="s">
        <v>33</v>
      </c>
      <c r="B14" s="23"/>
      <c r="C14" s="24"/>
      <c r="D14" s="24">
        <f>SUM(D12:D13)</f>
        <v>70.5</v>
      </c>
      <c r="E14" s="75"/>
      <c r="F14" s="24"/>
      <c r="G14" s="24">
        <f>SUM(G12:G13)</f>
        <v>70.5</v>
      </c>
      <c r="H14" s="24">
        <f t="shared" si="1"/>
        <v>0</v>
      </c>
      <c r="I14" s="26">
        <f t="shared" si="2"/>
        <v>0</v>
      </c>
      <c r="J14" s="26">
        <f>G14/$G$46</f>
        <v>0.39107898961116361</v>
      </c>
      <c r="K14" s="107"/>
    </row>
    <row r="15" spans="1:11" s="1" customFormat="1" x14ac:dyDescent="0.2">
      <c r="A15" s="108" t="s">
        <v>34</v>
      </c>
      <c r="B15" s="74">
        <f>B4*0.65</f>
        <v>487.5</v>
      </c>
      <c r="C15" s="27">
        <v>7.6999999999999999E-2</v>
      </c>
      <c r="D15" s="21">
        <f>B15*C15</f>
        <v>37.537500000000001</v>
      </c>
      <c r="E15" s="72">
        <f t="shared" ref="E15:F17" si="3">B15</f>
        <v>487.5</v>
      </c>
      <c r="F15" s="27">
        <f t="shared" si="3"/>
        <v>7.6999999999999999E-2</v>
      </c>
      <c r="G15" s="21">
        <f>E15*F15</f>
        <v>37.537500000000001</v>
      </c>
      <c r="H15" s="21">
        <f t="shared" si="1"/>
        <v>0</v>
      </c>
      <c r="I15" s="22">
        <f t="shared" si="2"/>
        <v>0</v>
      </c>
      <c r="J15" s="22"/>
      <c r="K15" s="107">
        <f t="shared" ref="K15:K26" si="4">G15/$G$51</f>
        <v>0.20586395167536162</v>
      </c>
    </row>
    <row r="16" spans="1:11" s="1" customFormat="1" x14ac:dyDescent="0.2">
      <c r="A16" s="108" t="s">
        <v>35</v>
      </c>
      <c r="B16" s="74">
        <f>B4*0.17</f>
        <v>127.50000000000001</v>
      </c>
      <c r="C16" s="27">
        <v>0.113</v>
      </c>
      <c r="D16" s="21">
        <f>B16*C16</f>
        <v>14.407500000000002</v>
      </c>
      <c r="E16" s="72">
        <f t="shared" si="3"/>
        <v>127.50000000000001</v>
      </c>
      <c r="F16" s="27">
        <f t="shared" si="3"/>
        <v>0.113</v>
      </c>
      <c r="G16" s="21">
        <f>E16*F16</f>
        <v>14.407500000000002</v>
      </c>
      <c r="H16" s="21">
        <f t="shared" si="1"/>
        <v>0</v>
      </c>
      <c r="I16" s="22">
        <f t="shared" si="2"/>
        <v>0</v>
      </c>
      <c r="J16" s="22"/>
      <c r="K16" s="107">
        <f t="shared" si="4"/>
        <v>7.9013916317356589E-2</v>
      </c>
    </row>
    <row r="17" spans="1:11" s="1" customFormat="1" x14ac:dyDescent="0.2">
      <c r="A17" s="108" t="s">
        <v>36</v>
      </c>
      <c r="B17" s="74">
        <f>B4*0.18</f>
        <v>135</v>
      </c>
      <c r="C17" s="27">
        <v>0.157</v>
      </c>
      <c r="D17" s="21">
        <f>B17*C17</f>
        <v>21.195</v>
      </c>
      <c r="E17" s="72">
        <f t="shared" si="3"/>
        <v>135</v>
      </c>
      <c r="F17" s="27">
        <f t="shared" si="3"/>
        <v>0.157</v>
      </c>
      <c r="G17" s="21">
        <f>E17*F17</f>
        <v>21.195</v>
      </c>
      <c r="H17" s="21">
        <f t="shared" si="1"/>
        <v>0</v>
      </c>
      <c r="I17" s="22">
        <f t="shared" si="2"/>
        <v>0</v>
      </c>
      <c r="J17" s="22"/>
      <c r="K17" s="107">
        <f t="shared" si="4"/>
        <v>0.11623806741949488</v>
      </c>
    </row>
    <row r="18" spans="1:11" s="1" customFormat="1" x14ac:dyDescent="0.2">
      <c r="A18" s="60" t="s">
        <v>37</v>
      </c>
      <c r="B18" s="28"/>
      <c r="C18" s="29"/>
      <c r="D18" s="29">
        <f>SUM(D15:D17)</f>
        <v>73.140000000000015</v>
      </c>
      <c r="E18" s="76"/>
      <c r="F18" s="29"/>
      <c r="G18" s="29">
        <f>SUM(G15:G17)</f>
        <v>73.140000000000015</v>
      </c>
      <c r="H18" s="30">
        <f t="shared" si="1"/>
        <v>0</v>
      </c>
      <c r="I18" s="31">
        <f t="shared" si="2"/>
        <v>0</v>
      </c>
      <c r="J18" s="32">
        <f t="shared" ref="J18:J23" si="5">G18/$G$46</f>
        <v>0.40572364964766688</v>
      </c>
      <c r="K18" s="61">
        <f t="shared" si="4"/>
        <v>0.40111593541221313</v>
      </c>
    </row>
    <row r="19" spans="1:11" x14ac:dyDescent="0.2">
      <c r="A19" s="106" t="s">
        <v>38</v>
      </c>
      <c r="B19" s="72">
        <v>1</v>
      </c>
      <c r="C19" s="120">
        <f>VLOOKUP($B$3,'Data for Bill Impacts'!$A$3:$Y$15,7,0)</f>
        <v>55.259678307903926</v>
      </c>
      <c r="D19" s="21">
        <f>B19*C19</f>
        <v>55.259678307903926</v>
      </c>
      <c r="E19" s="72">
        <f t="shared" ref="E19:E41" si="6">B19</f>
        <v>1</v>
      </c>
      <c r="F19" s="120">
        <f>VLOOKUP($B$3,'Data for Bill Impacts'!$A$3:$Y$15,17,0)</f>
        <v>68.119678307903939</v>
      </c>
      <c r="G19" s="21">
        <f>E19*F19</f>
        <v>68.119678307903939</v>
      </c>
      <c r="H19" s="21">
        <f t="shared" si="1"/>
        <v>12.860000000000014</v>
      </c>
      <c r="I19" s="22">
        <f t="shared" si="2"/>
        <v>0.23271941483887751</v>
      </c>
      <c r="J19" s="22">
        <f t="shared" si="5"/>
        <v>0.37787482220273155</v>
      </c>
      <c r="K19" s="107">
        <f t="shared" si="4"/>
        <v>0.37358338097421284</v>
      </c>
    </row>
    <row r="20" spans="1:11" hidden="1" x14ac:dyDescent="0.2">
      <c r="A20" s="106" t="s">
        <v>83</v>
      </c>
      <c r="B20" s="72">
        <v>1</v>
      </c>
      <c r="C20" s="77">
        <f>VLOOKUP($B$3,'Data for Bill Impacts'!$A$3:$Y$15,8,0)</f>
        <v>0</v>
      </c>
      <c r="D20" s="21">
        <f>B20*C20</f>
        <v>0</v>
      </c>
      <c r="E20" s="72">
        <f t="shared" si="6"/>
        <v>1</v>
      </c>
      <c r="F20" s="77">
        <v>0</v>
      </c>
      <c r="G20" s="21">
        <f t="shared" ref="G20:G22" si="7">E20*F20</f>
        <v>0</v>
      </c>
      <c r="H20" s="21">
        <f t="shared" si="1"/>
        <v>0</v>
      </c>
      <c r="I20" s="22" t="str">
        <f t="shared" si="2"/>
        <v>N/A</v>
      </c>
      <c r="J20" s="22">
        <f t="shared" si="5"/>
        <v>0</v>
      </c>
      <c r="K20" s="107">
        <f t="shared" si="4"/>
        <v>0</v>
      </c>
    </row>
    <row r="21" spans="1:11" hidden="1" x14ac:dyDescent="0.2">
      <c r="A21" s="106" t="s">
        <v>115</v>
      </c>
      <c r="B21" s="72">
        <v>1</v>
      </c>
      <c r="C21" s="77">
        <f>VLOOKUP($B$3,'Data for Bill Impacts'!$A$3:$Y$15,11,0)</f>
        <v>0</v>
      </c>
      <c r="D21" s="21">
        <f t="shared" ref="D21:D22" si="8">B21*C21</f>
        <v>0</v>
      </c>
      <c r="E21" s="72">
        <f t="shared" si="6"/>
        <v>1</v>
      </c>
      <c r="F21" s="120">
        <f>VLOOKUP($B$3,'Data for Bill Impacts'!$A$3:$Y$15,12,0)</f>
        <v>0</v>
      </c>
      <c r="G21" s="21">
        <f t="shared" si="7"/>
        <v>0</v>
      </c>
      <c r="H21" s="21">
        <f t="shared" si="1"/>
        <v>0</v>
      </c>
      <c r="I21" s="22" t="str">
        <f t="shared" si="2"/>
        <v>N/A</v>
      </c>
      <c r="J21" s="22">
        <f t="shared" si="5"/>
        <v>0</v>
      </c>
      <c r="K21" s="107">
        <f t="shared" si="4"/>
        <v>0</v>
      </c>
    </row>
    <row r="22" spans="1:11" x14ac:dyDescent="0.2">
      <c r="A22" s="106" t="s">
        <v>85</v>
      </c>
      <c r="B22" s="72">
        <v>1</v>
      </c>
      <c r="C22" s="120">
        <f>VLOOKUP($B$3,'Data for Bill Impacts'!$A$3:$Y$15,13,0)</f>
        <v>-2.1000000000000001E-2</v>
      </c>
      <c r="D22" s="21">
        <f t="shared" si="8"/>
        <v>-2.1000000000000001E-2</v>
      </c>
      <c r="E22" s="72">
        <f t="shared" si="6"/>
        <v>1</v>
      </c>
      <c r="F22" s="120">
        <f>VLOOKUP($B$3,'Data for Bill Impacts'!$A$3:$Y$15,22,0)</f>
        <v>-2.1000000000000001E-2</v>
      </c>
      <c r="G22" s="21">
        <f t="shared" si="7"/>
        <v>-2.1000000000000001E-2</v>
      </c>
      <c r="H22" s="21">
        <f t="shared" si="1"/>
        <v>0</v>
      </c>
      <c r="I22" s="22">
        <f t="shared" si="2"/>
        <v>0</v>
      </c>
      <c r="J22" s="22">
        <f t="shared" si="5"/>
        <v>-1.164916139267296E-4</v>
      </c>
      <c r="K22" s="107">
        <f t="shared" si="4"/>
        <v>-1.151686442939086E-4</v>
      </c>
    </row>
    <row r="23" spans="1:11" x14ac:dyDescent="0.2">
      <c r="A23" s="106" t="s">
        <v>39</v>
      </c>
      <c r="B23" s="72">
        <f>IF($B$9="kWh",$B$4,$B$5)</f>
        <v>750</v>
      </c>
      <c r="C23" s="77">
        <f>VLOOKUP($B$3,'Data for Bill Impacts'!$A$3:$Y$15,10,0)</f>
        <v>2.01E-2</v>
      </c>
      <c r="D23" s="21">
        <f>B23*C23</f>
        <v>15.074999999999999</v>
      </c>
      <c r="E23" s="72">
        <f t="shared" si="6"/>
        <v>750</v>
      </c>
      <c r="F23" s="77">
        <f>VLOOKUP($B$3,'Data for Bill Impacts'!$A$3:$Y$15,19,0)</f>
        <v>1.17E-2</v>
      </c>
      <c r="G23" s="21">
        <f>E23*F23</f>
        <v>8.7750000000000004</v>
      </c>
      <c r="H23" s="21">
        <f t="shared" si="1"/>
        <v>-6.2999999999999989</v>
      </c>
      <c r="I23" s="22">
        <f t="shared" si="2"/>
        <v>-0.41791044776119396</v>
      </c>
      <c r="J23" s="22">
        <f t="shared" si="5"/>
        <v>4.8676852962240579E-2</v>
      </c>
      <c r="K23" s="107">
        <f t="shared" si="4"/>
        <v>4.8124040651383232E-2</v>
      </c>
    </row>
    <row r="24" spans="1:11" x14ac:dyDescent="0.2">
      <c r="A24" s="106" t="s">
        <v>129</v>
      </c>
      <c r="B24" s="72">
        <f>IF($B$9="kWh",$B$4,$B$5)</f>
        <v>750</v>
      </c>
      <c r="C24" s="124">
        <f>VLOOKUP($B$3,'Data for Bill Impacts'!$A$3:$Y$15,14,0)</f>
        <v>1.0000000000000003E-5</v>
      </c>
      <c r="D24" s="21">
        <f>B24*C24</f>
        <v>7.5000000000000015E-3</v>
      </c>
      <c r="E24" s="72">
        <f t="shared" si="6"/>
        <v>750</v>
      </c>
      <c r="F24" s="77">
        <f>VLOOKUP($B$3,'Data for Bill Impacts'!$A$3:$Y$15,23,0)</f>
        <v>1.0000000000000003E-5</v>
      </c>
      <c r="G24" s="21">
        <f>E24*F24</f>
        <v>7.5000000000000015E-3</v>
      </c>
      <c r="H24" s="21">
        <f t="shared" si="1"/>
        <v>0</v>
      </c>
      <c r="I24" s="22">
        <f t="shared" si="2"/>
        <v>0</v>
      </c>
      <c r="J24" s="22">
        <f t="shared" ref="J24" si="9">G24/$G$46</f>
        <v>4.1604147830974862E-5</v>
      </c>
      <c r="K24" s="107">
        <f t="shared" si="4"/>
        <v>4.1131658676395934E-5</v>
      </c>
    </row>
    <row r="25" spans="1:11" s="1" customFormat="1" x14ac:dyDescent="0.2">
      <c r="A25" s="109" t="s">
        <v>72</v>
      </c>
      <c r="B25" s="73"/>
      <c r="C25" s="34"/>
      <c r="D25" s="34">
        <f>SUM(D19:D24)</f>
        <v>70.321178307903921</v>
      </c>
      <c r="E25" s="72"/>
      <c r="F25" s="34"/>
      <c r="G25" s="34">
        <f>SUM(G19:G24)</f>
        <v>76.881178307903937</v>
      </c>
      <c r="H25" s="34">
        <f t="shared" si="1"/>
        <v>6.5600000000000165</v>
      </c>
      <c r="I25" s="35">
        <f t="shared" si="2"/>
        <v>9.3286263937114505E-2</v>
      </c>
      <c r="J25" s="35">
        <f>G25/$G$46</f>
        <v>0.42647678769887637</v>
      </c>
      <c r="K25" s="110">
        <f t="shared" si="4"/>
        <v>0.42163338463997857</v>
      </c>
    </row>
    <row r="26" spans="1:11" s="1" customFormat="1" x14ac:dyDescent="0.2">
      <c r="A26" s="118" t="s">
        <v>73</v>
      </c>
      <c r="B26" s="119">
        <v>1</v>
      </c>
      <c r="C26" s="77">
        <f>VLOOKUP($B$3,'Data for Bill Impacts'!$A$3:$Y$15,9,0)</f>
        <v>0.79</v>
      </c>
      <c r="D26" s="21">
        <f>B26*C26</f>
        <v>0.79</v>
      </c>
      <c r="E26" s="72">
        <v>1</v>
      </c>
      <c r="F26" s="77">
        <f>VLOOKUP($B$3,'Data for Bill Impacts'!$A$3:$Y$15,18,0)</f>
        <v>0.79</v>
      </c>
      <c r="G26" s="21">
        <f>E26*F26</f>
        <v>0.79</v>
      </c>
      <c r="H26" s="21">
        <f t="shared" si="1"/>
        <v>0</v>
      </c>
      <c r="I26" s="22">
        <f t="shared" si="2"/>
        <v>0</v>
      </c>
      <c r="J26" s="22">
        <f>G26/$G$46</f>
        <v>4.3823035715293513E-3</v>
      </c>
      <c r="K26" s="107">
        <f t="shared" si="4"/>
        <v>4.3325347139137041E-3</v>
      </c>
    </row>
    <row r="27" spans="1:11" s="1" customFormat="1" x14ac:dyDescent="0.2">
      <c r="A27" s="118" t="s">
        <v>75</v>
      </c>
      <c r="B27" s="119">
        <f>B8-B4</f>
        <v>78.75</v>
      </c>
      <c r="C27" s="186">
        <f>IF(B4&gt;B7,C13,C12)</f>
        <v>0.106</v>
      </c>
      <c r="D27" s="21">
        <f>B27*C27</f>
        <v>8.3475000000000001</v>
      </c>
      <c r="E27" s="72">
        <f>B27</f>
        <v>78.75</v>
      </c>
      <c r="F27" s="186">
        <f>C27</f>
        <v>0.106</v>
      </c>
      <c r="G27" s="21">
        <f>E27*F27</f>
        <v>8.3475000000000001</v>
      </c>
      <c r="H27" s="21">
        <f t="shared" si="1"/>
        <v>0</v>
      </c>
      <c r="I27" s="22">
        <f t="shared" si="2"/>
        <v>0</v>
      </c>
      <c r="J27" s="22">
        <f t="shared" ref="J27:J46" si="10">G27/$G$46</f>
        <v>4.6305416535875013E-2</v>
      </c>
      <c r="K27" s="107">
        <f t="shared" ref="K27:K41" si="11">G27/$G$51</f>
        <v>4.5779536106828667E-2</v>
      </c>
    </row>
    <row r="28" spans="1:11" s="1" customFormat="1" x14ac:dyDescent="0.2">
      <c r="A28" s="118" t="s">
        <v>74</v>
      </c>
      <c r="B28" s="119">
        <f>B8-B4</f>
        <v>78.75</v>
      </c>
      <c r="C28" s="186">
        <f>0.65*C15+0.17*C16+0.18*C17</f>
        <v>9.7519999999999996E-2</v>
      </c>
      <c r="D28" s="21">
        <f>B28*C28</f>
        <v>7.6796999999999995</v>
      </c>
      <c r="E28" s="72">
        <f>B28</f>
        <v>78.75</v>
      </c>
      <c r="F28" s="186">
        <f>C28</f>
        <v>9.7519999999999996E-2</v>
      </c>
      <c r="G28" s="21">
        <f>E28*F28</f>
        <v>7.6796999999999995</v>
      </c>
      <c r="H28" s="21">
        <f t="shared" si="1"/>
        <v>0</v>
      </c>
      <c r="I28" s="22">
        <f t="shared" si="2"/>
        <v>0</v>
      </c>
      <c r="J28" s="22">
        <f t="shared" si="10"/>
        <v>4.2600983213005011E-2</v>
      </c>
      <c r="K28" s="107">
        <f t="shared" si="11"/>
        <v>4.2117173218282365E-2</v>
      </c>
    </row>
    <row r="29" spans="1:11" s="1" customFormat="1" x14ac:dyDescent="0.2">
      <c r="A29" s="109" t="s">
        <v>78</v>
      </c>
      <c r="B29" s="73"/>
      <c r="C29" s="34"/>
      <c r="D29" s="34">
        <f>SUM(D25,D26:D27)</f>
        <v>79.458678307903924</v>
      </c>
      <c r="E29" s="72"/>
      <c r="F29" s="34"/>
      <c r="G29" s="34">
        <f>SUM(G25,G26:G27)</f>
        <v>86.01867830790394</v>
      </c>
      <c r="H29" s="34">
        <f t="shared" si="1"/>
        <v>6.5600000000000165</v>
      </c>
      <c r="I29" s="35">
        <f t="shared" si="2"/>
        <v>8.2558634748238435E-2</v>
      </c>
      <c r="J29" s="35">
        <f t="shared" si="10"/>
        <v>0.47716450780628072</v>
      </c>
      <c r="K29" s="110">
        <f t="shared" si="11"/>
        <v>0.47174545546072094</v>
      </c>
    </row>
    <row r="30" spans="1:11" s="1" customFormat="1" x14ac:dyDescent="0.2">
      <c r="A30" s="109" t="s">
        <v>77</v>
      </c>
      <c r="B30" s="73"/>
      <c r="C30" s="34"/>
      <c r="D30" s="34">
        <f>SUM(D25,D26,D28)</f>
        <v>78.790878307903924</v>
      </c>
      <c r="E30" s="72"/>
      <c r="F30" s="34"/>
      <c r="G30" s="34">
        <f>SUM(G25,G26,G28)</f>
        <v>85.35087830790394</v>
      </c>
      <c r="H30" s="34">
        <f t="shared" si="1"/>
        <v>6.5600000000000165</v>
      </c>
      <c r="I30" s="35">
        <f t="shared" si="2"/>
        <v>8.3258368746245454E-2</v>
      </c>
      <c r="J30" s="35">
        <f t="shared" si="10"/>
        <v>0.47346007448341071</v>
      </c>
      <c r="K30" s="110">
        <f t="shared" si="11"/>
        <v>0.46808309257217462</v>
      </c>
    </row>
    <row r="31" spans="1:11" x14ac:dyDescent="0.2">
      <c r="A31" s="106" t="s">
        <v>40</v>
      </c>
      <c r="B31" s="72">
        <f>B8</f>
        <v>828.75</v>
      </c>
      <c r="C31" s="124">
        <f>VLOOKUP($B$3,'Data for Bill Impacts'!$A$3:$Y$15,15,0)</f>
        <v>6.7999999999999996E-3</v>
      </c>
      <c r="D31" s="21">
        <f>B31*C31</f>
        <v>5.6354999999999995</v>
      </c>
      <c r="E31" s="72">
        <f t="shared" si="6"/>
        <v>828.75</v>
      </c>
      <c r="F31" s="77">
        <f>VLOOKUP($B$3,'Data for Bill Impacts'!$A$3:$Y$15,24,0)</f>
        <v>6.7999999999999996E-3</v>
      </c>
      <c r="G31" s="21">
        <f>E31*F31</f>
        <v>5.6354999999999995</v>
      </c>
      <c r="H31" s="21">
        <f t="shared" si="1"/>
        <v>0</v>
      </c>
      <c r="I31" s="22">
        <f t="shared" si="2"/>
        <v>0</v>
      </c>
      <c r="J31" s="22">
        <f t="shared" si="10"/>
        <v>3.1261356680194502E-2</v>
      </c>
      <c r="K31" s="107">
        <f t="shared" si="11"/>
        <v>3.0906328329443896E-2</v>
      </c>
    </row>
    <row r="32" spans="1:11" x14ac:dyDescent="0.2">
      <c r="A32" s="106" t="s">
        <v>41</v>
      </c>
      <c r="B32" s="72">
        <f>B8</f>
        <v>828.75</v>
      </c>
      <c r="C32" s="124">
        <f>VLOOKUP($B$3,'Data for Bill Impacts'!$A$3:$Y$15,16,0)</f>
        <v>5.4999999999999997E-3</v>
      </c>
      <c r="D32" s="21">
        <f>B32*C32</f>
        <v>4.5581249999999995</v>
      </c>
      <c r="E32" s="72">
        <f t="shared" si="6"/>
        <v>828.75</v>
      </c>
      <c r="F32" s="77">
        <f>VLOOKUP($B$3,'Data for Bill Impacts'!$A$3:$Y$15,25,0)</f>
        <v>5.4999999999999997E-3</v>
      </c>
      <c r="G32" s="21">
        <f>E32*F32</f>
        <v>4.5581249999999995</v>
      </c>
      <c r="H32" s="21">
        <f t="shared" si="1"/>
        <v>0</v>
      </c>
      <c r="I32" s="22">
        <f t="shared" si="2"/>
        <v>0</v>
      </c>
      <c r="J32" s="22">
        <f t="shared" si="10"/>
        <v>2.5284920844274965E-2</v>
      </c>
      <c r="K32" s="107">
        <f t="shared" si="11"/>
        <v>2.4997765560579619E-2</v>
      </c>
    </row>
    <row r="33" spans="1:11" s="1" customFormat="1" x14ac:dyDescent="0.2">
      <c r="A33" s="109" t="s">
        <v>76</v>
      </c>
      <c r="B33" s="73"/>
      <c r="C33" s="34"/>
      <c r="D33" s="34">
        <f>SUM(D31:D32)</f>
        <v>10.193624999999999</v>
      </c>
      <c r="E33" s="72"/>
      <c r="F33" s="34"/>
      <c r="G33" s="34">
        <f>SUM(G31:G32)</f>
        <v>10.193624999999999</v>
      </c>
      <c r="H33" s="34">
        <f t="shared" si="1"/>
        <v>0</v>
      </c>
      <c r="I33" s="35">
        <f t="shared" si="2"/>
        <v>0</v>
      </c>
      <c r="J33" s="35">
        <f t="shared" si="10"/>
        <v>5.6546277524469467E-2</v>
      </c>
      <c r="K33" s="110">
        <f t="shared" si="11"/>
        <v>5.5904093890023515E-2</v>
      </c>
    </row>
    <row r="34" spans="1:11" s="1" customFormat="1" x14ac:dyDescent="0.2">
      <c r="A34" s="109" t="s">
        <v>93</v>
      </c>
      <c r="B34" s="73"/>
      <c r="C34" s="34"/>
      <c r="D34" s="34">
        <f>D29+D33</f>
        <v>89.652303307903921</v>
      </c>
      <c r="E34" s="72"/>
      <c r="F34" s="34"/>
      <c r="G34" s="34">
        <f>G29+G33</f>
        <v>96.212303307903937</v>
      </c>
      <c r="H34" s="34">
        <f t="shared" si="1"/>
        <v>6.5600000000000165</v>
      </c>
      <c r="I34" s="35">
        <f t="shared" si="2"/>
        <v>7.3171572374110705E-2</v>
      </c>
      <c r="J34" s="35">
        <f t="shared" si="10"/>
        <v>0.53371078533075023</v>
      </c>
      <c r="K34" s="110">
        <f t="shared" si="11"/>
        <v>0.52764954935074448</v>
      </c>
    </row>
    <row r="35" spans="1:11" s="1" customFormat="1" x14ac:dyDescent="0.2">
      <c r="A35" s="109" t="s">
        <v>94</v>
      </c>
      <c r="B35" s="73"/>
      <c r="C35" s="34"/>
      <c r="D35" s="34">
        <f>D30+D33</f>
        <v>88.984503307903921</v>
      </c>
      <c r="E35" s="72"/>
      <c r="F35" s="34"/>
      <c r="G35" s="34">
        <f>G30+G33</f>
        <v>95.544503307903938</v>
      </c>
      <c r="H35" s="34">
        <f t="shared" si="1"/>
        <v>6.5600000000000165</v>
      </c>
      <c r="I35" s="35">
        <f t="shared" si="2"/>
        <v>7.3720701427091445E-2</v>
      </c>
      <c r="J35" s="35">
        <f t="shared" si="10"/>
        <v>0.53000635200788015</v>
      </c>
      <c r="K35" s="110">
        <f t="shared" si="11"/>
        <v>0.52398718646219811</v>
      </c>
    </row>
    <row r="36" spans="1:11" x14ac:dyDescent="0.2">
      <c r="A36" s="106" t="s">
        <v>42</v>
      </c>
      <c r="B36" s="72">
        <f>B8</f>
        <v>828.75</v>
      </c>
      <c r="C36" s="33">
        <v>3.5999999999999999E-3</v>
      </c>
      <c r="D36" s="21">
        <f>B36*C36</f>
        <v>2.9834999999999998</v>
      </c>
      <c r="E36" s="72">
        <f t="shared" si="6"/>
        <v>828.75</v>
      </c>
      <c r="F36" s="33">
        <v>3.5999999999999999E-3</v>
      </c>
      <c r="G36" s="21">
        <f>E36*F36</f>
        <v>2.9834999999999998</v>
      </c>
      <c r="H36" s="21">
        <f t="shared" si="1"/>
        <v>0</v>
      </c>
      <c r="I36" s="22">
        <f t="shared" si="2"/>
        <v>0</v>
      </c>
      <c r="J36" s="22">
        <f t="shared" si="10"/>
        <v>1.6550130007161795E-2</v>
      </c>
      <c r="K36" s="107">
        <f t="shared" si="11"/>
        <v>1.6362173821470299E-2</v>
      </c>
    </row>
    <row r="37" spans="1:11" x14ac:dyDescent="0.2">
      <c r="A37" s="106" t="s">
        <v>43</v>
      </c>
      <c r="B37" s="72">
        <f>B8</f>
        <v>828.75</v>
      </c>
      <c r="C37" s="33">
        <v>2.0999999999999999E-3</v>
      </c>
      <c r="D37" s="21">
        <f>B37*C37</f>
        <v>1.7403749999999998</v>
      </c>
      <c r="E37" s="72">
        <f t="shared" si="6"/>
        <v>828.75</v>
      </c>
      <c r="F37" s="33">
        <v>2.0999999999999999E-3</v>
      </c>
      <c r="G37" s="21">
        <f>E37*F37</f>
        <v>1.7403749999999998</v>
      </c>
      <c r="H37" s="21">
        <f>G37-D37</f>
        <v>0</v>
      </c>
      <c r="I37" s="22">
        <f t="shared" si="2"/>
        <v>0</v>
      </c>
      <c r="J37" s="22">
        <f t="shared" si="10"/>
        <v>9.6542425041777138E-3</v>
      </c>
      <c r="K37" s="107">
        <f t="shared" si="11"/>
        <v>9.5446013958576728E-3</v>
      </c>
    </row>
    <row r="38" spans="1:11" x14ac:dyDescent="0.2">
      <c r="A38" s="106" t="s">
        <v>99</v>
      </c>
      <c r="B38" s="72">
        <f>B8</f>
        <v>828.75</v>
      </c>
      <c r="C38" s="33">
        <v>0</v>
      </c>
      <c r="D38" s="21">
        <f>B38*C38</f>
        <v>0</v>
      </c>
      <c r="E38" s="72">
        <f t="shared" si="6"/>
        <v>828.75</v>
      </c>
      <c r="F38" s="33">
        <v>0</v>
      </c>
      <c r="G38" s="21">
        <f>E38*F38</f>
        <v>0</v>
      </c>
      <c r="H38" s="21">
        <f>G38-D38</f>
        <v>0</v>
      </c>
      <c r="I38" s="22" t="str">
        <f t="shared" si="2"/>
        <v>N/A</v>
      </c>
      <c r="J38" s="22">
        <f t="shared" ref="J38" si="12">G38/$G$46</f>
        <v>0</v>
      </c>
      <c r="K38" s="107">
        <f t="shared" ref="K38" si="13">G38/$G$51</f>
        <v>0</v>
      </c>
    </row>
    <row r="39" spans="1:11" x14ac:dyDescent="0.2">
      <c r="A39" s="106" t="s">
        <v>44</v>
      </c>
      <c r="B39" s="72">
        <v>1</v>
      </c>
      <c r="C39" s="21">
        <v>0.25</v>
      </c>
      <c r="D39" s="21">
        <f>B39*C39</f>
        <v>0.25</v>
      </c>
      <c r="E39" s="72">
        <f t="shared" si="6"/>
        <v>1</v>
      </c>
      <c r="F39" s="21">
        <f>C39</f>
        <v>0.25</v>
      </c>
      <c r="G39" s="21">
        <f>E39*F39</f>
        <v>0.25</v>
      </c>
      <c r="H39" s="21">
        <f t="shared" si="1"/>
        <v>0</v>
      </c>
      <c r="I39" s="22">
        <f t="shared" si="2"/>
        <v>0</v>
      </c>
      <c r="J39" s="22">
        <f t="shared" si="10"/>
        <v>1.3868049276991618E-3</v>
      </c>
      <c r="K39" s="107">
        <f t="shared" si="11"/>
        <v>1.3710552892131974E-3</v>
      </c>
    </row>
    <row r="40" spans="1:11" s="1" customFormat="1" x14ac:dyDescent="0.2">
      <c r="A40" s="109" t="s">
        <v>45</v>
      </c>
      <c r="B40" s="73"/>
      <c r="C40" s="34"/>
      <c r="D40" s="34">
        <f>SUM(D36:D39)</f>
        <v>4.9738749999999996</v>
      </c>
      <c r="E40" s="72"/>
      <c r="F40" s="34"/>
      <c r="G40" s="34">
        <f>SUM(G36:G39)</f>
        <v>4.9738749999999996</v>
      </c>
      <c r="H40" s="34">
        <f t="shared" si="1"/>
        <v>0</v>
      </c>
      <c r="I40" s="35">
        <f t="shared" si="2"/>
        <v>0</v>
      </c>
      <c r="J40" s="35">
        <f t="shared" si="10"/>
        <v>2.7591177439038671E-2</v>
      </c>
      <c r="K40" s="110">
        <f t="shared" si="11"/>
        <v>2.727783050654117E-2</v>
      </c>
    </row>
    <row r="41" spans="1:11" s="1" customFormat="1" ht="13.5" thickBot="1" x14ac:dyDescent="0.25">
      <c r="A41" s="111" t="s">
        <v>46</v>
      </c>
      <c r="B41" s="112">
        <f>B4</f>
        <v>750</v>
      </c>
      <c r="C41" s="113">
        <v>0</v>
      </c>
      <c r="D41" s="114">
        <f>B41*C41</f>
        <v>0</v>
      </c>
      <c r="E41" s="115">
        <f t="shared" si="6"/>
        <v>750</v>
      </c>
      <c r="F41" s="113">
        <f>C41</f>
        <v>0</v>
      </c>
      <c r="G41" s="114">
        <f>E41*F41</f>
        <v>0</v>
      </c>
      <c r="H41" s="114">
        <f t="shared" si="1"/>
        <v>0</v>
      </c>
      <c r="I41" s="116" t="str">
        <f t="shared" si="2"/>
        <v>N/A</v>
      </c>
      <c r="J41" s="116">
        <f t="shared" si="10"/>
        <v>0</v>
      </c>
      <c r="K41" s="117">
        <f t="shared" si="11"/>
        <v>0</v>
      </c>
    </row>
    <row r="42" spans="1:11" s="1" customFormat="1" x14ac:dyDescent="0.2">
      <c r="A42" s="36" t="s">
        <v>107</v>
      </c>
      <c r="B42" s="37"/>
      <c r="C42" s="38"/>
      <c r="D42" s="38">
        <f>SUM(D14,D25,D26,D27,D33,D40,D41)</f>
        <v>165.1261783079039</v>
      </c>
      <c r="E42" s="37"/>
      <c r="F42" s="38"/>
      <c r="G42" s="38">
        <f>SUM(G14,G25,G26,G27,G33,G40,G41)</f>
        <v>171.68617830790393</v>
      </c>
      <c r="H42" s="38">
        <f t="shared" si="1"/>
        <v>6.5600000000000307</v>
      </c>
      <c r="I42" s="39">
        <f t="shared" si="2"/>
        <v>3.9727195694966501E-2</v>
      </c>
      <c r="J42" s="39">
        <f t="shared" si="10"/>
        <v>0.95238095238095244</v>
      </c>
      <c r="K42" s="40"/>
    </row>
    <row r="43" spans="1:11" x14ac:dyDescent="0.2">
      <c r="A43" s="142" t="s">
        <v>108</v>
      </c>
      <c r="B43" s="42"/>
      <c r="C43" s="25">
        <v>0.13</v>
      </c>
      <c r="D43" s="25">
        <f>D42*C43</f>
        <v>21.466403180027509</v>
      </c>
      <c r="E43" s="25"/>
      <c r="F43" s="25">
        <f>C43</f>
        <v>0.13</v>
      </c>
      <c r="G43" s="25">
        <f>G42*F43</f>
        <v>22.319203180027511</v>
      </c>
      <c r="H43" s="25">
        <f t="shared" si="1"/>
        <v>0.852800000000002</v>
      </c>
      <c r="I43" s="43">
        <f t="shared" si="2"/>
        <v>3.9727195694966404E-2</v>
      </c>
      <c r="J43" s="43">
        <f t="shared" si="10"/>
        <v>0.12380952380952381</v>
      </c>
      <c r="K43" s="44"/>
    </row>
    <row r="44" spans="1:11" s="1" customFormat="1" x14ac:dyDescent="0.2">
      <c r="A44" s="45" t="s">
        <v>109</v>
      </c>
      <c r="B44" s="23"/>
      <c r="C44" s="24"/>
      <c r="D44" s="24">
        <f>SUM(D42:D43)</f>
        <v>186.5925814879314</v>
      </c>
      <c r="E44" s="24"/>
      <c r="F44" s="24"/>
      <c r="G44" s="24">
        <f>SUM(G42:G43)</f>
        <v>194.00538148793143</v>
      </c>
      <c r="H44" s="24">
        <f t="shared" si="1"/>
        <v>7.4128000000000327</v>
      </c>
      <c r="I44" s="26">
        <f t="shared" si="2"/>
        <v>3.9727195694966494E-2</v>
      </c>
      <c r="J44" s="26">
        <f t="shared" si="10"/>
        <v>1.0761904761904761</v>
      </c>
      <c r="K44" s="46"/>
    </row>
    <row r="45" spans="1:11" x14ac:dyDescent="0.2">
      <c r="A45" s="41" t="s">
        <v>110</v>
      </c>
      <c r="B45" s="42"/>
      <c r="C45" s="25">
        <v>-0.08</v>
      </c>
      <c r="D45" s="25">
        <f>D42*C45</f>
        <v>-13.210094264632312</v>
      </c>
      <c r="E45" s="25"/>
      <c r="F45" s="25">
        <f>C45</f>
        <v>-0.08</v>
      </c>
      <c r="G45" s="25">
        <f>G42*F45</f>
        <v>-13.734894264632315</v>
      </c>
      <c r="H45" s="25">
        <f t="shared" si="1"/>
        <v>-0.5248000000000026</v>
      </c>
      <c r="I45" s="43">
        <f t="shared" si="2"/>
        <v>-3.9727195694966508E-2</v>
      </c>
      <c r="J45" s="43">
        <f t="shared" si="10"/>
        <v>-7.6190476190476197E-2</v>
      </c>
      <c r="K45" s="44"/>
    </row>
    <row r="46" spans="1:11" s="1" customFormat="1" ht="13.5" thickBot="1" x14ac:dyDescent="0.25">
      <c r="A46" s="47" t="s">
        <v>111</v>
      </c>
      <c r="B46" s="48"/>
      <c r="C46" s="49"/>
      <c r="D46" s="49">
        <f>SUM(D44:D45)</f>
        <v>173.38248722329908</v>
      </c>
      <c r="E46" s="49"/>
      <c r="F46" s="49"/>
      <c r="G46" s="49">
        <f>SUM(G44:G45)</f>
        <v>180.27048722329911</v>
      </c>
      <c r="H46" s="49">
        <f t="shared" si="1"/>
        <v>6.8880000000000337</v>
      </c>
      <c r="I46" s="50">
        <f t="shared" si="2"/>
        <v>3.9727195694966515E-2</v>
      </c>
      <c r="J46" s="50">
        <f t="shared" si="10"/>
        <v>1</v>
      </c>
      <c r="K46" s="51"/>
    </row>
    <row r="47" spans="1:11" x14ac:dyDescent="0.2">
      <c r="A47" s="52" t="s">
        <v>112</v>
      </c>
      <c r="B47" s="53"/>
      <c r="C47" s="54"/>
      <c r="D47" s="54">
        <f>SUM(D18,D25,D26,D28,D33,D40,D41)</f>
        <v>167.09837830790391</v>
      </c>
      <c r="E47" s="54"/>
      <c r="F47" s="54"/>
      <c r="G47" s="54">
        <f>SUM(G18,G25,G26,G28,G33,G40,G41)</f>
        <v>173.65837830790392</v>
      </c>
      <c r="H47" s="54">
        <f>G47-D47</f>
        <v>6.5600000000000023</v>
      </c>
      <c r="I47" s="55">
        <f t="shared" si="2"/>
        <v>3.9258310382355804E-2</v>
      </c>
      <c r="J47" s="55"/>
      <c r="K47" s="56">
        <f>G47/$G$51</f>
        <v>0.95238095238095222</v>
      </c>
    </row>
    <row r="48" spans="1:11" x14ac:dyDescent="0.2">
      <c r="A48" s="57" t="s">
        <v>108</v>
      </c>
      <c r="B48" s="58"/>
      <c r="C48" s="30">
        <v>0.13</v>
      </c>
      <c r="D48" s="30">
        <f>D47*C48</f>
        <v>21.722789180027508</v>
      </c>
      <c r="E48" s="30"/>
      <c r="F48" s="30">
        <f>C48</f>
        <v>0.13</v>
      </c>
      <c r="G48" s="30">
        <f>G47*F48</f>
        <v>22.57558918002751</v>
      </c>
      <c r="H48" s="30">
        <f>G48-D48</f>
        <v>0.852800000000002</v>
      </c>
      <c r="I48" s="31">
        <f t="shared" si="2"/>
        <v>3.9258310382355888E-2</v>
      </c>
      <c r="J48" s="31"/>
      <c r="K48" s="59">
        <f>G48/$G$51</f>
        <v>0.1238095238095238</v>
      </c>
    </row>
    <row r="49" spans="1:11" x14ac:dyDescent="0.2">
      <c r="A49" s="60" t="s">
        <v>113</v>
      </c>
      <c r="B49" s="28"/>
      <c r="C49" s="29"/>
      <c r="D49" s="29">
        <f>SUM(D47:D48)</f>
        <v>188.82116748793143</v>
      </c>
      <c r="E49" s="29"/>
      <c r="F49" s="29"/>
      <c r="G49" s="29">
        <f>SUM(G47:G48)</f>
        <v>196.23396748793144</v>
      </c>
      <c r="H49" s="29">
        <f>G49-D49</f>
        <v>7.4128000000000043</v>
      </c>
      <c r="I49" s="32">
        <f t="shared" si="2"/>
        <v>3.9258310382355811E-2</v>
      </c>
      <c r="J49" s="32"/>
      <c r="K49" s="61">
        <f>G49/$G$51</f>
        <v>1.0761904761904761</v>
      </c>
    </row>
    <row r="50" spans="1:11" x14ac:dyDescent="0.2">
      <c r="A50" s="57" t="s">
        <v>110</v>
      </c>
      <c r="B50" s="58"/>
      <c r="C50" s="30">
        <v>-0.08</v>
      </c>
      <c r="D50" s="30">
        <f>D47*C50</f>
        <v>-13.367870264632314</v>
      </c>
      <c r="E50" s="30"/>
      <c r="F50" s="30">
        <f>C50</f>
        <v>-0.08</v>
      </c>
      <c r="G50" s="30">
        <f>G47*F50</f>
        <v>-13.892670264632313</v>
      </c>
      <c r="H50" s="30">
        <f>G50-D50</f>
        <v>-0.52479999999999905</v>
      </c>
      <c r="I50" s="31">
        <f t="shared" si="2"/>
        <v>-3.9258310382355714E-2</v>
      </c>
      <c r="J50" s="31"/>
      <c r="K50" s="59">
        <f>G50/$G$51</f>
        <v>-7.6190476190476183E-2</v>
      </c>
    </row>
    <row r="51" spans="1:11" ht="13.5" thickBot="1" x14ac:dyDescent="0.25">
      <c r="A51" s="62" t="s">
        <v>114</v>
      </c>
      <c r="B51" s="63"/>
      <c r="C51" s="64"/>
      <c r="D51" s="64">
        <f>SUM(D49:D50)</f>
        <v>175.45329722329913</v>
      </c>
      <c r="E51" s="64"/>
      <c r="F51" s="64"/>
      <c r="G51" s="64">
        <f>SUM(G49:G50)</f>
        <v>182.34129722329914</v>
      </c>
      <c r="H51" s="64">
        <f>G51-D51</f>
        <v>6.8880000000000052</v>
      </c>
      <c r="I51" s="65">
        <f t="shared" si="2"/>
        <v>3.9258310382355818E-2</v>
      </c>
      <c r="J51" s="65"/>
      <c r="K51" s="66">
        <f>G51/$G$51</f>
        <v>1</v>
      </c>
    </row>
    <row r="52" spans="1:11" x14ac:dyDescent="0.2">
      <c r="C52" s="67"/>
      <c r="F52" s="68"/>
    </row>
    <row r="53" spans="1:11" x14ac:dyDescent="0.2">
      <c r="F53" s="68"/>
    </row>
    <row r="54" spans="1:11" x14ac:dyDescent="0.2">
      <c r="F54" s="68"/>
    </row>
    <row r="55" spans="1:11" x14ac:dyDescent="0.2">
      <c r="A55" s="69"/>
      <c r="B55" s="70"/>
      <c r="F55" s="68"/>
    </row>
    <row r="56" spans="1:11" x14ac:dyDescent="0.2">
      <c r="B56" s="70"/>
      <c r="F56" s="68"/>
    </row>
    <row r="57" spans="1:11" x14ac:dyDescent="0.2">
      <c r="F57" s="68"/>
    </row>
    <row r="58" spans="1:11" x14ac:dyDescent="0.2">
      <c r="D58" s="71"/>
      <c r="F58" s="68"/>
    </row>
    <row r="59" spans="1:11" x14ac:dyDescent="0.2">
      <c r="F59" s="68"/>
    </row>
    <row r="60" spans="1:11" x14ac:dyDescent="0.2">
      <c r="A60" s="69"/>
      <c r="B60" s="70"/>
      <c r="F60" s="68"/>
    </row>
    <row r="61" spans="1:11" x14ac:dyDescent="0.2">
      <c r="B61" s="71"/>
      <c r="D61" s="71"/>
      <c r="F61" s="68"/>
    </row>
    <row r="62" spans="1:11" x14ac:dyDescent="0.2">
      <c r="F62" s="68"/>
    </row>
    <row r="63" spans="1:11" x14ac:dyDescent="0.2">
      <c r="F63" s="68"/>
    </row>
    <row r="64" spans="1:11" x14ac:dyDescent="0.2">
      <c r="F64" s="68"/>
      <c r="K64"/>
    </row>
    <row r="65" spans="6:11" x14ac:dyDescent="0.2">
      <c r="F65" s="68"/>
      <c r="K65"/>
    </row>
    <row r="66" spans="6:11" x14ac:dyDescent="0.2">
      <c r="F66" s="68"/>
      <c r="K66"/>
    </row>
    <row r="67" spans="6:11" x14ac:dyDescent="0.2">
      <c r="F67" s="68"/>
      <c r="K67"/>
    </row>
    <row r="68" spans="6:11" x14ac:dyDescent="0.2">
      <c r="F68" s="68"/>
      <c r="K68"/>
    </row>
  </sheetData>
  <mergeCells count="1">
    <mergeCell ref="A1:K1"/>
  </mergeCells>
  <pageMargins left="0.7" right="0.7" top="0.75" bottom="0.75" header="0.3" footer="0.3"/>
  <pageSetup scale="7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5">
    <tabColor theme="1" tint="0.499984740745262"/>
    <pageSetUpPr fitToPage="1"/>
  </sheetPr>
  <dimension ref="A1:K68"/>
  <sheetViews>
    <sheetView tabSelected="1" topLeftCell="A22" zoomScaleNormal="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3"/>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205" t="s">
        <v>127</v>
      </c>
      <c r="B1" s="206"/>
      <c r="C1" s="206"/>
      <c r="D1" s="206"/>
      <c r="E1" s="206"/>
      <c r="F1" s="206"/>
      <c r="G1" s="206"/>
      <c r="H1" s="206"/>
      <c r="I1" s="206"/>
      <c r="J1" s="206"/>
      <c r="K1" s="207"/>
    </row>
    <row r="3" spans="1:11" x14ac:dyDescent="0.2">
      <c r="A3" s="12" t="s">
        <v>13</v>
      </c>
      <c r="B3" s="12" t="s">
        <v>2</v>
      </c>
    </row>
    <row r="4" spans="1:11" x14ac:dyDescent="0.2">
      <c r="A4" s="14" t="s">
        <v>62</v>
      </c>
      <c r="B4" s="78">
        <f>'Data for Bill Impacts_HONI Avg '!C5</f>
        <v>1152</v>
      </c>
    </row>
    <row r="5" spans="1:11" x14ac:dyDescent="0.2">
      <c r="A5" s="14" t="s">
        <v>16</v>
      </c>
      <c r="B5" s="14">
        <f>VLOOKUP($B$3,'Data for Bill Impacts'!$A$3:$Y$15,5,0)</f>
        <v>0</v>
      </c>
    </row>
    <row r="6" spans="1:11" x14ac:dyDescent="0.2">
      <c r="A6" s="14" t="s">
        <v>20</v>
      </c>
      <c r="B6" s="14">
        <f>VLOOKUP($B$3,'Data for Bill Impacts'!$A$3:$Y$15,2,0)</f>
        <v>1.105</v>
      </c>
    </row>
    <row r="7" spans="1:11" x14ac:dyDescent="0.2">
      <c r="A7" s="14" t="s">
        <v>15</v>
      </c>
      <c r="B7" s="14">
        <f>VLOOKUP($B$3,'Data for Bill Impacts'!$A$3:$Y$15,4,0)</f>
        <v>600</v>
      </c>
    </row>
    <row r="8" spans="1:11" x14ac:dyDescent="0.2">
      <c r="A8" s="14" t="s">
        <v>82</v>
      </c>
      <c r="B8" s="148">
        <f>B4*B6</f>
        <v>1272.96</v>
      </c>
    </row>
    <row r="9" spans="1:11" x14ac:dyDescent="0.2">
      <c r="A9" s="14" t="s">
        <v>21</v>
      </c>
      <c r="B9" s="15" t="str">
        <f>VLOOKUP($B$3,'Data for Bill Impacts'!$A$3:$Y$15,6,0)</f>
        <v>kWh</v>
      </c>
    </row>
    <row r="10" spans="1:11" ht="13.5" thickBot="1" x14ac:dyDescent="0.25"/>
    <row r="11" spans="1:11" s="19" customFormat="1" ht="39" thickBot="1" x14ac:dyDescent="0.25">
      <c r="A11" s="16"/>
      <c r="B11" s="17" t="s">
        <v>22</v>
      </c>
      <c r="C11" s="17" t="s">
        <v>23</v>
      </c>
      <c r="D11" s="17" t="s">
        <v>24</v>
      </c>
      <c r="E11" s="17" t="s">
        <v>22</v>
      </c>
      <c r="F11" s="17" t="s">
        <v>25</v>
      </c>
      <c r="G11" s="17" t="s">
        <v>26</v>
      </c>
      <c r="H11" s="17" t="s">
        <v>27</v>
      </c>
      <c r="I11" s="17" t="s">
        <v>28</v>
      </c>
      <c r="J11" s="17" t="s">
        <v>29</v>
      </c>
      <c r="K11" s="18" t="s">
        <v>30</v>
      </c>
    </row>
    <row r="12" spans="1:11" x14ac:dyDescent="0.2">
      <c r="A12" s="100" t="s">
        <v>31</v>
      </c>
      <c r="B12" s="101">
        <f>IF(B4&gt;B7,B7,B4)</f>
        <v>600</v>
      </c>
      <c r="C12" s="102">
        <v>9.0999999999999998E-2</v>
      </c>
      <c r="D12" s="103">
        <f>B12*C12</f>
        <v>54.6</v>
      </c>
      <c r="E12" s="101">
        <f>B12</f>
        <v>600</v>
      </c>
      <c r="F12" s="102">
        <f>C12</f>
        <v>9.0999999999999998E-2</v>
      </c>
      <c r="G12" s="103">
        <f>E12*F12</f>
        <v>54.6</v>
      </c>
      <c r="H12" s="103">
        <f>G12-D12</f>
        <v>0</v>
      </c>
      <c r="I12" s="104">
        <f>IF(ISERROR(H12/ABS(D12)),"N/A",(H12/ABS(D12)))</f>
        <v>0</v>
      </c>
      <c r="J12" s="104">
        <f>G12/$G$46</f>
        <v>0.22464567062055449</v>
      </c>
      <c r="K12" s="105"/>
    </row>
    <row r="13" spans="1:11" x14ac:dyDescent="0.2">
      <c r="A13" s="106" t="s">
        <v>32</v>
      </c>
      <c r="B13" s="72">
        <f>IF(B4&gt;B7,(B4)-B7,0)</f>
        <v>552</v>
      </c>
      <c r="C13" s="20">
        <v>0.106</v>
      </c>
      <c r="D13" s="21">
        <f>B13*C13</f>
        <v>58.512</v>
      </c>
      <c r="E13" s="72">
        <f t="shared" ref="E13" si="0">B13</f>
        <v>552</v>
      </c>
      <c r="F13" s="20">
        <f>C13</f>
        <v>0.106</v>
      </c>
      <c r="G13" s="21">
        <f>E13*F13</f>
        <v>58.512</v>
      </c>
      <c r="H13" s="21">
        <f t="shared" ref="H13:H46" si="1">G13-D13</f>
        <v>0</v>
      </c>
      <c r="I13" s="22">
        <f t="shared" ref="I13:I51" si="2">IF(ISERROR(H13/ABS(D13)),"N/A",(H13/ABS(D13)))</f>
        <v>0</v>
      </c>
      <c r="J13" s="22">
        <f>G13/$G$46</f>
        <v>0.24074116262545575</v>
      </c>
      <c r="K13" s="107"/>
    </row>
    <row r="14" spans="1:11" s="1" customFormat="1" x14ac:dyDescent="0.2">
      <c r="A14" s="45" t="s">
        <v>33</v>
      </c>
      <c r="B14" s="23"/>
      <c r="C14" s="24"/>
      <c r="D14" s="24">
        <f>SUM(D12:D13)</f>
        <v>113.11199999999999</v>
      </c>
      <c r="E14" s="75"/>
      <c r="F14" s="24"/>
      <c r="G14" s="24">
        <f>SUM(G12:G13)</f>
        <v>113.11199999999999</v>
      </c>
      <c r="H14" s="24">
        <f t="shared" si="1"/>
        <v>0</v>
      </c>
      <c r="I14" s="26">
        <f t="shared" si="2"/>
        <v>0</v>
      </c>
      <c r="J14" s="26">
        <f>G14/$G$46</f>
        <v>0.46538683324601021</v>
      </c>
      <c r="K14" s="107"/>
    </row>
    <row r="15" spans="1:11" s="1" customFormat="1" x14ac:dyDescent="0.2">
      <c r="A15" s="108" t="s">
        <v>34</v>
      </c>
      <c r="B15" s="74">
        <f>B4*0.65</f>
        <v>748.80000000000007</v>
      </c>
      <c r="C15" s="27">
        <v>7.6999999999999999E-2</v>
      </c>
      <c r="D15" s="21">
        <f>B15*C15</f>
        <v>57.657600000000002</v>
      </c>
      <c r="E15" s="72">
        <f t="shared" ref="E15:F17" si="3">B15</f>
        <v>748.80000000000007</v>
      </c>
      <c r="F15" s="27">
        <f t="shared" si="3"/>
        <v>7.6999999999999999E-2</v>
      </c>
      <c r="G15" s="21">
        <f>E15*F15</f>
        <v>57.657600000000002</v>
      </c>
      <c r="H15" s="21">
        <f t="shared" si="1"/>
        <v>0</v>
      </c>
      <c r="I15" s="22">
        <f t="shared" si="2"/>
        <v>0</v>
      </c>
      <c r="J15" s="22"/>
      <c r="K15" s="107">
        <f t="shared" ref="K15:K26" si="4">G15/$G$51</f>
        <v>0.23907948389539432</v>
      </c>
    </row>
    <row r="16" spans="1:11" s="1" customFormat="1" x14ac:dyDescent="0.2">
      <c r="A16" s="108" t="s">
        <v>35</v>
      </c>
      <c r="B16" s="74">
        <f>B4*0.17</f>
        <v>195.84</v>
      </c>
      <c r="C16" s="27">
        <v>0.113</v>
      </c>
      <c r="D16" s="21">
        <f>B16*C16</f>
        <v>22.129920000000002</v>
      </c>
      <c r="E16" s="72">
        <f t="shared" si="3"/>
        <v>195.84</v>
      </c>
      <c r="F16" s="27">
        <f t="shared" si="3"/>
        <v>0.113</v>
      </c>
      <c r="G16" s="21">
        <f>E16*F16</f>
        <v>22.129920000000002</v>
      </c>
      <c r="H16" s="21">
        <f t="shared" si="1"/>
        <v>0</v>
      </c>
      <c r="I16" s="22">
        <f t="shared" si="2"/>
        <v>0</v>
      </c>
      <c r="J16" s="22"/>
      <c r="K16" s="107">
        <f t="shared" si="4"/>
        <v>9.1762575137473032E-2</v>
      </c>
    </row>
    <row r="17" spans="1:11" s="1" customFormat="1" x14ac:dyDescent="0.2">
      <c r="A17" s="108" t="s">
        <v>36</v>
      </c>
      <c r="B17" s="74">
        <f>B4*0.18</f>
        <v>207.35999999999999</v>
      </c>
      <c r="C17" s="27">
        <v>0.157</v>
      </c>
      <c r="D17" s="21">
        <f>B17*C17</f>
        <v>32.555520000000001</v>
      </c>
      <c r="E17" s="72">
        <f t="shared" si="3"/>
        <v>207.35999999999999</v>
      </c>
      <c r="F17" s="27">
        <f t="shared" si="3"/>
        <v>0.157</v>
      </c>
      <c r="G17" s="21">
        <f>E17*F17</f>
        <v>32.555520000000001</v>
      </c>
      <c r="H17" s="21">
        <f t="shared" si="1"/>
        <v>0</v>
      </c>
      <c r="I17" s="22">
        <f t="shared" si="2"/>
        <v>0</v>
      </c>
      <c r="J17" s="22"/>
      <c r="K17" s="107">
        <f t="shared" si="4"/>
        <v>0.13499273156611077</v>
      </c>
    </row>
    <row r="18" spans="1:11" s="1" customFormat="1" x14ac:dyDescent="0.2">
      <c r="A18" s="60" t="s">
        <v>37</v>
      </c>
      <c r="B18" s="28"/>
      <c r="C18" s="29"/>
      <c r="D18" s="29">
        <f>SUM(D15:D17)</f>
        <v>112.34304</v>
      </c>
      <c r="E18" s="76"/>
      <c r="F18" s="29"/>
      <c r="G18" s="29">
        <f>SUM(G15:G17)</f>
        <v>112.34304</v>
      </c>
      <c r="H18" s="30">
        <f t="shared" si="1"/>
        <v>0</v>
      </c>
      <c r="I18" s="31">
        <f t="shared" si="2"/>
        <v>0</v>
      </c>
      <c r="J18" s="32">
        <f t="shared" ref="J18:J23" si="5">G18/$G$46</f>
        <v>0.46222303224087508</v>
      </c>
      <c r="K18" s="61">
        <f t="shared" si="4"/>
        <v>0.46583479059897809</v>
      </c>
    </row>
    <row r="19" spans="1:11" x14ac:dyDescent="0.2">
      <c r="A19" s="106" t="s">
        <v>38</v>
      </c>
      <c r="B19" s="72">
        <v>1</v>
      </c>
      <c r="C19" s="120">
        <f>VLOOKUP($B$3,'Data for Bill Impacts'!$A$3:$Y$15,7,0)</f>
        <v>55.259678307903926</v>
      </c>
      <c r="D19" s="21">
        <f>B19*C19</f>
        <v>55.259678307903926</v>
      </c>
      <c r="E19" s="72">
        <f t="shared" ref="E19:E41" si="6">B19</f>
        <v>1</v>
      </c>
      <c r="F19" s="120">
        <f>VLOOKUP($B$3,'Data for Bill Impacts'!$A$3:$Y$15,17,0)</f>
        <v>68.119678307903939</v>
      </c>
      <c r="G19" s="21">
        <f>E19*F19</f>
        <v>68.119678307903939</v>
      </c>
      <c r="H19" s="21">
        <f t="shared" si="1"/>
        <v>12.860000000000014</v>
      </c>
      <c r="I19" s="22">
        <f t="shared" si="2"/>
        <v>0.23271941483887751</v>
      </c>
      <c r="J19" s="22">
        <f t="shared" si="5"/>
        <v>0.28027089406475308</v>
      </c>
      <c r="K19" s="107">
        <f t="shared" si="4"/>
        <v>0.2824608990484162</v>
      </c>
    </row>
    <row r="20" spans="1:11" hidden="1" x14ac:dyDescent="0.2">
      <c r="A20" s="106" t="s">
        <v>83</v>
      </c>
      <c r="B20" s="72">
        <v>1</v>
      </c>
      <c r="C20" s="77">
        <f>VLOOKUP($B$3,'Data for Bill Impacts'!$A$3:$Y$15,8,0)</f>
        <v>0</v>
      </c>
      <c r="D20" s="21">
        <f>B20*C20</f>
        <v>0</v>
      </c>
      <c r="E20" s="72">
        <f t="shared" si="6"/>
        <v>1</v>
      </c>
      <c r="F20" s="77">
        <v>0</v>
      </c>
      <c r="G20" s="21">
        <f t="shared" ref="G20:G22" si="7">E20*F20</f>
        <v>0</v>
      </c>
      <c r="H20" s="21">
        <f t="shared" si="1"/>
        <v>0</v>
      </c>
      <c r="I20" s="22" t="str">
        <f t="shared" si="2"/>
        <v>N/A</v>
      </c>
      <c r="J20" s="22">
        <f t="shared" si="5"/>
        <v>0</v>
      </c>
      <c r="K20" s="107">
        <f t="shared" si="4"/>
        <v>0</v>
      </c>
    </row>
    <row r="21" spans="1:11" hidden="1" x14ac:dyDescent="0.2">
      <c r="A21" s="106" t="s">
        <v>115</v>
      </c>
      <c r="B21" s="72">
        <v>1</v>
      </c>
      <c r="C21" s="77">
        <f>VLOOKUP($B$3,'Data for Bill Impacts'!$A$3:$Y$15,11,0)</f>
        <v>0</v>
      </c>
      <c r="D21" s="21">
        <f t="shared" ref="D21:D22" si="8">B21*C21</f>
        <v>0</v>
      </c>
      <c r="E21" s="72">
        <f t="shared" si="6"/>
        <v>1</v>
      </c>
      <c r="F21" s="120">
        <f>VLOOKUP($B$3,'Data for Bill Impacts'!$A$3:$Y$15,12,0)</f>
        <v>0</v>
      </c>
      <c r="G21" s="21">
        <f t="shared" si="7"/>
        <v>0</v>
      </c>
      <c r="H21" s="21">
        <f t="shared" si="1"/>
        <v>0</v>
      </c>
      <c r="I21" s="22" t="str">
        <f t="shared" si="2"/>
        <v>N/A</v>
      </c>
      <c r="J21" s="22">
        <f t="shared" si="5"/>
        <v>0</v>
      </c>
      <c r="K21" s="107">
        <f t="shared" si="4"/>
        <v>0</v>
      </c>
    </row>
    <row r="22" spans="1:11" x14ac:dyDescent="0.2">
      <c r="A22" s="106" t="s">
        <v>85</v>
      </c>
      <c r="B22" s="72">
        <v>1</v>
      </c>
      <c r="C22" s="120">
        <f>VLOOKUP($B$3,'Data for Bill Impacts'!$A$3:$Y$15,13,0)</f>
        <v>-2.1000000000000001E-2</v>
      </c>
      <c r="D22" s="21">
        <f t="shared" si="8"/>
        <v>-2.1000000000000001E-2</v>
      </c>
      <c r="E22" s="72">
        <f t="shared" si="6"/>
        <v>1</v>
      </c>
      <c r="F22" s="120">
        <f>VLOOKUP($B$3,'Data for Bill Impacts'!$A$3:$Y$15,22,0)</f>
        <v>-2.1000000000000001E-2</v>
      </c>
      <c r="G22" s="21">
        <f t="shared" si="7"/>
        <v>-2.1000000000000001E-2</v>
      </c>
      <c r="H22" s="21">
        <f t="shared" si="1"/>
        <v>0</v>
      </c>
      <c r="I22" s="22">
        <f t="shared" si="2"/>
        <v>0</v>
      </c>
      <c r="J22" s="22">
        <f t="shared" si="5"/>
        <v>-8.6402181007905581E-5</v>
      </c>
      <c r="K22" s="107">
        <f t="shared" si="4"/>
        <v>-8.7077317852343505E-5</v>
      </c>
    </row>
    <row r="23" spans="1:11" x14ac:dyDescent="0.2">
      <c r="A23" s="106" t="s">
        <v>39</v>
      </c>
      <c r="B23" s="72">
        <f>IF($B$9="kWh",$B$4,$B$5)</f>
        <v>1152</v>
      </c>
      <c r="C23" s="77">
        <f>VLOOKUP($B$3,'Data for Bill Impacts'!$A$3:$Y$15,10,0)</f>
        <v>2.01E-2</v>
      </c>
      <c r="D23" s="21">
        <f>B23*C23</f>
        <v>23.155200000000001</v>
      </c>
      <c r="E23" s="72">
        <f t="shared" si="6"/>
        <v>1152</v>
      </c>
      <c r="F23" s="77">
        <f>VLOOKUP($B$3,'Data for Bill Impacts'!$A$3:$Y$15,19,0)</f>
        <v>1.17E-2</v>
      </c>
      <c r="G23" s="21">
        <f>E23*F23</f>
        <v>13.478400000000001</v>
      </c>
      <c r="H23" s="21">
        <f t="shared" si="1"/>
        <v>-9.6768000000000001</v>
      </c>
      <c r="I23" s="22">
        <f t="shared" si="2"/>
        <v>-0.41791044776119401</v>
      </c>
      <c r="J23" s="22">
        <f t="shared" si="5"/>
        <v>5.5455388404616883E-2</v>
      </c>
      <c r="K23" s="107">
        <f t="shared" si="4"/>
        <v>5.5888710521001271E-2</v>
      </c>
    </row>
    <row r="24" spans="1:11" x14ac:dyDescent="0.2">
      <c r="A24" s="106" t="s">
        <v>129</v>
      </c>
      <c r="B24" s="72">
        <f>IF($B$9="kWh",$B$4,$B$5)</f>
        <v>1152</v>
      </c>
      <c r="C24" s="124">
        <f>VLOOKUP($B$3,'Data for Bill Impacts'!$A$3:$Y$15,14,0)</f>
        <v>1.0000000000000003E-5</v>
      </c>
      <c r="D24" s="21">
        <f>B24*C24</f>
        <v>1.1520000000000002E-2</v>
      </c>
      <c r="E24" s="72">
        <f t="shared" si="6"/>
        <v>1152</v>
      </c>
      <c r="F24" s="77">
        <f>VLOOKUP($B$3,'Data for Bill Impacts'!$A$3:$Y$15,23,0)</f>
        <v>1.0000000000000003E-5</v>
      </c>
      <c r="G24" s="21">
        <f>E24*F24</f>
        <v>1.1520000000000002E-2</v>
      </c>
      <c r="H24" s="21">
        <f t="shared" si="1"/>
        <v>0</v>
      </c>
      <c r="I24" s="22">
        <f t="shared" si="2"/>
        <v>0</v>
      </c>
      <c r="J24" s="22">
        <f t="shared" ref="J24" si="9">G24/$G$46</f>
        <v>4.7397767867193922E-5</v>
      </c>
      <c r="K24" s="107">
        <f t="shared" si="4"/>
        <v>4.7768128650428446E-5</v>
      </c>
    </row>
    <row r="25" spans="1:11" s="1" customFormat="1" x14ac:dyDescent="0.2">
      <c r="A25" s="109" t="s">
        <v>72</v>
      </c>
      <c r="B25" s="73"/>
      <c r="C25" s="34"/>
      <c r="D25" s="34">
        <f>SUM(D19:D24)</f>
        <v>78.405398307903923</v>
      </c>
      <c r="E25" s="72"/>
      <c r="F25" s="34"/>
      <c r="G25" s="34">
        <f>SUM(G19:G24)</f>
        <v>81.588598307903951</v>
      </c>
      <c r="H25" s="34">
        <f t="shared" si="1"/>
        <v>3.1832000000000278</v>
      </c>
      <c r="I25" s="35">
        <f t="shared" si="2"/>
        <v>4.0599245315983995E-2</v>
      </c>
      <c r="J25" s="35">
        <f>G25/$G$46</f>
        <v>0.33568727805622933</v>
      </c>
      <c r="K25" s="110">
        <f t="shared" si="4"/>
        <v>0.33831030038021559</v>
      </c>
    </row>
    <row r="26" spans="1:11" s="1" customFormat="1" x14ac:dyDescent="0.2">
      <c r="A26" s="118" t="s">
        <v>73</v>
      </c>
      <c r="B26" s="119">
        <v>1</v>
      </c>
      <c r="C26" s="77">
        <f>VLOOKUP($B$3,'Data for Bill Impacts'!$A$3:$Y$15,9,0)</f>
        <v>0.79</v>
      </c>
      <c r="D26" s="21">
        <f>B26*C26</f>
        <v>0.79</v>
      </c>
      <c r="E26" s="72">
        <v>1</v>
      </c>
      <c r="F26" s="77">
        <f>VLOOKUP($B$3,'Data for Bill Impacts'!$A$3:$Y$15,18,0)</f>
        <v>0.79</v>
      </c>
      <c r="G26" s="21">
        <f>E26*F26</f>
        <v>0.79</v>
      </c>
      <c r="H26" s="21">
        <f t="shared" si="1"/>
        <v>0</v>
      </c>
      <c r="I26" s="22">
        <f t="shared" si="2"/>
        <v>0</v>
      </c>
      <c r="J26" s="22">
        <f>G26/$G$46</f>
        <v>3.2503677617259719E-3</v>
      </c>
      <c r="K26" s="107">
        <f t="shared" si="4"/>
        <v>3.2757657668262556E-3</v>
      </c>
    </row>
    <row r="27" spans="1:11" s="1" customFormat="1" x14ac:dyDescent="0.2">
      <c r="A27" s="118" t="s">
        <v>75</v>
      </c>
      <c r="B27" s="119">
        <f>B8-B4</f>
        <v>120.96000000000004</v>
      </c>
      <c r="C27" s="186">
        <f>IF(B4&gt;B7,C13,C12)</f>
        <v>0.106</v>
      </c>
      <c r="D27" s="21">
        <f>B27*C27</f>
        <v>12.821760000000003</v>
      </c>
      <c r="E27" s="72">
        <f>B27</f>
        <v>120.96000000000004</v>
      </c>
      <c r="F27" s="186">
        <f>C27</f>
        <v>0.106</v>
      </c>
      <c r="G27" s="21">
        <f>E27*F27</f>
        <v>12.821760000000003</v>
      </c>
      <c r="H27" s="21">
        <f t="shared" si="1"/>
        <v>0</v>
      </c>
      <c r="I27" s="22">
        <f t="shared" si="2"/>
        <v>0</v>
      </c>
      <c r="J27" s="22">
        <f t="shared" ref="J27:J46" si="10">G27/$G$46</f>
        <v>5.2753715636186839E-2</v>
      </c>
      <c r="K27" s="107">
        <f t="shared" ref="K27:K41" si="11">G27/$G$51</f>
        <v>5.3165927187926863E-2</v>
      </c>
    </row>
    <row r="28" spans="1:11" s="1" customFormat="1" x14ac:dyDescent="0.2">
      <c r="A28" s="118" t="s">
        <v>74</v>
      </c>
      <c r="B28" s="119">
        <f>B8-B4</f>
        <v>120.96000000000004</v>
      </c>
      <c r="C28" s="186">
        <f>0.65*C15+0.17*C16+0.18*C17</f>
        <v>9.7519999999999996E-2</v>
      </c>
      <c r="D28" s="21">
        <f>B28*C28</f>
        <v>11.796019200000003</v>
      </c>
      <c r="E28" s="72">
        <f>B28</f>
        <v>120.96000000000004</v>
      </c>
      <c r="F28" s="186">
        <f>C28</f>
        <v>9.7519999999999996E-2</v>
      </c>
      <c r="G28" s="21">
        <f>E28*F28</f>
        <v>11.796019200000003</v>
      </c>
      <c r="H28" s="21">
        <f t="shared" si="1"/>
        <v>0</v>
      </c>
      <c r="I28" s="22">
        <f t="shared" si="2"/>
        <v>0</v>
      </c>
      <c r="J28" s="22">
        <f t="shared" si="10"/>
        <v>4.8533418385291897E-2</v>
      </c>
      <c r="K28" s="107">
        <f t="shared" si="11"/>
        <v>4.8912653012892715E-2</v>
      </c>
    </row>
    <row r="29" spans="1:11" s="1" customFormat="1" x14ac:dyDescent="0.2">
      <c r="A29" s="109" t="s">
        <v>78</v>
      </c>
      <c r="B29" s="73"/>
      <c r="C29" s="34"/>
      <c r="D29" s="34">
        <f>SUM(D25,D26:D27)</f>
        <v>92.017158307903927</v>
      </c>
      <c r="E29" s="72"/>
      <c r="F29" s="34"/>
      <c r="G29" s="34">
        <f>SUM(G25,G26:G27)</f>
        <v>95.200358307903954</v>
      </c>
      <c r="H29" s="34">
        <f t="shared" si="1"/>
        <v>3.1832000000000278</v>
      </c>
      <c r="I29" s="35">
        <f t="shared" si="2"/>
        <v>3.4593548187486278E-2</v>
      </c>
      <c r="J29" s="35">
        <f t="shared" si="10"/>
        <v>0.39169136145414213</v>
      </c>
      <c r="K29" s="110">
        <f t="shared" si="11"/>
        <v>0.39475199333496874</v>
      </c>
    </row>
    <row r="30" spans="1:11" s="1" customFormat="1" x14ac:dyDescent="0.2">
      <c r="A30" s="109" t="s">
        <v>77</v>
      </c>
      <c r="B30" s="73"/>
      <c r="C30" s="34"/>
      <c r="D30" s="34">
        <f>SUM(D25,D26,D28)</f>
        <v>90.991417507903932</v>
      </c>
      <c r="E30" s="72"/>
      <c r="F30" s="34"/>
      <c r="G30" s="34">
        <f>SUM(G25,G26,G28)</f>
        <v>94.17461750790396</v>
      </c>
      <c r="H30" s="34">
        <f t="shared" si="1"/>
        <v>3.1832000000000278</v>
      </c>
      <c r="I30" s="35">
        <f t="shared" si="2"/>
        <v>3.498351918436176E-2</v>
      </c>
      <c r="J30" s="35">
        <f t="shared" si="10"/>
        <v>0.38747106420324723</v>
      </c>
      <c r="K30" s="110">
        <f t="shared" si="11"/>
        <v>0.39049871915993462</v>
      </c>
    </row>
    <row r="31" spans="1:11" x14ac:dyDescent="0.2">
      <c r="A31" s="106" t="s">
        <v>40</v>
      </c>
      <c r="B31" s="72">
        <f>B8</f>
        <v>1272.96</v>
      </c>
      <c r="C31" s="124">
        <f>VLOOKUP($B$3,'Data for Bill Impacts'!$A$3:$Y$15,15,0)</f>
        <v>6.7999999999999996E-3</v>
      </c>
      <c r="D31" s="21">
        <f>B31*C31</f>
        <v>8.6561279999999989</v>
      </c>
      <c r="E31" s="72">
        <f t="shared" si="6"/>
        <v>1272.96</v>
      </c>
      <c r="F31" s="77">
        <f>VLOOKUP($B$3,'Data for Bill Impacts'!$A$3:$Y$15,24,0)</f>
        <v>6.7999999999999996E-3</v>
      </c>
      <c r="G31" s="21">
        <f>E31*F31</f>
        <v>8.6561279999999989</v>
      </c>
      <c r="H31" s="21">
        <f t="shared" si="1"/>
        <v>0</v>
      </c>
      <c r="I31" s="22">
        <f t="shared" si="2"/>
        <v>0</v>
      </c>
      <c r="J31" s="22">
        <f t="shared" si="10"/>
        <v>3.5614682775409502E-2</v>
      </c>
      <c r="K31" s="107">
        <f t="shared" si="11"/>
        <v>3.5892971867931923E-2</v>
      </c>
    </row>
    <row r="32" spans="1:11" x14ac:dyDescent="0.2">
      <c r="A32" s="106" t="s">
        <v>41</v>
      </c>
      <c r="B32" s="72">
        <f>B8</f>
        <v>1272.96</v>
      </c>
      <c r="C32" s="124">
        <f>VLOOKUP($B$3,'Data for Bill Impacts'!$A$3:$Y$15,16,0)</f>
        <v>5.4999999999999997E-3</v>
      </c>
      <c r="D32" s="21">
        <f>B32*C32</f>
        <v>7.0012799999999995</v>
      </c>
      <c r="E32" s="72">
        <f t="shared" si="6"/>
        <v>1272.96</v>
      </c>
      <c r="F32" s="77">
        <f>VLOOKUP($B$3,'Data for Bill Impacts'!$A$3:$Y$15,25,0)</f>
        <v>5.4999999999999997E-3</v>
      </c>
      <c r="G32" s="21">
        <f>E32*F32</f>
        <v>7.0012799999999995</v>
      </c>
      <c r="H32" s="21">
        <f t="shared" si="1"/>
        <v>0</v>
      </c>
      <c r="I32" s="22">
        <f t="shared" si="2"/>
        <v>0</v>
      </c>
      <c r="J32" s="22">
        <f t="shared" si="10"/>
        <v>2.8805993421287101E-2</v>
      </c>
      <c r="K32" s="107">
        <f t="shared" si="11"/>
        <v>2.9031080187297879E-2</v>
      </c>
    </row>
    <row r="33" spans="1:11" s="1" customFormat="1" x14ac:dyDescent="0.2">
      <c r="A33" s="109" t="s">
        <v>76</v>
      </c>
      <c r="B33" s="73"/>
      <c r="C33" s="34"/>
      <c r="D33" s="34">
        <f>SUM(D31:D32)</f>
        <v>15.657407999999998</v>
      </c>
      <c r="E33" s="72"/>
      <c r="F33" s="34"/>
      <c r="G33" s="34">
        <f>SUM(G31:G32)</f>
        <v>15.657407999999998</v>
      </c>
      <c r="H33" s="34">
        <f t="shared" si="1"/>
        <v>0</v>
      </c>
      <c r="I33" s="35">
        <f t="shared" si="2"/>
        <v>0</v>
      </c>
      <c r="J33" s="35">
        <f t="shared" si="10"/>
        <v>6.44206761966966E-2</v>
      </c>
      <c r="K33" s="110">
        <f t="shared" si="11"/>
        <v>6.4924052055229803E-2</v>
      </c>
    </row>
    <row r="34" spans="1:11" s="1" customFormat="1" x14ac:dyDescent="0.2">
      <c r="A34" s="109" t="s">
        <v>93</v>
      </c>
      <c r="B34" s="73"/>
      <c r="C34" s="34"/>
      <c r="D34" s="34">
        <f>D29+D33</f>
        <v>107.67456630790393</v>
      </c>
      <c r="E34" s="72"/>
      <c r="F34" s="34"/>
      <c r="G34" s="34">
        <f>G29+G33</f>
        <v>110.85776630790396</v>
      </c>
      <c r="H34" s="34">
        <f t="shared" si="1"/>
        <v>3.1832000000000278</v>
      </c>
      <c r="I34" s="35">
        <f t="shared" si="2"/>
        <v>2.956315599077888E-2</v>
      </c>
      <c r="J34" s="35">
        <f t="shared" si="10"/>
        <v>0.45611203765083874</v>
      </c>
      <c r="K34" s="110">
        <f t="shared" si="11"/>
        <v>0.45967604539019852</v>
      </c>
    </row>
    <row r="35" spans="1:11" s="1" customFormat="1" x14ac:dyDescent="0.2">
      <c r="A35" s="109" t="s">
        <v>94</v>
      </c>
      <c r="B35" s="73"/>
      <c r="C35" s="34"/>
      <c r="D35" s="34">
        <f>D30+D33</f>
        <v>106.64882550790394</v>
      </c>
      <c r="E35" s="72"/>
      <c r="F35" s="34"/>
      <c r="G35" s="34">
        <f>G30+G33</f>
        <v>109.83202550790396</v>
      </c>
      <c r="H35" s="34">
        <f t="shared" si="1"/>
        <v>3.1832000000000278</v>
      </c>
      <c r="I35" s="35">
        <f t="shared" si="2"/>
        <v>2.9847492317335602E-2</v>
      </c>
      <c r="J35" s="35">
        <f t="shared" si="10"/>
        <v>0.45189174039994384</v>
      </c>
      <c r="K35" s="110">
        <f t="shared" si="11"/>
        <v>0.45542277121516439</v>
      </c>
    </row>
    <row r="36" spans="1:11" x14ac:dyDescent="0.2">
      <c r="A36" s="106" t="s">
        <v>42</v>
      </c>
      <c r="B36" s="72">
        <f>B8</f>
        <v>1272.96</v>
      </c>
      <c r="C36" s="33">
        <v>3.5999999999999999E-3</v>
      </c>
      <c r="D36" s="21">
        <f>B36*C36</f>
        <v>4.5826560000000001</v>
      </c>
      <c r="E36" s="72">
        <f t="shared" si="6"/>
        <v>1272.96</v>
      </c>
      <c r="F36" s="33">
        <v>3.5999999999999999E-3</v>
      </c>
      <c r="G36" s="21">
        <f>E36*F36</f>
        <v>4.5826560000000001</v>
      </c>
      <c r="H36" s="21">
        <f t="shared" si="1"/>
        <v>0</v>
      </c>
      <c r="I36" s="22">
        <f t="shared" si="2"/>
        <v>0</v>
      </c>
      <c r="J36" s="22">
        <f t="shared" si="10"/>
        <v>1.8854832057569739E-2</v>
      </c>
      <c r="K36" s="107">
        <f t="shared" si="11"/>
        <v>1.9002161577140433E-2</v>
      </c>
    </row>
    <row r="37" spans="1:11" x14ac:dyDescent="0.2">
      <c r="A37" s="106" t="s">
        <v>43</v>
      </c>
      <c r="B37" s="72">
        <f>B8</f>
        <v>1272.96</v>
      </c>
      <c r="C37" s="33">
        <v>2.0999999999999999E-3</v>
      </c>
      <c r="D37" s="21">
        <f>B37*C37</f>
        <v>2.673216</v>
      </c>
      <c r="E37" s="72">
        <f t="shared" si="6"/>
        <v>1272.96</v>
      </c>
      <c r="F37" s="33">
        <v>2.0999999999999999E-3</v>
      </c>
      <c r="G37" s="21">
        <f>E37*F37</f>
        <v>2.673216</v>
      </c>
      <c r="H37" s="21">
        <f>G37-D37</f>
        <v>0</v>
      </c>
      <c r="I37" s="22">
        <f t="shared" si="2"/>
        <v>0</v>
      </c>
      <c r="J37" s="22">
        <f t="shared" si="10"/>
        <v>1.0998652033582348E-2</v>
      </c>
      <c r="K37" s="107">
        <f t="shared" si="11"/>
        <v>1.1084594253331919E-2</v>
      </c>
    </row>
    <row r="38" spans="1:11" x14ac:dyDescent="0.2">
      <c r="A38" s="106" t="s">
        <v>99</v>
      </c>
      <c r="B38" s="72">
        <f>B8</f>
        <v>1272.96</v>
      </c>
      <c r="C38" s="33">
        <v>0</v>
      </c>
      <c r="D38" s="21">
        <f>B38*C38</f>
        <v>0</v>
      </c>
      <c r="E38" s="72">
        <f t="shared" si="6"/>
        <v>1272.96</v>
      </c>
      <c r="F38" s="33">
        <v>0</v>
      </c>
      <c r="G38" s="21">
        <f>E38*F38</f>
        <v>0</v>
      </c>
      <c r="H38" s="21">
        <f>G38-D38</f>
        <v>0</v>
      </c>
      <c r="I38" s="22" t="str">
        <f t="shared" si="2"/>
        <v>N/A</v>
      </c>
      <c r="J38" s="22">
        <f t="shared" si="10"/>
        <v>0</v>
      </c>
      <c r="K38" s="107">
        <f t="shared" si="11"/>
        <v>0</v>
      </c>
    </row>
    <row r="39" spans="1:11" x14ac:dyDescent="0.2">
      <c r="A39" s="106" t="s">
        <v>44</v>
      </c>
      <c r="B39" s="72">
        <v>1</v>
      </c>
      <c r="C39" s="21">
        <v>0.25</v>
      </c>
      <c r="D39" s="21">
        <f>B39*C39</f>
        <v>0.25</v>
      </c>
      <c r="E39" s="72">
        <f t="shared" si="6"/>
        <v>1</v>
      </c>
      <c r="F39" s="21">
        <f>C39</f>
        <v>0.25</v>
      </c>
      <c r="G39" s="21">
        <f>E39*F39</f>
        <v>0.25</v>
      </c>
      <c r="H39" s="21">
        <f t="shared" si="1"/>
        <v>0</v>
      </c>
      <c r="I39" s="22">
        <f t="shared" si="2"/>
        <v>0</v>
      </c>
      <c r="J39" s="22">
        <f t="shared" si="10"/>
        <v>1.0285973929512568E-3</v>
      </c>
      <c r="K39" s="107">
        <f t="shared" si="11"/>
        <v>1.0366347363374227E-3</v>
      </c>
    </row>
    <row r="40" spans="1:11" s="1" customFormat="1" x14ac:dyDescent="0.2">
      <c r="A40" s="109" t="s">
        <v>45</v>
      </c>
      <c r="B40" s="73"/>
      <c r="C40" s="34"/>
      <c r="D40" s="34">
        <f>SUM(D36:D39)</f>
        <v>7.5058720000000001</v>
      </c>
      <c r="E40" s="72"/>
      <c r="F40" s="34"/>
      <c r="G40" s="34">
        <f>SUM(G36:G39)</f>
        <v>7.5058720000000001</v>
      </c>
      <c r="H40" s="34">
        <f t="shared" si="1"/>
        <v>0</v>
      </c>
      <c r="I40" s="35">
        <f t="shared" si="2"/>
        <v>0</v>
      </c>
      <c r="J40" s="35">
        <f t="shared" si="10"/>
        <v>3.0882081484103343E-2</v>
      </c>
      <c r="K40" s="110">
        <f t="shared" si="11"/>
        <v>3.1123390566809774E-2</v>
      </c>
    </row>
    <row r="41" spans="1:11" s="1" customFormat="1" ht="13.5" thickBot="1" x14ac:dyDescent="0.25">
      <c r="A41" s="111" t="s">
        <v>46</v>
      </c>
      <c r="B41" s="112">
        <f>B4</f>
        <v>1152</v>
      </c>
      <c r="C41" s="113">
        <v>0</v>
      </c>
      <c r="D41" s="114">
        <f>B41*C41</f>
        <v>0</v>
      </c>
      <c r="E41" s="115">
        <f t="shared" si="6"/>
        <v>1152</v>
      </c>
      <c r="F41" s="113">
        <f>C41</f>
        <v>0</v>
      </c>
      <c r="G41" s="114">
        <f>E41*F41</f>
        <v>0</v>
      </c>
      <c r="H41" s="114">
        <f t="shared" si="1"/>
        <v>0</v>
      </c>
      <c r="I41" s="116" t="str">
        <f t="shared" si="2"/>
        <v>N/A</v>
      </c>
      <c r="J41" s="116">
        <f t="shared" si="10"/>
        <v>0</v>
      </c>
      <c r="K41" s="117">
        <f t="shared" si="11"/>
        <v>0</v>
      </c>
    </row>
    <row r="42" spans="1:11" s="1" customFormat="1" x14ac:dyDescent="0.2">
      <c r="A42" s="36" t="s">
        <v>107</v>
      </c>
      <c r="B42" s="37"/>
      <c r="C42" s="38"/>
      <c r="D42" s="38">
        <f>SUM(D14,D25,D26,D27,D33,D40,D41)</f>
        <v>228.29243830790395</v>
      </c>
      <c r="E42" s="37"/>
      <c r="F42" s="38"/>
      <c r="G42" s="38">
        <f>SUM(G14,G25,G26,G27,G33,G40,G41)</f>
        <v>231.47563830790395</v>
      </c>
      <c r="H42" s="38">
        <f t="shared" si="1"/>
        <v>3.1831999999999994</v>
      </c>
      <c r="I42" s="39">
        <f t="shared" si="2"/>
        <v>1.3943519214187615E-2</v>
      </c>
      <c r="J42" s="39">
        <f t="shared" si="10"/>
        <v>0.95238095238095233</v>
      </c>
      <c r="K42" s="40"/>
    </row>
    <row r="43" spans="1:11" x14ac:dyDescent="0.2">
      <c r="A43" s="142" t="s">
        <v>108</v>
      </c>
      <c r="B43" s="42"/>
      <c r="C43" s="25">
        <v>0.13</v>
      </c>
      <c r="D43" s="25">
        <f>D42*C43</f>
        <v>29.678016980027515</v>
      </c>
      <c r="E43" s="25"/>
      <c r="F43" s="25">
        <f>C43</f>
        <v>0.13</v>
      </c>
      <c r="G43" s="25">
        <f>G42*F43</f>
        <v>30.091832980027515</v>
      </c>
      <c r="H43" s="25">
        <f t="shared" si="1"/>
        <v>0.41381600000000063</v>
      </c>
      <c r="I43" s="43">
        <f t="shared" si="2"/>
        <v>1.3943519214187638E-2</v>
      </c>
      <c r="J43" s="43">
        <f t="shared" si="10"/>
        <v>0.12380952380952381</v>
      </c>
      <c r="K43" s="44"/>
    </row>
    <row r="44" spans="1:11" s="1" customFormat="1" x14ac:dyDescent="0.2">
      <c r="A44" s="45" t="s">
        <v>109</v>
      </c>
      <c r="B44" s="23"/>
      <c r="C44" s="24"/>
      <c r="D44" s="24">
        <f>SUM(D42:D43)</f>
        <v>257.97045528793149</v>
      </c>
      <c r="E44" s="24"/>
      <c r="F44" s="24"/>
      <c r="G44" s="24">
        <f>SUM(G42:G43)</f>
        <v>261.56747128793148</v>
      </c>
      <c r="H44" s="24">
        <f t="shared" si="1"/>
        <v>3.5970159999999964</v>
      </c>
      <c r="I44" s="26">
        <f t="shared" si="2"/>
        <v>1.3943519214187603E-2</v>
      </c>
      <c r="J44" s="26">
        <f t="shared" si="10"/>
        <v>1.0761904761904761</v>
      </c>
      <c r="K44" s="46"/>
    </row>
    <row r="45" spans="1:11" x14ac:dyDescent="0.2">
      <c r="A45" s="41" t="s">
        <v>110</v>
      </c>
      <c r="B45" s="42"/>
      <c r="C45" s="25">
        <v>-0.08</v>
      </c>
      <c r="D45" s="25">
        <f>D42*C45</f>
        <v>-18.263395064632316</v>
      </c>
      <c r="E45" s="25"/>
      <c r="F45" s="25">
        <f>C45</f>
        <v>-0.08</v>
      </c>
      <c r="G45" s="25">
        <f>G42*F45</f>
        <v>-18.518051064632317</v>
      </c>
      <c r="H45" s="25">
        <f t="shared" si="1"/>
        <v>-0.25465600000000066</v>
      </c>
      <c r="I45" s="43">
        <f t="shared" si="2"/>
        <v>-1.3943519214187653E-2</v>
      </c>
      <c r="J45" s="43">
        <f t="shared" si="10"/>
        <v>-7.6190476190476183E-2</v>
      </c>
      <c r="K45" s="44"/>
    </row>
    <row r="46" spans="1:11" s="1" customFormat="1" ht="13.5" thickBot="1" x14ac:dyDescent="0.25">
      <c r="A46" s="47" t="s">
        <v>111</v>
      </c>
      <c r="B46" s="48"/>
      <c r="C46" s="49"/>
      <c r="D46" s="49">
        <f>SUM(D44:D45)</f>
        <v>239.70706022329918</v>
      </c>
      <c r="E46" s="49"/>
      <c r="F46" s="49"/>
      <c r="G46" s="49">
        <f>SUM(G44:G45)</f>
        <v>243.04942022329917</v>
      </c>
      <c r="H46" s="49">
        <f t="shared" si="1"/>
        <v>3.3423599999999851</v>
      </c>
      <c r="I46" s="50">
        <f t="shared" si="2"/>
        <v>1.3943519214187553E-2</v>
      </c>
      <c r="J46" s="50">
        <f t="shared" si="10"/>
        <v>1</v>
      </c>
      <c r="K46" s="51"/>
    </row>
    <row r="47" spans="1:11" x14ac:dyDescent="0.2">
      <c r="A47" s="52" t="s">
        <v>112</v>
      </c>
      <c r="B47" s="53"/>
      <c r="C47" s="54"/>
      <c r="D47" s="54">
        <f>SUM(D18,D25,D26,D28,D33,D40,D41)</f>
        <v>226.49773750790396</v>
      </c>
      <c r="E47" s="54"/>
      <c r="F47" s="54"/>
      <c r="G47" s="54">
        <f>SUM(G18,G25,G26,G28,G33,G40,G41)</f>
        <v>229.68093750790396</v>
      </c>
      <c r="H47" s="54">
        <f>G47-D47</f>
        <v>3.1831999999999994</v>
      </c>
      <c r="I47" s="55">
        <f t="shared" si="2"/>
        <v>1.4054003519081143E-2</v>
      </c>
      <c r="J47" s="55"/>
      <c r="K47" s="56">
        <f>G47/$G$51</f>
        <v>0.95238095238095233</v>
      </c>
    </row>
    <row r="48" spans="1:11" x14ac:dyDescent="0.2">
      <c r="A48" s="57" t="s">
        <v>108</v>
      </c>
      <c r="B48" s="58"/>
      <c r="C48" s="30">
        <v>0.13</v>
      </c>
      <c r="D48" s="30">
        <f>D47*C48</f>
        <v>29.444705876027516</v>
      </c>
      <c r="E48" s="30"/>
      <c r="F48" s="30">
        <f>C48</f>
        <v>0.13</v>
      </c>
      <c r="G48" s="30">
        <f>G47*F48</f>
        <v>29.858521876027517</v>
      </c>
      <c r="H48" s="30">
        <f>G48-D48</f>
        <v>0.41381600000000063</v>
      </c>
      <c r="I48" s="31">
        <f t="shared" si="2"/>
        <v>1.4054003519081168E-2</v>
      </c>
      <c r="J48" s="31"/>
      <c r="K48" s="59">
        <f>G48/$G$51</f>
        <v>0.1238095238095238</v>
      </c>
    </row>
    <row r="49" spans="1:11" x14ac:dyDescent="0.2">
      <c r="A49" s="60" t="s">
        <v>113</v>
      </c>
      <c r="B49" s="28"/>
      <c r="C49" s="29"/>
      <c r="D49" s="29">
        <f>SUM(D47:D48)</f>
        <v>255.94244338393148</v>
      </c>
      <c r="E49" s="29"/>
      <c r="F49" s="29"/>
      <c r="G49" s="29">
        <f>SUM(G47:G48)</f>
        <v>259.5394593839315</v>
      </c>
      <c r="H49" s="29">
        <f>G49-D49</f>
        <v>3.5970160000000249</v>
      </c>
      <c r="I49" s="32">
        <f t="shared" si="2"/>
        <v>1.4054003519081244E-2</v>
      </c>
      <c r="J49" s="32"/>
      <c r="K49" s="61">
        <f>G49/$G$51</f>
        <v>1.0761904761904761</v>
      </c>
    </row>
    <row r="50" spans="1:11" x14ac:dyDescent="0.2">
      <c r="A50" s="57" t="s">
        <v>110</v>
      </c>
      <c r="B50" s="58"/>
      <c r="C50" s="30">
        <v>-0.08</v>
      </c>
      <c r="D50" s="30">
        <f>D47*C50</f>
        <v>-18.119819000632319</v>
      </c>
      <c r="E50" s="30"/>
      <c r="F50" s="30">
        <f>C50</f>
        <v>-0.08</v>
      </c>
      <c r="G50" s="30">
        <f>G47*F50</f>
        <v>-18.374475000632316</v>
      </c>
      <c r="H50" s="30">
        <f>G50-D50</f>
        <v>-0.25465599999999711</v>
      </c>
      <c r="I50" s="31">
        <f t="shared" si="2"/>
        <v>-1.4054003519080985E-2</v>
      </c>
      <c r="J50" s="31"/>
      <c r="K50" s="59">
        <f>G50/$G$51</f>
        <v>-7.6190476190476183E-2</v>
      </c>
    </row>
    <row r="51" spans="1:11" ht="13.5" thickBot="1" x14ac:dyDescent="0.25">
      <c r="A51" s="62" t="s">
        <v>114</v>
      </c>
      <c r="B51" s="63"/>
      <c r="C51" s="64"/>
      <c r="D51" s="64">
        <f>SUM(D49:D50)</f>
        <v>237.82262438329917</v>
      </c>
      <c r="E51" s="64"/>
      <c r="F51" s="64"/>
      <c r="G51" s="64">
        <f>SUM(G49:G50)</f>
        <v>241.16498438329918</v>
      </c>
      <c r="H51" s="64">
        <f>G51-D51</f>
        <v>3.3423600000000135</v>
      </c>
      <c r="I51" s="65">
        <f t="shared" si="2"/>
        <v>1.4054003519081202E-2</v>
      </c>
      <c r="J51" s="65"/>
      <c r="K51" s="66">
        <f>G51/$G$51</f>
        <v>1</v>
      </c>
    </row>
    <row r="52" spans="1:11" x14ac:dyDescent="0.2">
      <c r="C52" s="67"/>
      <c r="F52" s="68"/>
    </row>
    <row r="53" spans="1:11" x14ac:dyDescent="0.2">
      <c r="F53" s="68"/>
    </row>
    <row r="54" spans="1:11" x14ac:dyDescent="0.2">
      <c r="F54" s="68"/>
    </row>
    <row r="55" spans="1:11" x14ac:dyDescent="0.2">
      <c r="A55" s="69"/>
      <c r="B55" s="70"/>
      <c r="F55" s="68"/>
    </row>
    <row r="56" spans="1:11" x14ac:dyDescent="0.2">
      <c r="B56" s="70"/>
      <c r="F56" s="68"/>
    </row>
    <row r="57" spans="1:11" x14ac:dyDescent="0.2">
      <c r="F57" s="68"/>
    </row>
    <row r="58" spans="1:11" x14ac:dyDescent="0.2">
      <c r="D58" s="71"/>
      <c r="F58" s="68"/>
    </row>
    <row r="59" spans="1:11" x14ac:dyDescent="0.2">
      <c r="F59" s="68"/>
    </row>
    <row r="60" spans="1:11" x14ac:dyDescent="0.2">
      <c r="A60" s="69"/>
      <c r="B60" s="70"/>
      <c r="F60" s="68"/>
    </row>
    <row r="61" spans="1:11" x14ac:dyDescent="0.2">
      <c r="B61" s="71"/>
      <c r="D61" s="71"/>
      <c r="F61" s="68"/>
    </row>
    <row r="62" spans="1:11" x14ac:dyDescent="0.2">
      <c r="F62" s="68"/>
    </row>
    <row r="63" spans="1:11" x14ac:dyDescent="0.2">
      <c r="F63" s="68"/>
    </row>
    <row r="64" spans="1:11" x14ac:dyDescent="0.2">
      <c r="F64" s="68"/>
      <c r="K64"/>
    </row>
    <row r="65" spans="6:11" x14ac:dyDescent="0.2">
      <c r="F65" s="68"/>
      <c r="K65"/>
    </row>
    <row r="66" spans="6:11" x14ac:dyDescent="0.2">
      <c r="F66" s="68"/>
      <c r="K66"/>
    </row>
    <row r="67" spans="6:11" x14ac:dyDescent="0.2">
      <c r="F67" s="68"/>
      <c r="K67"/>
    </row>
    <row r="68" spans="6:11" x14ac:dyDescent="0.2">
      <c r="F68" s="68"/>
      <c r="K68"/>
    </row>
  </sheetData>
  <mergeCells count="1">
    <mergeCell ref="A1:K1"/>
  </mergeCells>
  <pageMargins left="0.7" right="0.7" top="0.75" bottom="0.75" header="0.3" footer="0.3"/>
  <pageSetup scale="7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1" tint="0.499984740745262"/>
    <pageSetUpPr fitToPage="1"/>
  </sheetPr>
  <dimension ref="A1:K68"/>
  <sheetViews>
    <sheetView tabSelected="1" topLeftCell="A4"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3"/>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205" t="s">
        <v>128</v>
      </c>
      <c r="B1" s="206"/>
      <c r="C1" s="206"/>
      <c r="D1" s="206"/>
      <c r="E1" s="206"/>
      <c r="F1" s="206"/>
      <c r="G1" s="206"/>
      <c r="H1" s="206"/>
      <c r="I1" s="206"/>
      <c r="J1" s="206"/>
      <c r="K1" s="207"/>
    </row>
    <row r="3" spans="1:11" x14ac:dyDescent="0.2">
      <c r="A3" s="12" t="s">
        <v>13</v>
      </c>
      <c r="B3" s="12" t="s">
        <v>2</v>
      </c>
    </row>
    <row r="4" spans="1:11" x14ac:dyDescent="0.2">
      <c r="A4" s="14" t="s">
        <v>62</v>
      </c>
      <c r="B4" s="14">
        <v>2300</v>
      </c>
    </row>
    <row r="5" spans="1:11" x14ac:dyDescent="0.2">
      <c r="A5" s="14" t="s">
        <v>16</v>
      </c>
      <c r="B5" s="14">
        <f>VLOOKUP($B$3,'Data for Bill Impacts'!$A$3:$Y$15,5,0)</f>
        <v>0</v>
      </c>
    </row>
    <row r="6" spans="1:11" x14ac:dyDescent="0.2">
      <c r="A6" s="14" t="s">
        <v>20</v>
      </c>
      <c r="B6" s="14">
        <f>VLOOKUP($B$3,'Data for Bill Impacts'!$A$3:$Y$15,2,0)</f>
        <v>1.105</v>
      </c>
    </row>
    <row r="7" spans="1:11" x14ac:dyDescent="0.2">
      <c r="A7" s="14" t="s">
        <v>15</v>
      </c>
      <c r="B7" s="14">
        <f>VLOOKUP($B$3,'Data for Bill Impacts'!$A$3:$Y$15,4,0)</f>
        <v>600</v>
      </c>
    </row>
    <row r="8" spans="1:11" x14ac:dyDescent="0.2">
      <c r="A8" s="14" t="s">
        <v>82</v>
      </c>
      <c r="B8" s="148">
        <f>B4*B6</f>
        <v>2541.5</v>
      </c>
    </row>
    <row r="9" spans="1:11" x14ac:dyDescent="0.2">
      <c r="A9" s="14" t="s">
        <v>21</v>
      </c>
      <c r="B9" s="15" t="str">
        <f>VLOOKUP($B$3,'Data for Bill Impacts'!$A$3:$Y$15,6,0)</f>
        <v>kWh</v>
      </c>
    </row>
    <row r="10" spans="1:11" ht="13.5" thickBot="1" x14ac:dyDescent="0.25"/>
    <row r="11" spans="1:11" s="19" customFormat="1" ht="39" thickBot="1" x14ac:dyDescent="0.25">
      <c r="A11" s="16"/>
      <c r="B11" s="17" t="s">
        <v>22</v>
      </c>
      <c r="C11" s="17" t="s">
        <v>23</v>
      </c>
      <c r="D11" s="17" t="s">
        <v>24</v>
      </c>
      <c r="E11" s="17" t="s">
        <v>22</v>
      </c>
      <c r="F11" s="17" t="s">
        <v>25</v>
      </c>
      <c r="G11" s="17" t="s">
        <v>26</v>
      </c>
      <c r="H11" s="17" t="s">
        <v>27</v>
      </c>
      <c r="I11" s="17" t="s">
        <v>28</v>
      </c>
      <c r="J11" s="17" t="s">
        <v>29</v>
      </c>
      <c r="K11" s="18" t="s">
        <v>30</v>
      </c>
    </row>
    <row r="12" spans="1:11" x14ac:dyDescent="0.2">
      <c r="A12" s="100" t="s">
        <v>31</v>
      </c>
      <c r="B12" s="101">
        <f>IF(B4&gt;B7,B7,B4)</f>
        <v>600</v>
      </c>
      <c r="C12" s="102">
        <v>9.0999999999999998E-2</v>
      </c>
      <c r="D12" s="103">
        <f>B12*C12</f>
        <v>54.6</v>
      </c>
      <c r="E12" s="101">
        <f>B12</f>
        <v>600</v>
      </c>
      <c r="F12" s="102">
        <f>C12</f>
        <v>9.0999999999999998E-2</v>
      </c>
      <c r="G12" s="103">
        <f>E12*F12</f>
        <v>54.6</v>
      </c>
      <c r="H12" s="103">
        <f>G12-D12</f>
        <v>0</v>
      </c>
      <c r="I12" s="104">
        <f>IF(ISERROR(H12/ABS(D12)),"N/A",(H12/ABS(D12)))</f>
        <v>0</v>
      </c>
      <c r="J12" s="104">
        <f>G12/$G$46</f>
        <v>0.12928322847160681</v>
      </c>
      <c r="K12" s="105"/>
    </row>
    <row r="13" spans="1:11" x14ac:dyDescent="0.2">
      <c r="A13" s="106" t="s">
        <v>32</v>
      </c>
      <c r="B13" s="72">
        <f>IF(B4&gt;B7,(B4)-B7,0)</f>
        <v>1700</v>
      </c>
      <c r="C13" s="20">
        <v>0.106</v>
      </c>
      <c r="D13" s="21">
        <f>B13*C13</f>
        <v>180.2</v>
      </c>
      <c r="E13" s="72">
        <f t="shared" ref="E13" si="0">B13</f>
        <v>1700</v>
      </c>
      <c r="F13" s="20">
        <f>C13</f>
        <v>0.106</v>
      </c>
      <c r="G13" s="21">
        <f>E13*F13</f>
        <v>180.2</v>
      </c>
      <c r="H13" s="21">
        <f t="shared" ref="H13:H46" si="1">G13-D13</f>
        <v>0</v>
      </c>
      <c r="I13" s="22">
        <f t="shared" ref="I13:I51" si="2">IF(ISERROR(H13/ABS(D13)),"N/A",(H13/ABS(D13)))</f>
        <v>0</v>
      </c>
      <c r="J13" s="22">
        <f>G13/$G$46</f>
        <v>0.42668201045024812</v>
      </c>
      <c r="K13" s="107"/>
    </row>
    <row r="14" spans="1:11" s="1" customFormat="1" x14ac:dyDescent="0.2">
      <c r="A14" s="45" t="s">
        <v>33</v>
      </c>
      <c r="B14" s="23"/>
      <c r="C14" s="24"/>
      <c r="D14" s="24">
        <f>SUM(D12:D13)</f>
        <v>234.79999999999998</v>
      </c>
      <c r="E14" s="75"/>
      <c r="F14" s="24"/>
      <c r="G14" s="24">
        <f>SUM(G12:G13)</f>
        <v>234.79999999999998</v>
      </c>
      <c r="H14" s="24">
        <f t="shared" si="1"/>
        <v>0</v>
      </c>
      <c r="I14" s="26">
        <f t="shared" si="2"/>
        <v>0</v>
      </c>
      <c r="J14" s="26">
        <f>G14/$G$46</f>
        <v>0.5559652389218549</v>
      </c>
      <c r="K14" s="107"/>
    </row>
    <row r="15" spans="1:11" s="1" customFormat="1" x14ac:dyDescent="0.2">
      <c r="A15" s="108" t="s">
        <v>34</v>
      </c>
      <c r="B15" s="74">
        <f>B4*0.65</f>
        <v>1495</v>
      </c>
      <c r="C15" s="27">
        <v>7.6999999999999999E-2</v>
      </c>
      <c r="D15" s="21">
        <f>B15*C15</f>
        <v>115.11499999999999</v>
      </c>
      <c r="E15" s="72">
        <f t="shared" ref="E15:F17" si="3">B15</f>
        <v>1495</v>
      </c>
      <c r="F15" s="27">
        <f t="shared" si="3"/>
        <v>7.6999999999999999E-2</v>
      </c>
      <c r="G15" s="21">
        <f>E15*F15</f>
        <v>115.11499999999999</v>
      </c>
      <c r="H15" s="21">
        <f t="shared" si="1"/>
        <v>0</v>
      </c>
      <c r="I15" s="22">
        <f t="shared" si="2"/>
        <v>0</v>
      </c>
      <c r="J15" s="22"/>
      <c r="K15" s="107">
        <f t="shared" ref="K15:K26" si="4">G15/$G$51</f>
        <v>0.2813522384142973</v>
      </c>
    </row>
    <row r="16" spans="1:11" s="1" customFormat="1" x14ac:dyDescent="0.2">
      <c r="A16" s="108" t="s">
        <v>35</v>
      </c>
      <c r="B16" s="74">
        <f>B4*0.17</f>
        <v>391</v>
      </c>
      <c r="C16" s="27">
        <v>0.113</v>
      </c>
      <c r="D16" s="21">
        <f>B16*C16</f>
        <v>44.183</v>
      </c>
      <c r="E16" s="72">
        <f t="shared" si="3"/>
        <v>391</v>
      </c>
      <c r="F16" s="27">
        <f t="shared" si="3"/>
        <v>0.113</v>
      </c>
      <c r="G16" s="21">
        <f>E16*F16</f>
        <v>44.183</v>
      </c>
      <c r="H16" s="21">
        <f t="shared" si="1"/>
        <v>0</v>
      </c>
      <c r="I16" s="22">
        <f t="shared" si="2"/>
        <v>0</v>
      </c>
      <c r="J16" s="22"/>
      <c r="K16" s="107">
        <f t="shared" si="4"/>
        <v>0.1079875424563167</v>
      </c>
    </row>
    <row r="17" spans="1:11" s="1" customFormat="1" x14ac:dyDescent="0.2">
      <c r="A17" s="108" t="s">
        <v>36</v>
      </c>
      <c r="B17" s="74">
        <f>B4*0.18</f>
        <v>414</v>
      </c>
      <c r="C17" s="27">
        <v>0.157</v>
      </c>
      <c r="D17" s="21">
        <f>B17*C17</f>
        <v>64.998000000000005</v>
      </c>
      <c r="E17" s="72">
        <f t="shared" si="3"/>
        <v>414</v>
      </c>
      <c r="F17" s="27">
        <f t="shared" si="3"/>
        <v>0.157</v>
      </c>
      <c r="G17" s="21">
        <f>E17*F17</f>
        <v>64.998000000000005</v>
      </c>
      <c r="H17" s="21">
        <f t="shared" si="1"/>
        <v>0</v>
      </c>
      <c r="I17" s="22">
        <f t="shared" si="2"/>
        <v>0</v>
      </c>
      <c r="J17" s="22"/>
      <c r="K17" s="107">
        <f t="shared" si="4"/>
        <v>0.1588614237280328</v>
      </c>
    </row>
    <row r="18" spans="1:11" s="1" customFormat="1" x14ac:dyDescent="0.2">
      <c r="A18" s="60" t="s">
        <v>37</v>
      </c>
      <c r="B18" s="28"/>
      <c r="C18" s="29"/>
      <c r="D18" s="29">
        <f>SUM(D15:D17)</f>
        <v>224.29599999999999</v>
      </c>
      <c r="E18" s="76"/>
      <c r="F18" s="29"/>
      <c r="G18" s="29">
        <f>SUM(G15:G17)</f>
        <v>224.29599999999999</v>
      </c>
      <c r="H18" s="30">
        <f t="shared" si="1"/>
        <v>0</v>
      </c>
      <c r="I18" s="31">
        <f t="shared" si="2"/>
        <v>0</v>
      </c>
      <c r="J18" s="32">
        <f t="shared" ref="J18:J23" si="5">G18/$G$46</f>
        <v>0.5310936083016029</v>
      </c>
      <c r="K18" s="61">
        <f t="shared" si="4"/>
        <v>0.54820120459864674</v>
      </c>
    </row>
    <row r="19" spans="1:11" x14ac:dyDescent="0.2">
      <c r="A19" s="106" t="s">
        <v>38</v>
      </c>
      <c r="B19" s="72">
        <v>1</v>
      </c>
      <c r="C19" s="120">
        <f>VLOOKUP($B$3,'Data for Bill Impacts'!$A$3:$Y$15,7,0)</f>
        <v>55.259678307903926</v>
      </c>
      <c r="D19" s="21">
        <f>B19*C19</f>
        <v>55.259678307903926</v>
      </c>
      <c r="E19" s="72">
        <f t="shared" ref="E19:E41" si="6">B19</f>
        <v>1</v>
      </c>
      <c r="F19" s="120">
        <f>VLOOKUP($B$3,'Data for Bill Impacts'!$A$3:$Y$15,17,0)</f>
        <v>68.119678307903939</v>
      </c>
      <c r="G19" s="21">
        <f>E19*F19</f>
        <v>68.119678307903939</v>
      </c>
      <c r="H19" s="21">
        <f t="shared" si="1"/>
        <v>12.860000000000014</v>
      </c>
      <c r="I19" s="22">
        <f t="shared" si="2"/>
        <v>0.23271941483887751</v>
      </c>
      <c r="J19" s="22">
        <f t="shared" si="5"/>
        <v>0.16129545666837186</v>
      </c>
      <c r="K19" s="107">
        <f t="shared" si="4"/>
        <v>0.16649110864779243</v>
      </c>
    </row>
    <row r="20" spans="1:11" hidden="1" x14ac:dyDescent="0.2">
      <c r="A20" s="106" t="s">
        <v>83</v>
      </c>
      <c r="B20" s="72">
        <v>1</v>
      </c>
      <c r="C20" s="77">
        <f>VLOOKUP($B$3,'Data for Bill Impacts'!$A$3:$Y$15,8,0)</f>
        <v>0</v>
      </c>
      <c r="D20" s="21">
        <f>B20*C20</f>
        <v>0</v>
      </c>
      <c r="E20" s="72">
        <f t="shared" si="6"/>
        <v>1</v>
      </c>
      <c r="F20" s="77">
        <v>0</v>
      </c>
      <c r="G20" s="21">
        <f t="shared" ref="G20:G22" si="7">E20*F20</f>
        <v>0</v>
      </c>
      <c r="H20" s="21">
        <f t="shared" si="1"/>
        <v>0</v>
      </c>
      <c r="I20" s="22" t="str">
        <f t="shared" si="2"/>
        <v>N/A</v>
      </c>
      <c r="J20" s="22">
        <f t="shared" si="5"/>
        <v>0</v>
      </c>
      <c r="K20" s="107">
        <f t="shared" si="4"/>
        <v>0</v>
      </c>
    </row>
    <row r="21" spans="1:11" hidden="1" x14ac:dyDescent="0.2">
      <c r="A21" s="106" t="s">
        <v>115</v>
      </c>
      <c r="B21" s="72">
        <v>1</v>
      </c>
      <c r="C21" s="77">
        <f>VLOOKUP($B$3,'Data for Bill Impacts'!$A$3:$Y$15,11,0)</f>
        <v>0</v>
      </c>
      <c r="D21" s="21">
        <f t="shared" ref="D21:D22" si="8">B21*C21</f>
        <v>0</v>
      </c>
      <c r="E21" s="72">
        <f t="shared" si="6"/>
        <v>1</v>
      </c>
      <c r="F21" s="120">
        <f>VLOOKUP($B$3,'Data for Bill Impacts'!$A$3:$Y$15,12,0)</f>
        <v>0</v>
      </c>
      <c r="G21" s="21">
        <f t="shared" si="7"/>
        <v>0</v>
      </c>
      <c r="H21" s="21">
        <f t="shared" si="1"/>
        <v>0</v>
      </c>
      <c r="I21" s="22" t="str">
        <f t="shared" si="2"/>
        <v>N/A</v>
      </c>
      <c r="J21" s="22">
        <f t="shared" si="5"/>
        <v>0</v>
      </c>
      <c r="K21" s="107">
        <f t="shared" si="4"/>
        <v>0</v>
      </c>
    </row>
    <row r="22" spans="1:11" x14ac:dyDescent="0.2">
      <c r="A22" s="106" t="s">
        <v>85</v>
      </c>
      <c r="B22" s="72">
        <v>1</v>
      </c>
      <c r="C22" s="120">
        <f>VLOOKUP($B$3,'Data for Bill Impacts'!$A$3:$Y$15,13,0)</f>
        <v>-2.1000000000000001E-2</v>
      </c>
      <c r="D22" s="21">
        <f t="shared" si="8"/>
        <v>-2.1000000000000001E-2</v>
      </c>
      <c r="E22" s="72">
        <f t="shared" si="6"/>
        <v>1</v>
      </c>
      <c r="F22" s="120">
        <f>VLOOKUP($B$3,'Data for Bill Impacts'!$A$3:$Y$15,22,0)</f>
        <v>-2.1000000000000001E-2</v>
      </c>
      <c r="G22" s="21">
        <f t="shared" si="7"/>
        <v>-2.1000000000000001E-2</v>
      </c>
      <c r="H22" s="21">
        <f t="shared" si="1"/>
        <v>0</v>
      </c>
      <c r="I22" s="22">
        <f t="shared" si="2"/>
        <v>0</v>
      </c>
      <c r="J22" s="22">
        <f t="shared" si="5"/>
        <v>-4.9724318642925698E-5</v>
      </c>
      <c r="K22" s="107">
        <f t="shared" si="4"/>
        <v>-5.1326039236417869E-5</v>
      </c>
    </row>
    <row r="23" spans="1:11" x14ac:dyDescent="0.2">
      <c r="A23" s="106" t="s">
        <v>39</v>
      </c>
      <c r="B23" s="72">
        <f>IF($B$9="kWh",$B$4,$B$5)</f>
        <v>2300</v>
      </c>
      <c r="C23" s="77">
        <f>VLOOKUP($B$3,'Data for Bill Impacts'!$A$3:$Y$15,10,0)</f>
        <v>2.01E-2</v>
      </c>
      <c r="D23" s="21">
        <f>B23*C23</f>
        <v>46.23</v>
      </c>
      <c r="E23" s="72">
        <f t="shared" si="6"/>
        <v>2300</v>
      </c>
      <c r="F23" s="77">
        <f>VLOOKUP($B$3,'Data for Bill Impacts'!$A$3:$Y$15,19,0)</f>
        <v>1.17E-2</v>
      </c>
      <c r="G23" s="21">
        <f>E23*F23</f>
        <v>26.91</v>
      </c>
      <c r="H23" s="21">
        <f t="shared" si="1"/>
        <v>-19.319999999999997</v>
      </c>
      <c r="I23" s="22">
        <f t="shared" si="2"/>
        <v>-0.41791044776119401</v>
      </c>
      <c r="J23" s="22">
        <f t="shared" si="5"/>
        <v>6.3718162603863357E-2</v>
      </c>
      <c r="K23" s="107">
        <f t="shared" si="4"/>
        <v>6.5770653135809751E-2</v>
      </c>
    </row>
    <row r="24" spans="1:11" x14ac:dyDescent="0.2">
      <c r="A24" s="106" t="s">
        <v>129</v>
      </c>
      <c r="B24" s="72">
        <f>IF($B$9="kWh",$B$4,$B$5)</f>
        <v>2300</v>
      </c>
      <c r="C24" s="124">
        <f>VLOOKUP($B$3,'Data for Bill Impacts'!$A$3:$Y$15,14,0)</f>
        <v>1.0000000000000003E-5</v>
      </c>
      <c r="D24" s="21">
        <f>B24*C24</f>
        <v>2.3000000000000007E-2</v>
      </c>
      <c r="E24" s="72">
        <f t="shared" si="6"/>
        <v>2300</v>
      </c>
      <c r="F24" s="77">
        <f>VLOOKUP($B$3,'Data for Bill Impacts'!$A$3:$Y$15,23,0)</f>
        <v>1.0000000000000003E-5</v>
      </c>
      <c r="G24" s="21">
        <f>E24*F24</f>
        <v>2.3000000000000007E-2</v>
      </c>
      <c r="H24" s="21">
        <f t="shared" si="1"/>
        <v>0</v>
      </c>
      <c r="I24" s="22">
        <f t="shared" si="2"/>
        <v>0</v>
      </c>
      <c r="J24" s="22">
        <f t="shared" ref="J24" si="9">G24/$G$46</f>
        <v>5.4459968037490061E-5</v>
      </c>
      <c r="K24" s="107">
        <f t="shared" si="4"/>
        <v>5.6214233449410066E-5</v>
      </c>
    </row>
    <row r="25" spans="1:11" s="1" customFormat="1" x14ac:dyDescent="0.2">
      <c r="A25" s="109" t="s">
        <v>72</v>
      </c>
      <c r="B25" s="73"/>
      <c r="C25" s="34"/>
      <c r="D25" s="34">
        <f>SUM(D19:D24)</f>
        <v>101.49167830790392</v>
      </c>
      <c r="E25" s="72"/>
      <c r="F25" s="34"/>
      <c r="G25" s="34">
        <f>SUM(G19:G24)</f>
        <v>95.031678307903931</v>
      </c>
      <c r="H25" s="34">
        <f t="shared" si="1"/>
        <v>-6.4599999999999937</v>
      </c>
      <c r="I25" s="35">
        <f t="shared" si="2"/>
        <v>-6.365053872103428E-2</v>
      </c>
      <c r="J25" s="35">
        <f>G25/$G$46</f>
        <v>0.22501835492162975</v>
      </c>
      <c r="K25" s="110">
        <f t="shared" si="4"/>
        <v>0.23226664997781515</v>
      </c>
    </row>
    <row r="26" spans="1:11" s="1" customFormat="1" x14ac:dyDescent="0.2">
      <c r="A26" s="118" t="s">
        <v>73</v>
      </c>
      <c r="B26" s="119">
        <v>1</v>
      </c>
      <c r="C26" s="77">
        <f>VLOOKUP($B$3,'Data for Bill Impacts'!$A$3:$Y$15,9,0)</f>
        <v>0.79</v>
      </c>
      <c r="D26" s="21">
        <f>B26*C26</f>
        <v>0.79</v>
      </c>
      <c r="E26" s="72">
        <v>1</v>
      </c>
      <c r="F26" s="77">
        <f>VLOOKUP($B$3,'Data for Bill Impacts'!$A$3:$Y$15,18,0)</f>
        <v>0.79</v>
      </c>
      <c r="G26" s="21">
        <f>E26*F26</f>
        <v>0.79</v>
      </c>
      <c r="H26" s="21">
        <f t="shared" si="1"/>
        <v>0</v>
      </c>
      <c r="I26" s="22">
        <f t="shared" si="2"/>
        <v>0</v>
      </c>
      <c r="J26" s="22">
        <f>G26/$G$46</f>
        <v>1.8705815108529191E-3</v>
      </c>
      <c r="K26" s="107">
        <f t="shared" si="4"/>
        <v>1.9308367141319105E-3</v>
      </c>
    </row>
    <row r="27" spans="1:11" s="1" customFormat="1" x14ac:dyDescent="0.2">
      <c r="A27" s="118" t="s">
        <v>75</v>
      </c>
      <c r="B27" s="119">
        <f>B8-B4</f>
        <v>241.5</v>
      </c>
      <c r="C27" s="186">
        <f>IF(B4&gt;B7,C13,C12)</f>
        <v>0.106</v>
      </c>
      <c r="D27" s="21">
        <f>B27*C27</f>
        <v>25.599</v>
      </c>
      <c r="E27" s="72">
        <f>B27</f>
        <v>241.5</v>
      </c>
      <c r="F27" s="186">
        <f>C27</f>
        <v>0.106</v>
      </c>
      <c r="G27" s="21">
        <f>E27*F27</f>
        <v>25.599</v>
      </c>
      <c r="H27" s="21">
        <f t="shared" si="1"/>
        <v>0</v>
      </c>
      <c r="I27" s="22">
        <f t="shared" si="2"/>
        <v>0</v>
      </c>
      <c r="J27" s="22">
        <f t="shared" ref="J27:J46" si="10">G27/$G$46</f>
        <v>6.0613944425726422E-2</v>
      </c>
      <c r="K27" s="107">
        <f t="shared" ref="K27:K41" si="11">G27/$G$51</f>
        <v>6.2566441829193381E-2</v>
      </c>
    </row>
    <row r="28" spans="1:11" s="1" customFormat="1" x14ac:dyDescent="0.2">
      <c r="A28" s="118" t="s">
        <v>74</v>
      </c>
      <c r="B28" s="119">
        <f>B8-B4</f>
        <v>241.5</v>
      </c>
      <c r="C28" s="186">
        <f>0.65*C15+0.17*C16+0.18*C17</f>
        <v>9.7519999999999996E-2</v>
      </c>
      <c r="D28" s="21">
        <f>B28*C28</f>
        <v>23.551079999999999</v>
      </c>
      <c r="E28" s="72">
        <f>B28</f>
        <v>241.5</v>
      </c>
      <c r="F28" s="186">
        <f>C28</f>
        <v>9.7519999999999996E-2</v>
      </c>
      <c r="G28" s="21">
        <f>E28*F28</f>
        <v>23.551079999999999</v>
      </c>
      <c r="H28" s="21">
        <f t="shared" si="1"/>
        <v>0</v>
      </c>
      <c r="I28" s="22">
        <f t="shared" si="2"/>
        <v>0</v>
      </c>
      <c r="J28" s="22">
        <f t="shared" si="10"/>
        <v>5.5764828871668309E-2</v>
      </c>
      <c r="K28" s="107">
        <f t="shared" si="11"/>
        <v>5.7561126482857911E-2</v>
      </c>
    </row>
    <row r="29" spans="1:11" s="1" customFormat="1" x14ac:dyDescent="0.2">
      <c r="A29" s="109" t="s">
        <v>78</v>
      </c>
      <c r="B29" s="73"/>
      <c r="C29" s="34"/>
      <c r="D29" s="34">
        <f>SUM(D25,D26:D27)</f>
        <v>127.88067830790393</v>
      </c>
      <c r="E29" s="72"/>
      <c r="F29" s="34"/>
      <c r="G29" s="34">
        <f>SUM(G25,G26:G27)</f>
        <v>121.42067830790394</v>
      </c>
      <c r="H29" s="34">
        <f t="shared" si="1"/>
        <v>-6.4599999999999937</v>
      </c>
      <c r="I29" s="35">
        <f t="shared" si="2"/>
        <v>-5.0515840903236124E-2</v>
      </c>
      <c r="J29" s="35">
        <f t="shared" si="10"/>
        <v>0.28750288085820913</v>
      </c>
      <c r="K29" s="110">
        <f t="shared" si="11"/>
        <v>0.29676392852114047</v>
      </c>
    </row>
    <row r="30" spans="1:11" s="1" customFormat="1" x14ac:dyDescent="0.2">
      <c r="A30" s="109" t="s">
        <v>77</v>
      </c>
      <c r="B30" s="73"/>
      <c r="C30" s="34"/>
      <c r="D30" s="34">
        <f>SUM(D25,D26,D28)</f>
        <v>125.83275830790393</v>
      </c>
      <c r="E30" s="72"/>
      <c r="F30" s="34"/>
      <c r="G30" s="34">
        <f>SUM(G25,G26,G28)</f>
        <v>119.37275830790394</v>
      </c>
      <c r="H30" s="34">
        <f t="shared" si="1"/>
        <v>-6.4599999999999937</v>
      </c>
      <c r="I30" s="35">
        <f t="shared" si="2"/>
        <v>-5.1337982945528597E-2</v>
      </c>
      <c r="J30" s="35">
        <f t="shared" si="10"/>
        <v>0.28265376530415098</v>
      </c>
      <c r="K30" s="110">
        <f t="shared" si="11"/>
        <v>0.291758613174805</v>
      </c>
    </row>
    <row r="31" spans="1:11" x14ac:dyDescent="0.2">
      <c r="A31" s="106" t="s">
        <v>40</v>
      </c>
      <c r="B31" s="72">
        <f>B8</f>
        <v>2541.5</v>
      </c>
      <c r="C31" s="124">
        <f>VLOOKUP($B$3,'Data for Bill Impacts'!$A$3:$Y$15,15,0)</f>
        <v>6.7999999999999996E-3</v>
      </c>
      <c r="D31" s="21">
        <f>B31*C31</f>
        <v>17.2822</v>
      </c>
      <c r="E31" s="72">
        <f t="shared" si="6"/>
        <v>2541.5</v>
      </c>
      <c r="F31" s="77">
        <f>VLOOKUP($B$3,'Data for Bill Impacts'!$A$3:$Y$15,24,0)</f>
        <v>6.7999999999999996E-3</v>
      </c>
      <c r="G31" s="21">
        <f>E31*F31</f>
        <v>17.2822</v>
      </c>
      <c r="H31" s="21">
        <f t="shared" si="1"/>
        <v>0</v>
      </c>
      <c r="I31" s="22">
        <f t="shared" si="2"/>
        <v>0</v>
      </c>
      <c r="J31" s="22">
        <f t="shared" si="10"/>
        <v>4.0921219983370019E-2</v>
      </c>
      <c r="K31" s="107">
        <f t="shared" si="11"/>
        <v>4.2239375013886707E-2</v>
      </c>
    </row>
    <row r="32" spans="1:11" x14ac:dyDescent="0.2">
      <c r="A32" s="106" t="s">
        <v>41</v>
      </c>
      <c r="B32" s="72">
        <f>B8</f>
        <v>2541.5</v>
      </c>
      <c r="C32" s="124">
        <f>VLOOKUP($B$3,'Data for Bill Impacts'!$A$3:$Y$15,16,0)</f>
        <v>5.4999999999999997E-3</v>
      </c>
      <c r="D32" s="21">
        <f>B32*C32</f>
        <v>13.978249999999999</v>
      </c>
      <c r="E32" s="72">
        <f t="shared" si="6"/>
        <v>2541.5</v>
      </c>
      <c r="F32" s="77">
        <f>VLOOKUP($B$3,'Data for Bill Impacts'!$A$3:$Y$15,25,0)</f>
        <v>5.4999999999999997E-3</v>
      </c>
      <c r="G32" s="21">
        <f>E32*F32</f>
        <v>13.978249999999999</v>
      </c>
      <c r="H32" s="21">
        <f t="shared" si="1"/>
        <v>0</v>
      </c>
      <c r="I32" s="22">
        <f t="shared" si="2"/>
        <v>0</v>
      </c>
      <c r="J32" s="22">
        <f t="shared" si="10"/>
        <v>3.3098045574784574E-2</v>
      </c>
      <c r="K32" s="107">
        <f t="shared" si="11"/>
        <v>3.4164200378878955E-2</v>
      </c>
    </row>
    <row r="33" spans="1:11" s="1" customFormat="1" x14ac:dyDescent="0.2">
      <c r="A33" s="109" t="s">
        <v>76</v>
      </c>
      <c r="B33" s="73"/>
      <c r="C33" s="34"/>
      <c r="D33" s="34">
        <f>SUM(D31:D32)</f>
        <v>31.260449999999999</v>
      </c>
      <c r="E33" s="72"/>
      <c r="F33" s="34"/>
      <c r="G33" s="34">
        <f>SUM(G31:G32)</f>
        <v>31.260449999999999</v>
      </c>
      <c r="H33" s="34">
        <f t="shared" si="1"/>
        <v>0</v>
      </c>
      <c r="I33" s="35">
        <f t="shared" si="2"/>
        <v>0</v>
      </c>
      <c r="J33" s="35">
        <f t="shared" si="10"/>
        <v>7.4019265558154593E-2</v>
      </c>
      <c r="K33" s="110">
        <f t="shared" si="11"/>
        <v>7.6403575392765669E-2</v>
      </c>
    </row>
    <row r="34" spans="1:11" s="1" customFormat="1" x14ac:dyDescent="0.2">
      <c r="A34" s="109" t="s">
        <v>93</v>
      </c>
      <c r="B34" s="73"/>
      <c r="C34" s="34"/>
      <c r="D34" s="34">
        <f>D29+D33</f>
        <v>159.14112830790393</v>
      </c>
      <c r="E34" s="72"/>
      <c r="F34" s="34"/>
      <c r="G34" s="34">
        <f>G29+G33</f>
        <v>152.68112830790395</v>
      </c>
      <c r="H34" s="34">
        <f t="shared" si="1"/>
        <v>-6.4599999999999795</v>
      </c>
      <c r="I34" s="35">
        <f t="shared" si="2"/>
        <v>-4.0592900582565095E-2</v>
      </c>
      <c r="J34" s="35">
        <f t="shared" si="10"/>
        <v>0.36152214641636377</v>
      </c>
      <c r="K34" s="110">
        <f t="shared" si="11"/>
        <v>0.37316750391390613</v>
      </c>
    </row>
    <row r="35" spans="1:11" s="1" customFormat="1" x14ac:dyDescent="0.2">
      <c r="A35" s="109" t="s">
        <v>94</v>
      </c>
      <c r="B35" s="73"/>
      <c r="C35" s="34"/>
      <c r="D35" s="34">
        <f>D30+D33</f>
        <v>157.09320830790392</v>
      </c>
      <c r="E35" s="72"/>
      <c r="F35" s="34"/>
      <c r="G35" s="34">
        <f>G30+G33</f>
        <v>150.63320830790394</v>
      </c>
      <c r="H35" s="34">
        <f t="shared" si="1"/>
        <v>-6.4599999999999795</v>
      </c>
      <c r="I35" s="35">
        <f t="shared" si="2"/>
        <v>-4.1122083313355783E-2</v>
      </c>
      <c r="J35" s="35">
        <f t="shared" si="10"/>
        <v>0.35667303086230562</v>
      </c>
      <c r="K35" s="110">
        <f t="shared" si="11"/>
        <v>0.36816218856757066</v>
      </c>
    </row>
    <row r="36" spans="1:11" x14ac:dyDescent="0.2">
      <c r="A36" s="106" t="s">
        <v>42</v>
      </c>
      <c r="B36" s="72">
        <f>B8</f>
        <v>2541.5</v>
      </c>
      <c r="C36" s="33">
        <v>3.5999999999999999E-3</v>
      </c>
      <c r="D36" s="21">
        <f>B36*C36</f>
        <v>9.1494</v>
      </c>
      <c r="E36" s="72">
        <f t="shared" si="6"/>
        <v>2541.5</v>
      </c>
      <c r="F36" s="33">
        <v>3.5999999999999999E-3</v>
      </c>
      <c r="G36" s="21">
        <f>E36*F36</f>
        <v>9.1494</v>
      </c>
      <c r="H36" s="21">
        <f t="shared" si="1"/>
        <v>0</v>
      </c>
      <c r="I36" s="22">
        <f t="shared" si="2"/>
        <v>0</v>
      </c>
      <c r="J36" s="22">
        <f t="shared" si="10"/>
        <v>2.1664175285313541E-2</v>
      </c>
      <c r="K36" s="107">
        <f t="shared" si="11"/>
        <v>2.2362022066175317E-2</v>
      </c>
    </row>
    <row r="37" spans="1:11" x14ac:dyDescent="0.2">
      <c r="A37" s="106" t="s">
        <v>43</v>
      </c>
      <c r="B37" s="72">
        <f>B8</f>
        <v>2541.5</v>
      </c>
      <c r="C37" s="33">
        <v>2.0999999999999999E-3</v>
      </c>
      <c r="D37" s="21">
        <f>B37*C37</f>
        <v>5.3371499999999994</v>
      </c>
      <c r="E37" s="72">
        <f t="shared" si="6"/>
        <v>2541.5</v>
      </c>
      <c r="F37" s="33">
        <v>2.0999999999999999E-3</v>
      </c>
      <c r="G37" s="21">
        <f>E37*F37</f>
        <v>5.3371499999999994</v>
      </c>
      <c r="H37" s="21">
        <f>G37-D37</f>
        <v>0</v>
      </c>
      <c r="I37" s="22">
        <f t="shared" si="2"/>
        <v>0</v>
      </c>
      <c r="J37" s="22">
        <f t="shared" si="10"/>
        <v>1.2637435583099564E-2</v>
      </c>
      <c r="K37" s="107">
        <f t="shared" si="11"/>
        <v>1.30445128719356E-2</v>
      </c>
    </row>
    <row r="38" spans="1:11" x14ac:dyDescent="0.2">
      <c r="A38" s="106" t="s">
        <v>99</v>
      </c>
      <c r="B38" s="72">
        <f>B8</f>
        <v>2541.5</v>
      </c>
      <c r="C38" s="33">
        <v>0</v>
      </c>
      <c r="D38" s="21">
        <f>B38*C38</f>
        <v>0</v>
      </c>
      <c r="E38" s="72">
        <f t="shared" si="6"/>
        <v>2541.5</v>
      </c>
      <c r="F38" s="33">
        <v>0</v>
      </c>
      <c r="G38" s="21">
        <f>E38*F38</f>
        <v>0</v>
      </c>
      <c r="H38" s="21">
        <f>G38-D38</f>
        <v>0</v>
      </c>
      <c r="I38" s="22" t="str">
        <f t="shared" si="2"/>
        <v>N/A</v>
      </c>
      <c r="J38" s="22">
        <f t="shared" ref="J38" si="12">G38/$G$46</f>
        <v>0</v>
      </c>
      <c r="K38" s="107">
        <f t="shared" ref="K38" si="13">G38/$G$51</f>
        <v>0</v>
      </c>
    </row>
    <row r="39" spans="1:11" x14ac:dyDescent="0.2">
      <c r="A39" s="106" t="s">
        <v>44</v>
      </c>
      <c r="B39" s="72">
        <v>1</v>
      </c>
      <c r="C39" s="21">
        <v>0.25</v>
      </c>
      <c r="D39" s="21">
        <f>B39*C39</f>
        <v>0.25</v>
      </c>
      <c r="E39" s="72">
        <f t="shared" si="6"/>
        <v>1</v>
      </c>
      <c r="F39" s="21">
        <f>C39</f>
        <v>0.25</v>
      </c>
      <c r="G39" s="21">
        <f>E39*F39</f>
        <v>0.25</v>
      </c>
      <c r="H39" s="21">
        <f t="shared" si="1"/>
        <v>0</v>
      </c>
      <c r="I39" s="22">
        <f t="shared" si="2"/>
        <v>0</v>
      </c>
      <c r="J39" s="22">
        <f t="shared" si="10"/>
        <v>5.9195617432054404E-4</v>
      </c>
      <c r="K39" s="107">
        <f t="shared" si="11"/>
        <v>6.1102427662402224E-4</v>
      </c>
    </row>
    <row r="40" spans="1:11" s="1" customFormat="1" x14ac:dyDescent="0.2">
      <c r="A40" s="109" t="s">
        <v>45</v>
      </c>
      <c r="B40" s="73"/>
      <c r="C40" s="34"/>
      <c r="D40" s="34">
        <f>SUM(D36:D39)</f>
        <v>14.736549999999999</v>
      </c>
      <c r="E40" s="72"/>
      <c r="F40" s="34"/>
      <c r="G40" s="34">
        <f>SUM(G36:G39)</f>
        <v>14.736549999999999</v>
      </c>
      <c r="H40" s="34">
        <f t="shared" si="1"/>
        <v>0</v>
      </c>
      <c r="I40" s="35">
        <f t="shared" si="2"/>
        <v>0</v>
      </c>
      <c r="J40" s="35">
        <f t="shared" si="10"/>
        <v>3.489356704273365E-2</v>
      </c>
      <c r="K40" s="110">
        <f t="shared" si="11"/>
        <v>3.6017559214734936E-2</v>
      </c>
    </row>
    <row r="41" spans="1:11" s="1" customFormat="1" ht="13.5" thickBot="1" x14ac:dyDescent="0.25">
      <c r="A41" s="111" t="s">
        <v>46</v>
      </c>
      <c r="B41" s="112">
        <f>B4</f>
        <v>2300</v>
      </c>
      <c r="C41" s="113">
        <v>0</v>
      </c>
      <c r="D41" s="114">
        <f>B41*C41</f>
        <v>0</v>
      </c>
      <c r="E41" s="115">
        <f t="shared" si="6"/>
        <v>2300</v>
      </c>
      <c r="F41" s="113">
        <f>C41</f>
        <v>0</v>
      </c>
      <c r="G41" s="114">
        <f>E41*F41</f>
        <v>0</v>
      </c>
      <c r="H41" s="114">
        <f t="shared" si="1"/>
        <v>0</v>
      </c>
      <c r="I41" s="116" t="str">
        <f t="shared" si="2"/>
        <v>N/A</v>
      </c>
      <c r="J41" s="116">
        <f t="shared" si="10"/>
        <v>0</v>
      </c>
      <c r="K41" s="117">
        <f t="shared" si="11"/>
        <v>0</v>
      </c>
    </row>
    <row r="42" spans="1:11" s="1" customFormat="1" x14ac:dyDescent="0.2">
      <c r="A42" s="36" t="s">
        <v>107</v>
      </c>
      <c r="B42" s="37"/>
      <c r="C42" s="38"/>
      <c r="D42" s="38">
        <f>SUM(D14,D25,D26,D27,D33,D40,D41)</f>
        <v>408.67767830790393</v>
      </c>
      <c r="E42" s="37"/>
      <c r="F42" s="38"/>
      <c r="G42" s="38">
        <f>SUM(G14,G25,G26,G27,G33,G40,G41)</f>
        <v>402.21767830790395</v>
      </c>
      <c r="H42" s="38">
        <f t="shared" si="1"/>
        <v>-6.4599999999999795</v>
      </c>
      <c r="I42" s="39">
        <f t="shared" si="2"/>
        <v>-1.5807078152022088E-2</v>
      </c>
      <c r="J42" s="39">
        <f t="shared" si="10"/>
        <v>0.95238095238095233</v>
      </c>
      <c r="K42" s="40"/>
    </row>
    <row r="43" spans="1:11" x14ac:dyDescent="0.2">
      <c r="A43" s="142" t="s">
        <v>108</v>
      </c>
      <c r="B43" s="42"/>
      <c r="C43" s="25">
        <v>0.13</v>
      </c>
      <c r="D43" s="25">
        <f>D42*C43</f>
        <v>53.128098180027514</v>
      </c>
      <c r="E43" s="25"/>
      <c r="F43" s="25">
        <f>C43</f>
        <v>0.13</v>
      </c>
      <c r="G43" s="25">
        <f>G42*F43</f>
        <v>52.288298180027518</v>
      </c>
      <c r="H43" s="25">
        <f t="shared" si="1"/>
        <v>-0.83979999999999677</v>
      </c>
      <c r="I43" s="43">
        <f t="shared" si="2"/>
        <v>-1.5807078152022078E-2</v>
      </c>
      <c r="J43" s="43">
        <f t="shared" si="10"/>
        <v>0.12380952380952381</v>
      </c>
      <c r="K43" s="44"/>
    </row>
    <row r="44" spans="1:11" s="1" customFormat="1" x14ac:dyDescent="0.2">
      <c r="A44" s="45" t="s">
        <v>109</v>
      </c>
      <c r="B44" s="23"/>
      <c r="C44" s="24"/>
      <c r="D44" s="24">
        <f>SUM(D42:D43)</f>
        <v>461.80577648793144</v>
      </c>
      <c r="E44" s="24"/>
      <c r="F44" s="24"/>
      <c r="G44" s="24">
        <f>SUM(G42:G43)</f>
        <v>454.50597648793149</v>
      </c>
      <c r="H44" s="24">
        <f t="shared" si="1"/>
        <v>-7.2997999999999479</v>
      </c>
      <c r="I44" s="26">
        <f t="shared" si="2"/>
        <v>-1.5807078152022026E-2</v>
      </c>
      <c r="J44" s="26">
        <f t="shared" si="10"/>
        <v>1.0761904761904761</v>
      </c>
      <c r="K44" s="46"/>
    </row>
    <row r="45" spans="1:11" x14ac:dyDescent="0.2">
      <c r="A45" s="41" t="s">
        <v>110</v>
      </c>
      <c r="B45" s="42"/>
      <c r="C45" s="25">
        <v>-0.08</v>
      </c>
      <c r="D45" s="25">
        <f>D42*C45</f>
        <v>-32.694214264632315</v>
      </c>
      <c r="E45" s="25"/>
      <c r="F45" s="25">
        <f>C45</f>
        <v>-0.08</v>
      </c>
      <c r="G45" s="25">
        <f>G42*F45</f>
        <v>-32.177414264632318</v>
      </c>
      <c r="H45" s="25">
        <f t="shared" si="1"/>
        <v>0.51679999999999637</v>
      </c>
      <c r="I45" s="43">
        <f t="shared" si="2"/>
        <v>1.5807078152022026E-2</v>
      </c>
      <c r="J45" s="43">
        <f t="shared" si="10"/>
        <v>-7.6190476190476197E-2</v>
      </c>
      <c r="K45" s="44"/>
    </row>
    <row r="46" spans="1:11" s="1" customFormat="1" ht="13.5" thickBot="1" x14ac:dyDescent="0.25">
      <c r="A46" s="47" t="s">
        <v>111</v>
      </c>
      <c r="B46" s="48"/>
      <c r="C46" s="49"/>
      <c r="D46" s="49">
        <f>SUM(D44:D45)</f>
        <v>429.11156222329913</v>
      </c>
      <c r="E46" s="49"/>
      <c r="F46" s="49"/>
      <c r="G46" s="49">
        <f>SUM(G44:G45)</f>
        <v>422.32856222329917</v>
      </c>
      <c r="H46" s="49">
        <f t="shared" si="1"/>
        <v>-6.7829999999999586</v>
      </c>
      <c r="I46" s="50">
        <f t="shared" si="2"/>
        <v>-1.5807078152022043E-2</v>
      </c>
      <c r="J46" s="50">
        <f t="shared" si="10"/>
        <v>1</v>
      </c>
      <c r="K46" s="51"/>
    </row>
    <row r="47" spans="1:11" x14ac:dyDescent="0.2">
      <c r="A47" s="52" t="s">
        <v>112</v>
      </c>
      <c r="B47" s="53"/>
      <c r="C47" s="54"/>
      <c r="D47" s="54">
        <f>SUM(D18,D25,D26,D28,D33,D40,D41)</f>
        <v>396.12575830790394</v>
      </c>
      <c r="E47" s="54"/>
      <c r="F47" s="54"/>
      <c r="G47" s="54">
        <f>SUM(G18,G25,G26,G28,G33,G40,G41)</f>
        <v>389.66575830790396</v>
      </c>
      <c r="H47" s="54">
        <f>G47-D47</f>
        <v>-6.4599999999999795</v>
      </c>
      <c r="I47" s="55">
        <f t="shared" si="2"/>
        <v>-1.6307952372485449E-2</v>
      </c>
      <c r="J47" s="55"/>
      <c r="K47" s="56">
        <f>G47/$G$51</f>
        <v>0.95238095238095244</v>
      </c>
    </row>
    <row r="48" spans="1:11" x14ac:dyDescent="0.2">
      <c r="A48" s="57" t="s">
        <v>108</v>
      </c>
      <c r="B48" s="58"/>
      <c r="C48" s="30">
        <v>0.13</v>
      </c>
      <c r="D48" s="30">
        <f>D47*C48</f>
        <v>51.496348580027515</v>
      </c>
      <c r="E48" s="30"/>
      <c r="F48" s="30">
        <f>C48</f>
        <v>0.13</v>
      </c>
      <c r="G48" s="30">
        <f>G47*F48</f>
        <v>50.656548580027518</v>
      </c>
      <c r="H48" s="30">
        <f>G48-D48</f>
        <v>-0.83979999999999677</v>
      </c>
      <c r="I48" s="31">
        <f t="shared" si="2"/>
        <v>-1.6307952372485435E-2</v>
      </c>
      <c r="J48" s="31"/>
      <c r="K48" s="59">
        <f>G48/$G$51</f>
        <v>0.12380952380952383</v>
      </c>
    </row>
    <row r="49" spans="1:11" x14ac:dyDescent="0.2">
      <c r="A49" s="60" t="s">
        <v>113</v>
      </c>
      <c r="B49" s="28"/>
      <c r="C49" s="29"/>
      <c r="D49" s="29">
        <f>SUM(D47:D48)</f>
        <v>447.62210688793147</v>
      </c>
      <c r="E49" s="29"/>
      <c r="F49" s="29"/>
      <c r="G49" s="29">
        <f>SUM(G47:G48)</f>
        <v>440.32230688793146</v>
      </c>
      <c r="H49" s="29">
        <f>G49-D49</f>
        <v>-7.2998000000000047</v>
      </c>
      <c r="I49" s="32">
        <f t="shared" si="2"/>
        <v>-1.6307952372485512E-2</v>
      </c>
      <c r="J49" s="32"/>
      <c r="K49" s="61">
        <f>G49/$G$51</f>
        <v>1.0761904761904761</v>
      </c>
    </row>
    <row r="50" spans="1:11" x14ac:dyDescent="0.2">
      <c r="A50" s="57" t="s">
        <v>110</v>
      </c>
      <c r="B50" s="58"/>
      <c r="C50" s="30">
        <v>-0.08</v>
      </c>
      <c r="D50" s="30">
        <f>D47*C50</f>
        <v>-31.690060664632316</v>
      </c>
      <c r="E50" s="30"/>
      <c r="F50" s="30">
        <f>C50</f>
        <v>-0.08</v>
      </c>
      <c r="G50" s="30">
        <f>G47*F50</f>
        <v>-31.173260664632316</v>
      </c>
      <c r="H50" s="30">
        <f>G50-D50</f>
        <v>0.51679999999999993</v>
      </c>
      <c r="I50" s="31">
        <f t="shared" si="2"/>
        <v>1.6307952372485498E-2</v>
      </c>
      <c r="J50" s="31"/>
      <c r="K50" s="59">
        <f>G50/$G$51</f>
        <v>-7.6190476190476197E-2</v>
      </c>
    </row>
    <row r="51" spans="1:11" ht="13.5" thickBot="1" x14ac:dyDescent="0.25">
      <c r="A51" s="62" t="s">
        <v>114</v>
      </c>
      <c r="B51" s="63"/>
      <c r="C51" s="64"/>
      <c r="D51" s="64">
        <f>SUM(D49:D50)</f>
        <v>415.93204622329915</v>
      </c>
      <c r="E51" s="64"/>
      <c r="F51" s="64"/>
      <c r="G51" s="64">
        <f>SUM(G49:G50)</f>
        <v>409.14904622329914</v>
      </c>
      <c r="H51" s="64">
        <f>G51-D51</f>
        <v>-6.7830000000000155</v>
      </c>
      <c r="I51" s="65">
        <f t="shared" si="2"/>
        <v>-1.6307952372485536E-2</v>
      </c>
      <c r="J51" s="65"/>
      <c r="K51" s="66">
        <f>G51/$G$51</f>
        <v>1</v>
      </c>
    </row>
    <row r="52" spans="1:11" x14ac:dyDescent="0.2">
      <c r="C52" s="67"/>
      <c r="F52" s="68"/>
    </row>
    <row r="53" spans="1:11" x14ac:dyDescent="0.2">
      <c r="F53" s="68"/>
    </row>
    <row r="54" spans="1:11" x14ac:dyDescent="0.2">
      <c r="F54" s="68"/>
    </row>
    <row r="55" spans="1:11" x14ac:dyDescent="0.2">
      <c r="A55" s="69"/>
      <c r="B55" s="70"/>
      <c r="F55" s="68"/>
    </row>
    <row r="56" spans="1:11" x14ac:dyDescent="0.2">
      <c r="B56" s="70"/>
      <c r="F56" s="68"/>
    </row>
    <row r="57" spans="1:11" x14ac:dyDescent="0.2">
      <c r="F57" s="68"/>
    </row>
    <row r="58" spans="1:11" x14ac:dyDescent="0.2">
      <c r="D58" s="71"/>
      <c r="F58" s="68"/>
    </row>
    <row r="59" spans="1:11" x14ac:dyDescent="0.2">
      <c r="F59" s="68"/>
    </row>
    <row r="60" spans="1:11" x14ac:dyDescent="0.2">
      <c r="A60" s="69"/>
      <c r="B60" s="70"/>
      <c r="F60" s="68"/>
    </row>
    <row r="61" spans="1:11" x14ac:dyDescent="0.2">
      <c r="B61" s="71"/>
      <c r="D61" s="71"/>
      <c r="F61" s="68"/>
    </row>
    <row r="62" spans="1:11" x14ac:dyDescent="0.2">
      <c r="F62" s="68"/>
    </row>
    <row r="63" spans="1:11" x14ac:dyDescent="0.2">
      <c r="F63" s="68"/>
    </row>
    <row r="64" spans="1:11" x14ac:dyDescent="0.2">
      <c r="F64" s="68"/>
    </row>
    <row r="65" spans="6:6" x14ac:dyDescent="0.2">
      <c r="F65" s="68"/>
    </row>
    <row r="66" spans="6:6" x14ac:dyDescent="0.2">
      <c r="F66" s="68"/>
    </row>
    <row r="67" spans="6:6" x14ac:dyDescent="0.2">
      <c r="F67" s="68"/>
    </row>
    <row r="68" spans="6:6" x14ac:dyDescent="0.2">
      <c r="F68" s="68"/>
    </row>
  </sheetData>
  <mergeCells count="1">
    <mergeCell ref="A1:K1"/>
  </mergeCells>
  <pageMargins left="0.7" right="0.7" top="0.75" bottom="0.75" header="0.3" footer="0.3"/>
  <pageSetup scale="7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1" tint="0.499984740745262"/>
    <pageSetUpPr fitToPage="1"/>
  </sheetPr>
  <dimension ref="A1:K68"/>
  <sheetViews>
    <sheetView tabSelected="1" topLeftCell="A4"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3"/>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205" t="s">
        <v>124</v>
      </c>
      <c r="B1" s="206"/>
      <c r="C1" s="206"/>
      <c r="D1" s="206"/>
      <c r="E1" s="206"/>
      <c r="F1" s="206"/>
      <c r="G1" s="206"/>
      <c r="H1" s="206"/>
      <c r="I1" s="206"/>
      <c r="J1" s="206"/>
      <c r="K1" s="207"/>
    </row>
    <row r="3" spans="1:11" x14ac:dyDescent="0.2">
      <c r="A3" s="12" t="s">
        <v>13</v>
      </c>
      <c r="B3" s="12" t="s">
        <v>3</v>
      </c>
    </row>
    <row r="4" spans="1:11" x14ac:dyDescent="0.2">
      <c r="A4" s="14" t="s">
        <v>62</v>
      </c>
      <c r="B4" s="14">
        <v>50</v>
      </c>
    </row>
    <row r="5" spans="1:11" x14ac:dyDescent="0.2">
      <c r="A5" s="14" t="s">
        <v>16</v>
      </c>
      <c r="B5" s="14">
        <f>VLOOKUP($B$3,'Data for Bill Impacts'!$A$3:$Y$15,5,0)</f>
        <v>0</v>
      </c>
    </row>
    <row r="6" spans="1:11" x14ac:dyDescent="0.2">
      <c r="A6" s="14" t="s">
        <v>20</v>
      </c>
      <c r="B6" s="14">
        <f>VLOOKUP($B$3,'Data for Bill Impacts'!$A$3:$Y$15,2,0)</f>
        <v>1.1040000000000001</v>
      </c>
    </row>
    <row r="7" spans="1:11" x14ac:dyDescent="0.2">
      <c r="A7" s="14" t="s">
        <v>15</v>
      </c>
      <c r="B7" s="14">
        <f>VLOOKUP($B$3,'Data for Bill Impacts'!$A$3:$Y$15,4,0)</f>
        <v>600</v>
      </c>
    </row>
    <row r="8" spans="1:11" x14ac:dyDescent="0.2">
      <c r="A8" s="14" t="s">
        <v>82</v>
      </c>
      <c r="B8" s="148">
        <f>B4*B6</f>
        <v>55.2</v>
      </c>
    </row>
    <row r="9" spans="1:11" x14ac:dyDescent="0.2">
      <c r="A9" s="14" t="s">
        <v>21</v>
      </c>
      <c r="B9" s="15" t="str">
        <f>VLOOKUP($B$3,'Data for Bill Impacts'!$A$3:$Y$15,6,0)</f>
        <v>kWh</v>
      </c>
    </row>
    <row r="10" spans="1:11" ht="13.5" thickBot="1" x14ac:dyDescent="0.25"/>
    <row r="11" spans="1:11" s="19" customFormat="1" ht="39" thickBot="1" x14ac:dyDescent="0.25">
      <c r="A11" s="16"/>
      <c r="B11" s="17" t="s">
        <v>22</v>
      </c>
      <c r="C11" s="17" t="s">
        <v>23</v>
      </c>
      <c r="D11" s="17" t="s">
        <v>24</v>
      </c>
      <c r="E11" s="17" t="s">
        <v>22</v>
      </c>
      <c r="F11" s="17" t="s">
        <v>25</v>
      </c>
      <c r="G11" s="17" t="s">
        <v>26</v>
      </c>
      <c r="H11" s="17" t="s">
        <v>27</v>
      </c>
      <c r="I11" s="17" t="s">
        <v>28</v>
      </c>
      <c r="J11" s="17" t="s">
        <v>29</v>
      </c>
      <c r="K11" s="18" t="s">
        <v>30</v>
      </c>
    </row>
    <row r="12" spans="1:11" x14ac:dyDescent="0.2">
      <c r="A12" s="100" t="s">
        <v>31</v>
      </c>
      <c r="B12" s="101">
        <f>IF(B4&gt;B7,B7,B4)</f>
        <v>50</v>
      </c>
      <c r="C12" s="102">
        <v>9.0999999999999998E-2</v>
      </c>
      <c r="D12" s="103">
        <f>B12*C12</f>
        <v>4.55</v>
      </c>
      <c r="E12" s="101">
        <f>B12</f>
        <v>50</v>
      </c>
      <c r="F12" s="102">
        <f>C12</f>
        <v>9.0999999999999998E-2</v>
      </c>
      <c r="G12" s="103">
        <f>E12*F12</f>
        <v>4.55</v>
      </c>
      <c r="H12" s="103">
        <f>G12-D12</f>
        <v>0</v>
      </c>
      <c r="I12" s="104">
        <f>IF(ISERROR(H12/ABS(D12)),"N/A",(H12/ABS(D12)))</f>
        <v>0</v>
      </c>
      <c r="J12" s="104">
        <f>G12/$G$46</f>
        <v>6.247962803666611E-2</v>
      </c>
      <c r="K12" s="105"/>
    </row>
    <row r="13" spans="1:11" x14ac:dyDescent="0.2">
      <c r="A13" s="106" t="s">
        <v>32</v>
      </c>
      <c r="B13" s="72">
        <f>IF(B4&gt;B7,(B4)-B7,0)</f>
        <v>0</v>
      </c>
      <c r="C13" s="20">
        <v>0.106</v>
      </c>
      <c r="D13" s="21">
        <f>B13*C13</f>
        <v>0</v>
      </c>
      <c r="E13" s="72">
        <f t="shared" ref="E13" si="0">B13</f>
        <v>0</v>
      </c>
      <c r="F13" s="20">
        <f>C13</f>
        <v>0.106</v>
      </c>
      <c r="G13" s="21">
        <f>E13*F13</f>
        <v>0</v>
      </c>
      <c r="H13" s="21">
        <f t="shared" ref="H13:H46" si="1">G13-D13</f>
        <v>0</v>
      </c>
      <c r="I13" s="22" t="str">
        <f t="shared" ref="I13:I51" si="2">IF(ISERROR(H13/ABS(D13)),"N/A",(H13/ABS(D13)))</f>
        <v>N/A</v>
      </c>
      <c r="J13" s="22">
        <f>G13/$G$46</f>
        <v>0</v>
      </c>
      <c r="K13" s="107"/>
    </row>
    <row r="14" spans="1:11" s="1" customFormat="1" x14ac:dyDescent="0.2">
      <c r="A14" s="45" t="s">
        <v>33</v>
      </c>
      <c r="B14" s="23"/>
      <c r="C14" s="24"/>
      <c r="D14" s="24">
        <f>SUM(D12:D13)</f>
        <v>4.55</v>
      </c>
      <c r="E14" s="75"/>
      <c r="F14" s="24"/>
      <c r="G14" s="24">
        <f>SUM(G12:G13)</f>
        <v>4.55</v>
      </c>
      <c r="H14" s="24">
        <f t="shared" si="1"/>
        <v>0</v>
      </c>
      <c r="I14" s="26">
        <f t="shared" si="2"/>
        <v>0</v>
      </c>
      <c r="J14" s="26">
        <f>G14/$G$46</f>
        <v>6.247962803666611E-2</v>
      </c>
      <c r="K14" s="107"/>
    </row>
    <row r="15" spans="1:11" s="1" customFormat="1" x14ac:dyDescent="0.2">
      <c r="A15" s="108" t="s">
        <v>34</v>
      </c>
      <c r="B15" s="74">
        <f>B4*0.65</f>
        <v>32.5</v>
      </c>
      <c r="C15" s="27">
        <v>7.6999999999999999E-2</v>
      </c>
      <c r="D15" s="21">
        <f>B15*C15</f>
        <v>2.5024999999999999</v>
      </c>
      <c r="E15" s="72">
        <f t="shared" ref="E15:F17" si="3">B15</f>
        <v>32.5</v>
      </c>
      <c r="F15" s="27">
        <f t="shared" si="3"/>
        <v>7.6999999999999999E-2</v>
      </c>
      <c r="G15" s="21">
        <f>E15*F15</f>
        <v>2.5024999999999999</v>
      </c>
      <c r="H15" s="21">
        <f t="shared" si="1"/>
        <v>0</v>
      </c>
      <c r="I15" s="22">
        <f t="shared" si="2"/>
        <v>0</v>
      </c>
      <c r="J15" s="22"/>
      <c r="K15" s="107">
        <f t="shared" ref="K15:K26" si="4">G15/$G$51</f>
        <v>3.4186394319967402E-2</v>
      </c>
    </row>
    <row r="16" spans="1:11" s="1" customFormat="1" x14ac:dyDescent="0.2">
      <c r="A16" s="108" t="s">
        <v>35</v>
      </c>
      <c r="B16" s="74">
        <f>B4*0.17</f>
        <v>8.5</v>
      </c>
      <c r="C16" s="27">
        <v>0.113</v>
      </c>
      <c r="D16" s="21">
        <f>B16*C16</f>
        <v>0.96050000000000002</v>
      </c>
      <c r="E16" s="72">
        <f t="shared" si="3"/>
        <v>8.5</v>
      </c>
      <c r="F16" s="27">
        <f t="shared" si="3"/>
        <v>0.113</v>
      </c>
      <c r="G16" s="21">
        <f>E16*F16</f>
        <v>0.96050000000000002</v>
      </c>
      <c r="H16" s="21">
        <f t="shared" si="1"/>
        <v>0</v>
      </c>
      <c r="I16" s="22">
        <f t="shared" si="2"/>
        <v>0</v>
      </c>
      <c r="J16" s="22"/>
      <c r="K16" s="107">
        <f t="shared" si="4"/>
        <v>1.3121291406325151E-2</v>
      </c>
    </row>
    <row r="17" spans="1:11" s="1" customFormat="1" x14ac:dyDescent="0.2">
      <c r="A17" s="108" t="s">
        <v>36</v>
      </c>
      <c r="B17" s="74">
        <f>B4*0.18</f>
        <v>9</v>
      </c>
      <c r="C17" s="27">
        <v>0.157</v>
      </c>
      <c r="D17" s="21">
        <f>B17*C17</f>
        <v>1.413</v>
      </c>
      <c r="E17" s="72">
        <f t="shared" si="3"/>
        <v>9</v>
      </c>
      <c r="F17" s="27">
        <f t="shared" si="3"/>
        <v>0.157</v>
      </c>
      <c r="G17" s="21">
        <f>E17*F17</f>
        <v>1.413</v>
      </c>
      <c r="H17" s="21">
        <f t="shared" si="1"/>
        <v>0</v>
      </c>
      <c r="I17" s="22">
        <f t="shared" si="2"/>
        <v>0</v>
      </c>
      <c r="J17" s="22"/>
      <c r="K17" s="107">
        <f t="shared" si="4"/>
        <v>1.9302847222423154E-2</v>
      </c>
    </row>
    <row r="18" spans="1:11" s="1" customFormat="1" x14ac:dyDescent="0.2">
      <c r="A18" s="60" t="s">
        <v>37</v>
      </c>
      <c r="B18" s="28"/>
      <c r="C18" s="29"/>
      <c r="D18" s="29">
        <f>SUM(D15:D17)</f>
        <v>4.8760000000000003</v>
      </c>
      <c r="E18" s="76"/>
      <c r="F18" s="29"/>
      <c r="G18" s="29">
        <f>SUM(G15:G17)</f>
        <v>4.8760000000000003</v>
      </c>
      <c r="H18" s="30">
        <f t="shared" si="1"/>
        <v>0</v>
      </c>
      <c r="I18" s="31">
        <f t="shared" si="2"/>
        <v>0</v>
      </c>
      <c r="J18" s="32">
        <f t="shared" ref="J18:J23" si="5">G18/$G$46</f>
        <v>6.6956190397095383E-2</v>
      </c>
      <c r="K18" s="61">
        <f t="shared" si="4"/>
        <v>6.6610532948715703E-2</v>
      </c>
    </row>
    <row r="19" spans="1:11" x14ac:dyDescent="0.2">
      <c r="A19" s="106" t="s">
        <v>38</v>
      </c>
      <c r="B19" s="72">
        <v>1</v>
      </c>
      <c r="C19" s="77">
        <f>VLOOKUP($B$3,'Data for Bill Impacts'!$A$3:$Y$15,7,0)</f>
        <v>55.37</v>
      </c>
      <c r="D19" s="21">
        <f>B19*C19</f>
        <v>55.37</v>
      </c>
      <c r="E19" s="72">
        <f t="shared" ref="E19:E41" si="6">B19</f>
        <v>1</v>
      </c>
      <c r="F19" s="77">
        <f>VLOOKUP($B$3,'Data for Bill Impacts'!$A$3:$Y$15,17,0)</f>
        <v>61.48</v>
      </c>
      <c r="G19" s="21">
        <f>E19*F19</f>
        <v>61.48</v>
      </c>
      <c r="H19" s="21">
        <f t="shared" si="1"/>
        <v>6.1099999999999994</v>
      </c>
      <c r="I19" s="22">
        <f t="shared" si="2"/>
        <v>0.11034856420444283</v>
      </c>
      <c r="J19" s="22">
        <f t="shared" si="5"/>
        <v>0.84423022674598514</v>
      </c>
      <c r="K19" s="107">
        <f t="shared" si="4"/>
        <v>0.83987193717945885</v>
      </c>
    </row>
    <row r="20" spans="1:11" hidden="1" x14ac:dyDescent="0.2">
      <c r="A20" s="106" t="s">
        <v>83</v>
      </c>
      <c r="B20" s="72">
        <v>1</v>
      </c>
      <c r="C20" s="77">
        <f>VLOOKUP($B$3,'Data for Bill Impacts'!$A$3:$Y$15,8,0)</f>
        <v>0</v>
      </c>
      <c r="D20" s="21">
        <f>B20*C20</f>
        <v>0</v>
      </c>
      <c r="E20" s="72">
        <f t="shared" si="6"/>
        <v>1</v>
      </c>
      <c r="F20" s="77">
        <v>0</v>
      </c>
      <c r="G20" s="21">
        <f t="shared" ref="G20:G22" si="7">E20*F20</f>
        <v>0</v>
      </c>
      <c r="H20" s="21">
        <f t="shared" si="1"/>
        <v>0</v>
      </c>
      <c r="I20" s="22" t="str">
        <f t="shared" si="2"/>
        <v>N/A</v>
      </c>
      <c r="J20" s="22">
        <f t="shared" si="5"/>
        <v>0</v>
      </c>
      <c r="K20" s="107">
        <f t="shared" si="4"/>
        <v>0</v>
      </c>
    </row>
    <row r="21" spans="1:11" hidden="1" x14ac:dyDescent="0.2">
      <c r="A21" s="106" t="s">
        <v>115</v>
      </c>
      <c r="B21" s="72">
        <v>1</v>
      </c>
      <c r="C21" s="77">
        <f>VLOOKUP($B$3,'Data for Bill Impacts'!$A$3:$Y$15,11,0)</f>
        <v>0</v>
      </c>
      <c r="D21" s="21">
        <f t="shared" ref="D21:D22" si="8">B21*C21</f>
        <v>0</v>
      </c>
      <c r="E21" s="72">
        <f t="shared" si="6"/>
        <v>1</v>
      </c>
      <c r="F21" s="120">
        <f>VLOOKUP($B$3,'Data for Bill Impacts'!$A$3:$Y$15,12,0)</f>
        <v>0</v>
      </c>
      <c r="G21" s="21">
        <f t="shared" si="7"/>
        <v>0</v>
      </c>
      <c r="H21" s="21">
        <f t="shared" si="1"/>
        <v>0</v>
      </c>
      <c r="I21" s="22" t="str">
        <f t="shared" si="2"/>
        <v>N/A</v>
      </c>
      <c r="J21" s="22">
        <f t="shared" si="5"/>
        <v>0</v>
      </c>
      <c r="K21" s="107">
        <f t="shared" si="4"/>
        <v>0</v>
      </c>
    </row>
    <row r="22" spans="1:11" x14ac:dyDescent="0.2">
      <c r="A22" s="106" t="s">
        <v>85</v>
      </c>
      <c r="B22" s="72">
        <v>1</v>
      </c>
      <c r="C22" s="120">
        <f>VLOOKUP($B$3,'Data for Bill Impacts'!$A$3:$Y$15,13,0)</f>
        <v>-2E-3</v>
      </c>
      <c r="D22" s="21">
        <f t="shared" si="8"/>
        <v>-2E-3</v>
      </c>
      <c r="E22" s="72">
        <f t="shared" si="6"/>
        <v>1</v>
      </c>
      <c r="F22" s="120">
        <f>VLOOKUP($B$3,'Data for Bill Impacts'!$A$3:$Y$15,22,0)</f>
        <v>-2E-3</v>
      </c>
      <c r="G22" s="21">
        <f t="shared" si="7"/>
        <v>-2E-3</v>
      </c>
      <c r="H22" s="21">
        <f t="shared" si="1"/>
        <v>0</v>
      </c>
      <c r="I22" s="22">
        <f t="shared" si="2"/>
        <v>0</v>
      </c>
      <c r="J22" s="22">
        <f t="shared" si="5"/>
        <v>-2.746357276336972E-5</v>
      </c>
      <c r="K22" s="107">
        <f t="shared" si="4"/>
        <v>-2.732179366231161E-5</v>
      </c>
    </row>
    <row r="23" spans="1:11" x14ac:dyDescent="0.2">
      <c r="A23" s="106" t="s">
        <v>39</v>
      </c>
      <c r="B23" s="72">
        <f>IF($B$9="kWh",$B$4,$B$5)</f>
        <v>50</v>
      </c>
      <c r="C23" s="77">
        <f>VLOOKUP($B$3,'Data for Bill Impacts'!$A$3:$Y$15,10,0)</f>
        <v>3.1699999999999999E-2</v>
      </c>
      <c r="D23" s="21">
        <f>B23*C23</f>
        <v>1.585</v>
      </c>
      <c r="E23" s="72">
        <f t="shared" si="6"/>
        <v>50</v>
      </c>
      <c r="F23" s="77">
        <f>VLOOKUP($B$3,'Data for Bill Impacts'!$A$3:$Y$15,19,0)</f>
        <v>1.84E-2</v>
      </c>
      <c r="G23" s="21">
        <f>E23*F23</f>
        <v>0.91999999999999993</v>
      </c>
      <c r="H23" s="21">
        <f t="shared" si="1"/>
        <v>-0.66500000000000004</v>
      </c>
      <c r="I23" s="22">
        <f t="shared" si="2"/>
        <v>-0.41955835962145116</v>
      </c>
      <c r="J23" s="22">
        <f t="shared" si="5"/>
        <v>1.2633243471150071E-2</v>
      </c>
      <c r="K23" s="107">
        <f t="shared" si="4"/>
        <v>1.2568025084663339E-2</v>
      </c>
    </row>
    <row r="24" spans="1:11" x14ac:dyDescent="0.2">
      <c r="A24" s="106" t="s">
        <v>129</v>
      </c>
      <c r="B24" s="72">
        <f>IF($B$9="kWh",$B$4,$B$5)</f>
        <v>50</v>
      </c>
      <c r="C24" s="77">
        <f>VLOOKUP($B$3,'Data for Bill Impacts'!$A$3:$Y$15,14,0)</f>
        <v>1.0000000000000003E-5</v>
      </c>
      <c r="D24" s="21">
        <f>B24*C24</f>
        <v>5.0000000000000012E-4</v>
      </c>
      <c r="E24" s="72">
        <f t="shared" si="6"/>
        <v>50</v>
      </c>
      <c r="F24" s="77">
        <f>VLOOKUP($B$3,'Data for Bill Impacts'!$A$3:$Y$15,23,0)</f>
        <v>1.0000000000000003E-5</v>
      </c>
      <c r="G24" s="21">
        <f>E24*F24</f>
        <v>5.0000000000000012E-4</v>
      </c>
      <c r="H24" s="21">
        <f t="shared" si="1"/>
        <v>0</v>
      </c>
      <c r="I24" s="22">
        <f t="shared" si="2"/>
        <v>0</v>
      </c>
      <c r="J24" s="22">
        <f t="shared" ref="J24" si="9">G24/$G$46</f>
        <v>6.8658931908424317E-6</v>
      </c>
      <c r="K24" s="107">
        <f t="shared" si="4"/>
        <v>6.8304484155779042E-6</v>
      </c>
    </row>
    <row r="25" spans="1:11" s="1" customFormat="1" x14ac:dyDescent="0.2">
      <c r="A25" s="109" t="s">
        <v>72</v>
      </c>
      <c r="B25" s="73"/>
      <c r="C25" s="34"/>
      <c r="D25" s="34">
        <f>SUM(D19:D24)</f>
        <v>56.953499999999998</v>
      </c>
      <c r="E25" s="72"/>
      <c r="F25" s="34"/>
      <c r="G25" s="34">
        <f>SUM(G19:G24)</f>
        <v>62.398499999999999</v>
      </c>
      <c r="H25" s="34">
        <f t="shared" si="1"/>
        <v>5.4450000000000003</v>
      </c>
      <c r="I25" s="35">
        <f t="shared" si="2"/>
        <v>9.5604308778213812E-2</v>
      </c>
      <c r="J25" s="35">
        <f>G25/$G$46</f>
        <v>0.85684287253756275</v>
      </c>
      <c r="K25" s="110">
        <f t="shared" si="4"/>
        <v>0.85241947091887549</v>
      </c>
    </row>
    <row r="26" spans="1:11" s="1" customFormat="1" x14ac:dyDescent="0.2">
      <c r="A26" s="118" t="s">
        <v>73</v>
      </c>
      <c r="B26" s="119">
        <v>1</v>
      </c>
      <c r="C26" s="77">
        <f>VLOOKUP($B$3,'Data for Bill Impacts'!$A$3:$Y$15,9,0)</f>
        <v>0.79</v>
      </c>
      <c r="D26" s="21">
        <f>B26*C26</f>
        <v>0.79</v>
      </c>
      <c r="E26" s="72">
        <v>1</v>
      </c>
      <c r="F26" s="77">
        <f>VLOOKUP($B$3,'Data for Bill Impacts'!$A$3:$Y$15,18,0)</f>
        <v>0.79</v>
      </c>
      <c r="G26" s="21">
        <f>E26*F26</f>
        <v>0.79</v>
      </c>
      <c r="H26" s="21">
        <f t="shared" si="1"/>
        <v>0</v>
      </c>
      <c r="I26" s="22">
        <f t="shared" si="2"/>
        <v>0</v>
      </c>
      <c r="J26" s="22">
        <f>G26/$G$46</f>
        <v>1.0848111241531041E-2</v>
      </c>
      <c r="K26" s="107">
        <f t="shared" si="4"/>
        <v>1.0792108496613086E-2</v>
      </c>
    </row>
    <row r="27" spans="1:11" s="1" customFormat="1" x14ac:dyDescent="0.2">
      <c r="A27" s="118" t="s">
        <v>75</v>
      </c>
      <c r="B27" s="119">
        <f>B8-B4</f>
        <v>5.2000000000000028</v>
      </c>
      <c r="C27" s="186">
        <f>IF(B4&gt;B7,C13,C12)</f>
        <v>9.0999999999999998E-2</v>
      </c>
      <c r="D27" s="21">
        <f>B27*C27</f>
        <v>0.47320000000000023</v>
      </c>
      <c r="E27" s="72">
        <f>B27</f>
        <v>5.2000000000000028</v>
      </c>
      <c r="F27" s="186">
        <f>C27</f>
        <v>9.0999999999999998E-2</v>
      </c>
      <c r="G27" s="21">
        <f>E27*F27</f>
        <v>0.47320000000000023</v>
      </c>
      <c r="H27" s="21">
        <f t="shared" si="1"/>
        <v>0</v>
      </c>
      <c r="I27" s="22">
        <f t="shared" si="2"/>
        <v>0</v>
      </c>
      <c r="J27" s="22">
        <f t="shared" ref="J27:J46" si="10">G27/$G$46</f>
        <v>6.4978813158132788E-3</v>
      </c>
      <c r="K27" s="107">
        <f t="shared" ref="K27:K41" si="11">G27/$G$51</f>
        <v>6.4643363805029297E-3</v>
      </c>
    </row>
    <row r="28" spans="1:11" s="1" customFormat="1" x14ac:dyDescent="0.2">
      <c r="A28" s="118" t="s">
        <v>74</v>
      </c>
      <c r="B28" s="119">
        <f>B8-B4</f>
        <v>5.2000000000000028</v>
      </c>
      <c r="C28" s="186">
        <f>0.65*C15+0.17*C16+0.18*C17</f>
        <v>9.7519999999999996E-2</v>
      </c>
      <c r="D28" s="21">
        <f>B28*C28</f>
        <v>0.50710400000000022</v>
      </c>
      <c r="E28" s="72">
        <f>B28</f>
        <v>5.2000000000000028</v>
      </c>
      <c r="F28" s="186">
        <f>C28</f>
        <v>9.7519999999999996E-2</v>
      </c>
      <c r="G28" s="21">
        <f>E28*F28</f>
        <v>0.50710400000000022</v>
      </c>
      <c r="H28" s="21">
        <f t="shared" si="1"/>
        <v>0</v>
      </c>
      <c r="I28" s="22">
        <f t="shared" si="2"/>
        <v>0</v>
      </c>
      <c r="J28" s="22">
        <f t="shared" si="10"/>
        <v>6.9634438012979227E-3</v>
      </c>
      <c r="K28" s="107">
        <f t="shared" si="11"/>
        <v>6.9274954266664362E-3</v>
      </c>
    </row>
    <row r="29" spans="1:11" s="1" customFormat="1" x14ac:dyDescent="0.2">
      <c r="A29" s="109" t="s">
        <v>78</v>
      </c>
      <c r="B29" s="73"/>
      <c r="C29" s="34"/>
      <c r="D29" s="34">
        <f>SUM(D25,D26:D27)</f>
        <v>58.216699999999996</v>
      </c>
      <c r="E29" s="72"/>
      <c r="F29" s="34"/>
      <c r="G29" s="34">
        <f>SUM(G25,G26:G27)</f>
        <v>63.661699999999996</v>
      </c>
      <c r="H29" s="34">
        <f t="shared" si="1"/>
        <v>5.4450000000000003</v>
      </c>
      <c r="I29" s="35">
        <f t="shared" si="2"/>
        <v>9.3529863424069049E-2</v>
      </c>
      <c r="J29" s="35">
        <f t="shared" si="10"/>
        <v>0.87418886509490701</v>
      </c>
      <c r="K29" s="110">
        <f t="shared" si="11"/>
        <v>0.86967591579599146</v>
      </c>
    </row>
    <row r="30" spans="1:11" s="1" customFormat="1" x14ac:dyDescent="0.2">
      <c r="A30" s="109" t="s">
        <v>77</v>
      </c>
      <c r="B30" s="73"/>
      <c r="C30" s="34"/>
      <c r="D30" s="34">
        <f>SUM(D25,D26,D28)</f>
        <v>58.250603999999996</v>
      </c>
      <c r="E30" s="72"/>
      <c r="F30" s="34"/>
      <c r="G30" s="34">
        <f>SUM(G25,G26,G28)</f>
        <v>63.695603999999996</v>
      </c>
      <c r="H30" s="34">
        <f t="shared" si="1"/>
        <v>5.4450000000000003</v>
      </c>
      <c r="I30" s="35">
        <f t="shared" si="2"/>
        <v>9.3475425593870246E-2</v>
      </c>
      <c r="J30" s="35">
        <f t="shared" si="10"/>
        <v>0.87465442758039169</v>
      </c>
      <c r="K30" s="110">
        <f t="shared" si="11"/>
        <v>0.87013907484215491</v>
      </c>
    </row>
    <row r="31" spans="1:11" x14ac:dyDescent="0.2">
      <c r="A31" s="106" t="s">
        <v>40</v>
      </c>
      <c r="B31" s="72">
        <f>B8</f>
        <v>55.2</v>
      </c>
      <c r="C31" s="124">
        <f>VLOOKUP($B$3,'Data for Bill Impacts'!$A$3:$Y$15,15,0)</f>
        <v>5.7999999999999996E-3</v>
      </c>
      <c r="D31" s="21">
        <f>B31*C31</f>
        <v>0.32016</v>
      </c>
      <c r="E31" s="72">
        <f t="shared" si="6"/>
        <v>55.2</v>
      </c>
      <c r="F31" s="77">
        <f>VLOOKUP($B$3,'Data for Bill Impacts'!$A$3:$Y$15,24,0)</f>
        <v>5.7999999999999996E-3</v>
      </c>
      <c r="G31" s="21">
        <f>E31*F31</f>
        <v>0.32016</v>
      </c>
      <c r="H31" s="21">
        <f t="shared" si="1"/>
        <v>0</v>
      </c>
      <c r="I31" s="22">
        <f t="shared" si="2"/>
        <v>0</v>
      </c>
      <c r="J31" s="22">
        <f t="shared" si="10"/>
        <v>4.3963687279602245E-3</v>
      </c>
      <c r="K31" s="107">
        <f t="shared" si="11"/>
        <v>4.3736727294628429E-3</v>
      </c>
    </row>
    <row r="32" spans="1:11" x14ac:dyDescent="0.2">
      <c r="A32" s="106" t="s">
        <v>41</v>
      </c>
      <c r="B32" s="72">
        <f>B8</f>
        <v>55.2</v>
      </c>
      <c r="C32" s="124">
        <f>VLOOKUP($B$3,'Data for Bill Impacts'!$A$3:$Y$15,16,0)</f>
        <v>4.7000000000000002E-3</v>
      </c>
      <c r="D32" s="21">
        <f>B32*C32</f>
        <v>0.25944</v>
      </c>
      <c r="E32" s="72">
        <f t="shared" si="6"/>
        <v>55.2</v>
      </c>
      <c r="F32" s="77">
        <f>VLOOKUP($B$3,'Data for Bill Impacts'!$A$3:$Y$15,25,0)</f>
        <v>4.7000000000000002E-3</v>
      </c>
      <c r="G32" s="21">
        <f>E32*F32</f>
        <v>0.25944</v>
      </c>
      <c r="H32" s="21">
        <f t="shared" si="1"/>
        <v>0</v>
      </c>
      <c r="I32" s="22">
        <f t="shared" si="2"/>
        <v>0</v>
      </c>
      <c r="J32" s="22">
        <f t="shared" si="10"/>
        <v>3.5625746588643201E-3</v>
      </c>
      <c r="K32" s="107">
        <f t="shared" si="11"/>
        <v>3.5441830738750621E-3</v>
      </c>
    </row>
    <row r="33" spans="1:11" s="1" customFormat="1" x14ac:dyDescent="0.2">
      <c r="A33" s="109" t="s">
        <v>76</v>
      </c>
      <c r="B33" s="73"/>
      <c r="C33" s="34"/>
      <c r="D33" s="34">
        <f>SUM(D31:D32)</f>
        <v>0.5796</v>
      </c>
      <c r="E33" s="72"/>
      <c r="F33" s="34"/>
      <c r="G33" s="34">
        <f>SUM(G31:G32)</f>
        <v>0.5796</v>
      </c>
      <c r="H33" s="34">
        <f t="shared" si="1"/>
        <v>0</v>
      </c>
      <c r="I33" s="35">
        <f t="shared" si="2"/>
        <v>0</v>
      </c>
      <c r="J33" s="35">
        <f t="shared" si="10"/>
        <v>7.9589433868245459E-3</v>
      </c>
      <c r="K33" s="110">
        <f t="shared" si="11"/>
        <v>7.9178558033379046E-3</v>
      </c>
    </row>
    <row r="34" spans="1:11" s="1" customFormat="1" x14ac:dyDescent="0.2">
      <c r="A34" s="109" t="s">
        <v>93</v>
      </c>
      <c r="B34" s="73"/>
      <c r="C34" s="34"/>
      <c r="D34" s="34">
        <f>D29+D33</f>
        <v>58.796299999999995</v>
      </c>
      <c r="E34" s="72"/>
      <c r="F34" s="34"/>
      <c r="G34" s="34">
        <f>G29+G33</f>
        <v>64.241299999999995</v>
      </c>
      <c r="H34" s="34">
        <f t="shared" si="1"/>
        <v>5.4450000000000003</v>
      </c>
      <c r="I34" s="35">
        <f t="shared" si="2"/>
        <v>9.2607868182181544E-2</v>
      </c>
      <c r="J34" s="35">
        <f t="shared" si="10"/>
        <v>0.88214780848173158</v>
      </c>
      <c r="K34" s="110">
        <f t="shared" si="11"/>
        <v>0.87759377159932939</v>
      </c>
    </row>
    <row r="35" spans="1:11" s="1" customFormat="1" x14ac:dyDescent="0.2">
      <c r="A35" s="109" t="s">
        <v>94</v>
      </c>
      <c r="B35" s="73"/>
      <c r="C35" s="34"/>
      <c r="D35" s="34">
        <f>D30+D33</f>
        <v>58.830203999999995</v>
      </c>
      <c r="E35" s="72"/>
      <c r="F35" s="34"/>
      <c r="G35" s="34">
        <f>G30+G33</f>
        <v>64.275204000000002</v>
      </c>
      <c r="H35" s="34">
        <f t="shared" si="1"/>
        <v>5.4450000000000074</v>
      </c>
      <c r="I35" s="35">
        <f t="shared" si="2"/>
        <v>9.2554498026218096E-2</v>
      </c>
      <c r="J35" s="35">
        <f t="shared" si="10"/>
        <v>0.88261337096721626</v>
      </c>
      <c r="K35" s="110">
        <f t="shared" si="11"/>
        <v>0.87805693064549295</v>
      </c>
    </row>
    <row r="36" spans="1:11" x14ac:dyDescent="0.2">
      <c r="A36" s="106" t="s">
        <v>42</v>
      </c>
      <c r="B36" s="72">
        <f>B8</f>
        <v>55.2</v>
      </c>
      <c r="C36" s="33">
        <v>3.5999999999999999E-3</v>
      </c>
      <c r="D36" s="21">
        <f>B36*C36</f>
        <v>0.19872000000000001</v>
      </c>
      <c r="E36" s="72">
        <f t="shared" si="6"/>
        <v>55.2</v>
      </c>
      <c r="F36" s="33">
        <v>3.5999999999999999E-3</v>
      </c>
      <c r="G36" s="21">
        <f>E36*F36</f>
        <v>0.19872000000000001</v>
      </c>
      <c r="H36" s="21">
        <f t="shared" si="1"/>
        <v>0</v>
      </c>
      <c r="I36" s="22">
        <f t="shared" si="2"/>
        <v>0</v>
      </c>
      <c r="J36" s="22">
        <f t="shared" si="10"/>
        <v>2.7287805897684156E-3</v>
      </c>
      <c r="K36" s="107">
        <f t="shared" si="11"/>
        <v>2.7146934182872818E-3</v>
      </c>
    </row>
    <row r="37" spans="1:11" x14ac:dyDescent="0.2">
      <c r="A37" s="106" t="s">
        <v>43</v>
      </c>
      <c r="B37" s="72">
        <f>B8</f>
        <v>55.2</v>
      </c>
      <c r="C37" s="33">
        <v>2.0999999999999999E-3</v>
      </c>
      <c r="D37" s="21">
        <f>B37*C37</f>
        <v>0.11592</v>
      </c>
      <c r="E37" s="72">
        <f t="shared" si="6"/>
        <v>55.2</v>
      </c>
      <c r="F37" s="33">
        <v>2.0999999999999999E-3</v>
      </c>
      <c r="G37" s="21">
        <f>E37*F37</f>
        <v>0.11592</v>
      </c>
      <c r="H37" s="21">
        <f>G37-D37</f>
        <v>0</v>
      </c>
      <c r="I37" s="22">
        <f t="shared" si="2"/>
        <v>0</v>
      </c>
      <c r="J37" s="22">
        <f t="shared" si="10"/>
        <v>1.591788677364909E-3</v>
      </c>
      <c r="K37" s="107">
        <f t="shared" si="11"/>
        <v>1.5835711606675808E-3</v>
      </c>
    </row>
    <row r="38" spans="1:11" x14ac:dyDescent="0.2">
      <c r="A38" s="106" t="s">
        <v>99</v>
      </c>
      <c r="B38" s="72">
        <f>B8</f>
        <v>55.2</v>
      </c>
      <c r="C38" s="33">
        <v>0</v>
      </c>
      <c r="D38" s="21">
        <f>B38*C38</f>
        <v>0</v>
      </c>
      <c r="E38" s="72">
        <f t="shared" si="6"/>
        <v>55.2</v>
      </c>
      <c r="F38" s="33">
        <v>0</v>
      </c>
      <c r="G38" s="21">
        <f>E38*F38</f>
        <v>0</v>
      </c>
      <c r="H38" s="21">
        <f>G38-D38</f>
        <v>0</v>
      </c>
      <c r="I38" s="22" t="str">
        <f t="shared" si="2"/>
        <v>N/A</v>
      </c>
      <c r="J38" s="22">
        <f t="shared" ref="J38" si="12">G38/$G$46</f>
        <v>0</v>
      </c>
      <c r="K38" s="107">
        <f t="shared" ref="K38" si="13">G38/$G$51</f>
        <v>0</v>
      </c>
    </row>
    <row r="39" spans="1:11" x14ac:dyDescent="0.2">
      <c r="A39" s="106" t="s">
        <v>44</v>
      </c>
      <c r="B39" s="72">
        <v>1</v>
      </c>
      <c r="C39" s="21">
        <v>0.25</v>
      </c>
      <c r="D39" s="21">
        <f>B39*C39</f>
        <v>0.25</v>
      </c>
      <c r="E39" s="72">
        <f t="shared" si="6"/>
        <v>1</v>
      </c>
      <c r="F39" s="21">
        <f>C39</f>
        <v>0.25</v>
      </c>
      <c r="G39" s="21">
        <f>E39*F39</f>
        <v>0.25</v>
      </c>
      <c r="H39" s="21">
        <f t="shared" si="1"/>
        <v>0</v>
      </c>
      <c r="I39" s="22">
        <f t="shared" si="2"/>
        <v>0</v>
      </c>
      <c r="J39" s="22">
        <f t="shared" si="10"/>
        <v>3.432946595421215E-3</v>
      </c>
      <c r="K39" s="107">
        <f t="shared" si="11"/>
        <v>3.4152242077889511E-3</v>
      </c>
    </row>
    <row r="40" spans="1:11" s="1" customFormat="1" x14ac:dyDescent="0.2">
      <c r="A40" s="109" t="s">
        <v>45</v>
      </c>
      <c r="B40" s="73"/>
      <c r="C40" s="34"/>
      <c r="D40" s="34">
        <f>SUM(D36:D39)</f>
        <v>0.56464000000000003</v>
      </c>
      <c r="E40" s="72"/>
      <c r="F40" s="34"/>
      <c r="G40" s="34">
        <f>SUM(G36:G39)</f>
        <v>0.56464000000000003</v>
      </c>
      <c r="H40" s="34">
        <f t="shared" si="1"/>
        <v>0</v>
      </c>
      <c r="I40" s="35">
        <f t="shared" si="2"/>
        <v>0</v>
      </c>
      <c r="J40" s="35">
        <f t="shared" si="10"/>
        <v>7.7535158625545398E-3</v>
      </c>
      <c r="K40" s="110">
        <f t="shared" si="11"/>
        <v>7.7134887867438143E-3</v>
      </c>
    </row>
    <row r="41" spans="1:11" s="1" customFormat="1" ht="13.5" thickBot="1" x14ac:dyDescent="0.25">
      <c r="A41" s="111" t="s">
        <v>46</v>
      </c>
      <c r="B41" s="112">
        <f>B4</f>
        <v>50</v>
      </c>
      <c r="C41" s="113">
        <v>0</v>
      </c>
      <c r="D41" s="114">
        <f>B41*C41</f>
        <v>0</v>
      </c>
      <c r="E41" s="115">
        <f t="shared" si="6"/>
        <v>50</v>
      </c>
      <c r="F41" s="113">
        <f>C41</f>
        <v>0</v>
      </c>
      <c r="G41" s="114">
        <f>E41*F41</f>
        <v>0</v>
      </c>
      <c r="H41" s="114">
        <f t="shared" si="1"/>
        <v>0</v>
      </c>
      <c r="I41" s="116" t="str">
        <f t="shared" si="2"/>
        <v>N/A</v>
      </c>
      <c r="J41" s="116">
        <f t="shared" si="10"/>
        <v>0</v>
      </c>
      <c r="K41" s="117">
        <f t="shared" si="11"/>
        <v>0</v>
      </c>
    </row>
    <row r="42" spans="1:11" s="1" customFormat="1" x14ac:dyDescent="0.2">
      <c r="A42" s="36" t="s">
        <v>107</v>
      </c>
      <c r="B42" s="37"/>
      <c r="C42" s="38"/>
      <c r="D42" s="38">
        <f>SUM(D14,D25,D26,D27,D33,D40,D41)</f>
        <v>63.910939999999989</v>
      </c>
      <c r="E42" s="37"/>
      <c r="F42" s="38"/>
      <c r="G42" s="38">
        <f>SUM(G14,G25,G26,G27,G33,G40,G41)</f>
        <v>69.355940000000004</v>
      </c>
      <c r="H42" s="38">
        <f t="shared" si="1"/>
        <v>5.4450000000000145</v>
      </c>
      <c r="I42" s="39">
        <f t="shared" si="2"/>
        <v>8.5196681507109975E-2</v>
      </c>
      <c r="J42" s="39">
        <f t="shared" si="10"/>
        <v>0.95238095238095233</v>
      </c>
      <c r="K42" s="40"/>
    </row>
    <row r="43" spans="1:11" x14ac:dyDescent="0.2">
      <c r="A43" s="142" t="s">
        <v>108</v>
      </c>
      <c r="B43" s="42"/>
      <c r="C43" s="25">
        <v>0.13</v>
      </c>
      <c r="D43" s="25">
        <f>D42*C43</f>
        <v>8.308422199999999</v>
      </c>
      <c r="E43" s="25"/>
      <c r="F43" s="25">
        <f>C43</f>
        <v>0.13</v>
      </c>
      <c r="G43" s="25">
        <f>G42*F43</f>
        <v>9.0162722000000013</v>
      </c>
      <c r="H43" s="25">
        <f t="shared" si="1"/>
        <v>0.70785000000000231</v>
      </c>
      <c r="I43" s="43">
        <f t="shared" si="2"/>
        <v>8.5196681507110031E-2</v>
      </c>
      <c r="J43" s="43">
        <f t="shared" si="10"/>
        <v>0.12380952380952381</v>
      </c>
      <c r="K43" s="44"/>
    </row>
    <row r="44" spans="1:11" s="1" customFormat="1" x14ac:dyDescent="0.2">
      <c r="A44" s="45" t="s">
        <v>109</v>
      </c>
      <c r="B44" s="23"/>
      <c r="C44" s="24"/>
      <c r="D44" s="24">
        <f>SUM(D42:D43)</f>
        <v>72.219362199999992</v>
      </c>
      <c r="E44" s="24"/>
      <c r="F44" s="24"/>
      <c r="G44" s="24">
        <f>SUM(G42:G43)</f>
        <v>78.372212200000007</v>
      </c>
      <c r="H44" s="24">
        <f t="shared" si="1"/>
        <v>6.152850000000015</v>
      </c>
      <c r="I44" s="26">
        <f t="shared" si="2"/>
        <v>8.5196681507109961E-2</v>
      </c>
      <c r="J44" s="26">
        <f t="shared" si="10"/>
        <v>1.0761904761904761</v>
      </c>
      <c r="K44" s="46"/>
    </row>
    <row r="45" spans="1:11" x14ac:dyDescent="0.2">
      <c r="A45" s="41" t="s">
        <v>110</v>
      </c>
      <c r="B45" s="42"/>
      <c r="C45" s="25">
        <v>-0.08</v>
      </c>
      <c r="D45" s="25">
        <f>D42*C45</f>
        <v>-5.1128751999999995</v>
      </c>
      <c r="E45" s="25"/>
      <c r="F45" s="25">
        <f>C45</f>
        <v>-0.08</v>
      </c>
      <c r="G45" s="25">
        <f>G42*F45</f>
        <v>-5.5484752000000004</v>
      </c>
      <c r="H45" s="25">
        <f t="shared" si="1"/>
        <v>-0.43560000000000088</v>
      </c>
      <c r="I45" s="43">
        <f t="shared" si="2"/>
        <v>-8.519668150710992E-2</v>
      </c>
      <c r="J45" s="43">
        <f t="shared" si="10"/>
        <v>-7.6190476190476183E-2</v>
      </c>
      <c r="K45" s="44"/>
    </row>
    <row r="46" spans="1:11" s="1" customFormat="1" ht="13.5" thickBot="1" x14ac:dyDescent="0.25">
      <c r="A46" s="47" t="s">
        <v>111</v>
      </c>
      <c r="B46" s="48"/>
      <c r="C46" s="49"/>
      <c r="D46" s="49">
        <f>SUM(D44:D45)</f>
        <v>67.106486999999987</v>
      </c>
      <c r="E46" s="49"/>
      <c r="F46" s="49"/>
      <c r="G46" s="49">
        <f>SUM(G44:G45)</f>
        <v>72.823737000000008</v>
      </c>
      <c r="H46" s="49">
        <f t="shared" si="1"/>
        <v>5.7172500000000213</v>
      </c>
      <c r="I46" s="50">
        <f t="shared" si="2"/>
        <v>8.5196681507110072E-2</v>
      </c>
      <c r="J46" s="50">
        <f t="shared" si="10"/>
        <v>1</v>
      </c>
      <c r="K46" s="51"/>
    </row>
    <row r="47" spans="1:11" x14ac:dyDescent="0.2">
      <c r="A47" s="52" t="s">
        <v>112</v>
      </c>
      <c r="B47" s="53"/>
      <c r="C47" s="54"/>
      <c r="D47" s="54">
        <f>SUM(D18,D25,D26,D28,D33,D40,D41)</f>
        <v>64.270843999999997</v>
      </c>
      <c r="E47" s="54"/>
      <c r="F47" s="54"/>
      <c r="G47" s="54">
        <f>SUM(G18,G25,G26,G28,G33,G40,G41)</f>
        <v>69.715844000000004</v>
      </c>
      <c r="H47" s="54">
        <f>G47-D47</f>
        <v>5.4450000000000074</v>
      </c>
      <c r="I47" s="55">
        <f t="shared" si="2"/>
        <v>8.4719596960637508E-2</v>
      </c>
      <c r="J47" s="55"/>
      <c r="K47" s="56">
        <f>G47/$G$51</f>
        <v>0.95238095238095244</v>
      </c>
    </row>
    <row r="48" spans="1:11" x14ac:dyDescent="0.2">
      <c r="A48" s="57" t="s">
        <v>108</v>
      </c>
      <c r="B48" s="58"/>
      <c r="C48" s="30">
        <v>0.13</v>
      </c>
      <c r="D48" s="30">
        <f>D47*C48</f>
        <v>8.3552097199999995</v>
      </c>
      <c r="E48" s="30"/>
      <c r="F48" s="30">
        <f>C48</f>
        <v>0.13</v>
      </c>
      <c r="G48" s="30">
        <f>G47*F48</f>
        <v>9.06305972</v>
      </c>
      <c r="H48" s="30">
        <f>G48-D48</f>
        <v>0.70785000000000053</v>
      </c>
      <c r="I48" s="31">
        <f t="shared" si="2"/>
        <v>8.4719596960637467E-2</v>
      </c>
      <c r="J48" s="31"/>
      <c r="K48" s="59">
        <f>G48/$G$51</f>
        <v>0.12380952380952381</v>
      </c>
    </row>
    <row r="49" spans="1:11" x14ac:dyDescent="0.2">
      <c r="A49" s="60" t="s">
        <v>113</v>
      </c>
      <c r="B49" s="28"/>
      <c r="C49" s="29"/>
      <c r="D49" s="29">
        <f>SUM(D47:D48)</f>
        <v>72.626053720000002</v>
      </c>
      <c r="E49" s="29"/>
      <c r="F49" s="29"/>
      <c r="G49" s="29">
        <f>SUM(G47:G48)</f>
        <v>78.778903720000002</v>
      </c>
      <c r="H49" s="29">
        <f>G49-D49</f>
        <v>6.1528500000000008</v>
      </c>
      <c r="I49" s="32">
        <f t="shared" si="2"/>
        <v>8.4719596960637397E-2</v>
      </c>
      <c r="J49" s="32"/>
      <c r="K49" s="61">
        <f>G49/$G$51</f>
        <v>1.0761904761904764</v>
      </c>
    </row>
    <row r="50" spans="1:11" x14ac:dyDescent="0.2">
      <c r="A50" s="57" t="s">
        <v>110</v>
      </c>
      <c r="B50" s="58"/>
      <c r="C50" s="30">
        <v>-0.08</v>
      </c>
      <c r="D50" s="30">
        <f>D47*C50</f>
        <v>-5.1416675199999995</v>
      </c>
      <c r="E50" s="30"/>
      <c r="F50" s="30">
        <f>C50</f>
        <v>-0.08</v>
      </c>
      <c r="G50" s="30">
        <f>G47*F50</f>
        <v>-5.5772675200000004</v>
      </c>
      <c r="H50" s="30">
        <f>G50-D50</f>
        <v>-0.43560000000000088</v>
      </c>
      <c r="I50" s="31">
        <f t="shared" si="2"/>
        <v>-8.4719596960637578E-2</v>
      </c>
      <c r="J50" s="31"/>
      <c r="K50" s="59">
        <f>G50/$G$51</f>
        <v>-7.6190476190476197E-2</v>
      </c>
    </row>
    <row r="51" spans="1:11" ht="13.5" thickBot="1" x14ac:dyDescent="0.25">
      <c r="A51" s="62" t="s">
        <v>114</v>
      </c>
      <c r="B51" s="63"/>
      <c r="C51" s="64"/>
      <c r="D51" s="64">
        <f>SUM(D49:D50)</f>
        <v>67.484386200000003</v>
      </c>
      <c r="E51" s="64"/>
      <c r="F51" s="64"/>
      <c r="G51" s="64">
        <f>SUM(G49:G50)</f>
        <v>73.201636199999996</v>
      </c>
      <c r="H51" s="64">
        <f>G51-D51</f>
        <v>5.7172499999999928</v>
      </c>
      <c r="I51" s="65">
        <f t="shared" si="2"/>
        <v>8.4719596960637286E-2</v>
      </c>
      <c r="J51" s="65"/>
      <c r="K51" s="66">
        <f>G51/$G$51</f>
        <v>1</v>
      </c>
    </row>
    <row r="52" spans="1:11" x14ac:dyDescent="0.2">
      <c r="C52" s="67"/>
      <c r="F52" s="68"/>
    </row>
    <row r="53" spans="1:11" x14ac:dyDescent="0.2">
      <c r="F53" s="68"/>
    </row>
    <row r="54" spans="1:11" x14ac:dyDescent="0.2">
      <c r="F54" s="68"/>
    </row>
    <row r="55" spans="1:11" x14ac:dyDescent="0.2">
      <c r="A55" s="69"/>
      <c r="B55" s="70"/>
      <c r="F55" s="68"/>
    </row>
    <row r="56" spans="1:11" x14ac:dyDescent="0.2">
      <c r="B56" s="70"/>
      <c r="F56" s="68"/>
    </row>
    <row r="57" spans="1:11" x14ac:dyDescent="0.2">
      <c r="F57" s="68"/>
    </row>
    <row r="58" spans="1:11" x14ac:dyDescent="0.2">
      <c r="D58" s="71"/>
      <c r="F58" s="68"/>
    </row>
    <row r="59" spans="1:11" x14ac:dyDescent="0.2">
      <c r="F59" s="68"/>
    </row>
    <row r="60" spans="1:11" x14ac:dyDescent="0.2">
      <c r="A60" s="69"/>
      <c r="B60" s="70"/>
      <c r="F60" s="68"/>
    </row>
    <row r="61" spans="1:11" x14ac:dyDescent="0.2">
      <c r="B61" s="71"/>
      <c r="D61" s="71"/>
      <c r="F61" s="68"/>
    </row>
    <row r="62" spans="1:11" x14ac:dyDescent="0.2">
      <c r="F62" s="68"/>
    </row>
    <row r="63" spans="1:11" x14ac:dyDescent="0.2">
      <c r="F63" s="68"/>
    </row>
    <row r="64" spans="1:11" x14ac:dyDescent="0.2">
      <c r="F64" s="68"/>
      <c r="K64"/>
    </row>
    <row r="65" spans="6:11" x14ac:dyDescent="0.2">
      <c r="F65" s="68"/>
      <c r="K65"/>
    </row>
    <row r="66" spans="6:11" x14ac:dyDescent="0.2">
      <c r="F66" s="68"/>
      <c r="K66"/>
    </row>
    <row r="67" spans="6:11" x14ac:dyDescent="0.2">
      <c r="F67" s="68"/>
      <c r="K67"/>
    </row>
    <row r="68" spans="6:11" x14ac:dyDescent="0.2">
      <c r="F68" s="68"/>
      <c r="K68"/>
    </row>
  </sheetData>
  <mergeCells count="1">
    <mergeCell ref="A1:K1"/>
  </mergeCells>
  <pageMargins left="0.7" right="0.7" top="0.75" bottom="0.75" header="0.3" footer="0.3"/>
  <pageSetup scale="7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0" tint="-0.499984740745262"/>
    <pageSetUpPr fitToPage="1"/>
  </sheetPr>
  <dimension ref="A1:K68"/>
  <sheetViews>
    <sheetView tabSelected="1" topLeftCell="A25" zoomScaleNormal="100" zoomScaleSheetLayoutView="9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3"/>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205" t="s">
        <v>127</v>
      </c>
      <c r="B1" s="206"/>
      <c r="C1" s="206"/>
      <c r="D1" s="206"/>
      <c r="E1" s="206"/>
      <c r="F1" s="206"/>
      <c r="G1" s="206"/>
      <c r="H1" s="206"/>
      <c r="I1" s="206"/>
      <c r="J1" s="206"/>
      <c r="K1" s="207"/>
    </row>
    <row r="3" spans="1:11" x14ac:dyDescent="0.2">
      <c r="A3" s="12" t="s">
        <v>13</v>
      </c>
      <c r="B3" s="12" t="s">
        <v>3</v>
      </c>
    </row>
    <row r="4" spans="1:11" x14ac:dyDescent="0.2">
      <c r="A4" s="14" t="s">
        <v>62</v>
      </c>
      <c r="B4" s="78">
        <f>'Data for Bill Impacts_HONI Avg '!C6</f>
        <v>352</v>
      </c>
    </row>
    <row r="5" spans="1:11" x14ac:dyDescent="0.2">
      <c r="A5" s="14" t="s">
        <v>16</v>
      </c>
      <c r="B5" s="14">
        <f>VLOOKUP($B$3,'Data for Bill Impacts'!$A$3:$Y$15,5,0)</f>
        <v>0</v>
      </c>
    </row>
    <row r="6" spans="1:11" x14ac:dyDescent="0.2">
      <c r="A6" s="14" t="s">
        <v>20</v>
      </c>
      <c r="B6" s="14">
        <f>VLOOKUP($B$3,'Data for Bill Impacts'!$A$3:$Y$15,2,0)</f>
        <v>1.1040000000000001</v>
      </c>
    </row>
    <row r="7" spans="1:11" x14ac:dyDescent="0.2">
      <c r="A7" s="14" t="s">
        <v>15</v>
      </c>
      <c r="B7" s="14">
        <f>VLOOKUP($B$3,'Data for Bill Impacts'!$A$3:$Y$15,4,0)</f>
        <v>600</v>
      </c>
    </row>
    <row r="8" spans="1:11" x14ac:dyDescent="0.2">
      <c r="A8" s="14" t="s">
        <v>82</v>
      </c>
      <c r="B8" s="148">
        <f>B4*B6</f>
        <v>388.60800000000006</v>
      </c>
    </row>
    <row r="9" spans="1:11" x14ac:dyDescent="0.2">
      <c r="A9" s="14" t="s">
        <v>21</v>
      </c>
      <c r="B9" s="15" t="str">
        <f>VLOOKUP($B$3,'Data for Bill Impacts'!$A$3:$Y$15,6,0)</f>
        <v>kWh</v>
      </c>
    </row>
    <row r="10" spans="1:11" ht="13.5" thickBot="1" x14ac:dyDescent="0.25"/>
    <row r="11" spans="1:11" s="19" customFormat="1" ht="39" thickBot="1" x14ac:dyDescent="0.25">
      <c r="A11" s="16"/>
      <c r="B11" s="17" t="s">
        <v>22</v>
      </c>
      <c r="C11" s="17" t="s">
        <v>23</v>
      </c>
      <c r="D11" s="17" t="s">
        <v>24</v>
      </c>
      <c r="E11" s="17" t="s">
        <v>22</v>
      </c>
      <c r="F11" s="17" t="s">
        <v>25</v>
      </c>
      <c r="G11" s="17" t="s">
        <v>26</v>
      </c>
      <c r="H11" s="17" t="s">
        <v>27</v>
      </c>
      <c r="I11" s="17" t="s">
        <v>28</v>
      </c>
      <c r="J11" s="17" t="s">
        <v>29</v>
      </c>
      <c r="K11" s="18" t="s">
        <v>30</v>
      </c>
    </row>
    <row r="12" spans="1:11" x14ac:dyDescent="0.2">
      <c r="A12" s="100" t="s">
        <v>31</v>
      </c>
      <c r="B12" s="101">
        <f>IF(B4&gt;B7,B7,B4)</f>
        <v>352</v>
      </c>
      <c r="C12" s="102">
        <v>9.0999999999999998E-2</v>
      </c>
      <c r="D12" s="103">
        <f>B12*C12</f>
        <v>32.031999999999996</v>
      </c>
      <c r="E12" s="101">
        <f>B12</f>
        <v>352</v>
      </c>
      <c r="F12" s="102">
        <f>C12</f>
        <v>9.0999999999999998E-2</v>
      </c>
      <c r="G12" s="103">
        <f>E12*F12</f>
        <v>32.031999999999996</v>
      </c>
      <c r="H12" s="103">
        <f>G12-D12</f>
        <v>0</v>
      </c>
      <c r="I12" s="104">
        <f>IF(ISERROR(H12/ABS(D12)),"N/A",(H12/ABS(D12)))</f>
        <v>0</v>
      </c>
      <c r="J12" s="104">
        <f>G12/$G$46</f>
        <v>0.27568648851555155</v>
      </c>
      <c r="K12" s="105"/>
    </row>
    <row r="13" spans="1:11" x14ac:dyDescent="0.2">
      <c r="A13" s="106" t="s">
        <v>32</v>
      </c>
      <c r="B13" s="72">
        <f>IF(B4&gt;B7,(B4)-B7,0)</f>
        <v>0</v>
      </c>
      <c r="C13" s="20">
        <v>0.106</v>
      </c>
      <c r="D13" s="21">
        <f>B13*C13</f>
        <v>0</v>
      </c>
      <c r="E13" s="72">
        <f t="shared" ref="E13" si="0">B13</f>
        <v>0</v>
      </c>
      <c r="F13" s="20">
        <f>C13</f>
        <v>0.106</v>
      </c>
      <c r="G13" s="21">
        <f>E13*F13</f>
        <v>0</v>
      </c>
      <c r="H13" s="21">
        <f t="shared" ref="H13:H46" si="1">G13-D13</f>
        <v>0</v>
      </c>
      <c r="I13" s="22" t="str">
        <f t="shared" ref="I13:I51" si="2">IF(ISERROR(H13/ABS(D13)),"N/A",(H13/ABS(D13)))</f>
        <v>N/A</v>
      </c>
      <c r="J13" s="22">
        <f>G13/$G$46</f>
        <v>0</v>
      </c>
      <c r="K13" s="107"/>
    </row>
    <row r="14" spans="1:11" s="1" customFormat="1" x14ac:dyDescent="0.2">
      <c r="A14" s="45" t="s">
        <v>33</v>
      </c>
      <c r="B14" s="23"/>
      <c r="C14" s="24"/>
      <c r="D14" s="24">
        <f>SUM(D12:D13)</f>
        <v>32.031999999999996</v>
      </c>
      <c r="E14" s="75"/>
      <c r="F14" s="24"/>
      <c r="G14" s="24">
        <f>SUM(G12:G13)</f>
        <v>32.031999999999996</v>
      </c>
      <c r="H14" s="24">
        <f t="shared" si="1"/>
        <v>0</v>
      </c>
      <c r="I14" s="26">
        <f t="shared" si="2"/>
        <v>0</v>
      </c>
      <c r="J14" s="26">
        <f>G14/$G$46</f>
        <v>0.27568648851555155</v>
      </c>
      <c r="K14" s="107"/>
    </row>
    <row r="15" spans="1:11" s="1" customFormat="1" x14ac:dyDescent="0.2">
      <c r="A15" s="108" t="s">
        <v>34</v>
      </c>
      <c r="B15" s="74">
        <f>B4*0.65</f>
        <v>228.8</v>
      </c>
      <c r="C15" s="27">
        <v>7.6999999999999999E-2</v>
      </c>
      <c r="D15" s="21">
        <f>B15*C15</f>
        <v>17.617599999999999</v>
      </c>
      <c r="E15" s="72">
        <f t="shared" ref="E15:F17" si="3">B15</f>
        <v>228.8</v>
      </c>
      <c r="F15" s="27">
        <f t="shared" si="3"/>
        <v>7.6999999999999999E-2</v>
      </c>
      <c r="G15" s="21">
        <f>E15*F15</f>
        <v>17.617599999999999</v>
      </c>
      <c r="H15" s="21">
        <f t="shared" si="1"/>
        <v>0</v>
      </c>
      <c r="I15" s="22">
        <f t="shared" si="2"/>
        <v>0</v>
      </c>
      <c r="J15" s="22"/>
      <c r="K15" s="107">
        <f t="shared" ref="K15:K26" si="4">G15/$G$51</f>
        <v>0.14823345573232694</v>
      </c>
    </row>
    <row r="16" spans="1:11" s="1" customFormat="1" x14ac:dyDescent="0.2">
      <c r="A16" s="108" t="s">
        <v>35</v>
      </c>
      <c r="B16" s="74">
        <f>B4*0.17</f>
        <v>59.84</v>
      </c>
      <c r="C16" s="27">
        <v>0.113</v>
      </c>
      <c r="D16" s="21">
        <f>B16*C16</f>
        <v>6.7619200000000008</v>
      </c>
      <c r="E16" s="72">
        <f t="shared" si="3"/>
        <v>59.84</v>
      </c>
      <c r="F16" s="27">
        <f t="shared" si="3"/>
        <v>0.113</v>
      </c>
      <c r="G16" s="21">
        <f>E16*F16</f>
        <v>6.7619200000000008</v>
      </c>
      <c r="H16" s="21">
        <f t="shared" si="1"/>
        <v>0</v>
      </c>
      <c r="I16" s="22">
        <f t="shared" si="2"/>
        <v>0</v>
      </c>
      <c r="J16" s="22"/>
      <c r="K16" s="107">
        <f t="shared" si="4"/>
        <v>5.6894399293066951E-2</v>
      </c>
    </row>
    <row r="17" spans="1:11" s="1" customFormat="1" x14ac:dyDescent="0.2">
      <c r="A17" s="108" t="s">
        <v>36</v>
      </c>
      <c r="B17" s="74">
        <f>B4*0.18</f>
        <v>63.36</v>
      </c>
      <c r="C17" s="27">
        <v>0.157</v>
      </c>
      <c r="D17" s="21">
        <f>B17*C17</f>
        <v>9.9475200000000008</v>
      </c>
      <c r="E17" s="72">
        <f t="shared" si="3"/>
        <v>63.36</v>
      </c>
      <c r="F17" s="27">
        <f t="shared" si="3"/>
        <v>0.157</v>
      </c>
      <c r="G17" s="21">
        <f>E17*F17</f>
        <v>9.9475200000000008</v>
      </c>
      <c r="H17" s="21">
        <f t="shared" si="1"/>
        <v>0</v>
      </c>
      <c r="I17" s="22">
        <f t="shared" si="2"/>
        <v>0</v>
      </c>
      <c r="J17" s="22"/>
      <c r="K17" s="107">
        <f t="shared" si="4"/>
        <v>8.3697851328582609E-2</v>
      </c>
    </row>
    <row r="18" spans="1:11" s="1" customFormat="1" x14ac:dyDescent="0.2">
      <c r="A18" s="60" t="s">
        <v>37</v>
      </c>
      <c r="B18" s="28"/>
      <c r="C18" s="29"/>
      <c r="D18" s="29">
        <f>SUM(D15:D17)</f>
        <v>34.327039999999997</v>
      </c>
      <c r="E18" s="76"/>
      <c r="F18" s="29"/>
      <c r="G18" s="29">
        <f>SUM(G15:G17)</f>
        <v>34.327039999999997</v>
      </c>
      <c r="H18" s="30">
        <f t="shared" si="1"/>
        <v>0</v>
      </c>
      <c r="I18" s="31">
        <f t="shared" si="2"/>
        <v>0</v>
      </c>
      <c r="J18" s="32">
        <f t="shared" ref="J18:J23" si="5">G18/$G$46</f>
        <v>0.29543897098941302</v>
      </c>
      <c r="K18" s="61">
        <f t="shared" si="4"/>
        <v>0.28882570635397647</v>
      </c>
    </row>
    <row r="19" spans="1:11" x14ac:dyDescent="0.2">
      <c r="A19" s="106" t="s">
        <v>38</v>
      </c>
      <c r="B19" s="72">
        <v>1</v>
      </c>
      <c r="C19" s="77">
        <f>VLOOKUP($B$3,'Data for Bill Impacts'!$A$3:$Y$15,7,0)</f>
        <v>55.37</v>
      </c>
      <c r="D19" s="21">
        <f>B19*C19</f>
        <v>55.37</v>
      </c>
      <c r="E19" s="72">
        <f t="shared" ref="E19:E41" si="6">B19</f>
        <v>1</v>
      </c>
      <c r="F19" s="77">
        <f>VLOOKUP($B$3,'Data for Bill Impacts'!$A$3:$Y$15,17,0)</f>
        <v>61.48</v>
      </c>
      <c r="G19" s="21">
        <f>E19*F19</f>
        <v>61.48</v>
      </c>
      <c r="H19" s="21">
        <f t="shared" si="1"/>
        <v>6.1099999999999994</v>
      </c>
      <c r="I19" s="22">
        <f t="shared" si="2"/>
        <v>0.11034856420444283</v>
      </c>
      <c r="J19" s="22">
        <f t="shared" si="5"/>
        <v>0.52913353252797546</v>
      </c>
      <c r="K19" s="107">
        <f t="shared" si="4"/>
        <v>0.51728912328713672</v>
      </c>
    </row>
    <row r="20" spans="1:11" hidden="1" x14ac:dyDescent="0.2">
      <c r="A20" s="106" t="s">
        <v>83</v>
      </c>
      <c r="B20" s="72">
        <v>1</v>
      </c>
      <c r="C20" s="77">
        <f>VLOOKUP($B$3,'Data for Bill Impacts'!$A$3:$Y$15,8,0)</f>
        <v>0</v>
      </c>
      <c r="D20" s="21">
        <f>B20*C20</f>
        <v>0</v>
      </c>
      <c r="E20" s="72">
        <f t="shared" si="6"/>
        <v>1</v>
      </c>
      <c r="F20" s="77">
        <v>0</v>
      </c>
      <c r="G20" s="21">
        <f t="shared" ref="G20:G22" si="7">E20*F20</f>
        <v>0</v>
      </c>
      <c r="H20" s="21">
        <f t="shared" si="1"/>
        <v>0</v>
      </c>
      <c r="I20" s="22" t="str">
        <f t="shared" si="2"/>
        <v>N/A</v>
      </c>
      <c r="J20" s="22">
        <f t="shared" si="5"/>
        <v>0</v>
      </c>
      <c r="K20" s="107">
        <f t="shared" si="4"/>
        <v>0</v>
      </c>
    </row>
    <row r="21" spans="1:11" hidden="1" x14ac:dyDescent="0.2">
      <c r="A21" s="106" t="s">
        <v>115</v>
      </c>
      <c r="B21" s="72">
        <v>1</v>
      </c>
      <c r="C21" s="77">
        <f>VLOOKUP($B$3,'Data for Bill Impacts'!$A$3:$Y$15,11,0)</f>
        <v>0</v>
      </c>
      <c r="D21" s="21">
        <f t="shared" ref="D21:D22" si="8">B21*C21</f>
        <v>0</v>
      </c>
      <c r="E21" s="72">
        <f t="shared" si="6"/>
        <v>1</v>
      </c>
      <c r="F21" s="120">
        <f>VLOOKUP($B$3,'Data for Bill Impacts'!$A$3:$Y$15,12,0)</f>
        <v>0</v>
      </c>
      <c r="G21" s="21">
        <f t="shared" si="7"/>
        <v>0</v>
      </c>
      <c r="H21" s="21">
        <f t="shared" si="1"/>
        <v>0</v>
      </c>
      <c r="I21" s="22" t="str">
        <f t="shared" si="2"/>
        <v>N/A</v>
      </c>
      <c r="J21" s="22">
        <f t="shared" si="5"/>
        <v>0</v>
      </c>
      <c r="K21" s="107">
        <f t="shared" si="4"/>
        <v>0</v>
      </c>
    </row>
    <row r="22" spans="1:11" x14ac:dyDescent="0.2">
      <c r="A22" s="106" t="s">
        <v>85</v>
      </c>
      <c r="B22" s="72">
        <v>1</v>
      </c>
      <c r="C22" s="120">
        <f>VLOOKUP($B$3,'Data for Bill Impacts'!$A$3:$Y$15,13,0)</f>
        <v>-2E-3</v>
      </c>
      <c r="D22" s="21">
        <f t="shared" si="8"/>
        <v>-2E-3</v>
      </c>
      <c r="E22" s="72">
        <f t="shared" si="6"/>
        <v>1</v>
      </c>
      <c r="F22" s="120">
        <f>VLOOKUP($B$3,'Data for Bill Impacts'!$A$3:$Y$15,22,0)</f>
        <v>-2E-3</v>
      </c>
      <c r="G22" s="21">
        <f t="shared" si="7"/>
        <v>-2E-3</v>
      </c>
      <c r="H22" s="21">
        <f t="shared" si="1"/>
        <v>0</v>
      </c>
      <c r="I22" s="22">
        <f t="shared" si="2"/>
        <v>0</v>
      </c>
      <c r="J22" s="22">
        <f t="shared" si="5"/>
        <v>-1.7213192339882092E-5</v>
      </c>
      <c r="K22" s="107">
        <f t="shared" si="4"/>
        <v>-1.6827882995677837E-5</v>
      </c>
    </row>
    <row r="23" spans="1:11" x14ac:dyDescent="0.2">
      <c r="A23" s="106" t="s">
        <v>39</v>
      </c>
      <c r="B23" s="72">
        <f>IF($B$9="kWh",$B$4,$B$5)</f>
        <v>352</v>
      </c>
      <c r="C23" s="77">
        <f>VLOOKUP($B$3,'Data for Bill Impacts'!$A$3:$Y$15,10,0)</f>
        <v>3.1699999999999999E-2</v>
      </c>
      <c r="D23" s="21">
        <f>B23*C23</f>
        <v>11.1584</v>
      </c>
      <c r="E23" s="72">
        <f t="shared" si="6"/>
        <v>352</v>
      </c>
      <c r="F23" s="77">
        <f>VLOOKUP($B$3,'Data for Bill Impacts'!$A$3:$Y$15,19,0)</f>
        <v>1.84E-2</v>
      </c>
      <c r="G23" s="21">
        <f>E23*F23</f>
        <v>6.4767999999999999</v>
      </c>
      <c r="H23" s="21">
        <f t="shared" si="1"/>
        <v>-4.6816000000000004</v>
      </c>
      <c r="I23" s="22">
        <f t="shared" si="2"/>
        <v>-0.4195583596214511</v>
      </c>
      <c r="J23" s="22">
        <f t="shared" si="5"/>
        <v>5.5743202073474163E-2</v>
      </c>
      <c r="K23" s="107">
        <f t="shared" si="4"/>
        <v>5.4495416293203106E-2</v>
      </c>
    </row>
    <row r="24" spans="1:11" x14ac:dyDescent="0.2">
      <c r="A24" s="106" t="s">
        <v>129</v>
      </c>
      <c r="B24" s="72">
        <f>IF($B$9="kWh",$B$4,$B$5)</f>
        <v>352</v>
      </c>
      <c r="C24" s="77">
        <f>VLOOKUP($B$3,'Data for Bill Impacts'!$A$3:$Y$15,14,0)</f>
        <v>1.0000000000000003E-5</v>
      </c>
      <c r="D24" s="21">
        <f>B24*C24</f>
        <v>3.520000000000001E-3</v>
      </c>
      <c r="E24" s="72">
        <f t="shared" si="6"/>
        <v>352</v>
      </c>
      <c r="F24" s="77">
        <f>VLOOKUP($B$3,'Data for Bill Impacts'!$A$3:$Y$15,23,0)</f>
        <v>1.0000000000000003E-5</v>
      </c>
      <c r="G24" s="21">
        <f>E24*F24</f>
        <v>3.520000000000001E-3</v>
      </c>
      <c r="H24" s="21">
        <f t="shared" si="1"/>
        <v>0</v>
      </c>
      <c r="I24" s="22">
        <f t="shared" si="2"/>
        <v>0</v>
      </c>
      <c r="J24" s="22">
        <f t="shared" ref="J24" si="9">G24/$G$46</f>
        <v>3.029521851819249E-5</v>
      </c>
      <c r="K24" s="107">
        <f t="shared" si="4"/>
        <v>2.9617074072393003E-5</v>
      </c>
    </row>
    <row r="25" spans="1:11" s="1" customFormat="1" x14ac:dyDescent="0.2">
      <c r="A25" s="109" t="s">
        <v>72</v>
      </c>
      <c r="B25" s="73"/>
      <c r="C25" s="34"/>
      <c r="D25" s="34">
        <f>SUM(D19:D24)</f>
        <v>66.52991999999999</v>
      </c>
      <c r="E25" s="72"/>
      <c r="F25" s="34"/>
      <c r="G25" s="34">
        <f>SUM(G19:G24)</f>
        <v>67.958319999999986</v>
      </c>
      <c r="H25" s="34">
        <f t="shared" si="1"/>
        <v>1.4283999999999963</v>
      </c>
      <c r="I25" s="35">
        <f t="shared" si="2"/>
        <v>2.1470039344703803E-2</v>
      </c>
      <c r="J25" s="35">
        <f>G25/$G$46</f>
        <v>0.58488981662762785</v>
      </c>
      <c r="K25" s="110">
        <f t="shared" si="4"/>
        <v>0.57179732877141642</v>
      </c>
    </row>
    <row r="26" spans="1:11" s="1" customFormat="1" x14ac:dyDescent="0.2">
      <c r="A26" s="118" t="s">
        <v>73</v>
      </c>
      <c r="B26" s="119">
        <v>1</v>
      </c>
      <c r="C26" s="77">
        <f>VLOOKUP($B$3,'Data for Bill Impacts'!$A$3:$Y$15,9,0)</f>
        <v>0.79</v>
      </c>
      <c r="D26" s="21">
        <f>B26*C26</f>
        <v>0.79</v>
      </c>
      <c r="E26" s="72">
        <v>1</v>
      </c>
      <c r="F26" s="77">
        <f>VLOOKUP($B$3,'Data for Bill Impacts'!$A$3:$Y$15,18,0)</f>
        <v>0.79</v>
      </c>
      <c r="G26" s="21">
        <f>E26*F26</f>
        <v>0.79</v>
      </c>
      <c r="H26" s="21">
        <f t="shared" si="1"/>
        <v>0</v>
      </c>
      <c r="I26" s="22">
        <f t="shared" si="2"/>
        <v>0</v>
      </c>
      <c r="J26" s="22">
        <f>G26/$G$46</f>
        <v>6.7992109742534262E-3</v>
      </c>
      <c r="K26" s="107">
        <f t="shared" si="4"/>
        <v>6.647013783292746E-3</v>
      </c>
    </row>
    <row r="27" spans="1:11" s="1" customFormat="1" x14ac:dyDescent="0.2">
      <c r="A27" s="118" t="s">
        <v>75</v>
      </c>
      <c r="B27" s="119">
        <f>B8-B4</f>
        <v>36.608000000000061</v>
      </c>
      <c r="C27" s="186">
        <f>IF(B4&gt;B7,C13,C12)</f>
        <v>9.0999999999999998E-2</v>
      </c>
      <c r="D27" s="21">
        <f>B27*C27</f>
        <v>3.3313280000000054</v>
      </c>
      <c r="E27" s="72">
        <f>B27</f>
        <v>36.608000000000061</v>
      </c>
      <c r="F27" s="186">
        <f>C27</f>
        <v>9.0999999999999998E-2</v>
      </c>
      <c r="G27" s="21">
        <f>E27*F27</f>
        <v>3.3313280000000054</v>
      </c>
      <c r="H27" s="21">
        <f t="shared" si="1"/>
        <v>0</v>
      </c>
      <c r="I27" s="22">
        <f t="shared" si="2"/>
        <v>0</v>
      </c>
      <c r="J27" s="22">
        <f t="shared" ref="J27:J46" si="10">G27/$G$46</f>
        <v>2.8671394805617409E-2</v>
      </c>
      <c r="K27" s="107">
        <f t="shared" ref="K27:K41" si="11">G27/$G$51</f>
        <v>2.8029598902112776E-2</v>
      </c>
    </row>
    <row r="28" spans="1:11" s="1" customFormat="1" x14ac:dyDescent="0.2">
      <c r="A28" s="118" t="s">
        <v>74</v>
      </c>
      <c r="B28" s="119">
        <f>B8-B4</f>
        <v>36.608000000000061</v>
      </c>
      <c r="C28" s="186">
        <f>0.65*C15+0.17*C16+0.18*C17</f>
        <v>9.7519999999999996E-2</v>
      </c>
      <c r="D28" s="21">
        <f>B28*C28</f>
        <v>3.5700121600000059</v>
      </c>
      <c r="E28" s="72">
        <f>B28</f>
        <v>36.608000000000061</v>
      </c>
      <c r="F28" s="186">
        <f>C28</f>
        <v>9.7519999999999996E-2</v>
      </c>
      <c r="G28" s="21">
        <f>E28*F28</f>
        <v>3.5700121600000059</v>
      </c>
      <c r="H28" s="21">
        <f t="shared" si="1"/>
        <v>0</v>
      </c>
      <c r="I28" s="22">
        <f t="shared" si="2"/>
        <v>0</v>
      </c>
      <c r="J28" s="22">
        <f t="shared" si="10"/>
        <v>3.0725652982899011E-2</v>
      </c>
      <c r="K28" s="107">
        <f t="shared" si="11"/>
        <v>3.0037873460813602E-2</v>
      </c>
    </row>
    <row r="29" spans="1:11" s="1" customFormat="1" x14ac:dyDescent="0.2">
      <c r="A29" s="109" t="s">
        <v>78</v>
      </c>
      <c r="B29" s="73"/>
      <c r="C29" s="34"/>
      <c r="D29" s="34">
        <f>SUM(D25,D26:D27)</f>
        <v>70.651247999999995</v>
      </c>
      <c r="E29" s="72"/>
      <c r="F29" s="34"/>
      <c r="G29" s="34">
        <f>SUM(G25,G26:G27)</f>
        <v>72.079647999999992</v>
      </c>
      <c r="H29" s="34">
        <f t="shared" si="1"/>
        <v>1.4283999999999963</v>
      </c>
      <c r="I29" s="35">
        <f t="shared" si="2"/>
        <v>2.0217618802713808E-2</v>
      </c>
      <c r="J29" s="35">
        <f t="shared" si="10"/>
        <v>0.62036042240749867</v>
      </c>
      <c r="K29" s="110">
        <f t="shared" si="11"/>
        <v>0.60647394145682199</v>
      </c>
    </row>
    <row r="30" spans="1:11" s="1" customFormat="1" x14ac:dyDescent="0.2">
      <c r="A30" s="109" t="s">
        <v>77</v>
      </c>
      <c r="B30" s="73"/>
      <c r="C30" s="34"/>
      <c r="D30" s="34">
        <f>SUM(D25,D26,D28)</f>
        <v>70.889932160000001</v>
      </c>
      <c r="E30" s="72"/>
      <c r="F30" s="34"/>
      <c r="G30" s="34">
        <f>SUM(G25,G26,G28)</f>
        <v>72.318332159999997</v>
      </c>
      <c r="H30" s="34">
        <f t="shared" si="1"/>
        <v>1.4283999999999963</v>
      </c>
      <c r="I30" s="35">
        <f t="shared" si="2"/>
        <v>2.0149546719498458E-2</v>
      </c>
      <c r="J30" s="35">
        <f t="shared" si="10"/>
        <v>0.62241468058478033</v>
      </c>
      <c r="K30" s="110">
        <f t="shared" si="11"/>
        <v>0.60848221601552277</v>
      </c>
    </row>
    <row r="31" spans="1:11" x14ac:dyDescent="0.2">
      <c r="A31" s="106" t="s">
        <v>40</v>
      </c>
      <c r="B31" s="72">
        <f>B8</f>
        <v>388.60800000000006</v>
      </c>
      <c r="C31" s="124">
        <f>VLOOKUP($B$3,'Data for Bill Impacts'!$A$3:$Y$15,15,0)</f>
        <v>5.7999999999999996E-3</v>
      </c>
      <c r="D31" s="21">
        <f>B31*C31</f>
        <v>2.2539264000000001</v>
      </c>
      <c r="E31" s="72">
        <f t="shared" si="6"/>
        <v>388.60800000000006</v>
      </c>
      <c r="F31" s="77">
        <f>VLOOKUP($B$3,'Data for Bill Impacts'!$A$3:$Y$15,24,0)</f>
        <v>5.7999999999999996E-3</v>
      </c>
      <c r="G31" s="21">
        <f>E31*F31</f>
        <v>2.2539264000000001</v>
      </c>
      <c r="H31" s="21">
        <f t="shared" si="1"/>
        <v>0</v>
      </c>
      <c r="I31" s="22">
        <f t="shared" si="2"/>
        <v>0</v>
      </c>
      <c r="J31" s="22">
        <f t="shared" si="10"/>
        <v>1.9398634321569009E-2</v>
      </c>
      <c r="K31" s="107">
        <f t="shared" si="11"/>
        <v>1.8964404870034684E-2</v>
      </c>
    </row>
    <row r="32" spans="1:11" x14ac:dyDescent="0.2">
      <c r="A32" s="106" t="s">
        <v>41</v>
      </c>
      <c r="B32" s="72">
        <f>B8</f>
        <v>388.60800000000006</v>
      </c>
      <c r="C32" s="124">
        <f>VLOOKUP($B$3,'Data for Bill Impacts'!$A$3:$Y$15,16,0)</f>
        <v>4.7000000000000002E-3</v>
      </c>
      <c r="D32" s="21">
        <f>B32*C32</f>
        <v>1.8264576000000003</v>
      </c>
      <c r="E32" s="72">
        <f t="shared" si="6"/>
        <v>388.60800000000006</v>
      </c>
      <c r="F32" s="77">
        <f>VLOOKUP($B$3,'Data for Bill Impacts'!$A$3:$Y$15,25,0)</f>
        <v>4.7000000000000002E-3</v>
      </c>
      <c r="G32" s="21">
        <f>E32*F32</f>
        <v>1.8264576000000003</v>
      </c>
      <c r="H32" s="21">
        <f t="shared" si="1"/>
        <v>0</v>
      </c>
      <c r="I32" s="22">
        <f t="shared" si="2"/>
        <v>0</v>
      </c>
      <c r="J32" s="22">
        <f t="shared" si="10"/>
        <v>1.5719582984719718E-2</v>
      </c>
      <c r="K32" s="107">
        <f t="shared" si="11"/>
        <v>1.5367707394683279E-2</v>
      </c>
    </row>
    <row r="33" spans="1:11" s="1" customFormat="1" x14ac:dyDescent="0.2">
      <c r="A33" s="109" t="s">
        <v>76</v>
      </c>
      <c r="B33" s="73"/>
      <c r="C33" s="34"/>
      <c r="D33" s="34">
        <f>SUM(D31:D32)</f>
        <v>4.0803840000000005</v>
      </c>
      <c r="E33" s="72"/>
      <c r="F33" s="34"/>
      <c r="G33" s="34">
        <f>SUM(G31:G32)</f>
        <v>4.0803840000000005</v>
      </c>
      <c r="H33" s="34">
        <f t="shared" si="1"/>
        <v>0</v>
      </c>
      <c r="I33" s="35">
        <f t="shared" si="2"/>
        <v>0</v>
      </c>
      <c r="J33" s="35">
        <f t="shared" si="10"/>
        <v>3.5118217306288731E-2</v>
      </c>
      <c r="K33" s="110">
        <f t="shared" si="11"/>
        <v>3.4332112264717961E-2</v>
      </c>
    </row>
    <row r="34" spans="1:11" s="1" customFormat="1" x14ac:dyDescent="0.2">
      <c r="A34" s="109" t="s">
        <v>93</v>
      </c>
      <c r="B34" s="73"/>
      <c r="C34" s="34"/>
      <c r="D34" s="34">
        <f>D29+D33</f>
        <v>74.731631999999991</v>
      </c>
      <c r="E34" s="72"/>
      <c r="F34" s="34"/>
      <c r="G34" s="34">
        <f>G29+G33</f>
        <v>76.160031999999987</v>
      </c>
      <c r="H34" s="34">
        <f t="shared" si="1"/>
        <v>1.4283999999999963</v>
      </c>
      <c r="I34" s="35">
        <f t="shared" si="2"/>
        <v>1.9113726835244232E-2</v>
      </c>
      <c r="J34" s="35">
        <f t="shared" si="10"/>
        <v>0.65547863971378739</v>
      </c>
      <c r="K34" s="110">
        <f t="shared" si="11"/>
        <v>0.64080605372153987</v>
      </c>
    </row>
    <row r="35" spans="1:11" s="1" customFormat="1" x14ac:dyDescent="0.2">
      <c r="A35" s="109" t="s">
        <v>94</v>
      </c>
      <c r="B35" s="73"/>
      <c r="C35" s="34"/>
      <c r="D35" s="34">
        <f>D30+D33</f>
        <v>74.970316159999996</v>
      </c>
      <c r="E35" s="72"/>
      <c r="F35" s="34"/>
      <c r="G35" s="34">
        <f>G30+G33</f>
        <v>76.398716159999992</v>
      </c>
      <c r="H35" s="34">
        <f t="shared" si="1"/>
        <v>1.4283999999999963</v>
      </c>
      <c r="I35" s="35">
        <f t="shared" si="2"/>
        <v>1.9052874166243832E-2</v>
      </c>
      <c r="J35" s="35">
        <f t="shared" si="10"/>
        <v>0.65753289789106906</v>
      </c>
      <c r="K35" s="110">
        <f t="shared" si="11"/>
        <v>0.64281432828024077</v>
      </c>
    </row>
    <row r="36" spans="1:11" x14ac:dyDescent="0.2">
      <c r="A36" s="106" t="s">
        <v>42</v>
      </c>
      <c r="B36" s="72">
        <f>B8</f>
        <v>388.60800000000006</v>
      </c>
      <c r="C36" s="33">
        <v>3.5999999999999999E-3</v>
      </c>
      <c r="D36" s="21">
        <f>B36*C36</f>
        <v>1.3989888000000001</v>
      </c>
      <c r="E36" s="72">
        <f t="shared" si="6"/>
        <v>388.60800000000006</v>
      </c>
      <c r="F36" s="33">
        <v>3.5999999999999999E-3</v>
      </c>
      <c r="G36" s="21">
        <f>E36*F36</f>
        <v>1.3989888000000001</v>
      </c>
      <c r="H36" s="21">
        <f t="shared" si="1"/>
        <v>0</v>
      </c>
      <c r="I36" s="22">
        <f t="shared" si="2"/>
        <v>0</v>
      </c>
      <c r="J36" s="22">
        <f t="shared" si="10"/>
        <v>1.2040531647870421E-2</v>
      </c>
      <c r="K36" s="107">
        <f t="shared" si="11"/>
        <v>1.1771009919331873E-2</v>
      </c>
    </row>
    <row r="37" spans="1:11" x14ac:dyDescent="0.2">
      <c r="A37" s="106" t="s">
        <v>43</v>
      </c>
      <c r="B37" s="72">
        <f>B8</f>
        <v>388.60800000000006</v>
      </c>
      <c r="C37" s="33">
        <v>2.0999999999999999E-3</v>
      </c>
      <c r="D37" s="21">
        <f>B37*C37</f>
        <v>0.81607680000000005</v>
      </c>
      <c r="E37" s="72">
        <f t="shared" si="6"/>
        <v>388.60800000000006</v>
      </c>
      <c r="F37" s="33">
        <v>2.0999999999999999E-3</v>
      </c>
      <c r="G37" s="21">
        <f>E37*F37</f>
        <v>0.81607680000000005</v>
      </c>
      <c r="H37" s="21">
        <f>G37-D37</f>
        <v>0</v>
      </c>
      <c r="I37" s="22">
        <f t="shared" si="2"/>
        <v>0</v>
      </c>
      <c r="J37" s="22">
        <f t="shared" si="10"/>
        <v>7.0236434612577451E-3</v>
      </c>
      <c r="K37" s="107">
        <f t="shared" si="11"/>
        <v>6.866422452943592E-3</v>
      </c>
    </row>
    <row r="38" spans="1:11" x14ac:dyDescent="0.2">
      <c r="A38" s="106" t="s">
        <v>99</v>
      </c>
      <c r="B38" s="72">
        <f>B8</f>
        <v>388.60800000000006</v>
      </c>
      <c r="C38" s="33">
        <v>0</v>
      </c>
      <c r="D38" s="21">
        <f>B38*C38</f>
        <v>0</v>
      </c>
      <c r="E38" s="72">
        <f t="shared" si="6"/>
        <v>388.60800000000006</v>
      </c>
      <c r="F38" s="33">
        <v>0</v>
      </c>
      <c r="G38" s="21">
        <f>E38*F38</f>
        <v>0</v>
      </c>
      <c r="H38" s="21">
        <f>G38-D38</f>
        <v>0</v>
      </c>
      <c r="I38" s="22" t="str">
        <f t="shared" si="2"/>
        <v>N/A</v>
      </c>
      <c r="J38" s="22">
        <f t="shared" si="10"/>
        <v>0</v>
      </c>
      <c r="K38" s="107">
        <f t="shared" si="11"/>
        <v>0</v>
      </c>
    </row>
    <row r="39" spans="1:11" x14ac:dyDescent="0.2">
      <c r="A39" s="106" t="s">
        <v>44</v>
      </c>
      <c r="B39" s="72">
        <v>1</v>
      </c>
      <c r="C39" s="21">
        <v>0.25</v>
      </c>
      <c r="D39" s="21">
        <f>B39*C39</f>
        <v>0.25</v>
      </c>
      <c r="E39" s="72">
        <f t="shared" si="6"/>
        <v>1</v>
      </c>
      <c r="F39" s="21">
        <f>C39</f>
        <v>0.25</v>
      </c>
      <c r="G39" s="21">
        <f>E39*F39</f>
        <v>0.25</v>
      </c>
      <c r="H39" s="21">
        <f t="shared" si="1"/>
        <v>0</v>
      </c>
      <c r="I39" s="22">
        <f t="shared" si="2"/>
        <v>0</v>
      </c>
      <c r="J39" s="22">
        <f t="shared" si="10"/>
        <v>2.1516490424852612E-3</v>
      </c>
      <c r="K39" s="107">
        <f t="shared" si="11"/>
        <v>2.1034853744597297E-3</v>
      </c>
    </row>
    <row r="40" spans="1:11" s="1" customFormat="1" x14ac:dyDescent="0.2">
      <c r="A40" s="109" t="s">
        <v>45</v>
      </c>
      <c r="B40" s="73"/>
      <c r="C40" s="34"/>
      <c r="D40" s="34">
        <f>SUM(D36:D39)</f>
        <v>2.4650656</v>
      </c>
      <c r="E40" s="72"/>
      <c r="F40" s="34"/>
      <c r="G40" s="34">
        <f>SUM(G36:G39)</f>
        <v>2.4650656</v>
      </c>
      <c r="H40" s="34">
        <f t="shared" si="1"/>
        <v>0</v>
      </c>
      <c r="I40" s="35">
        <f t="shared" si="2"/>
        <v>0</v>
      </c>
      <c r="J40" s="35">
        <f t="shared" si="10"/>
        <v>2.1215824151613424E-2</v>
      </c>
      <c r="K40" s="110">
        <f t="shared" si="11"/>
        <v>2.0740917746735192E-2</v>
      </c>
    </row>
    <row r="41" spans="1:11" s="1" customFormat="1" ht="13.5" thickBot="1" x14ac:dyDescent="0.25">
      <c r="A41" s="111" t="s">
        <v>46</v>
      </c>
      <c r="B41" s="112">
        <f>B4</f>
        <v>352</v>
      </c>
      <c r="C41" s="113">
        <v>0</v>
      </c>
      <c r="D41" s="114">
        <f>B41*C41</f>
        <v>0</v>
      </c>
      <c r="E41" s="115">
        <f t="shared" si="6"/>
        <v>352</v>
      </c>
      <c r="F41" s="113">
        <f>C41</f>
        <v>0</v>
      </c>
      <c r="G41" s="114">
        <f>E41*F41</f>
        <v>0</v>
      </c>
      <c r="H41" s="114">
        <f t="shared" si="1"/>
        <v>0</v>
      </c>
      <c r="I41" s="116" t="str">
        <f t="shared" si="2"/>
        <v>N/A</v>
      </c>
      <c r="J41" s="116">
        <f t="shared" si="10"/>
        <v>0</v>
      </c>
      <c r="K41" s="117">
        <f t="shared" si="11"/>
        <v>0</v>
      </c>
    </row>
    <row r="42" spans="1:11" s="1" customFormat="1" x14ac:dyDescent="0.2">
      <c r="A42" s="36" t="s">
        <v>107</v>
      </c>
      <c r="B42" s="37"/>
      <c r="C42" s="38"/>
      <c r="D42" s="38">
        <f>SUM(D14,D25,D26,D27,D33,D40,D41)</f>
        <v>109.22869759999999</v>
      </c>
      <c r="E42" s="37"/>
      <c r="F42" s="38"/>
      <c r="G42" s="38">
        <f>SUM(G14,G25,G26,G27,G33,G40,G41)</f>
        <v>110.65709759999999</v>
      </c>
      <c r="H42" s="38">
        <f t="shared" si="1"/>
        <v>1.4283999999999963</v>
      </c>
      <c r="I42" s="39">
        <f t="shared" si="2"/>
        <v>1.307714942487785E-2</v>
      </c>
      <c r="J42" s="39">
        <f t="shared" si="10"/>
        <v>0.95238095238095233</v>
      </c>
      <c r="K42" s="40"/>
    </row>
    <row r="43" spans="1:11" x14ac:dyDescent="0.2">
      <c r="A43" s="142" t="s">
        <v>108</v>
      </c>
      <c r="B43" s="42"/>
      <c r="C43" s="25">
        <v>0.13</v>
      </c>
      <c r="D43" s="25">
        <f>D42*C43</f>
        <v>14.199730687999999</v>
      </c>
      <c r="E43" s="25"/>
      <c r="F43" s="25">
        <f>C43</f>
        <v>0.13</v>
      </c>
      <c r="G43" s="25">
        <f>G42*F43</f>
        <v>14.385422687999998</v>
      </c>
      <c r="H43" s="25">
        <f t="shared" si="1"/>
        <v>0.18569199999999952</v>
      </c>
      <c r="I43" s="43">
        <f t="shared" si="2"/>
        <v>1.3077149424877848E-2</v>
      </c>
      <c r="J43" s="43">
        <f t="shared" si="10"/>
        <v>0.12380952380952381</v>
      </c>
      <c r="K43" s="44"/>
    </row>
    <row r="44" spans="1:11" s="1" customFormat="1" x14ac:dyDescent="0.2">
      <c r="A44" s="45" t="s">
        <v>109</v>
      </c>
      <c r="B44" s="23"/>
      <c r="C44" s="24"/>
      <c r="D44" s="24">
        <f>SUM(D42:D43)</f>
        <v>123.42842828799999</v>
      </c>
      <c r="E44" s="24"/>
      <c r="F44" s="24"/>
      <c r="G44" s="24">
        <f>SUM(G42:G43)</f>
        <v>125.04252028799999</v>
      </c>
      <c r="H44" s="24">
        <f t="shared" si="1"/>
        <v>1.6140919999999994</v>
      </c>
      <c r="I44" s="26">
        <f t="shared" si="2"/>
        <v>1.3077149424877877E-2</v>
      </c>
      <c r="J44" s="26">
        <f t="shared" si="10"/>
        <v>1.0761904761904761</v>
      </c>
      <c r="K44" s="46"/>
    </row>
    <row r="45" spans="1:11" x14ac:dyDescent="0.2">
      <c r="A45" s="41" t="s">
        <v>110</v>
      </c>
      <c r="B45" s="42"/>
      <c r="C45" s="25">
        <v>-0.08</v>
      </c>
      <c r="D45" s="25">
        <f>D42*C45</f>
        <v>-8.7382958080000002</v>
      </c>
      <c r="E45" s="25"/>
      <c r="F45" s="25">
        <f>C45</f>
        <v>-0.08</v>
      </c>
      <c r="G45" s="25">
        <f>G42*F45</f>
        <v>-8.8525678079999999</v>
      </c>
      <c r="H45" s="25">
        <f t="shared" si="1"/>
        <v>-0.11427199999999971</v>
      </c>
      <c r="I45" s="43">
        <f t="shared" si="2"/>
        <v>-1.3077149424877848E-2</v>
      </c>
      <c r="J45" s="43">
        <f t="shared" si="10"/>
        <v>-7.6190476190476197E-2</v>
      </c>
      <c r="K45" s="44"/>
    </row>
    <row r="46" spans="1:11" s="1" customFormat="1" ht="13.5" thickBot="1" x14ac:dyDescent="0.25">
      <c r="A46" s="47" t="s">
        <v>111</v>
      </c>
      <c r="B46" s="48"/>
      <c r="C46" s="49"/>
      <c r="D46" s="49">
        <f>SUM(D44:D45)</f>
        <v>114.69013247999999</v>
      </c>
      <c r="E46" s="49"/>
      <c r="F46" s="49"/>
      <c r="G46" s="49">
        <f>SUM(G44:G45)</f>
        <v>116.18995247999999</v>
      </c>
      <c r="H46" s="49">
        <f t="shared" si="1"/>
        <v>1.4998199999999997</v>
      </c>
      <c r="I46" s="50">
        <f t="shared" si="2"/>
        <v>1.3077149424877879E-2</v>
      </c>
      <c r="J46" s="50">
        <f t="shared" si="10"/>
        <v>1</v>
      </c>
      <c r="K46" s="51"/>
    </row>
    <row r="47" spans="1:11" x14ac:dyDescent="0.2">
      <c r="A47" s="52" t="s">
        <v>112</v>
      </c>
      <c r="B47" s="53"/>
      <c r="C47" s="54"/>
      <c r="D47" s="54">
        <f>SUM(D18,D25,D26,D28,D33,D40,D41)</f>
        <v>111.76242176</v>
      </c>
      <c r="E47" s="54"/>
      <c r="F47" s="54"/>
      <c r="G47" s="54">
        <f>SUM(G18,G25,G26,G28,G33,G40,G41)</f>
        <v>113.19082175999999</v>
      </c>
      <c r="H47" s="54">
        <f>G47-D47</f>
        <v>1.4283999999999963</v>
      </c>
      <c r="I47" s="55">
        <f t="shared" si="2"/>
        <v>1.2780682249954821E-2</v>
      </c>
      <c r="J47" s="55"/>
      <c r="K47" s="56">
        <f>G47/$G$51</f>
        <v>0.95238095238095244</v>
      </c>
    </row>
    <row r="48" spans="1:11" x14ac:dyDescent="0.2">
      <c r="A48" s="143" t="s">
        <v>108</v>
      </c>
      <c r="B48" s="58"/>
      <c r="C48" s="30">
        <v>0.13</v>
      </c>
      <c r="D48" s="30">
        <f>D47*C48</f>
        <v>14.529114828799999</v>
      </c>
      <c r="E48" s="30"/>
      <c r="F48" s="30">
        <f>C48</f>
        <v>0.13</v>
      </c>
      <c r="G48" s="30">
        <f>G47*F48</f>
        <v>14.714806828799999</v>
      </c>
      <c r="H48" s="30">
        <f>G48-D48</f>
        <v>0.18569199999999952</v>
      </c>
      <c r="I48" s="31">
        <f t="shared" si="2"/>
        <v>1.2780682249954821E-2</v>
      </c>
      <c r="J48" s="31"/>
      <c r="K48" s="59">
        <f>G48/$G$51</f>
        <v>0.12380952380952381</v>
      </c>
    </row>
    <row r="49" spans="1:11" x14ac:dyDescent="0.2">
      <c r="A49" s="60" t="s">
        <v>113</v>
      </c>
      <c r="B49" s="28"/>
      <c r="C49" s="29"/>
      <c r="D49" s="29">
        <f>SUM(D47:D48)</f>
        <v>126.2915365888</v>
      </c>
      <c r="E49" s="29"/>
      <c r="F49" s="29"/>
      <c r="G49" s="29">
        <f>SUM(G47:G48)</f>
        <v>127.90562858879998</v>
      </c>
      <c r="H49" s="29">
        <f>G49-D49</f>
        <v>1.6140919999999852</v>
      </c>
      <c r="I49" s="32">
        <f t="shared" si="2"/>
        <v>1.2780682249954736E-2</v>
      </c>
      <c r="J49" s="32"/>
      <c r="K49" s="61">
        <f>G49/$G$51</f>
        <v>1.0761904761904761</v>
      </c>
    </row>
    <row r="50" spans="1:11" x14ac:dyDescent="0.2">
      <c r="A50" s="57" t="s">
        <v>110</v>
      </c>
      <c r="B50" s="58"/>
      <c r="C50" s="30">
        <v>-0.08</v>
      </c>
      <c r="D50" s="30">
        <f>D47*C50</f>
        <v>-8.9409937407999998</v>
      </c>
      <c r="E50" s="30"/>
      <c r="F50" s="30">
        <f>C50</f>
        <v>-0.08</v>
      </c>
      <c r="G50" s="30">
        <f>G47*F50</f>
        <v>-9.0552657407999995</v>
      </c>
      <c r="H50" s="30">
        <f>G50-D50</f>
        <v>-0.11427199999999971</v>
      </c>
      <c r="I50" s="31">
        <f t="shared" si="2"/>
        <v>-1.2780682249954821E-2</v>
      </c>
      <c r="J50" s="31"/>
      <c r="K50" s="59">
        <f>G50/$G$51</f>
        <v>-7.6190476190476197E-2</v>
      </c>
    </row>
    <row r="51" spans="1:11" ht="13.5" thickBot="1" x14ac:dyDescent="0.25">
      <c r="A51" s="62" t="s">
        <v>114</v>
      </c>
      <c r="B51" s="63"/>
      <c r="C51" s="64"/>
      <c r="D51" s="64">
        <f>SUM(D49:D50)</f>
        <v>117.350542848</v>
      </c>
      <c r="E51" s="64"/>
      <c r="F51" s="64"/>
      <c r="G51" s="64">
        <f>SUM(G49:G50)</f>
        <v>118.85036284799999</v>
      </c>
      <c r="H51" s="64">
        <f>G51-D51</f>
        <v>1.4998199999999855</v>
      </c>
      <c r="I51" s="65">
        <f t="shared" si="2"/>
        <v>1.2780682249954729E-2</v>
      </c>
      <c r="J51" s="65"/>
      <c r="K51" s="66">
        <f>G51/$G$51</f>
        <v>1</v>
      </c>
    </row>
    <row r="52" spans="1:11" x14ac:dyDescent="0.2">
      <c r="C52" s="67"/>
      <c r="F52" s="68"/>
    </row>
    <row r="53" spans="1:11" x14ac:dyDescent="0.2">
      <c r="F53" s="68"/>
    </row>
    <row r="54" spans="1:11" x14ac:dyDescent="0.2">
      <c r="F54" s="68"/>
    </row>
    <row r="55" spans="1:11" x14ac:dyDescent="0.2">
      <c r="A55" s="69"/>
      <c r="B55" s="70"/>
      <c r="F55" s="68"/>
    </row>
    <row r="56" spans="1:11" x14ac:dyDescent="0.2">
      <c r="B56" s="70"/>
      <c r="F56" s="68"/>
    </row>
    <row r="57" spans="1:11" x14ac:dyDescent="0.2">
      <c r="F57" s="68"/>
    </row>
    <row r="58" spans="1:11" x14ac:dyDescent="0.2">
      <c r="D58" s="71"/>
      <c r="F58" s="68"/>
    </row>
    <row r="59" spans="1:11" x14ac:dyDescent="0.2">
      <c r="F59" s="68"/>
    </row>
    <row r="60" spans="1:11" x14ac:dyDescent="0.2">
      <c r="A60" s="69"/>
      <c r="B60" s="70"/>
      <c r="F60" s="68"/>
    </row>
    <row r="61" spans="1:11" x14ac:dyDescent="0.2">
      <c r="B61" s="71"/>
      <c r="D61" s="71"/>
      <c r="F61" s="68"/>
    </row>
    <row r="62" spans="1:11" x14ac:dyDescent="0.2">
      <c r="F62" s="68"/>
    </row>
    <row r="63" spans="1:11" x14ac:dyDescent="0.2">
      <c r="F63" s="68"/>
    </row>
    <row r="64" spans="1:11" x14ac:dyDescent="0.2">
      <c r="F64" s="68"/>
      <c r="K64"/>
    </row>
    <row r="65" spans="6:11" x14ac:dyDescent="0.2">
      <c r="F65" s="68"/>
      <c r="K65"/>
    </row>
    <row r="66" spans="6:11" x14ac:dyDescent="0.2">
      <c r="F66" s="68"/>
      <c r="K66"/>
    </row>
    <row r="67" spans="6:11" x14ac:dyDescent="0.2">
      <c r="F67" s="68"/>
      <c r="K67"/>
    </row>
    <row r="68" spans="6:11" x14ac:dyDescent="0.2">
      <c r="F68" s="68"/>
      <c r="K68"/>
    </row>
  </sheetData>
  <mergeCells count="1">
    <mergeCell ref="A1:K1"/>
  </mergeCells>
  <pageMargins left="0.7" right="0.7" top="0.75" bottom="0.75" header="0.3" footer="0.3"/>
  <pageSetup scale="7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1" tint="0.499984740745262"/>
    <pageSetUpPr fitToPage="1"/>
  </sheetPr>
  <dimension ref="A1:K68"/>
  <sheetViews>
    <sheetView tabSelected="1"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3"/>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205" t="s">
        <v>128</v>
      </c>
      <c r="B1" s="206"/>
      <c r="C1" s="206"/>
      <c r="D1" s="206"/>
      <c r="E1" s="206"/>
      <c r="F1" s="206"/>
      <c r="G1" s="206"/>
      <c r="H1" s="206"/>
      <c r="I1" s="206"/>
      <c r="J1" s="206"/>
      <c r="K1" s="207"/>
    </row>
    <row r="3" spans="1:11" x14ac:dyDescent="0.2">
      <c r="A3" s="12" t="s">
        <v>13</v>
      </c>
      <c r="B3" s="12" t="s">
        <v>3</v>
      </c>
    </row>
    <row r="4" spans="1:11" x14ac:dyDescent="0.2">
      <c r="A4" s="14" t="s">
        <v>62</v>
      </c>
      <c r="B4" s="14">
        <v>1000</v>
      </c>
    </row>
    <row r="5" spans="1:11" x14ac:dyDescent="0.2">
      <c r="A5" s="14" t="s">
        <v>16</v>
      </c>
      <c r="B5" s="14">
        <f>VLOOKUP($B$3,'Data for Bill Impacts'!$A$3:$Y$15,5,0)</f>
        <v>0</v>
      </c>
    </row>
    <row r="6" spans="1:11" x14ac:dyDescent="0.2">
      <c r="A6" s="14" t="s">
        <v>20</v>
      </c>
      <c r="B6" s="14">
        <f>VLOOKUP($B$3,'Data for Bill Impacts'!$A$3:$Y$15,2,0)</f>
        <v>1.1040000000000001</v>
      </c>
    </row>
    <row r="7" spans="1:11" x14ac:dyDescent="0.2">
      <c r="A7" s="14" t="s">
        <v>15</v>
      </c>
      <c r="B7" s="14">
        <f>VLOOKUP($B$3,'Data for Bill Impacts'!$A$3:$Y$15,4,0)</f>
        <v>600</v>
      </c>
    </row>
    <row r="8" spans="1:11" x14ac:dyDescent="0.2">
      <c r="A8" s="14" t="s">
        <v>82</v>
      </c>
      <c r="B8" s="148">
        <f>B4*B6</f>
        <v>1104</v>
      </c>
    </row>
    <row r="9" spans="1:11" x14ac:dyDescent="0.2">
      <c r="A9" s="14" t="s">
        <v>21</v>
      </c>
      <c r="B9" s="15" t="str">
        <f>VLOOKUP($B$3,'Data for Bill Impacts'!$A$3:$Y$15,6,0)</f>
        <v>kWh</v>
      </c>
    </row>
    <row r="10" spans="1:11" ht="13.5" thickBot="1" x14ac:dyDescent="0.25"/>
    <row r="11" spans="1:11" s="19" customFormat="1" ht="39" thickBot="1" x14ac:dyDescent="0.25">
      <c r="A11" s="16"/>
      <c r="B11" s="17" t="s">
        <v>22</v>
      </c>
      <c r="C11" s="17" t="s">
        <v>23</v>
      </c>
      <c r="D11" s="17" t="s">
        <v>24</v>
      </c>
      <c r="E11" s="17" t="s">
        <v>22</v>
      </c>
      <c r="F11" s="17" t="s">
        <v>25</v>
      </c>
      <c r="G11" s="17" t="s">
        <v>26</v>
      </c>
      <c r="H11" s="17" t="s">
        <v>27</v>
      </c>
      <c r="I11" s="17" t="s">
        <v>28</v>
      </c>
      <c r="J11" s="17" t="s">
        <v>29</v>
      </c>
      <c r="K11" s="18" t="s">
        <v>30</v>
      </c>
    </row>
    <row r="12" spans="1:11" x14ac:dyDescent="0.2">
      <c r="A12" s="100" t="s">
        <v>31</v>
      </c>
      <c r="B12" s="101">
        <f>IF(B4&gt;B7,B7,B4)</f>
        <v>600</v>
      </c>
      <c r="C12" s="102">
        <v>9.0999999999999998E-2</v>
      </c>
      <c r="D12" s="103">
        <f>B12*C12</f>
        <v>54.6</v>
      </c>
      <c r="E12" s="101">
        <f>B12</f>
        <v>600</v>
      </c>
      <c r="F12" s="102">
        <f>C12</f>
        <v>9.0999999999999998E-2</v>
      </c>
      <c r="G12" s="103">
        <f>E12*F12</f>
        <v>54.6</v>
      </c>
      <c r="H12" s="103">
        <f>G12-D12</f>
        <v>0</v>
      </c>
      <c r="I12" s="104">
        <f>IF(ISERROR(H12/ABS(D12)),"N/A",(H12/ABS(D12)))</f>
        <v>0</v>
      </c>
      <c r="J12" s="104">
        <f>G12/$G$46</f>
        <v>0.25140593936862304</v>
      </c>
      <c r="K12" s="105"/>
    </row>
    <row r="13" spans="1:11" x14ac:dyDescent="0.2">
      <c r="A13" s="106" t="s">
        <v>32</v>
      </c>
      <c r="B13" s="72">
        <f>IF(B4&gt;B7,(B4)-B7,0)</f>
        <v>400</v>
      </c>
      <c r="C13" s="20">
        <v>0.106</v>
      </c>
      <c r="D13" s="21">
        <f>B13*C13</f>
        <v>42.4</v>
      </c>
      <c r="E13" s="72">
        <f t="shared" ref="E13" si="0">B13</f>
        <v>400</v>
      </c>
      <c r="F13" s="20">
        <f>C13</f>
        <v>0.106</v>
      </c>
      <c r="G13" s="21">
        <f>E13*F13</f>
        <v>42.4</v>
      </c>
      <c r="H13" s="21">
        <f t="shared" ref="H13:H46" si="1">G13-D13</f>
        <v>0</v>
      </c>
      <c r="I13" s="22">
        <f t="shared" ref="I13:I51" si="2">IF(ISERROR(H13/ABS(D13)),"N/A",(H13/ABS(D13)))</f>
        <v>0</v>
      </c>
      <c r="J13" s="22">
        <f>G13/$G$46</f>
        <v>0.1952309858833263</v>
      </c>
      <c r="K13" s="107"/>
    </row>
    <row r="14" spans="1:11" s="1" customFormat="1" x14ac:dyDescent="0.2">
      <c r="A14" s="45" t="s">
        <v>33</v>
      </c>
      <c r="B14" s="23"/>
      <c r="C14" s="24"/>
      <c r="D14" s="24">
        <f>SUM(D12:D13)</f>
        <v>97</v>
      </c>
      <c r="E14" s="75"/>
      <c r="F14" s="24"/>
      <c r="G14" s="24">
        <f>SUM(G12:G13)</f>
        <v>97</v>
      </c>
      <c r="H14" s="24">
        <f t="shared" si="1"/>
        <v>0</v>
      </c>
      <c r="I14" s="26">
        <f t="shared" si="2"/>
        <v>0</v>
      </c>
      <c r="J14" s="26">
        <f>G14/$G$46</f>
        <v>0.44663692525194931</v>
      </c>
      <c r="K14" s="107"/>
    </row>
    <row r="15" spans="1:11" s="1" customFormat="1" x14ac:dyDescent="0.2">
      <c r="A15" s="108" t="s">
        <v>34</v>
      </c>
      <c r="B15" s="74">
        <f>B4*0.65</f>
        <v>650</v>
      </c>
      <c r="C15" s="27">
        <v>7.6999999999999999E-2</v>
      </c>
      <c r="D15" s="21">
        <f>B15*C15</f>
        <v>50.05</v>
      </c>
      <c r="E15" s="72">
        <f t="shared" ref="E15:F17" si="3">B15</f>
        <v>650</v>
      </c>
      <c r="F15" s="27">
        <f t="shared" si="3"/>
        <v>7.6999999999999999E-2</v>
      </c>
      <c r="G15" s="21">
        <f>E15*F15</f>
        <v>50.05</v>
      </c>
      <c r="H15" s="21">
        <f t="shared" si="1"/>
        <v>0</v>
      </c>
      <c r="I15" s="22">
        <f t="shared" si="2"/>
        <v>0</v>
      </c>
      <c r="J15" s="22"/>
      <c r="K15" s="107">
        <f t="shared" ref="K15:K26" si="4">G15/$G$51</f>
        <v>0.23085939881242051</v>
      </c>
    </row>
    <row r="16" spans="1:11" s="1" customFormat="1" x14ac:dyDescent="0.2">
      <c r="A16" s="108" t="s">
        <v>35</v>
      </c>
      <c r="B16" s="74">
        <f>B4*0.17</f>
        <v>170</v>
      </c>
      <c r="C16" s="27">
        <v>0.113</v>
      </c>
      <c r="D16" s="21">
        <f>B16*C16</f>
        <v>19.21</v>
      </c>
      <c r="E16" s="72">
        <f t="shared" si="3"/>
        <v>170</v>
      </c>
      <c r="F16" s="27">
        <f t="shared" si="3"/>
        <v>0.113</v>
      </c>
      <c r="G16" s="21">
        <f>E16*F16</f>
        <v>19.21</v>
      </c>
      <c r="H16" s="21">
        <f t="shared" si="1"/>
        <v>0</v>
      </c>
      <c r="I16" s="22">
        <f t="shared" si="2"/>
        <v>0</v>
      </c>
      <c r="J16" s="22"/>
      <c r="K16" s="107">
        <f t="shared" si="4"/>
        <v>8.8607573450281682E-2</v>
      </c>
    </row>
    <row r="17" spans="1:11" s="1" customFormat="1" x14ac:dyDescent="0.2">
      <c r="A17" s="108" t="s">
        <v>36</v>
      </c>
      <c r="B17" s="74">
        <f>B4*0.18</f>
        <v>180</v>
      </c>
      <c r="C17" s="27">
        <v>0.157</v>
      </c>
      <c r="D17" s="21">
        <f>B17*C17</f>
        <v>28.26</v>
      </c>
      <c r="E17" s="72">
        <f t="shared" si="3"/>
        <v>180</v>
      </c>
      <c r="F17" s="27">
        <f t="shared" si="3"/>
        <v>0.157</v>
      </c>
      <c r="G17" s="21">
        <f>E17*F17</f>
        <v>28.26</v>
      </c>
      <c r="H17" s="21">
        <f t="shared" si="1"/>
        <v>0</v>
      </c>
      <c r="I17" s="22">
        <f t="shared" si="2"/>
        <v>0</v>
      </c>
      <c r="J17" s="22"/>
      <c r="K17" s="107">
        <f t="shared" si="4"/>
        <v>0.13035138082795214</v>
      </c>
    </row>
    <row r="18" spans="1:11" s="1" customFormat="1" x14ac:dyDescent="0.2">
      <c r="A18" s="60" t="s">
        <v>37</v>
      </c>
      <c r="B18" s="28"/>
      <c r="C18" s="29"/>
      <c r="D18" s="29">
        <f>SUM(D15:D17)</f>
        <v>97.52</v>
      </c>
      <c r="E18" s="76"/>
      <c r="F18" s="29"/>
      <c r="G18" s="29">
        <f>SUM(G15:G17)</f>
        <v>97.52</v>
      </c>
      <c r="H18" s="30">
        <f t="shared" si="1"/>
        <v>0</v>
      </c>
      <c r="I18" s="31">
        <f t="shared" si="2"/>
        <v>0</v>
      </c>
      <c r="J18" s="32">
        <f t="shared" ref="J18:J23" si="5">G18/$G$46</f>
        <v>0.44903126753165046</v>
      </c>
      <c r="K18" s="61">
        <f t="shared" si="4"/>
        <v>0.44981835309065432</v>
      </c>
    </row>
    <row r="19" spans="1:11" x14ac:dyDescent="0.2">
      <c r="A19" s="106" t="s">
        <v>38</v>
      </c>
      <c r="B19" s="72">
        <v>1</v>
      </c>
      <c r="C19" s="77">
        <f>VLOOKUP($B$3,'Data for Bill Impacts'!$A$3:$Y$15,7,0)</f>
        <v>55.37</v>
      </c>
      <c r="D19" s="21">
        <f>B19*C19</f>
        <v>55.37</v>
      </c>
      <c r="E19" s="72">
        <f t="shared" ref="E19:E41" si="6">B19</f>
        <v>1</v>
      </c>
      <c r="F19" s="77">
        <f>VLOOKUP($B$3,'Data for Bill Impacts'!$A$3:$Y$15,17,0)</f>
        <v>61.48</v>
      </c>
      <c r="G19" s="21">
        <f>E19*F19</f>
        <v>61.48</v>
      </c>
      <c r="H19" s="21">
        <f t="shared" si="1"/>
        <v>6.1099999999999994</v>
      </c>
      <c r="I19" s="22">
        <f t="shared" si="2"/>
        <v>0.11034856420444283</v>
      </c>
      <c r="J19" s="22">
        <f t="shared" si="5"/>
        <v>0.28308492953082315</v>
      </c>
      <c r="K19" s="107">
        <f t="shared" si="4"/>
        <v>0.28358113564410814</v>
      </c>
    </row>
    <row r="20" spans="1:11" hidden="1" x14ac:dyDescent="0.2">
      <c r="A20" s="106" t="s">
        <v>83</v>
      </c>
      <c r="B20" s="72">
        <v>1</v>
      </c>
      <c r="C20" s="77">
        <f>VLOOKUP($B$3,'Data for Bill Impacts'!$A$3:$Y$15,8,0)</f>
        <v>0</v>
      </c>
      <c r="D20" s="21">
        <f>B20*C20</f>
        <v>0</v>
      </c>
      <c r="E20" s="72">
        <f t="shared" si="6"/>
        <v>1</v>
      </c>
      <c r="F20" s="77">
        <v>0</v>
      </c>
      <c r="G20" s="21">
        <f t="shared" ref="G20:G22" si="7">E20*F20</f>
        <v>0</v>
      </c>
      <c r="H20" s="21">
        <f t="shared" si="1"/>
        <v>0</v>
      </c>
      <c r="I20" s="22" t="str">
        <f t="shared" si="2"/>
        <v>N/A</v>
      </c>
      <c r="J20" s="22">
        <f t="shared" si="5"/>
        <v>0</v>
      </c>
      <c r="K20" s="107">
        <f t="shared" si="4"/>
        <v>0</v>
      </c>
    </row>
    <row r="21" spans="1:11" hidden="1" x14ac:dyDescent="0.2">
      <c r="A21" s="106" t="s">
        <v>115</v>
      </c>
      <c r="B21" s="72">
        <v>1</v>
      </c>
      <c r="C21" s="77">
        <f>VLOOKUP($B$3,'Data for Bill Impacts'!$A$3:$Y$15,11,0)</f>
        <v>0</v>
      </c>
      <c r="D21" s="21">
        <f t="shared" ref="D21:D22" si="8">B21*C21</f>
        <v>0</v>
      </c>
      <c r="E21" s="72">
        <f t="shared" si="6"/>
        <v>1</v>
      </c>
      <c r="F21" s="120">
        <f>VLOOKUP($B$3,'Data for Bill Impacts'!$A$3:$Y$15,12,0)</f>
        <v>0</v>
      </c>
      <c r="G21" s="21">
        <f t="shared" si="7"/>
        <v>0</v>
      </c>
      <c r="H21" s="21">
        <f t="shared" si="1"/>
        <v>0</v>
      </c>
      <c r="I21" s="22" t="str">
        <f t="shared" si="2"/>
        <v>N/A</v>
      </c>
      <c r="J21" s="22">
        <f t="shared" si="5"/>
        <v>0</v>
      </c>
      <c r="K21" s="107">
        <f t="shared" si="4"/>
        <v>0</v>
      </c>
    </row>
    <row r="22" spans="1:11" x14ac:dyDescent="0.2">
      <c r="A22" s="106" t="s">
        <v>85</v>
      </c>
      <c r="B22" s="72">
        <v>1</v>
      </c>
      <c r="C22" s="120">
        <f>VLOOKUP($B$3,'Data for Bill Impacts'!$A$3:$Y$15,13,0)</f>
        <v>-2E-3</v>
      </c>
      <c r="D22" s="21">
        <f t="shared" si="8"/>
        <v>-2E-3</v>
      </c>
      <c r="E22" s="72">
        <f t="shared" si="6"/>
        <v>1</v>
      </c>
      <c r="F22" s="120">
        <f>VLOOKUP($B$3,'Data for Bill Impacts'!$A$3:$Y$15,22,0)</f>
        <v>-2E-3</v>
      </c>
      <c r="G22" s="21">
        <f t="shared" si="7"/>
        <v>-2E-3</v>
      </c>
      <c r="H22" s="21">
        <f t="shared" si="1"/>
        <v>0</v>
      </c>
      <c r="I22" s="22">
        <f t="shared" si="2"/>
        <v>0</v>
      </c>
      <c r="J22" s="22">
        <f t="shared" si="5"/>
        <v>-9.2090087680814294E-6</v>
      </c>
      <c r="K22" s="107">
        <f t="shared" si="4"/>
        <v>-9.2251508016951251E-6</v>
      </c>
    </row>
    <row r="23" spans="1:11" x14ac:dyDescent="0.2">
      <c r="A23" s="106" t="s">
        <v>39</v>
      </c>
      <c r="B23" s="72">
        <f>IF($B$9="kWh",$B$4,$B$5)</f>
        <v>1000</v>
      </c>
      <c r="C23" s="77">
        <f>VLOOKUP($B$3,'Data for Bill Impacts'!$A$3:$Y$15,10,0)</f>
        <v>3.1699999999999999E-2</v>
      </c>
      <c r="D23" s="21">
        <f>B23*C23</f>
        <v>31.7</v>
      </c>
      <c r="E23" s="72">
        <f t="shared" si="6"/>
        <v>1000</v>
      </c>
      <c r="F23" s="77">
        <f>VLOOKUP($B$3,'Data for Bill Impacts'!$A$3:$Y$15,19,0)</f>
        <v>1.84E-2</v>
      </c>
      <c r="G23" s="21">
        <f>E23*F23</f>
        <v>18.399999999999999</v>
      </c>
      <c r="H23" s="21">
        <f t="shared" si="1"/>
        <v>-13.3</v>
      </c>
      <c r="I23" s="22">
        <f t="shared" si="2"/>
        <v>-0.41955835962145116</v>
      </c>
      <c r="J23" s="22">
        <f t="shared" si="5"/>
        <v>8.4722880666349143E-2</v>
      </c>
      <c r="K23" s="107">
        <f t="shared" si="4"/>
        <v>8.4871387375595145E-2</v>
      </c>
    </row>
    <row r="24" spans="1:11" x14ac:dyDescent="0.2">
      <c r="A24" s="106" t="s">
        <v>129</v>
      </c>
      <c r="B24" s="72">
        <f>IF($B$9="kWh",$B$4,$B$5)</f>
        <v>1000</v>
      </c>
      <c r="C24" s="77">
        <f>VLOOKUP($B$3,'Data for Bill Impacts'!$A$3:$Y$15,14,0)</f>
        <v>1.0000000000000003E-5</v>
      </c>
      <c r="D24" s="21">
        <f>B24*C24</f>
        <v>1.0000000000000002E-2</v>
      </c>
      <c r="E24" s="72">
        <f t="shared" si="6"/>
        <v>1000</v>
      </c>
      <c r="F24" s="77">
        <f>VLOOKUP($B$3,'Data for Bill Impacts'!$A$3:$Y$15,23,0)</f>
        <v>1.0000000000000003E-5</v>
      </c>
      <c r="G24" s="21">
        <f>E24*F24</f>
        <v>1.0000000000000002E-2</v>
      </c>
      <c r="H24" s="21">
        <f t="shared" si="1"/>
        <v>0</v>
      </c>
      <c r="I24" s="22">
        <f t="shared" si="2"/>
        <v>0</v>
      </c>
      <c r="J24" s="22">
        <f t="shared" ref="J24" si="9">G24/$G$46</f>
        <v>4.6045043840407159E-5</v>
      </c>
      <c r="K24" s="107">
        <f t="shared" si="4"/>
        <v>4.6125754008475634E-5</v>
      </c>
    </row>
    <row r="25" spans="1:11" s="1" customFormat="1" x14ac:dyDescent="0.2">
      <c r="A25" s="109" t="s">
        <v>72</v>
      </c>
      <c r="B25" s="73"/>
      <c r="C25" s="34"/>
      <c r="D25" s="34">
        <f>SUM(D19:D24)</f>
        <v>87.078000000000003</v>
      </c>
      <c r="E25" s="72"/>
      <c r="F25" s="34"/>
      <c r="G25" s="34">
        <f>SUM(G19:G24)</f>
        <v>79.887999999999991</v>
      </c>
      <c r="H25" s="34">
        <f t="shared" si="1"/>
        <v>-7.1900000000000119</v>
      </c>
      <c r="I25" s="35">
        <f t="shared" si="2"/>
        <v>-8.2569650198672587E-2</v>
      </c>
      <c r="J25" s="35">
        <f>G25/$G$46</f>
        <v>0.36784464623224455</v>
      </c>
      <c r="K25" s="110">
        <f t="shared" si="4"/>
        <v>0.36848942362291004</v>
      </c>
    </row>
    <row r="26" spans="1:11" s="1" customFormat="1" x14ac:dyDescent="0.2">
      <c r="A26" s="118" t="s">
        <v>73</v>
      </c>
      <c r="B26" s="119">
        <v>1</v>
      </c>
      <c r="C26" s="77">
        <f>VLOOKUP($B$3,'Data for Bill Impacts'!$A$3:$Y$15,9,0)</f>
        <v>0.79</v>
      </c>
      <c r="D26" s="21">
        <f>B26*C26</f>
        <v>0.79</v>
      </c>
      <c r="E26" s="72">
        <v>1</v>
      </c>
      <c r="F26" s="77">
        <f>VLOOKUP($B$3,'Data for Bill Impacts'!$A$3:$Y$15,18,0)</f>
        <v>0.79</v>
      </c>
      <c r="G26" s="21">
        <f>E26*F26</f>
        <v>0.79</v>
      </c>
      <c r="H26" s="21">
        <f t="shared" si="1"/>
        <v>0</v>
      </c>
      <c r="I26" s="22">
        <f t="shared" si="2"/>
        <v>0</v>
      </c>
      <c r="J26" s="22">
        <f>G26/$G$46</f>
        <v>3.6375584633921649E-3</v>
      </c>
      <c r="K26" s="107">
        <f t="shared" si="4"/>
        <v>3.6439345666695747E-3</v>
      </c>
    </row>
    <row r="27" spans="1:11" s="1" customFormat="1" x14ac:dyDescent="0.2">
      <c r="A27" s="118" t="s">
        <v>75</v>
      </c>
      <c r="B27" s="119">
        <f>B8-B4</f>
        <v>104</v>
      </c>
      <c r="C27" s="186">
        <f>IF(B4&gt;B7,C13,C12)</f>
        <v>0.106</v>
      </c>
      <c r="D27" s="21">
        <f>B27*C27</f>
        <v>11.023999999999999</v>
      </c>
      <c r="E27" s="72">
        <f>B27</f>
        <v>104</v>
      </c>
      <c r="F27" s="186">
        <f>C27</f>
        <v>0.106</v>
      </c>
      <c r="G27" s="21">
        <f>E27*F27</f>
        <v>11.023999999999999</v>
      </c>
      <c r="H27" s="21">
        <f t="shared" si="1"/>
        <v>0</v>
      </c>
      <c r="I27" s="22">
        <f t="shared" si="2"/>
        <v>0</v>
      </c>
      <c r="J27" s="22">
        <f t="shared" ref="J27:J46" si="10">G27/$G$46</f>
        <v>5.0760056329664835E-2</v>
      </c>
      <c r="K27" s="107">
        <f t="shared" ref="K27:K41" si="11">G27/$G$51</f>
        <v>5.0849031218943526E-2</v>
      </c>
    </row>
    <row r="28" spans="1:11" s="1" customFormat="1" x14ac:dyDescent="0.2">
      <c r="A28" s="118" t="s">
        <v>74</v>
      </c>
      <c r="B28" s="119">
        <f>B8-B4</f>
        <v>104</v>
      </c>
      <c r="C28" s="186">
        <f>0.65*C15+0.17*C16+0.18*C17</f>
        <v>9.7519999999999996E-2</v>
      </c>
      <c r="D28" s="21">
        <f>B28*C28</f>
        <v>10.14208</v>
      </c>
      <c r="E28" s="72">
        <f>B28</f>
        <v>104</v>
      </c>
      <c r="F28" s="186">
        <f>C28</f>
        <v>9.7519999999999996E-2</v>
      </c>
      <c r="G28" s="21">
        <f>E28*F28</f>
        <v>10.14208</v>
      </c>
      <c r="H28" s="21">
        <f t="shared" si="1"/>
        <v>0</v>
      </c>
      <c r="I28" s="22">
        <f t="shared" si="2"/>
        <v>0</v>
      </c>
      <c r="J28" s="22">
        <f t="shared" si="10"/>
        <v>4.6699251823291654E-2</v>
      </c>
      <c r="K28" s="107">
        <f t="shared" si="11"/>
        <v>4.6781108721428051E-2</v>
      </c>
    </row>
    <row r="29" spans="1:11" s="1" customFormat="1" x14ac:dyDescent="0.2">
      <c r="A29" s="109" t="s">
        <v>78</v>
      </c>
      <c r="B29" s="73"/>
      <c r="C29" s="34"/>
      <c r="D29" s="34">
        <f>SUM(D25,D26:D27)</f>
        <v>98.89200000000001</v>
      </c>
      <c r="E29" s="72"/>
      <c r="F29" s="34"/>
      <c r="G29" s="34">
        <f>SUM(G25,G26:G27)</f>
        <v>91.701999999999998</v>
      </c>
      <c r="H29" s="34">
        <f t="shared" si="1"/>
        <v>-7.1900000000000119</v>
      </c>
      <c r="I29" s="35">
        <f t="shared" si="2"/>
        <v>-7.2705577802046784E-2</v>
      </c>
      <c r="J29" s="35">
        <f t="shared" si="10"/>
        <v>0.4222422610253016</v>
      </c>
      <c r="K29" s="110">
        <f t="shared" si="11"/>
        <v>0.42298238940852317</v>
      </c>
    </row>
    <row r="30" spans="1:11" s="1" customFormat="1" x14ac:dyDescent="0.2">
      <c r="A30" s="109" t="s">
        <v>77</v>
      </c>
      <c r="B30" s="73"/>
      <c r="C30" s="34"/>
      <c r="D30" s="34">
        <f>SUM(D25,D26,D28)</f>
        <v>98.010080000000016</v>
      </c>
      <c r="E30" s="72"/>
      <c r="F30" s="34"/>
      <c r="G30" s="34">
        <f>SUM(G25,G26,G28)</f>
        <v>90.82007999999999</v>
      </c>
      <c r="H30" s="34">
        <f t="shared" si="1"/>
        <v>-7.1900000000000261</v>
      </c>
      <c r="I30" s="35">
        <f t="shared" si="2"/>
        <v>-7.3359801359207388E-2</v>
      </c>
      <c r="J30" s="35">
        <f t="shared" si="10"/>
        <v>0.41818145651892841</v>
      </c>
      <c r="K30" s="110">
        <f t="shared" si="11"/>
        <v>0.4189144669110077</v>
      </c>
    </row>
    <row r="31" spans="1:11" x14ac:dyDescent="0.2">
      <c r="A31" s="106" t="s">
        <v>40</v>
      </c>
      <c r="B31" s="72">
        <f>B8</f>
        <v>1104</v>
      </c>
      <c r="C31" s="124">
        <f>VLOOKUP($B$3,'Data for Bill Impacts'!$A$3:$Y$15,15,0)</f>
        <v>5.7999999999999996E-3</v>
      </c>
      <c r="D31" s="21">
        <f>B31*C31</f>
        <v>6.4032</v>
      </c>
      <c r="E31" s="72">
        <f t="shared" si="6"/>
        <v>1104</v>
      </c>
      <c r="F31" s="77">
        <f>VLOOKUP($B$3,'Data for Bill Impacts'!$A$3:$Y$15,24,0)</f>
        <v>5.7999999999999996E-3</v>
      </c>
      <c r="G31" s="21">
        <f>E31*F31</f>
        <v>6.4032</v>
      </c>
      <c r="H31" s="21">
        <f t="shared" si="1"/>
        <v>0</v>
      </c>
      <c r="I31" s="22">
        <f t="shared" si="2"/>
        <v>0</v>
      </c>
      <c r="J31" s="22">
        <f t="shared" si="10"/>
        <v>2.9483562471889505E-2</v>
      </c>
      <c r="K31" s="107">
        <f t="shared" si="11"/>
        <v>2.9535242806707114E-2</v>
      </c>
    </row>
    <row r="32" spans="1:11" x14ac:dyDescent="0.2">
      <c r="A32" s="106" t="s">
        <v>41</v>
      </c>
      <c r="B32" s="72">
        <f>B8</f>
        <v>1104</v>
      </c>
      <c r="C32" s="124">
        <f>VLOOKUP($B$3,'Data for Bill Impacts'!$A$3:$Y$15,16,0)</f>
        <v>4.7000000000000002E-3</v>
      </c>
      <c r="D32" s="21">
        <f>B32*C32</f>
        <v>5.1888000000000005</v>
      </c>
      <c r="E32" s="72">
        <f t="shared" si="6"/>
        <v>1104</v>
      </c>
      <c r="F32" s="77">
        <f>VLOOKUP($B$3,'Data for Bill Impacts'!$A$3:$Y$15,25,0)</f>
        <v>4.7000000000000002E-3</v>
      </c>
      <c r="G32" s="21">
        <f>E32*F32</f>
        <v>5.1888000000000005</v>
      </c>
      <c r="H32" s="21">
        <f t="shared" si="1"/>
        <v>0</v>
      </c>
      <c r="I32" s="22">
        <f t="shared" si="2"/>
        <v>0</v>
      </c>
      <c r="J32" s="22">
        <f t="shared" si="10"/>
        <v>2.3891852347910462E-2</v>
      </c>
      <c r="K32" s="107">
        <f t="shared" si="11"/>
        <v>2.3933731239917835E-2</v>
      </c>
    </row>
    <row r="33" spans="1:11" s="1" customFormat="1" x14ac:dyDescent="0.2">
      <c r="A33" s="109" t="s">
        <v>76</v>
      </c>
      <c r="B33" s="73"/>
      <c r="C33" s="34"/>
      <c r="D33" s="34">
        <f>SUM(D31:D32)</f>
        <v>11.592000000000001</v>
      </c>
      <c r="E33" s="72"/>
      <c r="F33" s="34"/>
      <c r="G33" s="34">
        <f>SUM(G31:G32)</f>
        <v>11.592000000000001</v>
      </c>
      <c r="H33" s="34">
        <f t="shared" si="1"/>
        <v>0</v>
      </c>
      <c r="I33" s="35">
        <f t="shared" si="2"/>
        <v>0</v>
      </c>
      <c r="J33" s="35">
        <f t="shared" si="10"/>
        <v>5.3375414819799967E-2</v>
      </c>
      <c r="K33" s="110">
        <f t="shared" si="11"/>
        <v>5.3468974046624949E-2</v>
      </c>
    </row>
    <row r="34" spans="1:11" s="1" customFormat="1" x14ac:dyDescent="0.2">
      <c r="A34" s="109" t="s">
        <v>93</v>
      </c>
      <c r="B34" s="73"/>
      <c r="C34" s="34"/>
      <c r="D34" s="34">
        <f>D29+D33</f>
        <v>110.48400000000001</v>
      </c>
      <c r="E34" s="72"/>
      <c r="F34" s="34"/>
      <c r="G34" s="34">
        <f>G29+G33</f>
        <v>103.294</v>
      </c>
      <c r="H34" s="34">
        <f t="shared" si="1"/>
        <v>-7.1900000000000119</v>
      </c>
      <c r="I34" s="35">
        <f t="shared" si="2"/>
        <v>-6.5077296260092066E-2</v>
      </c>
      <c r="J34" s="35">
        <f t="shared" si="10"/>
        <v>0.47561767584510156</v>
      </c>
      <c r="K34" s="110">
        <f t="shared" si="11"/>
        <v>0.47645136345514816</v>
      </c>
    </row>
    <row r="35" spans="1:11" s="1" customFormat="1" x14ac:dyDescent="0.2">
      <c r="A35" s="109" t="s">
        <v>94</v>
      </c>
      <c r="B35" s="73"/>
      <c r="C35" s="34"/>
      <c r="D35" s="34">
        <f>D30+D33</f>
        <v>109.60208000000002</v>
      </c>
      <c r="E35" s="72"/>
      <c r="F35" s="34"/>
      <c r="G35" s="34">
        <f>G30+G33</f>
        <v>102.41207999999999</v>
      </c>
      <c r="H35" s="34">
        <f t="shared" si="1"/>
        <v>-7.1900000000000261</v>
      </c>
      <c r="I35" s="35">
        <f t="shared" si="2"/>
        <v>-6.5600944799587974E-2</v>
      </c>
      <c r="J35" s="35">
        <f t="shared" si="10"/>
        <v>0.47155687133872837</v>
      </c>
      <c r="K35" s="110">
        <f t="shared" si="11"/>
        <v>0.47238344095763263</v>
      </c>
    </row>
    <row r="36" spans="1:11" x14ac:dyDescent="0.2">
      <c r="A36" s="106" t="s">
        <v>42</v>
      </c>
      <c r="B36" s="72">
        <f>B8</f>
        <v>1104</v>
      </c>
      <c r="C36" s="33">
        <v>3.5999999999999999E-3</v>
      </c>
      <c r="D36" s="21">
        <f>B36*C36</f>
        <v>3.9743999999999997</v>
      </c>
      <c r="E36" s="72">
        <f t="shared" si="6"/>
        <v>1104</v>
      </c>
      <c r="F36" s="33">
        <v>3.5999999999999999E-3</v>
      </c>
      <c r="G36" s="21">
        <f>E36*F36</f>
        <v>3.9743999999999997</v>
      </c>
      <c r="H36" s="21">
        <f t="shared" si="1"/>
        <v>0</v>
      </c>
      <c r="I36" s="22">
        <f t="shared" si="2"/>
        <v>0</v>
      </c>
      <c r="J36" s="22">
        <f t="shared" si="10"/>
        <v>1.8300142223931413E-2</v>
      </c>
      <c r="K36" s="107">
        <f t="shared" si="11"/>
        <v>1.8332219673128553E-2</v>
      </c>
    </row>
    <row r="37" spans="1:11" x14ac:dyDescent="0.2">
      <c r="A37" s="106" t="s">
        <v>43</v>
      </c>
      <c r="B37" s="72">
        <f>B8</f>
        <v>1104</v>
      </c>
      <c r="C37" s="33">
        <v>2.0999999999999999E-3</v>
      </c>
      <c r="D37" s="21">
        <f>B37*C37</f>
        <v>2.3184</v>
      </c>
      <c r="E37" s="72">
        <f t="shared" si="6"/>
        <v>1104</v>
      </c>
      <c r="F37" s="33">
        <v>2.0999999999999999E-3</v>
      </c>
      <c r="G37" s="21">
        <f>E37*F37</f>
        <v>2.3184</v>
      </c>
      <c r="H37" s="21">
        <f>G37-D37</f>
        <v>0</v>
      </c>
      <c r="I37" s="22">
        <f t="shared" si="2"/>
        <v>0</v>
      </c>
      <c r="J37" s="22">
        <f t="shared" si="10"/>
        <v>1.0675082963959992E-2</v>
      </c>
      <c r="K37" s="107">
        <f t="shared" si="11"/>
        <v>1.069379480932499E-2</v>
      </c>
    </row>
    <row r="38" spans="1:11" x14ac:dyDescent="0.2">
      <c r="A38" s="106" t="s">
        <v>99</v>
      </c>
      <c r="B38" s="72">
        <f>B8</f>
        <v>1104</v>
      </c>
      <c r="C38" s="33">
        <v>0</v>
      </c>
      <c r="D38" s="21">
        <f>B38*C38</f>
        <v>0</v>
      </c>
      <c r="E38" s="72">
        <f t="shared" si="6"/>
        <v>1104</v>
      </c>
      <c r="F38" s="33">
        <v>0</v>
      </c>
      <c r="G38" s="21">
        <f>E38*F38</f>
        <v>0</v>
      </c>
      <c r="H38" s="21">
        <f>G38-D38</f>
        <v>0</v>
      </c>
      <c r="I38" s="22" t="str">
        <f t="shared" si="2"/>
        <v>N/A</v>
      </c>
      <c r="J38" s="22">
        <f t="shared" ref="J38" si="12">G38/$G$46</f>
        <v>0</v>
      </c>
      <c r="K38" s="107">
        <f t="shared" ref="K38" si="13">G38/$G$51</f>
        <v>0</v>
      </c>
    </row>
    <row r="39" spans="1:11" x14ac:dyDescent="0.2">
      <c r="A39" s="106" t="s">
        <v>44</v>
      </c>
      <c r="B39" s="72">
        <v>1</v>
      </c>
      <c r="C39" s="21">
        <v>0.25</v>
      </c>
      <c r="D39" s="21">
        <f>B39*C39</f>
        <v>0.25</v>
      </c>
      <c r="E39" s="72">
        <f t="shared" si="6"/>
        <v>1</v>
      </c>
      <c r="F39" s="21">
        <f>C39</f>
        <v>0.25</v>
      </c>
      <c r="G39" s="21">
        <f>E39*F39</f>
        <v>0.25</v>
      </c>
      <c r="H39" s="21">
        <f t="shared" si="1"/>
        <v>0</v>
      </c>
      <c r="I39" s="22">
        <f t="shared" si="2"/>
        <v>0</v>
      </c>
      <c r="J39" s="22">
        <f t="shared" si="10"/>
        <v>1.1511260960101787E-3</v>
      </c>
      <c r="K39" s="107">
        <f t="shared" si="11"/>
        <v>1.1531438502118906E-3</v>
      </c>
    </row>
    <row r="40" spans="1:11" s="1" customFormat="1" x14ac:dyDescent="0.2">
      <c r="A40" s="109" t="s">
        <v>45</v>
      </c>
      <c r="B40" s="73"/>
      <c r="C40" s="34"/>
      <c r="D40" s="34">
        <f>SUM(D36:D39)</f>
        <v>6.5427999999999997</v>
      </c>
      <c r="E40" s="72"/>
      <c r="F40" s="34"/>
      <c r="G40" s="34">
        <f>SUM(G36:G39)</f>
        <v>6.5427999999999997</v>
      </c>
      <c r="H40" s="34">
        <f t="shared" si="1"/>
        <v>0</v>
      </c>
      <c r="I40" s="35">
        <f t="shared" si="2"/>
        <v>0</v>
      </c>
      <c r="J40" s="35">
        <f t="shared" si="10"/>
        <v>3.0126351283901585E-2</v>
      </c>
      <c r="K40" s="110">
        <f t="shared" si="11"/>
        <v>3.0179158332665431E-2</v>
      </c>
    </row>
    <row r="41" spans="1:11" s="1" customFormat="1" ht="13.5" thickBot="1" x14ac:dyDescent="0.25">
      <c r="A41" s="111" t="s">
        <v>46</v>
      </c>
      <c r="B41" s="112">
        <f>B4</f>
        <v>1000</v>
      </c>
      <c r="C41" s="113">
        <v>0</v>
      </c>
      <c r="D41" s="114">
        <f>B41*C41</f>
        <v>0</v>
      </c>
      <c r="E41" s="115">
        <f t="shared" si="6"/>
        <v>1000</v>
      </c>
      <c r="F41" s="113">
        <f>C41</f>
        <v>0</v>
      </c>
      <c r="G41" s="114">
        <f>E41*F41</f>
        <v>0</v>
      </c>
      <c r="H41" s="114">
        <f t="shared" si="1"/>
        <v>0</v>
      </c>
      <c r="I41" s="116" t="str">
        <f t="shared" si="2"/>
        <v>N/A</v>
      </c>
      <c r="J41" s="116">
        <f t="shared" si="10"/>
        <v>0</v>
      </c>
      <c r="K41" s="117">
        <f t="shared" si="11"/>
        <v>0</v>
      </c>
    </row>
    <row r="42" spans="1:11" s="1" customFormat="1" x14ac:dyDescent="0.2">
      <c r="A42" s="36" t="s">
        <v>107</v>
      </c>
      <c r="B42" s="37"/>
      <c r="C42" s="38"/>
      <c r="D42" s="38">
        <f>SUM(D14,D25,D26,D27,D33,D40,D41)</f>
        <v>214.02680000000001</v>
      </c>
      <c r="E42" s="37"/>
      <c r="F42" s="38"/>
      <c r="G42" s="38">
        <f>SUM(G14,G25,G26,G27,G33,G40,G41)</f>
        <v>206.83679999999998</v>
      </c>
      <c r="H42" s="38">
        <f t="shared" si="1"/>
        <v>-7.1900000000000261</v>
      </c>
      <c r="I42" s="39">
        <f t="shared" si="2"/>
        <v>-3.3593923751605061E-2</v>
      </c>
      <c r="J42" s="39">
        <f t="shared" si="10"/>
        <v>0.95238095238095244</v>
      </c>
      <c r="K42" s="40"/>
    </row>
    <row r="43" spans="1:11" x14ac:dyDescent="0.2">
      <c r="A43" s="142" t="s">
        <v>108</v>
      </c>
      <c r="B43" s="42"/>
      <c r="C43" s="25">
        <v>0.13</v>
      </c>
      <c r="D43" s="25">
        <f>D42*C43</f>
        <v>27.823484000000001</v>
      </c>
      <c r="E43" s="25"/>
      <c r="F43" s="25">
        <f>C43</f>
        <v>0.13</v>
      </c>
      <c r="G43" s="25">
        <f>G42*F43</f>
        <v>26.888783999999998</v>
      </c>
      <c r="H43" s="25">
        <f t="shared" si="1"/>
        <v>-0.93470000000000297</v>
      </c>
      <c r="I43" s="43">
        <f t="shared" si="2"/>
        <v>-3.3593923751605047E-2</v>
      </c>
      <c r="J43" s="43">
        <f t="shared" si="10"/>
        <v>0.12380952380952381</v>
      </c>
      <c r="K43" s="44"/>
    </row>
    <row r="44" spans="1:11" s="1" customFormat="1" x14ac:dyDescent="0.2">
      <c r="A44" s="45" t="s">
        <v>109</v>
      </c>
      <c r="B44" s="23"/>
      <c r="C44" s="24"/>
      <c r="D44" s="24">
        <f>SUM(D42:D43)</f>
        <v>241.85028400000002</v>
      </c>
      <c r="E44" s="24"/>
      <c r="F44" s="24"/>
      <c r="G44" s="24">
        <f>SUM(G42:G43)</f>
        <v>233.72558399999997</v>
      </c>
      <c r="H44" s="24">
        <f t="shared" si="1"/>
        <v>-8.1247000000000469</v>
      </c>
      <c r="I44" s="26">
        <f t="shared" si="2"/>
        <v>-3.359392375160513E-2</v>
      </c>
      <c r="J44" s="26">
        <f t="shared" si="10"/>
        <v>1.0761904761904761</v>
      </c>
      <c r="K44" s="46"/>
    </row>
    <row r="45" spans="1:11" x14ac:dyDescent="0.2">
      <c r="A45" s="41" t="s">
        <v>110</v>
      </c>
      <c r="B45" s="42"/>
      <c r="C45" s="25">
        <v>-0.08</v>
      </c>
      <c r="D45" s="25">
        <f>D42*C45</f>
        <v>-17.122144000000002</v>
      </c>
      <c r="E45" s="25"/>
      <c r="F45" s="25">
        <f>C45</f>
        <v>-0.08</v>
      </c>
      <c r="G45" s="25">
        <f>G42*F45</f>
        <v>-16.546944</v>
      </c>
      <c r="H45" s="25">
        <f t="shared" si="1"/>
        <v>0.57520000000000238</v>
      </c>
      <c r="I45" s="43">
        <f t="shared" si="2"/>
        <v>3.3593923751605075E-2</v>
      </c>
      <c r="J45" s="43">
        <f t="shared" si="10"/>
        <v>-7.6190476190476197E-2</v>
      </c>
      <c r="K45" s="44"/>
    </row>
    <row r="46" spans="1:11" s="1" customFormat="1" ht="13.5" thickBot="1" x14ac:dyDescent="0.25">
      <c r="A46" s="47" t="s">
        <v>111</v>
      </c>
      <c r="B46" s="48"/>
      <c r="C46" s="49"/>
      <c r="D46" s="49">
        <f>SUM(D44:D45)</f>
        <v>224.72814000000002</v>
      </c>
      <c r="E46" s="49"/>
      <c r="F46" s="49"/>
      <c r="G46" s="49">
        <f>SUM(G44:G45)</f>
        <v>217.17863999999997</v>
      </c>
      <c r="H46" s="49">
        <f t="shared" si="1"/>
        <v>-7.5495000000000516</v>
      </c>
      <c r="I46" s="50">
        <f t="shared" si="2"/>
        <v>-3.3593923751605165E-2</v>
      </c>
      <c r="J46" s="50">
        <f t="shared" si="10"/>
        <v>1</v>
      </c>
      <c r="K46" s="51"/>
    </row>
    <row r="47" spans="1:11" x14ac:dyDescent="0.2">
      <c r="A47" s="52" t="s">
        <v>112</v>
      </c>
      <c r="B47" s="53"/>
      <c r="C47" s="54"/>
      <c r="D47" s="54">
        <f>SUM(D18,D25,D26,D28,D33,D40,D41)</f>
        <v>213.66488000000001</v>
      </c>
      <c r="E47" s="54"/>
      <c r="F47" s="54"/>
      <c r="G47" s="54">
        <f>SUM(G18,G25,G26,G28,G33,G40,G41)</f>
        <v>206.47487999999998</v>
      </c>
      <c r="H47" s="54">
        <f>G47-D47</f>
        <v>-7.1900000000000261</v>
      </c>
      <c r="I47" s="55">
        <f t="shared" si="2"/>
        <v>-3.365082740785489E-2</v>
      </c>
      <c r="J47" s="55"/>
      <c r="K47" s="56">
        <f>G47/$G$51</f>
        <v>0.95238095238095233</v>
      </c>
    </row>
    <row r="48" spans="1:11" x14ac:dyDescent="0.2">
      <c r="A48" s="57" t="s">
        <v>108</v>
      </c>
      <c r="B48" s="58"/>
      <c r="C48" s="30">
        <v>0.13</v>
      </c>
      <c r="D48" s="30">
        <f>D47*C48</f>
        <v>27.776434400000003</v>
      </c>
      <c r="E48" s="30"/>
      <c r="F48" s="30">
        <f>C48</f>
        <v>0.13</v>
      </c>
      <c r="G48" s="30">
        <f>G47*F48</f>
        <v>26.8417344</v>
      </c>
      <c r="H48" s="30">
        <f>G48-D48</f>
        <v>-0.93470000000000297</v>
      </c>
      <c r="I48" s="31">
        <f t="shared" si="2"/>
        <v>-3.3650827407854869E-2</v>
      </c>
      <c r="J48" s="31"/>
      <c r="K48" s="59">
        <f>G48/$G$51</f>
        <v>0.12380952380952381</v>
      </c>
    </row>
    <row r="49" spans="1:11" x14ac:dyDescent="0.2">
      <c r="A49" s="135" t="s">
        <v>113</v>
      </c>
      <c r="B49" s="28"/>
      <c r="C49" s="29"/>
      <c r="D49" s="29">
        <f>SUM(D47:D48)</f>
        <v>241.44131440000001</v>
      </c>
      <c r="E49" s="29"/>
      <c r="F49" s="29"/>
      <c r="G49" s="29">
        <f>SUM(G47:G48)</f>
        <v>233.31661439999999</v>
      </c>
      <c r="H49" s="29">
        <f>G49-D49</f>
        <v>-8.1247000000000185</v>
      </c>
      <c r="I49" s="32">
        <f t="shared" si="2"/>
        <v>-3.3650827407854841E-2</v>
      </c>
      <c r="J49" s="32"/>
      <c r="K49" s="61">
        <f>G49/$G$51</f>
        <v>1.0761904761904761</v>
      </c>
    </row>
    <row r="50" spans="1:11" x14ac:dyDescent="0.2">
      <c r="A50" s="57" t="s">
        <v>110</v>
      </c>
      <c r="B50" s="58"/>
      <c r="C50" s="30">
        <v>-0.08</v>
      </c>
      <c r="D50" s="30">
        <f>D47*C50</f>
        <v>-17.093190400000001</v>
      </c>
      <c r="E50" s="30"/>
      <c r="F50" s="30">
        <f>C50</f>
        <v>-0.08</v>
      </c>
      <c r="G50" s="30">
        <f>G47*F50</f>
        <v>-16.517990399999999</v>
      </c>
      <c r="H50" s="30">
        <f>G50-D50</f>
        <v>0.57520000000000238</v>
      </c>
      <c r="I50" s="31">
        <f t="shared" si="2"/>
        <v>3.3650827407854904E-2</v>
      </c>
      <c r="J50" s="31"/>
      <c r="K50" s="59">
        <f>G50/$G$51</f>
        <v>-7.6190476190476183E-2</v>
      </c>
    </row>
    <row r="51" spans="1:11" ht="13.5" thickBot="1" x14ac:dyDescent="0.25">
      <c r="A51" s="62" t="s">
        <v>114</v>
      </c>
      <c r="B51" s="63"/>
      <c r="C51" s="64"/>
      <c r="D51" s="64">
        <f>SUM(D49:D50)</f>
        <v>224.34812400000001</v>
      </c>
      <c r="E51" s="64"/>
      <c r="F51" s="64"/>
      <c r="G51" s="64">
        <f>SUM(G49:G50)</f>
        <v>216.79862399999999</v>
      </c>
      <c r="H51" s="64">
        <f>G51-D51</f>
        <v>-7.5495000000000232</v>
      </c>
      <c r="I51" s="65">
        <f t="shared" si="2"/>
        <v>-3.3650827407854869E-2</v>
      </c>
      <c r="J51" s="65"/>
      <c r="K51" s="66">
        <f>G51/$G$51</f>
        <v>1</v>
      </c>
    </row>
    <row r="52" spans="1:11" x14ac:dyDescent="0.2">
      <c r="C52" s="67"/>
      <c r="F52" s="68"/>
    </row>
    <row r="53" spans="1:11" x14ac:dyDescent="0.2">
      <c r="F53" s="68"/>
    </row>
    <row r="54" spans="1:11" x14ac:dyDescent="0.2">
      <c r="F54" s="68"/>
    </row>
    <row r="55" spans="1:11" x14ac:dyDescent="0.2">
      <c r="A55" s="69"/>
      <c r="B55" s="70"/>
      <c r="F55" s="68"/>
    </row>
    <row r="56" spans="1:11" x14ac:dyDescent="0.2">
      <c r="B56" s="70"/>
      <c r="F56" s="68"/>
    </row>
    <row r="57" spans="1:11" x14ac:dyDescent="0.2">
      <c r="F57" s="68"/>
    </row>
    <row r="58" spans="1:11" x14ac:dyDescent="0.2">
      <c r="D58" s="71"/>
      <c r="F58" s="68"/>
    </row>
    <row r="59" spans="1:11" x14ac:dyDescent="0.2">
      <c r="F59" s="68"/>
    </row>
    <row r="60" spans="1:11" x14ac:dyDescent="0.2">
      <c r="A60" s="69"/>
      <c r="B60" s="70"/>
      <c r="F60" s="68"/>
    </row>
    <row r="61" spans="1:11" x14ac:dyDescent="0.2">
      <c r="B61" s="71"/>
      <c r="D61" s="71"/>
      <c r="F61" s="68"/>
    </row>
    <row r="62" spans="1:11" x14ac:dyDescent="0.2">
      <c r="F62" s="68"/>
    </row>
    <row r="63" spans="1:11" x14ac:dyDescent="0.2">
      <c r="F63" s="68"/>
    </row>
    <row r="64" spans="1:11" x14ac:dyDescent="0.2">
      <c r="F64" s="68"/>
    </row>
    <row r="65" spans="6:6" x14ac:dyDescent="0.2">
      <c r="F65" s="68"/>
    </row>
    <row r="66" spans="6:6" x14ac:dyDescent="0.2">
      <c r="F66" s="68"/>
    </row>
    <row r="67" spans="6:6" x14ac:dyDescent="0.2">
      <c r="F67" s="68"/>
    </row>
    <row r="68" spans="6:6" x14ac:dyDescent="0.2">
      <c r="F68" s="68"/>
    </row>
  </sheetData>
  <mergeCells count="1">
    <mergeCell ref="A1:K1"/>
  </mergeCells>
  <pageMargins left="0.7" right="0.7" top="0.75" bottom="0.75" header="0.3" footer="0.3"/>
  <pageSetup scale="7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theme="1" tint="0.499984740745262"/>
    <pageSetUpPr fitToPage="1"/>
  </sheetPr>
  <dimension ref="A1:K68"/>
  <sheetViews>
    <sheetView tabSelected="1" topLeftCell="A7"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3"/>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205" t="s">
        <v>124</v>
      </c>
      <c r="B1" s="206"/>
      <c r="C1" s="206"/>
      <c r="D1" s="206"/>
      <c r="E1" s="206"/>
      <c r="F1" s="206"/>
      <c r="G1" s="206"/>
      <c r="H1" s="206"/>
      <c r="I1" s="206"/>
      <c r="J1" s="206"/>
      <c r="K1" s="207"/>
    </row>
    <row r="3" spans="1:11" x14ac:dyDescent="0.2">
      <c r="A3" s="12" t="s">
        <v>13</v>
      </c>
      <c r="B3" s="12" t="s">
        <v>6</v>
      </c>
    </row>
    <row r="4" spans="1:11" x14ac:dyDescent="0.2">
      <c r="A4" s="14" t="s">
        <v>62</v>
      </c>
      <c r="B4" s="14">
        <v>1000</v>
      </c>
    </row>
    <row r="5" spans="1:11" x14ac:dyDescent="0.2">
      <c r="A5" s="14" t="s">
        <v>16</v>
      </c>
      <c r="B5" s="14">
        <f>VLOOKUP($B$3,'Data for Bill Impacts'!$A$3:$Y$15,5,0)</f>
        <v>0</v>
      </c>
    </row>
    <row r="6" spans="1:11" x14ac:dyDescent="0.2">
      <c r="A6" s="14" t="s">
        <v>20</v>
      </c>
      <c r="B6" s="14">
        <f>VLOOKUP($B$3,'Data for Bill Impacts'!$A$3:$Y$15,2,0)</f>
        <v>1.0669999999999999</v>
      </c>
    </row>
    <row r="7" spans="1:11" x14ac:dyDescent="0.2">
      <c r="A7" s="14" t="s">
        <v>15</v>
      </c>
      <c r="B7" s="14">
        <f>VLOOKUP($B$3,'Data for Bill Impacts'!$A$3:$Y$15,4,0)</f>
        <v>750</v>
      </c>
    </row>
    <row r="8" spans="1:11" x14ac:dyDescent="0.2">
      <c r="A8" s="14" t="s">
        <v>82</v>
      </c>
      <c r="B8" s="14">
        <f>B4*B6</f>
        <v>1067</v>
      </c>
    </row>
    <row r="9" spans="1:11" x14ac:dyDescent="0.2">
      <c r="A9" s="14" t="s">
        <v>21</v>
      </c>
      <c r="B9" s="15" t="str">
        <f>VLOOKUP($B$3,'Data for Bill Impacts'!$A$3:$Y$15,6,0)</f>
        <v>kWh</v>
      </c>
    </row>
    <row r="10" spans="1:11" ht="13.5" thickBot="1" x14ac:dyDescent="0.25"/>
    <row r="11" spans="1:11" s="19" customFormat="1" ht="39" thickBot="1" x14ac:dyDescent="0.25">
      <c r="A11" s="16"/>
      <c r="B11" s="17" t="s">
        <v>22</v>
      </c>
      <c r="C11" s="17" t="s">
        <v>23</v>
      </c>
      <c r="D11" s="17" t="s">
        <v>24</v>
      </c>
      <c r="E11" s="17" t="s">
        <v>22</v>
      </c>
      <c r="F11" s="17" t="s">
        <v>25</v>
      </c>
      <c r="G11" s="17" t="s">
        <v>26</v>
      </c>
      <c r="H11" s="17" t="s">
        <v>27</v>
      </c>
      <c r="I11" s="17" t="s">
        <v>28</v>
      </c>
      <c r="J11" s="17" t="s">
        <v>29</v>
      </c>
      <c r="K11" s="18" t="s">
        <v>30</v>
      </c>
    </row>
    <row r="12" spans="1:11" x14ac:dyDescent="0.2">
      <c r="A12" s="100" t="s">
        <v>31</v>
      </c>
      <c r="B12" s="101">
        <f>IF(B4&gt;B7,B7,B4)</f>
        <v>750</v>
      </c>
      <c r="C12" s="102">
        <v>9.0999999999999998E-2</v>
      </c>
      <c r="D12" s="103">
        <f>B12*C12</f>
        <v>68.25</v>
      </c>
      <c r="E12" s="101">
        <f>B12</f>
        <v>750</v>
      </c>
      <c r="F12" s="102">
        <f>C12</f>
        <v>9.0999999999999998E-2</v>
      </c>
      <c r="G12" s="103">
        <f>E12*F12</f>
        <v>68.25</v>
      </c>
      <c r="H12" s="103">
        <f>G12-D12</f>
        <v>0</v>
      </c>
      <c r="I12" s="104">
        <f>IF(ISERROR(H12/ABS(D12)),"N/A",(H12/ABS(D12)))</f>
        <v>0</v>
      </c>
      <c r="J12" s="104">
        <f>G12/$G$46</f>
        <v>0.35156913417717139</v>
      </c>
      <c r="K12" s="105"/>
    </row>
    <row r="13" spans="1:11" x14ac:dyDescent="0.2">
      <c r="A13" s="106" t="s">
        <v>32</v>
      </c>
      <c r="B13" s="72">
        <f>IF(B4&gt;B7,(B4)-B7,0)</f>
        <v>250</v>
      </c>
      <c r="C13" s="20">
        <v>0.106</v>
      </c>
      <c r="D13" s="21">
        <f>B13*C13</f>
        <v>26.5</v>
      </c>
      <c r="E13" s="72">
        <f t="shared" ref="E13" si="0">B13</f>
        <v>250</v>
      </c>
      <c r="F13" s="20">
        <f>C13</f>
        <v>0.106</v>
      </c>
      <c r="G13" s="21">
        <f>E13*F13</f>
        <v>26.5</v>
      </c>
      <c r="H13" s="21">
        <f t="shared" ref="H13:H46" si="1">G13-D13</f>
        <v>0</v>
      </c>
      <c r="I13" s="22">
        <f t="shared" ref="I13:I51" si="2">IF(ISERROR(H13/ABS(D13)),"N/A",(H13/ABS(D13)))</f>
        <v>0</v>
      </c>
      <c r="J13" s="22">
        <f>G13/$G$46</f>
        <v>0.13650669678674054</v>
      </c>
      <c r="K13" s="107"/>
    </row>
    <row r="14" spans="1:11" s="1" customFormat="1" x14ac:dyDescent="0.2">
      <c r="A14" s="45" t="s">
        <v>33</v>
      </c>
      <c r="B14" s="23"/>
      <c r="C14" s="24"/>
      <c r="D14" s="24">
        <f>SUM(D12:D13)</f>
        <v>94.75</v>
      </c>
      <c r="E14" s="75"/>
      <c r="F14" s="24"/>
      <c r="G14" s="24">
        <f>SUM(G12:G13)</f>
        <v>94.75</v>
      </c>
      <c r="H14" s="24">
        <f t="shared" si="1"/>
        <v>0</v>
      </c>
      <c r="I14" s="26">
        <f t="shared" si="2"/>
        <v>0</v>
      </c>
      <c r="J14" s="26">
        <f>G14/$G$46</f>
        <v>0.48807583096391194</v>
      </c>
      <c r="K14" s="107"/>
    </row>
    <row r="15" spans="1:11" s="1" customFormat="1" x14ac:dyDescent="0.2">
      <c r="A15" s="108" t="s">
        <v>34</v>
      </c>
      <c r="B15" s="74">
        <f>B4*0.65</f>
        <v>650</v>
      </c>
      <c r="C15" s="27">
        <v>7.6999999999999999E-2</v>
      </c>
      <c r="D15" s="21">
        <f>B15*C15</f>
        <v>50.05</v>
      </c>
      <c r="E15" s="72">
        <f t="shared" ref="E15:F17" si="3">B15</f>
        <v>650</v>
      </c>
      <c r="F15" s="27">
        <f t="shared" si="3"/>
        <v>7.6999999999999999E-2</v>
      </c>
      <c r="G15" s="21">
        <f>E15*F15</f>
        <v>50.05</v>
      </c>
      <c r="H15" s="21">
        <f t="shared" si="1"/>
        <v>0</v>
      </c>
      <c r="I15" s="22">
        <f t="shared" si="2"/>
        <v>0</v>
      </c>
      <c r="J15" s="22"/>
      <c r="K15" s="107">
        <f t="shared" ref="K15:K26" si="4">G15/$G$51</f>
        <v>0.25478309833779506</v>
      </c>
    </row>
    <row r="16" spans="1:11" s="1" customFormat="1" x14ac:dyDescent="0.2">
      <c r="A16" s="108" t="s">
        <v>35</v>
      </c>
      <c r="B16" s="74">
        <f>B4*0.17</f>
        <v>170</v>
      </c>
      <c r="C16" s="27">
        <v>0.113</v>
      </c>
      <c r="D16" s="21">
        <f>B16*C16</f>
        <v>19.21</v>
      </c>
      <c r="E16" s="72">
        <f t="shared" si="3"/>
        <v>170</v>
      </c>
      <c r="F16" s="27">
        <f t="shared" si="3"/>
        <v>0.113</v>
      </c>
      <c r="G16" s="21">
        <f>E16*F16</f>
        <v>19.21</v>
      </c>
      <c r="H16" s="21">
        <f t="shared" si="1"/>
        <v>0</v>
      </c>
      <c r="I16" s="22">
        <f t="shared" si="2"/>
        <v>0</v>
      </c>
      <c r="J16" s="22"/>
      <c r="K16" s="107">
        <f t="shared" si="4"/>
        <v>9.7789876504876E-2</v>
      </c>
    </row>
    <row r="17" spans="1:11" s="1" customFormat="1" x14ac:dyDescent="0.2">
      <c r="A17" s="108" t="s">
        <v>36</v>
      </c>
      <c r="B17" s="74">
        <f>B4*0.18</f>
        <v>180</v>
      </c>
      <c r="C17" s="27">
        <v>0.157</v>
      </c>
      <c r="D17" s="21">
        <f>B17*C17</f>
        <v>28.26</v>
      </c>
      <c r="E17" s="72">
        <f t="shared" si="3"/>
        <v>180</v>
      </c>
      <c r="F17" s="27">
        <f t="shared" si="3"/>
        <v>0.157</v>
      </c>
      <c r="G17" s="21">
        <f>E17*F17</f>
        <v>28.26</v>
      </c>
      <c r="H17" s="21">
        <f t="shared" si="1"/>
        <v>0</v>
      </c>
      <c r="I17" s="22">
        <f t="shared" si="2"/>
        <v>0</v>
      </c>
      <c r="J17" s="22"/>
      <c r="K17" s="107">
        <f t="shared" si="4"/>
        <v>0.14385954763288891</v>
      </c>
    </row>
    <row r="18" spans="1:11" s="1" customFormat="1" x14ac:dyDescent="0.2">
      <c r="A18" s="60" t="s">
        <v>37</v>
      </c>
      <c r="B18" s="28"/>
      <c r="C18" s="29"/>
      <c r="D18" s="29">
        <f>SUM(D15:D17)</f>
        <v>97.52</v>
      </c>
      <c r="E18" s="76"/>
      <c r="F18" s="29"/>
      <c r="G18" s="29">
        <f>SUM(G15:G17)</f>
        <v>97.52</v>
      </c>
      <c r="H18" s="30">
        <f t="shared" si="1"/>
        <v>0</v>
      </c>
      <c r="I18" s="31">
        <f t="shared" si="2"/>
        <v>0</v>
      </c>
      <c r="J18" s="32">
        <f t="shared" ref="J18:J23" si="5">G18/$G$46</f>
        <v>0.50234464417520519</v>
      </c>
      <c r="K18" s="61">
        <f t="shared" si="4"/>
        <v>0.49643252247555997</v>
      </c>
    </row>
    <row r="19" spans="1:11" x14ac:dyDescent="0.2">
      <c r="A19" s="106" t="s">
        <v>38</v>
      </c>
      <c r="B19" s="72">
        <v>1</v>
      </c>
      <c r="C19" s="77">
        <f>VLOOKUP($B$3,'Data for Bill Impacts'!$A$3:$Y$15,7,0)</f>
        <v>25.55</v>
      </c>
      <c r="D19" s="21">
        <f>B19*C19</f>
        <v>25.55</v>
      </c>
      <c r="E19" s="72">
        <f t="shared" ref="E19:E41" si="6">B19</f>
        <v>1</v>
      </c>
      <c r="F19" s="77">
        <f>VLOOKUP($B$3,'Data for Bill Impacts'!$A$3:$Y$15,17,0)</f>
        <v>26.07</v>
      </c>
      <c r="G19" s="21">
        <f>E19*F19</f>
        <v>26.07</v>
      </c>
      <c r="H19" s="21">
        <f t="shared" si="1"/>
        <v>0.51999999999999957</v>
      </c>
      <c r="I19" s="22">
        <f t="shared" si="2"/>
        <v>2.0352250489236775E-2</v>
      </c>
      <c r="J19" s="22">
        <f t="shared" si="5"/>
        <v>0.13429168246152173</v>
      </c>
      <c r="K19" s="107">
        <f t="shared" si="4"/>
        <v>0.1327111962770493</v>
      </c>
    </row>
    <row r="20" spans="1:11" hidden="1" x14ac:dyDescent="0.2">
      <c r="A20" s="106" t="s">
        <v>83</v>
      </c>
      <c r="B20" s="72">
        <v>1</v>
      </c>
      <c r="C20" s="77">
        <f>VLOOKUP($B$3,'Data for Bill Impacts'!$A$3:$Y$15,8,0)</f>
        <v>0</v>
      </c>
      <c r="D20" s="21">
        <f>B20*C20</f>
        <v>0</v>
      </c>
      <c r="E20" s="72">
        <f t="shared" si="6"/>
        <v>1</v>
      </c>
      <c r="F20" s="77">
        <v>0</v>
      </c>
      <c r="G20" s="21">
        <f t="shared" ref="G20:G22" si="7">E20*F20</f>
        <v>0</v>
      </c>
      <c r="H20" s="21">
        <f t="shared" si="1"/>
        <v>0</v>
      </c>
      <c r="I20" s="22" t="str">
        <f t="shared" si="2"/>
        <v>N/A</v>
      </c>
      <c r="J20" s="22">
        <f t="shared" si="5"/>
        <v>0</v>
      </c>
      <c r="K20" s="107">
        <f t="shared" si="4"/>
        <v>0</v>
      </c>
    </row>
    <row r="21" spans="1:11" hidden="1" x14ac:dyDescent="0.2">
      <c r="A21" s="106" t="s">
        <v>84</v>
      </c>
      <c r="B21" s="72">
        <v>1</v>
      </c>
      <c r="C21" s="77">
        <f>VLOOKUP($B$3,'Data for Bill Impacts'!$A$3:$Y$15,11,0)</f>
        <v>0</v>
      </c>
      <c r="D21" s="21">
        <f t="shared" ref="D21:D22" si="8">B21*C21</f>
        <v>0</v>
      </c>
      <c r="E21" s="72">
        <f t="shared" si="6"/>
        <v>1</v>
      </c>
      <c r="F21" s="120">
        <f>VLOOKUP($B$3,'Data for Bill Impacts'!$A$3:$Y$15,12,0)</f>
        <v>0</v>
      </c>
      <c r="G21" s="21">
        <f t="shared" si="7"/>
        <v>0</v>
      </c>
      <c r="H21" s="21">
        <f t="shared" si="1"/>
        <v>0</v>
      </c>
      <c r="I21" s="22" t="str">
        <f t="shared" si="2"/>
        <v>N/A</v>
      </c>
      <c r="J21" s="22">
        <f t="shared" si="5"/>
        <v>0</v>
      </c>
      <c r="K21" s="107">
        <f t="shared" si="4"/>
        <v>0</v>
      </c>
    </row>
    <row r="22" spans="1:11" x14ac:dyDescent="0.2">
      <c r="A22" s="106" t="s">
        <v>85</v>
      </c>
      <c r="B22" s="72">
        <v>1</v>
      </c>
      <c r="C22" s="120">
        <f>VLOOKUP($B$3,'Data for Bill Impacts'!$A$3:$Y$15,13,0)</f>
        <v>8.0000000000000002E-3</v>
      </c>
      <c r="D22" s="21">
        <f t="shared" si="8"/>
        <v>8.0000000000000002E-3</v>
      </c>
      <c r="E22" s="72">
        <f t="shared" si="6"/>
        <v>1</v>
      </c>
      <c r="F22" s="120">
        <f>VLOOKUP($B$3,'Data for Bill Impacts'!$A$3:$Y$15,22,0)</f>
        <v>8.0000000000000002E-3</v>
      </c>
      <c r="G22" s="21">
        <f t="shared" si="7"/>
        <v>8.0000000000000002E-3</v>
      </c>
      <c r="H22" s="21">
        <f t="shared" si="1"/>
        <v>0</v>
      </c>
      <c r="I22" s="22">
        <f t="shared" si="2"/>
        <v>0</v>
      </c>
      <c r="J22" s="22">
        <f t="shared" si="5"/>
        <v>4.1209568841280169E-5</v>
      </c>
      <c r="K22" s="107">
        <f t="shared" si="4"/>
        <v>4.0724571162884328E-5</v>
      </c>
    </row>
    <row r="23" spans="1:11" x14ac:dyDescent="0.2">
      <c r="A23" s="106" t="s">
        <v>39</v>
      </c>
      <c r="B23" s="72">
        <f>IF($B$9="kWh",$B$4,$B$5)</f>
        <v>1000</v>
      </c>
      <c r="C23" s="124">
        <f>VLOOKUP($B$3,'Data for Bill Impacts'!$A$3:$Y$15,10,0)</f>
        <v>3.0800000000000001E-2</v>
      </c>
      <c r="D23" s="21">
        <f>B23*C23</f>
        <v>30.8</v>
      </c>
      <c r="E23" s="72">
        <f t="shared" si="6"/>
        <v>1000</v>
      </c>
      <c r="F23" s="77">
        <f>VLOOKUP($B$3,'Data for Bill Impacts'!$A$3:$Y$15,19,0)</f>
        <v>3.1600000000000003E-2</v>
      </c>
      <c r="G23" s="21">
        <f>E23*F23</f>
        <v>31.6</v>
      </c>
      <c r="H23" s="21">
        <f t="shared" si="1"/>
        <v>0.80000000000000071</v>
      </c>
      <c r="I23" s="22">
        <f t="shared" si="2"/>
        <v>2.5974025974025997E-2</v>
      </c>
      <c r="J23" s="22">
        <f t="shared" si="5"/>
        <v>0.16277779692305666</v>
      </c>
      <c r="K23" s="107">
        <f t="shared" si="4"/>
        <v>0.1608620560933931</v>
      </c>
    </row>
    <row r="24" spans="1:11" x14ac:dyDescent="0.2">
      <c r="A24" s="106" t="s">
        <v>129</v>
      </c>
      <c r="B24" s="72">
        <f>IF($B$9="kWh",$B$4,$B$5)</f>
        <v>1000</v>
      </c>
      <c r="C24" s="77">
        <f>VLOOKUP($B$3,'Data for Bill Impacts'!$A$3:$Y$15,14,0)</f>
        <v>3.0000000000000004E-5</v>
      </c>
      <c r="D24" s="33">
        <f>B24*C24</f>
        <v>3.0000000000000006E-2</v>
      </c>
      <c r="E24" s="72">
        <f t="shared" si="6"/>
        <v>1000</v>
      </c>
      <c r="F24" s="77">
        <f>VLOOKUP($B$3,'Data for Bill Impacts'!$A$3:$Y$15,23,0)</f>
        <v>3.0000000000000004E-5</v>
      </c>
      <c r="G24" s="33">
        <f>E24*F24</f>
        <v>3.0000000000000006E-2</v>
      </c>
      <c r="H24" s="21">
        <f t="shared" si="1"/>
        <v>0</v>
      </c>
      <c r="I24" s="22">
        <f t="shared" si="2"/>
        <v>0</v>
      </c>
      <c r="J24" s="22">
        <f t="shared" ref="J24" si="9">G24/$G$46</f>
        <v>1.5453588315480064E-4</v>
      </c>
      <c r="K24" s="107">
        <f t="shared" si="4"/>
        <v>1.5271714186081627E-4</v>
      </c>
    </row>
    <row r="25" spans="1:11" s="1" customFormat="1" x14ac:dyDescent="0.2">
      <c r="A25" s="109" t="s">
        <v>72</v>
      </c>
      <c r="B25" s="73"/>
      <c r="C25" s="34"/>
      <c r="D25" s="34">
        <f>SUM(D19:D24)</f>
        <v>56.388000000000005</v>
      </c>
      <c r="E25" s="72"/>
      <c r="F25" s="34"/>
      <c r="G25" s="34">
        <f>SUM(G19:G24)</f>
        <v>57.707999999999998</v>
      </c>
      <c r="H25" s="34">
        <f t="shared" si="1"/>
        <v>1.3199999999999932</v>
      </c>
      <c r="I25" s="35">
        <f t="shared" si="2"/>
        <v>2.340923600766108E-2</v>
      </c>
      <c r="J25" s="35">
        <f>G25/$G$46</f>
        <v>0.29726522483657447</v>
      </c>
      <c r="K25" s="110">
        <f t="shared" si="4"/>
        <v>0.29376669408346612</v>
      </c>
    </row>
    <row r="26" spans="1:11" s="1" customFormat="1" x14ac:dyDescent="0.2">
      <c r="A26" s="118" t="s">
        <v>73</v>
      </c>
      <c r="B26" s="119">
        <v>1</v>
      </c>
      <c r="C26" s="77">
        <f>VLOOKUP($B$3,'Data for Bill Impacts'!$A$3:$Y$15,9,0)</f>
        <v>0.79</v>
      </c>
      <c r="D26" s="21">
        <f>B26*C26</f>
        <v>0.79</v>
      </c>
      <c r="E26" s="72">
        <v>1</v>
      </c>
      <c r="F26" s="77">
        <f>VLOOKUP($B$3,'Data for Bill Impacts'!$A$3:$Y$15,18,0)</f>
        <v>0.79</v>
      </c>
      <c r="G26" s="21">
        <f>E26*F26</f>
        <v>0.79</v>
      </c>
      <c r="H26" s="21">
        <f t="shared" si="1"/>
        <v>0</v>
      </c>
      <c r="I26" s="22">
        <f t="shared" si="2"/>
        <v>0</v>
      </c>
      <c r="J26" s="22">
        <f>G26/$G$46</f>
        <v>4.0694449230764167E-3</v>
      </c>
      <c r="K26" s="107">
        <f t="shared" si="4"/>
        <v>4.0215514023348277E-3</v>
      </c>
    </row>
    <row r="27" spans="1:11" s="1" customFormat="1" x14ac:dyDescent="0.2">
      <c r="A27" s="118" t="s">
        <v>75</v>
      </c>
      <c r="B27" s="119">
        <f>B8-B4</f>
        <v>67</v>
      </c>
      <c r="C27" s="186">
        <f>IF(B4&gt;B7,C13,C12)</f>
        <v>0.106</v>
      </c>
      <c r="D27" s="21">
        <f>B27*C27</f>
        <v>7.1019999999999994</v>
      </c>
      <c r="E27" s="72">
        <f>B27</f>
        <v>67</v>
      </c>
      <c r="F27" s="186">
        <f>C27</f>
        <v>0.106</v>
      </c>
      <c r="G27" s="21">
        <f>E27*F27</f>
        <v>7.1019999999999994</v>
      </c>
      <c r="H27" s="21">
        <f t="shared" si="1"/>
        <v>0</v>
      </c>
      <c r="I27" s="22">
        <f t="shared" si="2"/>
        <v>0</v>
      </c>
      <c r="J27" s="22">
        <f t="shared" ref="J27:J46" si="10">G27/$G$46</f>
        <v>3.6583794738846466E-2</v>
      </c>
      <c r="K27" s="107">
        <f t="shared" ref="K27:K41" si="11">G27/$G$51</f>
        <v>3.6153238049850558E-2</v>
      </c>
    </row>
    <row r="28" spans="1:11" s="1" customFormat="1" x14ac:dyDescent="0.2">
      <c r="A28" s="118" t="s">
        <v>74</v>
      </c>
      <c r="B28" s="119">
        <f>B8-B4</f>
        <v>67</v>
      </c>
      <c r="C28" s="186">
        <f>0.65*C15+0.17*C16+0.18*C17</f>
        <v>9.7519999999999996E-2</v>
      </c>
      <c r="D28" s="21">
        <f>B28*C28</f>
        <v>6.5338399999999996</v>
      </c>
      <c r="E28" s="72">
        <f>B28</f>
        <v>67</v>
      </c>
      <c r="F28" s="186">
        <f>C28</f>
        <v>9.7519999999999996E-2</v>
      </c>
      <c r="G28" s="21">
        <f>E28*F28</f>
        <v>6.5338399999999996</v>
      </c>
      <c r="H28" s="21">
        <f t="shared" si="1"/>
        <v>0</v>
      </c>
      <c r="I28" s="22">
        <f t="shared" si="2"/>
        <v>0</v>
      </c>
      <c r="J28" s="22">
        <f t="shared" si="10"/>
        <v>3.365709115973875E-2</v>
      </c>
      <c r="K28" s="107">
        <f t="shared" si="11"/>
        <v>3.3260979005862515E-2</v>
      </c>
    </row>
    <row r="29" spans="1:11" s="1" customFormat="1" x14ac:dyDescent="0.2">
      <c r="A29" s="109" t="s">
        <v>78</v>
      </c>
      <c r="B29" s="73"/>
      <c r="C29" s="34"/>
      <c r="D29" s="34">
        <f>SUM(D25,D26:D27)</f>
        <v>64.28</v>
      </c>
      <c r="E29" s="72"/>
      <c r="F29" s="34"/>
      <c r="G29" s="34">
        <f>SUM(G25,G26:G27)</f>
        <v>65.599999999999994</v>
      </c>
      <c r="H29" s="34">
        <f t="shared" si="1"/>
        <v>1.3199999999999932</v>
      </c>
      <c r="I29" s="35">
        <f t="shared" si="2"/>
        <v>2.0535158680771517E-2</v>
      </c>
      <c r="J29" s="35">
        <f t="shared" si="10"/>
        <v>0.33791846449849733</v>
      </c>
      <c r="K29" s="110">
        <f t="shared" si="11"/>
        <v>0.33394148353565145</v>
      </c>
    </row>
    <row r="30" spans="1:11" s="1" customFormat="1" x14ac:dyDescent="0.2">
      <c r="A30" s="109" t="s">
        <v>77</v>
      </c>
      <c r="B30" s="73"/>
      <c r="C30" s="34"/>
      <c r="D30" s="34">
        <f>SUM(D25,D26,D28)</f>
        <v>63.711840000000002</v>
      </c>
      <c r="E30" s="72"/>
      <c r="F30" s="34"/>
      <c r="G30" s="34">
        <f>SUM(G25,G26,G28)</f>
        <v>65.031840000000003</v>
      </c>
      <c r="H30" s="34">
        <f t="shared" si="1"/>
        <v>1.3200000000000003</v>
      </c>
      <c r="I30" s="35">
        <f t="shared" si="2"/>
        <v>2.0718284074043383E-2</v>
      </c>
      <c r="J30" s="35">
        <f t="shared" si="10"/>
        <v>0.33499176091938965</v>
      </c>
      <c r="K30" s="110">
        <f t="shared" si="11"/>
        <v>0.33104922449166346</v>
      </c>
    </row>
    <row r="31" spans="1:11" x14ac:dyDescent="0.2">
      <c r="A31" s="106" t="s">
        <v>40</v>
      </c>
      <c r="B31" s="72">
        <f>B8</f>
        <v>1067</v>
      </c>
      <c r="C31" s="124">
        <f>VLOOKUP($B$3,'Data for Bill Impacts'!$A$3:$Y$15,15,0)</f>
        <v>5.7999999999999996E-3</v>
      </c>
      <c r="D31" s="21">
        <f>B31*C31</f>
        <v>6.1885999999999992</v>
      </c>
      <c r="E31" s="72">
        <f t="shared" si="6"/>
        <v>1067</v>
      </c>
      <c r="F31" s="77">
        <f>VLOOKUP($B$3,'Data for Bill Impacts'!$A$3:$Y$15,24,0)</f>
        <v>5.7999999999999996E-3</v>
      </c>
      <c r="G31" s="21">
        <f>E31*F31</f>
        <v>6.1885999999999992</v>
      </c>
      <c r="H31" s="21">
        <f t="shared" si="1"/>
        <v>0</v>
      </c>
      <c r="I31" s="22">
        <f t="shared" si="2"/>
        <v>0</v>
      </c>
      <c r="J31" s="22">
        <f t="shared" si="10"/>
        <v>3.1878692216393299E-2</v>
      </c>
      <c r="K31" s="107">
        <f t="shared" si="11"/>
        <v>3.1503510137328238E-2</v>
      </c>
    </row>
    <row r="32" spans="1:11" x14ac:dyDescent="0.2">
      <c r="A32" s="106" t="s">
        <v>41</v>
      </c>
      <c r="B32" s="72">
        <f>B8</f>
        <v>1067</v>
      </c>
      <c r="C32" s="124">
        <f>VLOOKUP($B$3,'Data for Bill Impacts'!$A$3:$Y$15,16,0)</f>
        <v>4.7000000000000002E-3</v>
      </c>
      <c r="D32" s="21">
        <f>B32*C32</f>
        <v>5.0148999999999999</v>
      </c>
      <c r="E32" s="72">
        <f t="shared" si="6"/>
        <v>1067</v>
      </c>
      <c r="F32" s="77">
        <f>VLOOKUP($B$3,'Data for Bill Impacts'!$A$3:$Y$15,25,0)</f>
        <v>4.7000000000000002E-3</v>
      </c>
      <c r="G32" s="21">
        <f>E32*F32</f>
        <v>5.0148999999999999</v>
      </c>
      <c r="H32" s="21">
        <f t="shared" si="1"/>
        <v>0</v>
      </c>
      <c r="I32" s="22">
        <f t="shared" si="2"/>
        <v>0</v>
      </c>
      <c r="J32" s="22">
        <f t="shared" si="10"/>
        <v>2.5832733347766989E-2</v>
      </c>
      <c r="K32" s="107">
        <f t="shared" si="11"/>
        <v>2.5528706490593578E-2</v>
      </c>
    </row>
    <row r="33" spans="1:11" s="1" customFormat="1" x14ac:dyDescent="0.2">
      <c r="A33" s="109" t="s">
        <v>76</v>
      </c>
      <c r="B33" s="73"/>
      <c r="C33" s="34"/>
      <c r="D33" s="34">
        <f>SUM(D31:D32)</f>
        <v>11.203499999999998</v>
      </c>
      <c r="E33" s="72"/>
      <c r="F33" s="34"/>
      <c r="G33" s="34">
        <f>SUM(G31:G32)</f>
        <v>11.203499999999998</v>
      </c>
      <c r="H33" s="34">
        <f t="shared" si="1"/>
        <v>0</v>
      </c>
      <c r="I33" s="35">
        <f t="shared" si="2"/>
        <v>0</v>
      </c>
      <c r="J33" s="35">
        <f t="shared" si="10"/>
        <v>5.7711425564160285E-2</v>
      </c>
      <c r="K33" s="110">
        <f t="shared" si="11"/>
        <v>5.7032216627921815E-2</v>
      </c>
    </row>
    <row r="34" spans="1:11" s="1" customFormat="1" x14ac:dyDescent="0.2">
      <c r="A34" s="109" t="s">
        <v>93</v>
      </c>
      <c r="B34" s="73"/>
      <c r="C34" s="34"/>
      <c r="D34" s="34">
        <f>D29+D33</f>
        <v>75.483499999999992</v>
      </c>
      <c r="E34" s="72"/>
      <c r="F34" s="34"/>
      <c r="G34" s="34">
        <f>G29+G33</f>
        <v>76.803499999999985</v>
      </c>
      <c r="H34" s="34">
        <f t="shared" si="1"/>
        <v>1.3199999999999932</v>
      </c>
      <c r="I34" s="35">
        <f t="shared" si="2"/>
        <v>1.7487265428868474E-2</v>
      </c>
      <c r="J34" s="35">
        <f t="shared" si="10"/>
        <v>0.39562989006265759</v>
      </c>
      <c r="K34" s="110">
        <f t="shared" si="11"/>
        <v>0.39097370016357325</v>
      </c>
    </row>
    <row r="35" spans="1:11" s="1" customFormat="1" x14ac:dyDescent="0.2">
      <c r="A35" s="109" t="s">
        <v>94</v>
      </c>
      <c r="B35" s="73"/>
      <c r="C35" s="34"/>
      <c r="D35" s="34">
        <f>D30+D33</f>
        <v>74.91534</v>
      </c>
      <c r="E35" s="72"/>
      <c r="F35" s="34"/>
      <c r="G35" s="34">
        <f>G30+G33</f>
        <v>76.235340000000008</v>
      </c>
      <c r="H35" s="34">
        <f t="shared" si="1"/>
        <v>1.3200000000000074</v>
      </c>
      <c r="I35" s="35">
        <f t="shared" si="2"/>
        <v>1.761988933107702E-2</v>
      </c>
      <c r="J35" s="35">
        <f t="shared" si="10"/>
        <v>0.39270318648354996</v>
      </c>
      <c r="K35" s="110">
        <f t="shared" si="11"/>
        <v>0.38808144111958531</v>
      </c>
    </row>
    <row r="36" spans="1:11" x14ac:dyDescent="0.2">
      <c r="A36" s="106" t="s">
        <v>42</v>
      </c>
      <c r="B36" s="72">
        <f>B8</f>
        <v>1067</v>
      </c>
      <c r="C36" s="33">
        <v>3.5999999999999999E-3</v>
      </c>
      <c r="D36" s="21">
        <f>B36*C36</f>
        <v>3.8411999999999997</v>
      </c>
      <c r="E36" s="72">
        <f t="shared" si="6"/>
        <v>1067</v>
      </c>
      <c r="F36" s="33">
        <v>3.5999999999999999E-3</v>
      </c>
      <c r="G36" s="21">
        <f>E36*F36</f>
        <v>3.8411999999999997</v>
      </c>
      <c r="H36" s="21">
        <f t="shared" si="1"/>
        <v>0</v>
      </c>
      <c r="I36" s="22">
        <f t="shared" si="2"/>
        <v>0</v>
      </c>
      <c r="J36" s="22">
        <f t="shared" si="10"/>
        <v>1.9786774479140672E-2</v>
      </c>
      <c r="K36" s="107">
        <f t="shared" si="11"/>
        <v>1.9553902843858908E-2</v>
      </c>
    </row>
    <row r="37" spans="1:11" x14ac:dyDescent="0.2">
      <c r="A37" s="106" t="s">
        <v>43</v>
      </c>
      <c r="B37" s="72">
        <f>B8</f>
        <v>1067</v>
      </c>
      <c r="C37" s="33">
        <v>2.0999999999999999E-3</v>
      </c>
      <c r="D37" s="21">
        <f>B37*C37</f>
        <v>2.2406999999999999</v>
      </c>
      <c r="E37" s="72">
        <f t="shared" si="6"/>
        <v>1067</v>
      </c>
      <c r="F37" s="33">
        <v>2.0999999999999999E-3</v>
      </c>
      <c r="G37" s="21">
        <f>E37*F37</f>
        <v>2.2406999999999999</v>
      </c>
      <c r="H37" s="21">
        <f>G37-D37</f>
        <v>0</v>
      </c>
      <c r="I37" s="22">
        <f t="shared" si="2"/>
        <v>0</v>
      </c>
      <c r="J37" s="22">
        <f t="shared" si="10"/>
        <v>1.1542285112832057E-2</v>
      </c>
      <c r="K37" s="107">
        <f t="shared" si="11"/>
        <v>1.1406443325584364E-2</v>
      </c>
    </row>
    <row r="38" spans="1:11" x14ac:dyDescent="0.2">
      <c r="A38" s="106" t="s">
        <v>99</v>
      </c>
      <c r="B38" s="72">
        <f>B8</f>
        <v>1067</v>
      </c>
      <c r="C38" s="33">
        <v>0</v>
      </c>
      <c r="D38" s="21">
        <f>B38*C38</f>
        <v>0</v>
      </c>
      <c r="E38" s="72">
        <f t="shared" si="6"/>
        <v>1067</v>
      </c>
      <c r="F38" s="33">
        <v>0</v>
      </c>
      <c r="G38" s="21">
        <f>E38*F38</f>
        <v>0</v>
      </c>
      <c r="H38" s="21">
        <f>G38-D38</f>
        <v>0</v>
      </c>
      <c r="I38" s="22" t="str">
        <f t="shared" si="2"/>
        <v>N/A</v>
      </c>
      <c r="J38" s="22">
        <f t="shared" ref="J38" si="12">G38/$G$46</f>
        <v>0</v>
      </c>
      <c r="K38" s="107">
        <f t="shared" ref="K38" si="13">G38/$G$51</f>
        <v>0</v>
      </c>
    </row>
    <row r="39" spans="1:11" x14ac:dyDescent="0.2">
      <c r="A39" s="106" t="s">
        <v>44</v>
      </c>
      <c r="B39" s="72">
        <v>1</v>
      </c>
      <c r="C39" s="21">
        <v>0.25</v>
      </c>
      <c r="D39" s="21">
        <f>B39*C39</f>
        <v>0.25</v>
      </c>
      <c r="E39" s="72">
        <f t="shared" si="6"/>
        <v>1</v>
      </c>
      <c r="F39" s="21">
        <f>C39</f>
        <v>0.25</v>
      </c>
      <c r="G39" s="21">
        <f>E39*F39</f>
        <v>0.25</v>
      </c>
      <c r="H39" s="21">
        <f t="shared" si="1"/>
        <v>0</v>
      </c>
      <c r="I39" s="22">
        <f t="shared" si="2"/>
        <v>0</v>
      </c>
      <c r="J39" s="22">
        <f t="shared" si="10"/>
        <v>1.2877990262900052E-3</v>
      </c>
      <c r="K39" s="107">
        <f t="shared" si="11"/>
        <v>1.2726428488401352E-3</v>
      </c>
    </row>
    <row r="40" spans="1:11" s="1" customFormat="1" x14ac:dyDescent="0.2">
      <c r="A40" s="109" t="s">
        <v>45</v>
      </c>
      <c r="B40" s="73"/>
      <c r="C40" s="34"/>
      <c r="D40" s="34">
        <f>SUM(D36:D39)</f>
        <v>6.3318999999999992</v>
      </c>
      <c r="E40" s="72"/>
      <c r="F40" s="34"/>
      <c r="G40" s="34">
        <f>SUM(G36:G39)</f>
        <v>6.3318999999999992</v>
      </c>
      <c r="H40" s="34">
        <f t="shared" si="1"/>
        <v>0</v>
      </c>
      <c r="I40" s="35">
        <f t="shared" si="2"/>
        <v>0</v>
      </c>
      <c r="J40" s="35">
        <f t="shared" si="10"/>
        <v>3.2616858618262731E-2</v>
      </c>
      <c r="K40" s="110">
        <f t="shared" si="11"/>
        <v>3.2232989018283406E-2</v>
      </c>
    </row>
    <row r="41" spans="1:11" s="1" customFormat="1" ht="13.5" thickBot="1" x14ac:dyDescent="0.25">
      <c r="A41" s="111" t="s">
        <v>46</v>
      </c>
      <c r="B41" s="112">
        <f>B4</f>
        <v>1000</v>
      </c>
      <c r="C41" s="113">
        <v>7.0000000000000001E-3</v>
      </c>
      <c r="D41" s="114">
        <f>B41*C41</f>
        <v>7</v>
      </c>
      <c r="E41" s="115">
        <f t="shared" si="6"/>
        <v>1000</v>
      </c>
      <c r="F41" s="113">
        <f>C41</f>
        <v>7.0000000000000001E-3</v>
      </c>
      <c r="G41" s="114">
        <f>E41*F41</f>
        <v>7</v>
      </c>
      <c r="H41" s="114">
        <f t="shared" si="1"/>
        <v>0</v>
      </c>
      <c r="I41" s="116">
        <f t="shared" si="2"/>
        <v>0</v>
      </c>
      <c r="J41" s="116">
        <f t="shared" si="10"/>
        <v>3.6058372736120142E-2</v>
      </c>
      <c r="K41" s="117">
        <f t="shared" si="11"/>
        <v>3.5633999767523787E-2</v>
      </c>
    </row>
    <row r="42" spans="1:11" s="1" customFormat="1" x14ac:dyDescent="0.2">
      <c r="A42" s="36" t="s">
        <v>107</v>
      </c>
      <c r="B42" s="37"/>
      <c r="C42" s="38"/>
      <c r="D42" s="38">
        <f>SUM(D14,D25,D26,D27,D33,D40,D41)</f>
        <v>183.56539999999998</v>
      </c>
      <c r="E42" s="37"/>
      <c r="F42" s="38"/>
      <c r="G42" s="38">
        <f>SUM(G14,G25,G26,G27,G33,G40,G41)</f>
        <v>184.88539999999998</v>
      </c>
      <c r="H42" s="38">
        <f t="shared" si="1"/>
        <v>1.3199999999999932</v>
      </c>
      <c r="I42" s="39">
        <f t="shared" si="2"/>
        <v>7.1908976310350063E-3</v>
      </c>
      <c r="J42" s="39">
        <f t="shared" si="10"/>
        <v>0.95238095238095233</v>
      </c>
      <c r="K42" s="40"/>
    </row>
    <row r="43" spans="1:11" x14ac:dyDescent="0.2">
      <c r="A43" s="142" t="s">
        <v>108</v>
      </c>
      <c r="B43" s="42"/>
      <c r="C43" s="25">
        <v>0.13</v>
      </c>
      <c r="D43" s="25">
        <f>D42*C43</f>
        <v>23.863501999999997</v>
      </c>
      <c r="E43" s="25"/>
      <c r="F43" s="25">
        <f>C43</f>
        <v>0.13</v>
      </c>
      <c r="G43" s="25">
        <f>G42*F43</f>
        <v>24.035101999999998</v>
      </c>
      <c r="H43" s="25">
        <f t="shared" si="1"/>
        <v>0.17160000000000153</v>
      </c>
      <c r="I43" s="43">
        <f t="shared" si="2"/>
        <v>7.1908976310351078E-3</v>
      </c>
      <c r="J43" s="43">
        <f t="shared" si="10"/>
        <v>0.12380952380952381</v>
      </c>
      <c r="K43" s="44"/>
    </row>
    <row r="44" spans="1:11" s="1" customFormat="1" x14ac:dyDescent="0.2">
      <c r="A44" s="45" t="s">
        <v>109</v>
      </c>
      <c r="B44" s="23"/>
      <c r="C44" s="24"/>
      <c r="D44" s="24">
        <f>SUM(D42:D43)</f>
        <v>207.42890199999999</v>
      </c>
      <c r="E44" s="24"/>
      <c r="F44" s="24"/>
      <c r="G44" s="24">
        <f>SUM(G42:G43)</f>
        <v>208.92050199999997</v>
      </c>
      <c r="H44" s="24">
        <f t="shared" si="1"/>
        <v>1.4915999999999769</v>
      </c>
      <c r="I44" s="26">
        <f t="shared" si="2"/>
        <v>7.1908976310349317E-3</v>
      </c>
      <c r="J44" s="26">
        <f t="shared" si="10"/>
        <v>1.0761904761904761</v>
      </c>
      <c r="K44" s="46"/>
    </row>
    <row r="45" spans="1:11" x14ac:dyDescent="0.2">
      <c r="A45" s="41" t="s">
        <v>110</v>
      </c>
      <c r="B45" s="42"/>
      <c r="C45" s="25">
        <v>-0.08</v>
      </c>
      <c r="D45" s="25">
        <f>D42*C45</f>
        <v>-14.685231999999999</v>
      </c>
      <c r="E45" s="25"/>
      <c r="F45" s="25">
        <f>C45</f>
        <v>-0.08</v>
      </c>
      <c r="G45" s="25">
        <f>G42*F45</f>
        <v>-14.790831999999998</v>
      </c>
      <c r="H45" s="25">
        <f t="shared" si="1"/>
        <v>-0.10559999999999903</v>
      </c>
      <c r="I45" s="43">
        <f t="shared" si="2"/>
        <v>-7.1908976310349768E-3</v>
      </c>
      <c r="J45" s="43">
        <f t="shared" si="10"/>
        <v>-7.6190476190476197E-2</v>
      </c>
      <c r="K45" s="44"/>
    </row>
    <row r="46" spans="1:11" s="1" customFormat="1" ht="13.5" thickBot="1" x14ac:dyDescent="0.25">
      <c r="A46" s="47" t="s">
        <v>111</v>
      </c>
      <c r="B46" s="48"/>
      <c r="C46" s="49"/>
      <c r="D46" s="49">
        <f>SUM(D44:D45)</f>
        <v>192.74367000000001</v>
      </c>
      <c r="E46" s="49"/>
      <c r="F46" s="49"/>
      <c r="G46" s="49">
        <f>SUM(G44:G45)</f>
        <v>194.12966999999998</v>
      </c>
      <c r="H46" s="49">
        <f t="shared" si="1"/>
        <v>1.3859999999999673</v>
      </c>
      <c r="I46" s="50">
        <f t="shared" si="2"/>
        <v>7.1908976310348727E-3</v>
      </c>
      <c r="J46" s="50">
        <f t="shared" si="10"/>
        <v>1</v>
      </c>
      <c r="K46" s="51"/>
    </row>
    <row r="47" spans="1:11" x14ac:dyDescent="0.2">
      <c r="A47" s="52" t="s">
        <v>112</v>
      </c>
      <c r="B47" s="53"/>
      <c r="C47" s="54"/>
      <c r="D47" s="54">
        <f>SUM(D18,D25,D26,D28,D33,D40,D41)</f>
        <v>185.76723999999999</v>
      </c>
      <c r="E47" s="54"/>
      <c r="F47" s="54"/>
      <c r="G47" s="54">
        <f>SUM(G18,G25,G26,G28,G33,G40,G41)</f>
        <v>187.08723999999998</v>
      </c>
      <c r="H47" s="54">
        <f>G47-D47</f>
        <v>1.3199999999999932</v>
      </c>
      <c r="I47" s="55">
        <f t="shared" si="2"/>
        <v>7.1056662089612425E-3</v>
      </c>
      <c r="J47" s="55"/>
      <c r="K47" s="56">
        <f>G47/$G$51</f>
        <v>0.95238095238095233</v>
      </c>
    </row>
    <row r="48" spans="1:11" x14ac:dyDescent="0.2">
      <c r="A48" s="143" t="s">
        <v>108</v>
      </c>
      <c r="B48" s="58"/>
      <c r="C48" s="30">
        <v>0.13</v>
      </c>
      <c r="D48" s="30">
        <f>D47*C48</f>
        <v>24.149741199999998</v>
      </c>
      <c r="E48" s="30"/>
      <c r="F48" s="30">
        <f>C48</f>
        <v>0.13</v>
      </c>
      <c r="G48" s="30">
        <f>G47*F48</f>
        <v>24.321341199999999</v>
      </c>
      <c r="H48" s="30">
        <f>G48-D48</f>
        <v>0.17160000000000153</v>
      </c>
      <c r="I48" s="31">
        <f t="shared" si="2"/>
        <v>7.1056662089613431E-3</v>
      </c>
      <c r="J48" s="31"/>
      <c r="K48" s="59">
        <f>G48/$G$51</f>
        <v>0.12380952380952381</v>
      </c>
    </row>
    <row r="49" spans="1:11" x14ac:dyDescent="0.2">
      <c r="A49" s="135" t="s">
        <v>113</v>
      </c>
      <c r="B49" s="28"/>
      <c r="C49" s="29"/>
      <c r="D49" s="29">
        <f>SUM(D47:D48)</f>
        <v>209.91698119999998</v>
      </c>
      <c r="E49" s="29"/>
      <c r="F49" s="29"/>
      <c r="G49" s="29">
        <f>SUM(G47:G48)</f>
        <v>211.40858119999999</v>
      </c>
      <c r="H49" s="29">
        <f>G49-D49</f>
        <v>1.4916000000000054</v>
      </c>
      <c r="I49" s="32">
        <f t="shared" si="2"/>
        <v>7.1056662089613049E-3</v>
      </c>
      <c r="J49" s="32"/>
      <c r="K49" s="61">
        <f>G49/$G$51</f>
        <v>1.0761904761904761</v>
      </c>
    </row>
    <row r="50" spans="1:11" x14ac:dyDescent="0.2">
      <c r="A50" s="57" t="s">
        <v>110</v>
      </c>
      <c r="B50" s="58"/>
      <c r="C50" s="30">
        <v>-0.08</v>
      </c>
      <c r="D50" s="30">
        <f>D47*C50</f>
        <v>-14.8613792</v>
      </c>
      <c r="E50" s="30"/>
      <c r="F50" s="30">
        <f>C50</f>
        <v>-0.08</v>
      </c>
      <c r="G50" s="30">
        <f>G47*F50</f>
        <v>-14.966979199999999</v>
      </c>
      <c r="H50" s="30">
        <f>G50-D50</f>
        <v>-0.10559999999999903</v>
      </c>
      <c r="I50" s="31">
        <f t="shared" si="2"/>
        <v>-7.105666208961213E-3</v>
      </c>
      <c r="J50" s="31"/>
      <c r="K50" s="59">
        <f>G50/$G$51</f>
        <v>-7.6190476190476183E-2</v>
      </c>
    </row>
    <row r="51" spans="1:11" ht="13.5" thickBot="1" x14ac:dyDescent="0.25">
      <c r="A51" s="62" t="s">
        <v>114</v>
      </c>
      <c r="B51" s="63"/>
      <c r="C51" s="64"/>
      <c r="D51" s="64">
        <f>SUM(D49:D50)</f>
        <v>195.05560199999999</v>
      </c>
      <c r="E51" s="64"/>
      <c r="F51" s="64"/>
      <c r="G51" s="64">
        <f>SUM(G49:G50)</f>
        <v>196.44160199999999</v>
      </c>
      <c r="H51" s="64">
        <f>G51-D51</f>
        <v>1.3859999999999957</v>
      </c>
      <c r="I51" s="65">
        <f t="shared" si="2"/>
        <v>7.1056662089612563E-3</v>
      </c>
      <c r="J51" s="65"/>
      <c r="K51" s="66">
        <f>G51/$G$51</f>
        <v>1</v>
      </c>
    </row>
    <row r="52" spans="1:11" x14ac:dyDescent="0.2">
      <c r="C52" s="67"/>
      <c r="F52" s="68"/>
    </row>
    <row r="53" spans="1:11" x14ac:dyDescent="0.2">
      <c r="F53" s="68"/>
    </row>
    <row r="54" spans="1:11" x14ac:dyDescent="0.2">
      <c r="F54" s="68"/>
    </row>
    <row r="55" spans="1:11" x14ac:dyDescent="0.2">
      <c r="A55" s="69"/>
      <c r="B55" s="70"/>
      <c r="F55" s="68"/>
    </row>
    <row r="56" spans="1:11" x14ac:dyDescent="0.2">
      <c r="B56" s="70"/>
      <c r="F56" s="68"/>
    </row>
    <row r="57" spans="1:11" x14ac:dyDescent="0.2">
      <c r="F57" s="68"/>
    </row>
    <row r="58" spans="1:11" x14ac:dyDescent="0.2">
      <c r="D58" s="71"/>
      <c r="F58" s="68"/>
    </row>
    <row r="59" spans="1:11" x14ac:dyDescent="0.2">
      <c r="F59" s="68"/>
    </row>
    <row r="60" spans="1:11" x14ac:dyDescent="0.2">
      <c r="A60" s="69"/>
      <c r="B60" s="70"/>
      <c r="F60" s="68"/>
    </row>
    <row r="61" spans="1:11" x14ac:dyDescent="0.2">
      <c r="B61" s="71"/>
      <c r="D61" s="71"/>
      <c r="F61" s="68"/>
    </row>
    <row r="62" spans="1:11" x14ac:dyDescent="0.2">
      <c r="F62" s="68"/>
    </row>
    <row r="63" spans="1:11" x14ac:dyDescent="0.2">
      <c r="F63" s="68"/>
    </row>
    <row r="64" spans="1:11" x14ac:dyDescent="0.2">
      <c r="F64" s="68"/>
      <c r="K64"/>
    </row>
    <row r="65" spans="6:11" x14ac:dyDescent="0.2">
      <c r="F65" s="68"/>
      <c r="K65"/>
    </row>
    <row r="66" spans="6:11" x14ac:dyDescent="0.2">
      <c r="F66" s="68"/>
      <c r="K66"/>
    </row>
    <row r="67" spans="6:11" x14ac:dyDescent="0.2">
      <c r="F67" s="68"/>
      <c r="K67"/>
    </row>
    <row r="68" spans="6:11" x14ac:dyDescent="0.2">
      <c r="F68" s="68"/>
      <c r="K68"/>
    </row>
  </sheetData>
  <mergeCells count="1">
    <mergeCell ref="A1:K1"/>
  </mergeCells>
  <pageMargins left="0.7" right="0.7" top="0.75" bottom="0.75" header="0.3" footer="0.3"/>
  <pageSetup scale="7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G48"/>
  <sheetViews>
    <sheetView workbookViewId="0">
      <selection activeCell="B27" sqref="B27"/>
    </sheetView>
  </sheetViews>
  <sheetFormatPr defaultRowHeight="12.75" x14ac:dyDescent="0.2"/>
  <cols>
    <col min="1" max="1" width="33" customWidth="1"/>
    <col min="3" max="3" width="12.5703125" customWidth="1"/>
    <col min="4" max="4" width="11.140625" customWidth="1"/>
    <col min="5" max="5" width="16.85546875" bestFit="1" customWidth="1"/>
    <col min="6" max="6" width="12.140625" customWidth="1"/>
    <col min="7" max="7" width="12" bestFit="1" customWidth="1"/>
    <col min="8" max="8" width="10.28515625" customWidth="1"/>
    <col min="9" max="9" width="10.7109375" customWidth="1"/>
  </cols>
  <sheetData>
    <row r="1" spans="1:6" x14ac:dyDescent="0.2">
      <c r="A1" s="8">
        <v>1</v>
      </c>
      <c r="B1" s="8">
        <v>2</v>
      </c>
      <c r="C1" s="8">
        <v>3</v>
      </c>
      <c r="D1" s="8">
        <v>4</v>
      </c>
      <c r="E1" s="8">
        <v>5</v>
      </c>
      <c r="F1" s="8">
        <v>6</v>
      </c>
    </row>
    <row r="2" spans="1:6" s="11" customFormat="1" ht="51" x14ac:dyDescent="0.2">
      <c r="A2" s="9" t="s">
        <v>13</v>
      </c>
      <c r="B2" s="9" t="s">
        <v>14</v>
      </c>
      <c r="C2" s="141" t="s">
        <v>101</v>
      </c>
      <c r="D2" s="9" t="s">
        <v>15</v>
      </c>
      <c r="E2" s="141" t="s">
        <v>102</v>
      </c>
      <c r="F2" s="10" t="s">
        <v>17</v>
      </c>
    </row>
    <row r="3" spans="1:6" x14ac:dyDescent="0.2">
      <c r="A3" s="5" t="s">
        <v>0</v>
      </c>
      <c r="B3" s="125">
        <v>1.0569999999999999</v>
      </c>
      <c r="C3" s="140">
        <v>755</v>
      </c>
      <c r="D3" s="6">
        <v>600</v>
      </c>
      <c r="E3" s="179">
        <f>VLOOKUP(A3,$A$25:$G$44,7,FALSE)</f>
        <v>0</v>
      </c>
      <c r="F3" s="4" t="s">
        <v>18</v>
      </c>
    </row>
    <row r="4" spans="1:6" x14ac:dyDescent="0.2">
      <c r="A4" s="5" t="s">
        <v>1</v>
      </c>
      <c r="B4" s="125">
        <v>1.0760000000000001</v>
      </c>
      <c r="C4" s="140">
        <v>920</v>
      </c>
      <c r="D4" s="6">
        <v>600</v>
      </c>
      <c r="E4" s="179">
        <f t="shared" ref="E4:E11" si="0">VLOOKUP(A4,$A$25:$G$44,7,FALSE)</f>
        <v>0</v>
      </c>
      <c r="F4" s="4" t="s">
        <v>18</v>
      </c>
    </row>
    <row r="5" spans="1:6" x14ac:dyDescent="0.2">
      <c r="A5" s="5" t="s">
        <v>2</v>
      </c>
      <c r="B5" s="125">
        <v>1.105</v>
      </c>
      <c r="C5" s="140">
        <v>1152</v>
      </c>
      <c r="D5" s="6">
        <v>600</v>
      </c>
      <c r="E5" s="179">
        <f t="shared" si="0"/>
        <v>0</v>
      </c>
      <c r="F5" s="4" t="s">
        <v>18</v>
      </c>
    </row>
    <row r="6" spans="1:6" x14ac:dyDescent="0.2">
      <c r="A6" s="5" t="s">
        <v>3</v>
      </c>
      <c r="B6" s="125">
        <v>1.1040000000000001</v>
      </c>
      <c r="C6" s="140">
        <v>352</v>
      </c>
      <c r="D6" s="6">
        <v>600</v>
      </c>
      <c r="E6" s="179">
        <f t="shared" si="0"/>
        <v>0</v>
      </c>
      <c r="F6" s="4" t="s">
        <v>18</v>
      </c>
    </row>
    <row r="7" spans="1:6" x14ac:dyDescent="0.2">
      <c r="A7" s="5" t="s">
        <v>4</v>
      </c>
      <c r="B7" s="125">
        <v>1.0960000000000001</v>
      </c>
      <c r="C7" s="140">
        <v>1982</v>
      </c>
      <c r="D7" s="6">
        <v>750</v>
      </c>
      <c r="E7" s="179">
        <f t="shared" si="0"/>
        <v>0</v>
      </c>
      <c r="F7" s="4" t="s">
        <v>18</v>
      </c>
    </row>
    <row r="8" spans="1:6" x14ac:dyDescent="0.2">
      <c r="A8" s="5" t="s">
        <v>6</v>
      </c>
      <c r="B8" s="125">
        <v>1.0669999999999999</v>
      </c>
      <c r="C8" s="140">
        <v>2759</v>
      </c>
      <c r="D8" s="6">
        <v>750</v>
      </c>
      <c r="E8" s="179">
        <f t="shared" si="0"/>
        <v>0</v>
      </c>
      <c r="F8" s="4" t="s">
        <v>18</v>
      </c>
    </row>
    <row r="9" spans="1:6" x14ac:dyDescent="0.2">
      <c r="A9" s="5" t="s">
        <v>8</v>
      </c>
      <c r="B9" s="125">
        <v>1.0920000000000001</v>
      </c>
      <c r="C9" s="140">
        <v>517</v>
      </c>
      <c r="D9" s="6">
        <v>750</v>
      </c>
      <c r="E9" s="179">
        <f t="shared" si="0"/>
        <v>0</v>
      </c>
      <c r="F9" s="4" t="s">
        <v>18</v>
      </c>
    </row>
    <row r="10" spans="1:6" x14ac:dyDescent="0.2">
      <c r="A10" s="5" t="s">
        <v>9</v>
      </c>
      <c r="B10" s="125">
        <v>1.0920000000000001</v>
      </c>
      <c r="C10" s="140">
        <v>71</v>
      </c>
      <c r="D10" s="6">
        <v>750</v>
      </c>
      <c r="E10" s="179">
        <f t="shared" si="0"/>
        <v>0</v>
      </c>
      <c r="F10" s="4" t="s">
        <v>18</v>
      </c>
    </row>
    <row r="11" spans="1:6" x14ac:dyDescent="0.2">
      <c r="A11" s="7" t="s">
        <v>12</v>
      </c>
      <c r="B11" s="125">
        <v>1.0920000000000001</v>
      </c>
      <c r="C11" s="140">
        <v>364</v>
      </c>
      <c r="D11" s="6">
        <v>750</v>
      </c>
      <c r="E11" s="179">
        <f t="shared" si="0"/>
        <v>0</v>
      </c>
      <c r="F11" s="4" t="s">
        <v>18</v>
      </c>
    </row>
    <row r="12" spans="1:6" x14ac:dyDescent="0.2">
      <c r="A12" s="5" t="s">
        <v>5</v>
      </c>
      <c r="B12" s="125">
        <v>1.0609999999999999</v>
      </c>
      <c r="C12" s="140">
        <v>36104</v>
      </c>
      <c r="D12" s="6">
        <v>0</v>
      </c>
      <c r="E12" s="179">
        <v>124</v>
      </c>
      <c r="F12" s="4" t="s">
        <v>19</v>
      </c>
    </row>
    <row r="13" spans="1:6" x14ac:dyDescent="0.2">
      <c r="A13" s="5" t="s">
        <v>7</v>
      </c>
      <c r="B13" s="125">
        <v>1.05</v>
      </c>
      <c r="C13" s="140">
        <v>50525</v>
      </c>
      <c r="D13" s="6">
        <v>0</v>
      </c>
      <c r="E13" s="179">
        <v>135</v>
      </c>
      <c r="F13" s="4" t="s">
        <v>19</v>
      </c>
    </row>
    <row r="14" spans="1:6" x14ac:dyDescent="0.2">
      <c r="A14" s="7" t="s">
        <v>10</v>
      </c>
      <c r="B14" s="125">
        <v>1.0609999999999999</v>
      </c>
      <c r="C14" s="140">
        <v>1328</v>
      </c>
      <c r="D14" s="6">
        <v>0</v>
      </c>
      <c r="E14" s="179">
        <v>13</v>
      </c>
      <c r="F14" s="4" t="s">
        <v>19</v>
      </c>
    </row>
    <row r="15" spans="1:6" x14ac:dyDescent="0.2">
      <c r="A15" s="7" t="s">
        <v>11</v>
      </c>
      <c r="B15" s="125">
        <v>1.034</v>
      </c>
      <c r="C15" s="140">
        <v>1601036</v>
      </c>
      <c r="D15" s="6">
        <v>0</v>
      </c>
      <c r="E15" s="179">
        <v>3091</v>
      </c>
      <c r="F15" s="4" t="s">
        <v>19</v>
      </c>
    </row>
    <row r="16" spans="1:6" x14ac:dyDescent="0.2">
      <c r="A16" s="7" t="s">
        <v>130</v>
      </c>
      <c r="B16" s="139">
        <v>1.0569999999999999</v>
      </c>
      <c r="C16" s="140">
        <v>505</v>
      </c>
      <c r="D16" s="2">
        <v>600</v>
      </c>
      <c r="E16" s="179"/>
      <c r="F16" s="4" t="s">
        <v>18</v>
      </c>
    </row>
    <row r="17" spans="1:7" x14ac:dyDescent="0.2">
      <c r="A17" s="7" t="s">
        <v>131</v>
      </c>
      <c r="B17" s="139">
        <v>1.0569999999999999</v>
      </c>
      <c r="C17" s="140">
        <v>2695</v>
      </c>
      <c r="D17" s="2">
        <v>750</v>
      </c>
      <c r="E17" s="179"/>
      <c r="F17" s="4" t="s">
        <v>18</v>
      </c>
    </row>
    <row r="18" spans="1:7" x14ac:dyDescent="0.2">
      <c r="A18" s="7" t="s">
        <v>132</v>
      </c>
      <c r="B18" s="139">
        <v>1.0465</v>
      </c>
      <c r="C18" s="140">
        <v>61239</v>
      </c>
      <c r="D18" s="2">
        <v>0</v>
      </c>
      <c r="E18" s="179">
        <v>177</v>
      </c>
      <c r="F18" s="4" t="s">
        <v>19</v>
      </c>
    </row>
    <row r="19" spans="1:7" x14ac:dyDescent="0.2">
      <c r="A19" s="7" t="s">
        <v>119</v>
      </c>
      <c r="B19" s="139">
        <v>1.0667</v>
      </c>
      <c r="C19" s="140">
        <v>634</v>
      </c>
      <c r="D19" s="2">
        <v>600</v>
      </c>
      <c r="E19" s="179"/>
      <c r="F19" s="4" t="s">
        <v>18</v>
      </c>
    </row>
    <row r="20" spans="1:7" x14ac:dyDescent="0.2">
      <c r="A20" s="7" t="s">
        <v>120</v>
      </c>
      <c r="B20" s="139">
        <v>1.0667</v>
      </c>
      <c r="C20" s="140">
        <v>1988</v>
      </c>
      <c r="D20" s="2">
        <v>750</v>
      </c>
      <c r="E20" s="179"/>
      <c r="F20" s="4" t="s">
        <v>18</v>
      </c>
    </row>
    <row r="21" spans="1:7" x14ac:dyDescent="0.2">
      <c r="A21" s="7" t="s">
        <v>121</v>
      </c>
      <c r="B21" s="139">
        <v>1.0563</v>
      </c>
      <c r="C21" s="140">
        <v>53895</v>
      </c>
      <c r="D21" s="2">
        <v>0</v>
      </c>
      <c r="E21" s="179">
        <v>152</v>
      </c>
      <c r="F21" s="4" t="s">
        <v>19</v>
      </c>
    </row>
    <row r="24" spans="1:7" x14ac:dyDescent="0.2">
      <c r="A24" s="180" t="s">
        <v>123</v>
      </c>
    </row>
    <row r="25" spans="1:7" ht="25.5" x14ac:dyDescent="0.2">
      <c r="A25" s="175"/>
      <c r="B25" s="175"/>
      <c r="C25" s="176" t="s">
        <v>133</v>
      </c>
      <c r="D25" s="175" t="s">
        <v>134</v>
      </c>
      <c r="E25" s="175" t="s">
        <v>135</v>
      </c>
      <c r="F25" s="159" t="s">
        <v>122</v>
      </c>
      <c r="G25" t="s">
        <v>118</v>
      </c>
    </row>
    <row r="26" spans="1:7" x14ac:dyDescent="0.2">
      <c r="A26" s="175" t="s">
        <v>0</v>
      </c>
      <c r="B26" s="175"/>
      <c r="C26" s="177">
        <v>236736.51410973314</v>
      </c>
      <c r="D26" s="177">
        <v>2090.4112226667548</v>
      </c>
      <c r="E26" s="177">
        <v>0</v>
      </c>
      <c r="F26" s="70">
        <f>D26*10^6/$C26/12</f>
        <v>735.8431202610476</v>
      </c>
      <c r="G26" s="70"/>
    </row>
    <row r="27" spans="1:7" x14ac:dyDescent="0.2">
      <c r="A27" s="175" t="s">
        <v>1</v>
      </c>
      <c r="B27" s="175"/>
      <c r="C27" s="177">
        <v>461272.03919284471</v>
      </c>
      <c r="D27" s="177">
        <v>4997.6791200159278</v>
      </c>
      <c r="E27" s="177">
        <v>0</v>
      </c>
      <c r="F27" s="70">
        <f t="shared" ref="F27:F44" si="1">D27*10^6/$C27/12</f>
        <v>902.87991600377848</v>
      </c>
      <c r="G27" s="70"/>
    </row>
    <row r="28" spans="1:7" x14ac:dyDescent="0.2">
      <c r="A28" s="175" t="s">
        <v>2</v>
      </c>
      <c r="B28" s="175"/>
      <c r="C28" s="177">
        <v>335222.50993507612</v>
      </c>
      <c r="D28" s="177">
        <v>4408.4370975753654</v>
      </c>
      <c r="E28" s="177">
        <v>0</v>
      </c>
      <c r="F28" s="70">
        <f t="shared" si="1"/>
        <v>1095.89823846385</v>
      </c>
      <c r="G28" s="70"/>
    </row>
    <row r="29" spans="1:7" x14ac:dyDescent="0.2">
      <c r="A29" s="175" t="s">
        <v>3</v>
      </c>
      <c r="B29" s="175"/>
      <c r="C29" s="177">
        <v>150700.60943742251</v>
      </c>
      <c r="D29" s="177">
        <v>600.0893023828487</v>
      </c>
      <c r="E29" s="177">
        <v>0</v>
      </c>
      <c r="F29" s="70">
        <f t="shared" si="1"/>
        <v>331.83304335608995</v>
      </c>
      <c r="G29" s="70"/>
    </row>
    <row r="30" spans="1:7" x14ac:dyDescent="0.2">
      <c r="A30" s="175" t="s">
        <v>4</v>
      </c>
      <c r="B30" s="175"/>
      <c r="C30" s="177">
        <v>88514.58987596113</v>
      </c>
      <c r="D30" s="177">
        <v>1999.4814047088983</v>
      </c>
      <c r="E30" s="177">
        <v>0</v>
      </c>
      <c r="F30" s="70">
        <f t="shared" si="1"/>
        <v>1882.440517725993</v>
      </c>
      <c r="G30" s="70"/>
    </row>
    <row r="31" spans="1:7" x14ac:dyDescent="0.2">
      <c r="A31" s="175" t="s">
        <v>5</v>
      </c>
      <c r="B31" s="175"/>
      <c r="C31" s="177">
        <v>5611.935954531652</v>
      </c>
      <c r="D31" s="177">
        <v>2296.9679265153522</v>
      </c>
      <c r="E31" s="177">
        <v>7871665.8042090014</v>
      </c>
      <c r="F31" s="70">
        <f t="shared" si="1"/>
        <v>34108.371055395255</v>
      </c>
      <c r="G31" s="70">
        <f t="shared" ref="G31:G44" si="2">E31/C31/12</f>
        <v>116.88874492964429</v>
      </c>
    </row>
    <row r="32" spans="1:7" x14ac:dyDescent="0.2">
      <c r="A32" s="175" t="s">
        <v>6</v>
      </c>
      <c r="B32" s="175"/>
      <c r="C32" s="177">
        <v>18501.266387692118</v>
      </c>
      <c r="D32" s="177">
        <v>588.5663730136489</v>
      </c>
      <c r="E32" s="177">
        <v>0</v>
      </c>
      <c r="F32" s="70">
        <f t="shared" si="1"/>
        <v>2651.0184072462102</v>
      </c>
      <c r="G32" s="70"/>
    </row>
    <row r="33" spans="1:7" x14ac:dyDescent="0.2">
      <c r="A33" s="175" t="s">
        <v>7</v>
      </c>
      <c r="B33" s="175"/>
      <c r="C33" s="177">
        <v>1783.2776977712454</v>
      </c>
      <c r="D33" s="177">
        <v>1043.9196519483387</v>
      </c>
      <c r="E33" s="177">
        <v>2764064.5555597679</v>
      </c>
      <c r="F33" s="70">
        <f t="shared" si="1"/>
        <v>48782.814049518558</v>
      </c>
      <c r="G33" s="70">
        <f t="shared" si="2"/>
        <v>129.16592477503261</v>
      </c>
    </row>
    <row r="34" spans="1:7" x14ac:dyDescent="0.2">
      <c r="A34" s="175" t="s">
        <v>8</v>
      </c>
      <c r="B34" s="175"/>
      <c r="C34" s="177">
        <v>5481.1830550147579</v>
      </c>
      <c r="D34" s="177">
        <v>133.42999699318997</v>
      </c>
      <c r="E34" s="177">
        <v>0</v>
      </c>
      <c r="F34" s="70">
        <f t="shared" si="1"/>
        <v>2028.6070186848058</v>
      </c>
      <c r="G34" s="70"/>
    </row>
    <row r="35" spans="1:7" x14ac:dyDescent="0.2">
      <c r="A35" s="175" t="s">
        <v>9</v>
      </c>
      <c r="B35" s="175"/>
      <c r="C35" s="177">
        <v>23605.205452826416</v>
      </c>
      <c r="D35" s="177">
        <v>20.49453279022655</v>
      </c>
      <c r="E35" s="177">
        <v>0</v>
      </c>
      <c r="F35" s="70">
        <f t="shared" si="1"/>
        <v>72.351741904215586</v>
      </c>
      <c r="G35" s="70"/>
    </row>
    <row r="36" spans="1:7" x14ac:dyDescent="0.2">
      <c r="A36" s="175" t="s">
        <v>12</v>
      </c>
      <c r="B36" s="175"/>
      <c r="C36" s="177">
        <v>5975.077192279995</v>
      </c>
      <c r="D36" s="177">
        <v>26.397633172621855</v>
      </c>
      <c r="E36" s="177">
        <v>0</v>
      </c>
      <c r="F36" s="70">
        <f t="shared" si="1"/>
        <v>368.16307029930516</v>
      </c>
      <c r="G36" s="70"/>
    </row>
    <row r="37" spans="1:7" x14ac:dyDescent="0.2">
      <c r="A37" s="175" t="s">
        <v>47</v>
      </c>
      <c r="B37" s="175"/>
      <c r="C37" s="177">
        <v>1608.4591845445987</v>
      </c>
      <c r="D37" s="177">
        <v>20.936266143415974</v>
      </c>
      <c r="E37" s="177">
        <v>210569.15026733725</v>
      </c>
      <c r="F37" s="70">
        <f t="shared" si="1"/>
        <v>1084.695752338059</v>
      </c>
      <c r="G37" s="70">
        <f t="shared" si="2"/>
        <v>10.909465006979929</v>
      </c>
    </row>
    <row r="38" spans="1:7" x14ac:dyDescent="0.2">
      <c r="A38" s="175" t="s">
        <v>11</v>
      </c>
      <c r="B38" s="175"/>
      <c r="C38" s="177">
        <v>827.97657876549647</v>
      </c>
      <c r="D38" s="177">
        <v>15149.40505826596</v>
      </c>
      <c r="E38" s="177">
        <v>29499182.4844267</v>
      </c>
      <c r="F38" s="70">
        <f t="shared" si="1"/>
        <v>1524741.7063468902</v>
      </c>
      <c r="G38" s="70">
        <f t="shared" si="2"/>
        <v>2969.003314925651</v>
      </c>
    </row>
    <row r="39" spans="1:7" x14ac:dyDescent="0.2">
      <c r="A39" s="175" t="s">
        <v>130</v>
      </c>
      <c r="B39" s="175"/>
      <c r="C39" s="177">
        <v>15466.739377888514</v>
      </c>
      <c r="D39" s="177">
        <v>91.767418545550527</v>
      </c>
      <c r="E39" s="177">
        <v>0</v>
      </c>
      <c r="F39" s="70">
        <f t="shared" si="1"/>
        <v>494.43419792335493</v>
      </c>
      <c r="G39" s="70"/>
    </row>
    <row r="40" spans="1:7" x14ac:dyDescent="0.2">
      <c r="A40" s="175" t="s">
        <v>131</v>
      </c>
      <c r="B40" s="175"/>
      <c r="C40" s="177">
        <v>1352.1664874592414</v>
      </c>
      <c r="D40" s="177">
        <v>43.685011856968622</v>
      </c>
      <c r="E40" s="177">
        <v>0</v>
      </c>
      <c r="F40" s="70">
        <f t="shared" si="1"/>
        <v>2692.2850762170797</v>
      </c>
      <c r="G40" s="70"/>
    </row>
    <row r="41" spans="1:7" x14ac:dyDescent="0.2">
      <c r="A41" s="175" t="s">
        <v>132</v>
      </c>
      <c r="B41" s="175"/>
      <c r="C41" s="177">
        <v>193.69999999999996</v>
      </c>
      <c r="D41" s="177">
        <v>142.60441376849562</v>
      </c>
      <c r="E41" s="177">
        <v>411709.72259682778</v>
      </c>
      <c r="F41" s="70">
        <f t="shared" si="1"/>
        <v>61351.064261097759</v>
      </c>
      <c r="G41" s="70">
        <f t="shared" si="2"/>
        <v>177.12516029806739</v>
      </c>
    </row>
    <row r="42" spans="1:7" x14ac:dyDescent="0.2">
      <c r="A42" s="175" t="s">
        <v>119</v>
      </c>
      <c r="B42" s="175"/>
      <c r="C42" s="177">
        <v>38017.903287695837</v>
      </c>
      <c r="D42" s="177">
        <v>284.06294900681206</v>
      </c>
      <c r="E42" s="177">
        <v>0</v>
      </c>
      <c r="F42" s="70">
        <f t="shared" si="1"/>
        <v>622.6517080150378</v>
      </c>
      <c r="G42" s="70"/>
    </row>
    <row r="43" spans="1:7" x14ac:dyDescent="0.2">
      <c r="A43" s="175" t="s">
        <v>120</v>
      </c>
      <c r="B43" s="175"/>
      <c r="C43" s="177">
        <v>4336.6665686909555</v>
      </c>
      <c r="D43" s="177">
        <v>102.30005609821755</v>
      </c>
      <c r="E43" s="177">
        <v>0</v>
      </c>
      <c r="F43" s="70">
        <f t="shared" si="1"/>
        <v>1965.7966642855774</v>
      </c>
      <c r="G43" s="70"/>
    </row>
    <row r="44" spans="1:7" x14ac:dyDescent="0.2">
      <c r="A44" s="175" t="s">
        <v>121</v>
      </c>
      <c r="B44" s="175"/>
      <c r="C44" s="177">
        <v>370.53930633139191</v>
      </c>
      <c r="D44" s="177">
        <v>235.70649378290264</v>
      </c>
      <c r="E44" s="177">
        <v>662981.05756921333</v>
      </c>
      <c r="F44" s="70">
        <f t="shared" si="1"/>
        <v>53009.781903339754</v>
      </c>
      <c r="G44" s="70">
        <f t="shared" si="2"/>
        <v>149.10272815885739</v>
      </c>
    </row>
    <row r="45" spans="1:7" x14ac:dyDescent="0.2">
      <c r="A45" s="178"/>
      <c r="B45" s="178"/>
      <c r="C45" s="178"/>
      <c r="D45" s="178"/>
      <c r="E45" s="178"/>
      <c r="F45" s="159"/>
    </row>
    <row r="46" spans="1:7" x14ac:dyDescent="0.2">
      <c r="A46" s="159"/>
      <c r="B46" s="159"/>
      <c r="C46" s="159"/>
      <c r="D46" s="159"/>
      <c r="E46" s="159"/>
      <c r="F46" s="159"/>
    </row>
    <row r="47" spans="1:7" x14ac:dyDescent="0.2">
      <c r="A47" s="159"/>
      <c r="B47" s="159"/>
      <c r="C47" s="159"/>
      <c r="D47" s="159"/>
      <c r="E47" s="159"/>
      <c r="F47" s="159"/>
    </row>
    <row r="48" spans="1:7" x14ac:dyDescent="0.2">
      <c r="A48" s="159"/>
      <c r="B48" s="159"/>
      <c r="C48" s="159"/>
      <c r="D48" s="159"/>
      <c r="E48" s="159"/>
      <c r="F48" s="159"/>
    </row>
  </sheetData>
  <pageMargins left="0.7" right="0.7" top="0.75" bottom="0.75" header="0.3" footer="0.3"/>
  <pageSetup paperSize="17" scale="72"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1" tint="0.499984740745262"/>
    <pageSetUpPr fitToPage="1"/>
  </sheetPr>
  <dimension ref="A1:K68"/>
  <sheetViews>
    <sheetView tabSelected="1" topLeftCell="A7"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3"/>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205" t="s">
        <v>126</v>
      </c>
      <c r="B1" s="206"/>
      <c r="C1" s="206"/>
      <c r="D1" s="206"/>
      <c r="E1" s="206"/>
      <c r="F1" s="206"/>
      <c r="G1" s="206"/>
      <c r="H1" s="206"/>
      <c r="I1" s="206"/>
      <c r="J1" s="206"/>
      <c r="K1" s="207"/>
    </row>
    <row r="3" spans="1:11" x14ac:dyDescent="0.2">
      <c r="A3" s="12" t="s">
        <v>13</v>
      </c>
      <c r="B3" s="12" t="s">
        <v>6</v>
      </c>
    </row>
    <row r="4" spans="1:11" x14ac:dyDescent="0.2">
      <c r="A4" s="14" t="s">
        <v>62</v>
      </c>
      <c r="B4" s="14">
        <v>2000</v>
      </c>
    </row>
    <row r="5" spans="1:11" x14ac:dyDescent="0.2">
      <c r="A5" s="14" t="s">
        <v>16</v>
      </c>
      <c r="B5" s="14">
        <f>VLOOKUP($B$3,'Data for Bill Impacts'!$A$3:$Y$15,5,0)</f>
        <v>0</v>
      </c>
    </row>
    <row r="6" spans="1:11" x14ac:dyDescent="0.2">
      <c r="A6" s="14" t="s">
        <v>20</v>
      </c>
      <c r="B6" s="14">
        <f>VLOOKUP($B$3,'Data for Bill Impacts'!$A$3:$Y$15,2,0)</f>
        <v>1.0669999999999999</v>
      </c>
    </row>
    <row r="7" spans="1:11" x14ac:dyDescent="0.2">
      <c r="A7" s="14" t="s">
        <v>15</v>
      </c>
      <c r="B7" s="14">
        <f>VLOOKUP($B$3,'Data for Bill Impacts'!$A$3:$Y$15,4,0)</f>
        <v>750</v>
      </c>
    </row>
    <row r="8" spans="1:11" x14ac:dyDescent="0.2">
      <c r="A8" s="14" t="s">
        <v>82</v>
      </c>
      <c r="B8" s="14">
        <f>B4*B6</f>
        <v>2134</v>
      </c>
    </row>
    <row r="9" spans="1:11" x14ac:dyDescent="0.2">
      <c r="A9" s="14" t="s">
        <v>21</v>
      </c>
      <c r="B9" s="15" t="str">
        <f>VLOOKUP($B$3,'Data for Bill Impacts'!$A$3:$Y$15,6,0)</f>
        <v>kWh</v>
      </c>
    </row>
    <row r="10" spans="1:11" ht="13.5" thickBot="1" x14ac:dyDescent="0.25"/>
    <row r="11" spans="1:11" s="19" customFormat="1" ht="39" thickBot="1" x14ac:dyDescent="0.25">
      <c r="A11" s="16"/>
      <c r="B11" s="17" t="s">
        <v>22</v>
      </c>
      <c r="C11" s="17" t="s">
        <v>23</v>
      </c>
      <c r="D11" s="17" t="s">
        <v>24</v>
      </c>
      <c r="E11" s="17" t="s">
        <v>22</v>
      </c>
      <c r="F11" s="17" t="s">
        <v>25</v>
      </c>
      <c r="G11" s="17" t="s">
        <v>26</v>
      </c>
      <c r="H11" s="17" t="s">
        <v>27</v>
      </c>
      <c r="I11" s="17" t="s">
        <v>28</v>
      </c>
      <c r="J11" s="17" t="s">
        <v>29</v>
      </c>
      <c r="K11" s="18" t="s">
        <v>30</v>
      </c>
    </row>
    <row r="12" spans="1:11" x14ac:dyDescent="0.2">
      <c r="A12" s="100" t="s">
        <v>31</v>
      </c>
      <c r="B12" s="101">
        <f>IF(B4&gt;B7,B7,B4)</f>
        <v>750</v>
      </c>
      <c r="C12" s="102">
        <v>9.0999999999999998E-2</v>
      </c>
      <c r="D12" s="103">
        <f>B12*C12</f>
        <v>68.25</v>
      </c>
      <c r="E12" s="101">
        <f>B12</f>
        <v>750</v>
      </c>
      <c r="F12" s="102">
        <f>C12</f>
        <v>9.0999999999999998E-2</v>
      </c>
      <c r="G12" s="103">
        <f>E12*F12</f>
        <v>68.25</v>
      </c>
      <c r="H12" s="103">
        <f>G12-D12</f>
        <v>0</v>
      </c>
      <c r="I12" s="104">
        <f>IF(ISERROR(H12/ABS(D12)),"N/A",(H12/ABS(D12)))</f>
        <v>0</v>
      </c>
      <c r="J12" s="104">
        <f>G12/$G$46</f>
        <v>0.18366624960299835</v>
      </c>
      <c r="K12" s="105"/>
    </row>
    <row r="13" spans="1:11" x14ac:dyDescent="0.2">
      <c r="A13" s="106" t="s">
        <v>32</v>
      </c>
      <c r="B13" s="72">
        <f>IF(B4&gt;B7,(B4)-B7,0)</f>
        <v>1250</v>
      </c>
      <c r="C13" s="20">
        <v>0.106</v>
      </c>
      <c r="D13" s="21">
        <f>B13*C13</f>
        <v>132.5</v>
      </c>
      <c r="E13" s="72">
        <f t="shared" ref="E13" si="0">B13</f>
        <v>1250</v>
      </c>
      <c r="F13" s="20">
        <f>C13</f>
        <v>0.106</v>
      </c>
      <c r="G13" s="21">
        <f>E13*F13</f>
        <v>132.5</v>
      </c>
      <c r="H13" s="21">
        <f t="shared" ref="H13:H46" si="1">G13-D13</f>
        <v>0</v>
      </c>
      <c r="I13" s="22">
        <f t="shared" ref="I13:I51" si="2">IF(ISERROR(H13/ABS(D13)),"N/A",(H13/ABS(D13)))</f>
        <v>0</v>
      </c>
      <c r="J13" s="22">
        <f>G13/$G$46</f>
        <v>0.35656817688494186</v>
      </c>
      <c r="K13" s="107"/>
    </row>
    <row r="14" spans="1:11" s="1" customFormat="1" x14ac:dyDescent="0.2">
      <c r="A14" s="45" t="s">
        <v>33</v>
      </c>
      <c r="B14" s="23"/>
      <c r="C14" s="24"/>
      <c r="D14" s="24">
        <f>SUM(D12:D13)</f>
        <v>200.75</v>
      </c>
      <c r="E14" s="75"/>
      <c r="F14" s="24"/>
      <c r="G14" s="24">
        <f>SUM(G12:G13)</f>
        <v>200.75</v>
      </c>
      <c r="H14" s="24">
        <f t="shared" si="1"/>
        <v>0</v>
      </c>
      <c r="I14" s="26">
        <f t="shared" si="2"/>
        <v>0</v>
      </c>
      <c r="J14" s="26">
        <f>G14/$G$46</f>
        <v>0.54023442648794018</v>
      </c>
      <c r="K14" s="107"/>
    </row>
    <row r="15" spans="1:11" s="1" customFormat="1" x14ac:dyDescent="0.2">
      <c r="A15" s="108" t="s">
        <v>34</v>
      </c>
      <c r="B15" s="74">
        <f>B4*0.65</f>
        <v>1300</v>
      </c>
      <c r="C15" s="27">
        <v>7.6999999999999999E-2</v>
      </c>
      <c r="D15" s="21">
        <f>B15*C15</f>
        <v>100.1</v>
      </c>
      <c r="E15" s="72">
        <f t="shared" ref="E15:F17" si="3">B15</f>
        <v>1300</v>
      </c>
      <c r="F15" s="27">
        <f t="shared" si="3"/>
        <v>7.6999999999999999E-2</v>
      </c>
      <c r="G15" s="21">
        <f>E15*F15</f>
        <v>100.1</v>
      </c>
      <c r="H15" s="21">
        <f t="shared" si="1"/>
        <v>0</v>
      </c>
      <c r="I15" s="22">
        <f t="shared" si="2"/>
        <v>0</v>
      </c>
      <c r="J15" s="22"/>
      <c r="K15" s="107">
        <f t="shared" ref="K15:K26" si="4">G15/$G$51</f>
        <v>0.27469112040015314</v>
      </c>
    </row>
    <row r="16" spans="1:11" s="1" customFormat="1" x14ac:dyDescent="0.2">
      <c r="A16" s="108" t="s">
        <v>35</v>
      </c>
      <c r="B16" s="74">
        <f>B4*0.17</f>
        <v>340</v>
      </c>
      <c r="C16" s="27">
        <v>0.113</v>
      </c>
      <c r="D16" s="21">
        <f>B16*C16</f>
        <v>38.42</v>
      </c>
      <c r="E16" s="72">
        <f t="shared" si="3"/>
        <v>340</v>
      </c>
      <c r="F16" s="27">
        <f t="shared" si="3"/>
        <v>0.113</v>
      </c>
      <c r="G16" s="21">
        <f>E16*F16</f>
        <v>38.42</v>
      </c>
      <c r="H16" s="21">
        <f t="shared" si="1"/>
        <v>0</v>
      </c>
      <c r="I16" s="22">
        <f t="shared" si="2"/>
        <v>0</v>
      </c>
      <c r="J16" s="22"/>
      <c r="K16" s="107">
        <f t="shared" si="4"/>
        <v>0.10543089756017866</v>
      </c>
    </row>
    <row r="17" spans="1:11" s="1" customFormat="1" x14ac:dyDescent="0.2">
      <c r="A17" s="108" t="s">
        <v>36</v>
      </c>
      <c r="B17" s="74">
        <f>B4*0.18</f>
        <v>360</v>
      </c>
      <c r="C17" s="27">
        <v>0.157</v>
      </c>
      <c r="D17" s="21">
        <f>B17*C17</f>
        <v>56.52</v>
      </c>
      <c r="E17" s="72">
        <f t="shared" si="3"/>
        <v>360</v>
      </c>
      <c r="F17" s="27">
        <f t="shared" si="3"/>
        <v>0.157</v>
      </c>
      <c r="G17" s="21">
        <f>E17*F17</f>
        <v>56.52</v>
      </c>
      <c r="H17" s="21">
        <f t="shared" si="1"/>
        <v>0</v>
      </c>
      <c r="I17" s="22">
        <f t="shared" si="2"/>
        <v>0</v>
      </c>
      <c r="J17" s="22"/>
      <c r="K17" s="107">
        <f t="shared" si="4"/>
        <v>0.15510032092923734</v>
      </c>
    </row>
    <row r="18" spans="1:11" s="1" customFormat="1" x14ac:dyDescent="0.2">
      <c r="A18" s="60" t="s">
        <v>37</v>
      </c>
      <c r="B18" s="28"/>
      <c r="C18" s="29"/>
      <c r="D18" s="29">
        <f>SUM(D15:D17)</f>
        <v>195.04</v>
      </c>
      <c r="E18" s="76"/>
      <c r="F18" s="29"/>
      <c r="G18" s="29">
        <f>SUM(G15:G17)</f>
        <v>195.04</v>
      </c>
      <c r="H18" s="30">
        <f t="shared" si="1"/>
        <v>0</v>
      </c>
      <c r="I18" s="31">
        <f t="shared" si="2"/>
        <v>0</v>
      </c>
      <c r="J18" s="32">
        <f t="shared" ref="J18:J23" si="5">G18/$G$46</f>
        <v>0.52486835637463436</v>
      </c>
      <c r="K18" s="61">
        <f t="shared" si="4"/>
        <v>0.53522233888956916</v>
      </c>
    </row>
    <row r="19" spans="1:11" x14ac:dyDescent="0.2">
      <c r="A19" s="106" t="s">
        <v>38</v>
      </c>
      <c r="B19" s="72">
        <v>1</v>
      </c>
      <c r="C19" s="77">
        <f>VLOOKUP($B$3,'Data for Bill Impacts'!$A$3:$Y$15,7,0)</f>
        <v>25.55</v>
      </c>
      <c r="D19" s="21">
        <f>B19*C19</f>
        <v>25.55</v>
      </c>
      <c r="E19" s="72">
        <f t="shared" ref="E19:E41" si="6">B19</f>
        <v>1</v>
      </c>
      <c r="F19" s="77">
        <f>VLOOKUP($B$3,'Data for Bill Impacts'!$A$3:$Y$15,17,0)</f>
        <v>26.07</v>
      </c>
      <c r="G19" s="21">
        <f>E19*F19</f>
        <v>26.07</v>
      </c>
      <c r="H19" s="21">
        <f t="shared" si="1"/>
        <v>0.51999999999999957</v>
      </c>
      <c r="I19" s="22">
        <f t="shared" si="2"/>
        <v>2.0352250489236775E-2</v>
      </c>
      <c r="J19" s="22">
        <f t="shared" si="5"/>
        <v>7.0156470727474968E-2</v>
      </c>
      <c r="K19" s="107">
        <f t="shared" si="4"/>
        <v>7.154043465366626E-2</v>
      </c>
    </row>
    <row r="20" spans="1:11" hidden="1" x14ac:dyDescent="0.2">
      <c r="A20" s="106" t="s">
        <v>83</v>
      </c>
      <c r="B20" s="72">
        <v>1</v>
      </c>
      <c r="C20" s="77">
        <f>VLOOKUP($B$3,'Data for Bill Impacts'!$A$3:$Y$15,8,0)</f>
        <v>0</v>
      </c>
      <c r="D20" s="21">
        <f>B20*C20</f>
        <v>0</v>
      </c>
      <c r="E20" s="72">
        <f t="shared" si="6"/>
        <v>1</v>
      </c>
      <c r="F20" s="77">
        <v>0</v>
      </c>
      <c r="G20" s="21">
        <f t="shared" ref="G20:G22" si="7">E20*F20</f>
        <v>0</v>
      </c>
      <c r="H20" s="21">
        <f t="shared" si="1"/>
        <v>0</v>
      </c>
      <c r="I20" s="22" t="str">
        <f t="shared" si="2"/>
        <v>N/A</v>
      </c>
      <c r="J20" s="22">
        <f t="shared" si="5"/>
        <v>0</v>
      </c>
      <c r="K20" s="107">
        <f t="shared" si="4"/>
        <v>0</v>
      </c>
    </row>
    <row r="21" spans="1:11" hidden="1" x14ac:dyDescent="0.2">
      <c r="A21" s="106" t="s">
        <v>84</v>
      </c>
      <c r="B21" s="72">
        <v>1</v>
      </c>
      <c r="C21" s="77">
        <f>VLOOKUP($B$3,'Data for Bill Impacts'!$A$3:$Y$15,11,0)</f>
        <v>0</v>
      </c>
      <c r="D21" s="21">
        <f t="shared" ref="D21:D22" si="8">B21*C21</f>
        <v>0</v>
      </c>
      <c r="E21" s="72">
        <f t="shared" si="6"/>
        <v>1</v>
      </c>
      <c r="F21" s="120">
        <f>VLOOKUP($B$3,'Data for Bill Impacts'!$A$3:$Y$15,12,0)</f>
        <v>0</v>
      </c>
      <c r="G21" s="21">
        <f t="shared" si="7"/>
        <v>0</v>
      </c>
      <c r="H21" s="21">
        <f t="shared" si="1"/>
        <v>0</v>
      </c>
      <c r="I21" s="22" t="str">
        <f t="shared" si="2"/>
        <v>N/A</v>
      </c>
      <c r="J21" s="22">
        <f t="shared" si="5"/>
        <v>0</v>
      </c>
      <c r="K21" s="107">
        <f t="shared" si="4"/>
        <v>0</v>
      </c>
    </row>
    <row r="22" spans="1:11" x14ac:dyDescent="0.2">
      <c r="A22" s="106" t="s">
        <v>85</v>
      </c>
      <c r="B22" s="72">
        <v>1</v>
      </c>
      <c r="C22" s="120">
        <f>VLOOKUP($B$3,'Data for Bill Impacts'!$A$3:$Y$15,13,0)</f>
        <v>8.0000000000000002E-3</v>
      </c>
      <c r="D22" s="21">
        <f t="shared" si="8"/>
        <v>8.0000000000000002E-3</v>
      </c>
      <c r="E22" s="72">
        <f t="shared" si="6"/>
        <v>1</v>
      </c>
      <c r="F22" s="120">
        <f>VLOOKUP($B$3,'Data for Bill Impacts'!$A$3:$Y$15,22,0)</f>
        <v>8.0000000000000002E-3</v>
      </c>
      <c r="G22" s="21">
        <f t="shared" si="7"/>
        <v>8.0000000000000002E-3</v>
      </c>
      <c r="H22" s="21">
        <f t="shared" si="1"/>
        <v>0</v>
      </c>
      <c r="I22" s="22">
        <f t="shared" si="2"/>
        <v>0</v>
      </c>
      <c r="J22" s="22">
        <f t="shared" si="5"/>
        <v>2.1528644642109697E-5</v>
      </c>
      <c r="K22" s="107">
        <f t="shared" si="4"/>
        <v>2.1953336295716536E-5</v>
      </c>
    </row>
    <row r="23" spans="1:11" x14ac:dyDescent="0.2">
      <c r="A23" s="106" t="s">
        <v>39</v>
      </c>
      <c r="B23" s="72">
        <f>IF($B$9="kWh",$B$4,$B$5)</f>
        <v>2000</v>
      </c>
      <c r="C23" s="124">
        <f>VLOOKUP($B$3,'Data for Bill Impacts'!$A$3:$Y$15,10,0)</f>
        <v>3.0800000000000001E-2</v>
      </c>
      <c r="D23" s="21">
        <f>B23*C23</f>
        <v>61.6</v>
      </c>
      <c r="E23" s="72">
        <f t="shared" si="6"/>
        <v>2000</v>
      </c>
      <c r="F23" s="77">
        <f>VLOOKUP($B$3,'Data for Bill Impacts'!$A$3:$Y$15,19,0)</f>
        <v>3.1600000000000003E-2</v>
      </c>
      <c r="G23" s="21">
        <f>E23*F23</f>
        <v>63.2</v>
      </c>
      <c r="H23" s="21">
        <f t="shared" si="1"/>
        <v>1.6000000000000014</v>
      </c>
      <c r="I23" s="22">
        <f t="shared" si="2"/>
        <v>2.5974025974025997E-2</v>
      </c>
      <c r="J23" s="22">
        <f t="shared" si="5"/>
        <v>0.17007629267266661</v>
      </c>
      <c r="K23" s="107">
        <f t="shared" si="4"/>
        <v>0.17343135673616064</v>
      </c>
    </row>
    <row r="24" spans="1:11" x14ac:dyDescent="0.2">
      <c r="A24" s="106" t="s">
        <v>129</v>
      </c>
      <c r="B24" s="72">
        <f>IF($B$9="kWh",$B$4,$B$5)</f>
        <v>2000</v>
      </c>
      <c r="C24" s="77">
        <f>VLOOKUP($B$3,'Data for Bill Impacts'!$A$3:$Y$15,14,0)</f>
        <v>3.0000000000000004E-5</v>
      </c>
      <c r="D24" s="33">
        <f>B24*C24</f>
        <v>6.0000000000000012E-2</v>
      </c>
      <c r="E24" s="72">
        <f t="shared" si="6"/>
        <v>2000</v>
      </c>
      <c r="F24" s="77">
        <f>VLOOKUP($B$3,'Data for Bill Impacts'!$A$3:$Y$15,23,0)</f>
        <v>3.0000000000000004E-5</v>
      </c>
      <c r="G24" s="33">
        <f>E24*F24</f>
        <v>6.0000000000000012E-2</v>
      </c>
      <c r="H24" s="21">
        <f t="shared" si="1"/>
        <v>0</v>
      </c>
      <c r="I24" s="22">
        <f t="shared" si="2"/>
        <v>0</v>
      </c>
      <c r="J24" s="22">
        <f t="shared" ref="J24" si="9">G24/$G$46</f>
        <v>1.6146483481582275E-4</v>
      </c>
      <c r="K24" s="107">
        <f t="shared" si="4"/>
        <v>1.6465002221787404E-4</v>
      </c>
    </row>
    <row r="25" spans="1:11" s="1" customFormat="1" x14ac:dyDescent="0.2">
      <c r="A25" s="109" t="s">
        <v>72</v>
      </c>
      <c r="B25" s="73"/>
      <c r="C25" s="34"/>
      <c r="D25" s="34">
        <f>SUM(D19:D24)</f>
        <v>87.218000000000004</v>
      </c>
      <c r="E25" s="72"/>
      <c r="F25" s="34"/>
      <c r="G25" s="34">
        <f>SUM(G19:G24)</f>
        <v>89.338000000000008</v>
      </c>
      <c r="H25" s="34">
        <f t="shared" si="1"/>
        <v>2.1200000000000045</v>
      </c>
      <c r="I25" s="35">
        <f t="shared" si="2"/>
        <v>2.4306909124263393E-2</v>
      </c>
      <c r="J25" s="35">
        <f>G25/$G$46</f>
        <v>0.24041575687959951</v>
      </c>
      <c r="K25" s="110">
        <f t="shared" si="4"/>
        <v>0.2451583947483405</v>
      </c>
    </row>
    <row r="26" spans="1:11" s="1" customFormat="1" x14ac:dyDescent="0.2">
      <c r="A26" s="118" t="s">
        <v>73</v>
      </c>
      <c r="B26" s="119">
        <v>1</v>
      </c>
      <c r="C26" s="77">
        <f>VLOOKUP($B$3,'Data for Bill Impacts'!$A$3:$Y$15,9,0)</f>
        <v>0.79</v>
      </c>
      <c r="D26" s="21">
        <f>B26*C26</f>
        <v>0.79</v>
      </c>
      <c r="E26" s="72">
        <v>1</v>
      </c>
      <c r="F26" s="77">
        <f>VLOOKUP($B$3,'Data for Bill Impacts'!$A$3:$Y$15,18,0)</f>
        <v>0.79</v>
      </c>
      <c r="G26" s="21">
        <f>E26*F26</f>
        <v>0.79</v>
      </c>
      <c r="H26" s="21">
        <f t="shared" si="1"/>
        <v>0</v>
      </c>
      <c r="I26" s="22">
        <f t="shared" si="2"/>
        <v>0</v>
      </c>
      <c r="J26" s="22">
        <f>G26/$G$46</f>
        <v>2.1259536584083325E-3</v>
      </c>
      <c r="K26" s="107">
        <f t="shared" si="4"/>
        <v>2.1678919592020081E-3</v>
      </c>
    </row>
    <row r="27" spans="1:11" s="1" customFormat="1" x14ac:dyDescent="0.2">
      <c r="A27" s="118" t="s">
        <v>75</v>
      </c>
      <c r="B27" s="119">
        <f>B8-B4</f>
        <v>134</v>
      </c>
      <c r="C27" s="186">
        <f>IF(B4&gt;B7,C13,C12)</f>
        <v>0.106</v>
      </c>
      <c r="D27" s="21">
        <f>B27*C27</f>
        <v>14.203999999999999</v>
      </c>
      <c r="E27" s="72">
        <f>B27</f>
        <v>134</v>
      </c>
      <c r="F27" s="186">
        <f>C27</f>
        <v>0.106</v>
      </c>
      <c r="G27" s="21">
        <f>E27*F27</f>
        <v>14.203999999999999</v>
      </c>
      <c r="H27" s="21">
        <f t="shared" si="1"/>
        <v>0</v>
      </c>
      <c r="I27" s="22">
        <f t="shared" si="2"/>
        <v>0</v>
      </c>
      <c r="J27" s="22">
        <f t="shared" ref="J27:J46" si="10">G27/$G$46</f>
        <v>3.8224108562065762E-2</v>
      </c>
      <c r="K27" s="107">
        <f t="shared" ref="K27:K41" si="11">G27/$G$51</f>
        <v>3.8978148593044708E-2</v>
      </c>
    </row>
    <row r="28" spans="1:11" s="1" customFormat="1" x14ac:dyDescent="0.2">
      <c r="A28" s="118" t="s">
        <v>74</v>
      </c>
      <c r="B28" s="119">
        <f>B8-B4</f>
        <v>134</v>
      </c>
      <c r="C28" s="186">
        <f>0.65*C15+0.17*C16+0.18*C17</f>
        <v>9.7519999999999996E-2</v>
      </c>
      <c r="D28" s="21">
        <f>B28*C28</f>
        <v>13.067679999999999</v>
      </c>
      <c r="E28" s="72">
        <f>B28</f>
        <v>134</v>
      </c>
      <c r="F28" s="186">
        <f>C28</f>
        <v>9.7519999999999996E-2</v>
      </c>
      <c r="G28" s="21">
        <f>E28*F28</f>
        <v>13.067679999999999</v>
      </c>
      <c r="H28" s="21">
        <f t="shared" si="1"/>
        <v>0</v>
      </c>
      <c r="I28" s="22">
        <f t="shared" si="2"/>
        <v>0</v>
      </c>
      <c r="J28" s="22">
        <f t="shared" si="10"/>
        <v>3.5166179877100502E-2</v>
      </c>
      <c r="K28" s="107">
        <f t="shared" si="11"/>
        <v>3.5859896705601128E-2</v>
      </c>
    </row>
    <row r="29" spans="1:11" s="1" customFormat="1" x14ac:dyDescent="0.2">
      <c r="A29" s="109" t="s">
        <v>78</v>
      </c>
      <c r="B29" s="73"/>
      <c r="C29" s="34"/>
      <c r="D29" s="34">
        <f>SUM(D25,D26:D27)</f>
        <v>102.212</v>
      </c>
      <c r="E29" s="72"/>
      <c r="F29" s="34"/>
      <c r="G29" s="34">
        <f>SUM(G25,G26:G27)</f>
        <v>104.33200000000001</v>
      </c>
      <c r="H29" s="34">
        <f t="shared" si="1"/>
        <v>2.1200000000000045</v>
      </c>
      <c r="I29" s="35">
        <f t="shared" si="2"/>
        <v>2.0741204555238178E-2</v>
      </c>
      <c r="J29" s="35">
        <f t="shared" si="10"/>
        <v>0.28076581910007359</v>
      </c>
      <c r="K29" s="110">
        <f t="shared" si="11"/>
        <v>0.28630443530058719</v>
      </c>
    </row>
    <row r="30" spans="1:11" s="1" customFormat="1" x14ac:dyDescent="0.2">
      <c r="A30" s="109" t="s">
        <v>77</v>
      </c>
      <c r="B30" s="73"/>
      <c r="C30" s="34"/>
      <c r="D30" s="34">
        <f>SUM(D25,D26,D28)</f>
        <v>101.07568000000001</v>
      </c>
      <c r="E30" s="72"/>
      <c r="F30" s="34"/>
      <c r="G30" s="34">
        <f>SUM(G25,G26,G28)</f>
        <v>103.19568000000001</v>
      </c>
      <c r="H30" s="34">
        <f t="shared" si="1"/>
        <v>2.1200000000000045</v>
      </c>
      <c r="I30" s="35">
        <f t="shared" si="2"/>
        <v>2.0974382759532308E-2</v>
      </c>
      <c r="J30" s="35">
        <f t="shared" si="10"/>
        <v>0.27770789041510835</v>
      </c>
      <c r="K30" s="110">
        <f t="shared" si="11"/>
        <v>0.28318618341314367</v>
      </c>
    </row>
    <row r="31" spans="1:11" x14ac:dyDescent="0.2">
      <c r="A31" s="106" t="s">
        <v>40</v>
      </c>
      <c r="B31" s="72">
        <f>B8</f>
        <v>2134</v>
      </c>
      <c r="C31" s="124">
        <f>VLOOKUP($B$3,'Data for Bill Impacts'!$A$3:$Y$15,15,0)</f>
        <v>5.7999999999999996E-3</v>
      </c>
      <c r="D31" s="21">
        <f>B31*C31</f>
        <v>12.377199999999998</v>
      </c>
      <c r="E31" s="72">
        <f t="shared" si="6"/>
        <v>2134</v>
      </c>
      <c r="F31" s="77">
        <f>VLOOKUP($B$3,'Data for Bill Impacts'!$A$3:$Y$15,24,0)</f>
        <v>5.7999999999999996E-3</v>
      </c>
      <c r="G31" s="21">
        <f>E31*F31</f>
        <v>12.377199999999998</v>
      </c>
      <c r="H31" s="21">
        <f t="shared" si="1"/>
        <v>0</v>
      </c>
      <c r="I31" s="22">
        <f t="shared" si="2"/>
        <v>0</v>
      </c>
      <c r="J31" s="22">
        <f t="shared" si="10"/>
        <v>3.3308042558040013E-2</v>
      </c>
      <c r="K31" s="107">
        <f t="shared" si="11"/>
        <v>3.3965104249917832E-2</v>
      </c>
    </row>
    <row r="32" spans="1:11" x14ac:dyDescent="0.2">
      <c r="A32" s="106" t="s">
        <v>41</v>
      </c>
      <c r="B32" s="72">
        <f>B8</f>
        <v>2134</v>
      </c>
      <c r="C32" s="124">
        <f>VLOOKUP($B$3,'Data for Bill Impacts'!$A$3:$Y$15,16,0)</f>
        <v>4.7000000000000002E-3</v>
      </c>
      <c r="D32" s="21">
        <f>B32*C32</f>
        <v>10.0298</v>
      </c>
      <c r="E32" s="72">
        <f t="shared" si="6"/>
        <v>2134</v>
      </c>
      <c r="F32" s="77">
        <f>VLOOKUP($B$3,'Data for Bill Impacts'!$A$3:$Y$15,25,0)</f>
        <v>4.7000000000000002E-3</v>
      </c>
      <c r="G32" s="21">
        <f>E32*F32</f>
        <v>10.0298</v>
      </c>
      <c r="H32" s="21">
        <f t="shared" si="1"/>
        <v>0</v>
      </c>
      <c r="I32" s="22">
        <f t="shared" si="2"/>
        <v>0</v>
      </c>
      <c r="J32" s="22">
        <f t="shared" si="10"/>
        <v>2.6991000003928976E-2</v>
      </c>
      <c r="K32" s="107">
        <f t="shared" si="11"/>
        <v>2.7523446547347213E-2</v>
      </c>
    </row>
    <row r="33" spans="1:11" s="1" customFormat="1" x14ac:dyDescent="0.2">
      <c r="A33" s="109" t="s">
        <v>76</v>
      </c>
      <c r="B33" s="73"/>
      <c r="C33" s="34"/>
      <c r="D33" s="34">
        <f>SUM(D31:D32)</f>
        <v>22.406999999999996</v>
      </c>
      <c r="E33" s="72"/>
      <c r="F33" s="34"/>
      <c r="G33" s="34">
        <f>SUM(G31:G32)</f>
        <v>22.406999999999996</v>
      </c>
      <c r="H33" s="34">
        <f t="shared" si="1"/>
        <v>0</v>
      </c>
      <c r="I33" s="35">
        <f t="shared" si="2"/>
        <v>0</v>
      </c>
      <c r="J33" s="35">
        <f t="shared" si="10"/>
        <v>6.0299042561968982E-2</v>
      </c>
      <c r="K33" s="110">
        <f t="shared" si="11"/>
        <v>6.1488550797265042E-2</v>
      </c>
    </row>
    <row r="34" spans="1:11" s="1" customFormat="1" ht="13.5" customHeight="1" x14ac:dyDescent="0.2">
      <c r="A34" s="109" t="s">
        <v>93</v>
      </c>
      <c r="B34" s="73"/>
      <c r="C34" s="34"/>
      <c r="D34" s="34">
        <f>D29+D33</f>
        <v>124.619</v>
      </c>
      <c r="E34" s="72"/>
      <c r="F34" s="34"/>
      <c r="G34" s="34">
        <f>G29+G33</f>
        <v>126.739</v>
      </c>
      <c r="H34" s="34">
        <f t="shared" si="1"/>
        <v>2.1200000000000045</v>
      </c>
      <c r="I34" s="35">
        <f t="shared" si="2"/>
        <v>1.7011852125277883E-2</v>
      </c>
      <c r="J34" s="35">
        <f t="shared" si="10"/>
        <v>0.34106486166204258</v>
      </c>
      <c r="K34" s="110">
        <f t="shared" si="11"/>
        <v>0.34779298609785225</v>
      </c>
    </row>
    <row r="35" spans="1:11" s="1" customFormat="1" ht="13.5" customHeight="1" x14ac:dyDescent="0.2">
      <c r="A35" s="109" t="s">
        <v>94</v>
      </c>
      <c r="B35" s="73"/>
      <c r="C35" s="34"/>
      <c r="D35" s="34">
        <f>D30+D33</f>
        <v>123.48268</v>
      </c>
      <c r="E35" s="72"/>
      <c r="F35" s="34"/>
      <c r="G35" s="34">
        <f>G30+G33</f>
        <v>125.60268000000001</v>
      </c>
      <c r="H35" s="34">
        <f t="shared" si="1"/>
        <v>2.1200000000000045</v>
      </c>
      <c r="I35" s="35">
        <f t="shared" si="2"/>
        <v>1.7168399649246394E-2</v>
      </c>
      <c r="J35" s="35">
        <f t="shared" si="10"/>
        <v>0.33800693297707735</v>
      </c>
      <c r="K35" s="110">
        <f t="shared" si="11"/>
        <v>0.34467473421040867</v>
      </c>
    </row>
    <row r="36" spans="1:11" x14ac:dyDescent="0.2">
      <c r="A36" s="106" t="s">
        <v>42</v>
      </c>
      <c r="B36" s="72">
        <f>B8</f>
        <v>2134</v>
      </c>
      <c r="C36" s="33">
        <v>3.5999999999999999E-3</v>
      </c>
      <c r="D36" s="21">
        <f>B36*C36</f>
        <v>7.6823999999999995</v>
      </c>
      <c r="E36" s="72">
        <f t="shared" si="6"/>
        <v>2134</v>
      </c>
      <c r="F36" s="33">
        <v>3.5999999999999999E-3</v>
      </c>
      <c r="G36" s="21">
        <f>E36*F36</f>
        <v>7.6823999999999995</v>
      </c>
      <c r="H36" s="21">
        <f t="shared" si="1"/>
        <v>0</v>
      </c>
      <c r="I36" s="22">
        <f t="shared" si="2"/>
        <v>0</v>
      </c>
      <c r="J36" s="22">
        <f t="shared" si="10"/>
        <v>2.067395744981794E-2</v>
      </c>
      <c r="K36" s="107">
        <f t="shared" si="11"/>
        <v>2.1081788844776586E-2</v>
      </c>
    </row>
    <row r="37" spans="1:11" x14ac:dyDescent="0.2">
      <c r="A37" s="106" t="s">
        <v>43</v>
      </c>
      <c r="B37" s="72">
        <f>B8</f>
        <v>2134</v>
      </c>
      <c r="C37" s="33">
        <v>2.0999999999999999E-3</v>
      </c>
      <c r="D37" s="21">
        <f>B37*C37</f>
        <v>4.4813999999999998</v>
      </c>
      <c r="E37" s="72">
        <f t="shared" si="6"/>
        <v>2134</v>
      </c>
      <c r="F37" s="33">
        <v>2.0999999999999999E-3</v>
      </c>
      <c r="G37" s="21">
        <f>E37*F37</f>
        <v>4.4813999999999998</v>
      </c>
      <c r="H37" s="21">
        <f>G37-D37</f>
        <v>0</v>
      </c>
      <c r="I37" s="22">
        <f t="shared" si="2"/>
        <v>0</v>
      </c>
      <c r="J37" s="22">
        <f t="shared" si="10"/>
        <v>1.2059808512393798E-2</v>
      </c>
      <c r="K37" s="107">
        <f t="shared" si="11"/>
        <v>1.229771015945301E-2</v>
      </c>
    </row>
    <row r="38" spans="1:11" x14ac:dyDescent="0.2">
      <c r="A38" s="106" t="s">
        <v>99</v>
      </c>
      <c r="B38" s="72">
        <f>B8</f>
        <v>2134</v>
      </c>
      <c r="C38" s="33">
        <v>0</v>
      </c>
      <c r="D38" s="21">
        <f>B38*C38</f>
        <v>0</v>
      </c>
      <c r="E38" s="72">
        <f t="shared" si="6"/>
        <v>2134</v>
      </c>
      <c r="F38" s="33">
        <v>0</v>
      </c>
      <c r="G38" s="21">
        <f>E38*F38</f>
        <v>0</v>
      </c>
      <c r="H38" s="21">
        <f>G38-D38</f>
        <v>0</v>
      </c>
      <c r="I38" s="22" t="str">
        <f t="shared" si="2"/>
        <v>N/A</v>
      </c>
      <c r="J38" s="22">
        <f t="shared" ref="J38" si="12">G38/$G$46</f>
        <v>0</v>
      </c>
      <c r="K38" s="107">
        <f t="shared" ref="K38" si="13">G38/$G$51</f>
        <v>0</v>
      </c>
    </row>
    <row r="39" spans="1:11" x14ac:dyDescent="0.2">
      <c r="A39" s="106" t="s">
        <v>44</v>
      </c>
      <c r="B39" s="72">
        <v>1</v>
      </c>
      <c r="C39" s="21">
        <v>0.25</v>
      </c>
      <c r="D39" s="21">
        <f>B39*C39</f>
        <v>0.25</v>
      </c>
      <c r="E39" s="72">
        <f t="shared" si="6"/>
        <v>1</v>
      </c>
      <c r="F39" s="21">
        <f>C39</f>
        <v>0.25</v>
      </c>
      <c r="G39" s="21">
        <f>E39*F39</f>
        <v>0.25</v>
      </c>
      <c r="H39" s="21">
        <f t="shared" si="1"/>
        <v>0</v>
      </c>
      <c r="I39" s="22">
        <f t="shared" si="2"/>
        <v>0</v>
      </c>
      <c r="J39" s="22">
        <f t="shared" si="10"/>
        <v>6.7277014506592796E-4</v>
      </c>
      <c r="K39" s="107">
        <f t="shared" si="11"/>
        <v>6.8604175924114172E-4</v>
      </c>
    </row>
    <row r="40" spans="1:11" s="1" customFormat="1" x14ac:dyDescent="0.2">
      <c r="A40" s="109" t="s">
        <v>45</v>
      </c>
      <c r="B40" s="73"/>
      <c r="C40" s="34"/>
      <c r="D40" s="34">
        <f>SUM(D36:D39)</f>
        <v>12.413799999999998</v>
      </c>
      <c r="E40" s="72"/>
      <c r="F40" s="34"/>
      <c r="G40" s="34">
        <f>SUM(G36:G39)</f>
        <v>12.413799999999998</v>
      </c>
      <c r="H40" s="34">
        <f t="shared" si="1"/>
        <v>0</v>
      </c>
      <c r="I40" s="35">
        <f t="shared" si="2"/>
        <v>0</v>
      </c>
      <c r="J40" s="35">
        <f t="shared" si="10"/>
        <v>3.3406536107277666E-2</v>
      </c>
      <c r="K40" s="110">
        <f t="shared" si="11"/>
        <v>3.4065540763470736E-2</v>
      </c>
    </row>
    <row r="41" spans="1:11" s="1" customFormat="1" ht="13.5" thickBot="1" x14ac:dyDescent="0.25">
      <c r="A41" s="111" t="s">
        <v>46</v>
      </c>
      <c r="B41" s="112">
        <f>B4</f>
        <v>2000</v>
      </c>
      <c r="C41" s="113">
        <v>7.0000000000000001E-3</v>
      </c>
      <c r="D41" s="114">
        <f>B41*C41</f>
        <v>14</v>
      </c>
      <c r="E41" s="115">
        <f t="shared" si="6"/>
        <v>2000</v>
      </c>
      <c r="F41" s="113">
        <f>C41</f>
        <v>7.0000000000000001E-3</v>
      </c>
      <c r="G41" s="114">
        <f>E41*F41</f>
        <v>14</v>
      </c>
      <c r="H41" s="114">
        <f t="shared" si="1"/>
        <v>0</v>
      </c>
      <c r="I41" s="116">
        <f t="shared" si="2"/>
        <v>0</v>
      </c>
      <c r="J41" s="116">
        <f t="shared" si="10"/>
        <v>3.7675128123691969E-2</v>
      </c>
      <c r="K41" s="117">
        <f t="shared" si="11"/>
        <v>3.8418338517503939E-2</v>
      </c>
    </row>
    <row r="42" spans="1:11" s="1" customFormat="1" x14ac:dyDescent="0.2">
      <c r="A42" s="36" t="s">
        <v>107</v>
      </c>
      <c r="B42" s="37"/>
      <c r="C42" s="38"/>
      <c r="D42" s="38">
        <f>SUM(D14,D25,D26,D27,D33,D40,D41)</f>
        <v>351.78280000000001</v>
      </c>
      <c r="E42" s="37"/>
      <c r="F42" s="38"/>
      <c r="G42" s="38">
        <f>SUM(G14,G25,G26,G27,G33,G40,G41)</f>
        <v>353.90280000000001</v>
      </c>
      <c r="H42" s="38">
        <f t="shared" si="1"/>
        <v>2.1200000000000045</v>
      </c>
      <c r="I42" s="39">
        <f t="shared" si="2"/>
        <v>6.0264458637545792E-3</v>
      </c>
      <c r="J42" s="39">
        <f t="shared" si="10"/>
        <v>0.95238095238095244</v>
      </c>
      <c r="K42" s="40"/>
    </row>
    <row r="43" spans="1:11" x14ac:dyDescent="0.2">
      <c r="A43" s="142" t="s">
        <v>108</v>
      </c>
      <c r="B43" s="42"/>
      <c r="C43" s="25">
        <v>0.13</v>
      </c>
      <c r="D43" s="25">
        <f>D42*C43</f>
        <v>45.731764000000005</v>
      </c>
      <c r="E43" s="25"/>
      <c r="F43" s="25">
        <f>C43</f>
        <v>0.13</v>
      </c>
      <c r="G43" s="25">
        <f>G42*F43</f>
        <v>46.007364000000003</v>
      </c>
      <c r="H43" s="25">
        <f t="shared" si="1"/>
        <v>0.27559999999999718</v>
      </c>
      <c r="I43" s="43">
        <f t="shared" si="2"/>
        <v>6.0264458637545046E-3</v>
      </c>
      <c r="J43" s="43">
        <f t="shared" si="10"/>
        <v>0.12380952380952381</v>
      </c>
      <c r="K43" s="44"/>
    </row>
    <row r="44" spans="1:11" s="1" customFormat="1" x14ac:dyDescent="0.2">
      <c r="A44" s="45" t="s">
        <v>109</v>
      </c>
      <c r="B44" s="23"/>
      <c r="C44" s="24"/>
      <c r="D44" s="24">
        <f>SUM(D42:D43)</f>
        <v>397.51456400000001</v>
      </c>
      <c r="E44" s="24"/>
      <c r="F44" s="24"/>
      <c r="G44" s="24">
        <f>SUM(G42:G43)</f>
        <v>399.91016400000001</v>
      </c>
      <c r="H44" s="24">
        <f t="shared" si="1"/>
        <v>2.3956000000000017</v>
      </c>
      <c r="I44" s="26">
        <f t="shared" si="2"/>
        <v>6.0264458637545714E-3</v>
      </c>
      <c r="J44" s="26">
        <f t="shared" si="10"/>
        <v>1.0761904761904761</v>
      </c>
      <c r="K44" s="46"/>
    </row>
    <row r="45" spans="1:11" x14ac:dyDescent="0.2">
      <c r="A45" s="41" t="s">
        <v>110</v>
      </c>
      <c r="B45" s="42"/>
      <c r="C45" s="25">
        <v>-0.08</v>
      </c>
      <c r="D45" s="25">
        <f>D42*C45</f>
        <v>-28.142624000000001</v>
      </c>
      <c r="E45" s="25"/>
      <c r="F45" s="25">
        <f>C45</f>
        <v>-0.08</v>
      </c>
      <c r="G45" s="25">
        <f>G42*F45</f>
        <v>-28.312224000000001</v>
      </c>
      <c r="H45" s="25">
        <f t="shared" si="1"/>
        <v>-0.16959999999999908</v>
      </c>
      <c r="I45" s="43">
        <f t="shared" si="2"/>
        <v>-6.0264458637545341E-3</v>
      </c>
      <c r="J45" s="43">
        <f t="shared" si="10"/>
        <v>-7.6190476190476197E-2</v>
      </c>
      <c r="K45" s="44"/>
    </row>
    <row r="46" spans="1:11" s="1" customFormat="1" ht="13.5" thickBot="1" x14ac:dyDescent="0.25">
      <c r="A46" s="47" t="s">
        <v>111</v>
      </c>
      <c r="B46" s="48"/>
      <c r="C46" s="49"/>
      <c r="D46" s="49">
        <f>SUM(D44:D45)</f>
        <v>369.37194</v>
      </c>
      <c r="E46" s="49"/>
      <c r="F46" s="49"/>
      <c r="G46" s="49">
        <f>SUM(G44:G45)</f>
        <v>371.59793999999999</v>
      </c>
      <c r="H46" s="49">
        <f t="shared" si="1"/>
        <v>2.2259999999999991</v>
      </c>
      <c r="I46" s="50">
        <f t="shared" si="2"/>
        <v>6.0264458637545645E-3</v>
      </c>
      <c r="J46" s="50">
        <f t="shared" si="10"/>
        <v>1</v>
      </c>
      <c r="K46" s="51"/>
    </row>
    <row r="47" spans="1:11" x14ac:dyDescent="0.2">
      <c r="A47" s="52" t="s">
        <v>112</v>
      </c>
      <c r="B47" s="53"/>
      <c r="C47" s="54"/>
      <c r="D47" s="54">
        <f>SUM(D18,D25,D26,D28,D33,D40,D41)</f>
        <v>344.93647999999996</v>
      </c>
      <c r="E47" s="54"/>
      <c r="F47" s="54"/>
      <c r="G47" s="54">
        <f>SUM(G18,G25,G26,G28,G33,G40,G41)</f>
        <v>347.05647999999997</v>
      </c>
      <c r="H47" s="54">
        <f>G47-D47</f>
        <v>2.1200000000000045</v>
      </c>
      <c r="I47" s="55">
        <f t="shared" si="2"/>
        <v>6.1460591236972232E-3</v>
      </c>
      <c r="J47" s="55"/>
      <c r="K47" s="56">
        <f>G47/$G$51</f>
        <v>0.95238095238095233</v>
      </c>
    </row>
    <row r="48" spans="1:11" x14ac:dyDescent="0.2">
      <c r="A48" s="57" t="s">
        <v>108</v>
      </c>
      <c r="B48" s="58"/>
      <c r="C48" s="30">
        <v>0.13</v>
      </c>
      <c r="D48" s="30">
        <f>D47*C48</f>
        <v>44.841742399999994</v>
      </c>
      <c r="E48" s="30"/>
      <c r="F48" s="30">
        <f>C48</f>
        <v>0.13</v>
      </c>
      <c r="G48" s="30">
        <f>G47*F48</f>
        <v>45.117342399999998</v>
      </c>
      <c r="H48" s="30">
        <f>G48-D48</f>
        <v>0.27560000000000429</v>
      </c>
      <c r="I48" s="31">
        <f t="shared" si="2"/>
        <v>6.1460591236973056E-3</v>
      </c>
      <c r="J48" s="31"/>
      <c r="K48" s="59">
        <f>G48/$G$51</f>
        <v>0.12380952380952381</v>
      </c>
    </row>
    <row r="49" spans="1:11" x14ac:dyDescent="0.2">
      <c r="A49" s="135" t="s">
        <v>113</v>
      </c>
      <c r="B49" s="28"/>
      <c r="C49" s="29"/>
      <c r="D49" s="29">
        <f>SUM(D47:D48)</f>
        <v>389.77822239999995</v>
      </c>
      <c r="E49" s="29"/>
      <c r="F49" s="29"/>
      <c r="G49" s="29">
        <f>SUM(G47:G48)</f>
        <v>392.17382239999995</v>
      </c>
      <c r="H49" s="29">
        <f>G49-D49</f>
        <v>2.3956000000000017</v>
      </c>
      <c r="I49" s="32">
        <f t="shared" si="2"/>
        <v>6.1460591236972145E-3</v>
      </c>
      <c r="J49" s="32"/>
      <c r="K49" s="61">
        <f>G49/$G$51</f>
        <v>1.0761904761904761</v>
      </c>
    </row>
    <row r="50" spans="1:11" x14ac:dyDescent="0.2">
      <c r="A50" s="57" t="s">
        <v>110</v>
      </c>
      <c r="B50" s="58"/>
      <c r="C50" s="30">
        <v>-0.08</v>
      </c>
      <c r="D50" s="30">
        <f>D47*C50</f>
        <v>-27.594918399999997</v>
      </c>
      <c r="E50" s="30"/>
      <c r="F50" s="30">
        <f>C50</f>
        <v>-0.08</v>
      </c>
      <c r="G50" s="30">
        <f>G47*F50</f>
        <v>-27.764518399999996</v>
      </c>
      <c r="H50" s="30">
        <f>G50-D50</f>
        <v>-0.16959999999999908</v>
      </c>
      <c r="I50" s="31">
        <f t="shared" si="2"/>
        <v>-6.1460591236971772E-3</v>
      </c>
      <c r="J50" s="31"/>
      <c r="K50" s="59">
        <f>G50/$G$51</f>
        <v>-7.6190476190476183E-2</v>
      </c>
    </row>
    <row r="51" spans="1:11" ht="13.5" thickBot="1" x14ac:dyDescent="0.25">
      <c r="A51" s="62" t="s">
        <v>114</v>
      </c>
      <c r="B51" s="63"/>
      <c r="C51" s="64"/>
      <c r="D51" s="64">
        <f>SUM(D49:D50)</f>
        <v>362.18330399999996</v>
      </c>
      <c r="E51" s="64"/>
      <c r="F51" s="64"/>
      <c r="G51" s="64">
        <f>SUM(G49:G50)</f>
        <v>364.40930399999996</v>
      </c>
      <c r="H51" s="64">
        <f>G51-D51</f>
        <v>2.2259999999999991</v>
      </c>
      <c r="I51" s="65">
        <f t="shared" si="2"/>
        <v>6.1460591236972076E-3</v>
      </c>
      <c r="J51" s="65"/>
      <c r="K51" s="66">
        <f>G51/$G$51</f>
        <v>1</v>
      </c>
    </row>
    <row r="52" spans="1:11" x14ac:dyDescent="0.2">
      <c r="C52" s="67"/>
      <c r="F52" s="68"/>
    </row>
    <row r="53" spans="1:11" x14ac:dyDescent="0.2">
      <c r="F53" s="68"/>
    </row>
    <row r="54" spans="1:11" x14ac:dyDescent="0.2">
      <c r="F54" s="68"/>
    </row>
    <row r="55" spans="1:11" x14ac:dyDescent="0.2">
      <c r="A55" s="69"/>
      <c r="B55" s="70"/>
      <c r="F55" s="68"/>
    </row>
    <row r="56" spans="1:11" x14ac:dyDescent="0.2">
      <c r="B56" s="70"/>
      <c r="F56" s="68"/>
    </row>
    <row r="57" spans="1:11" x14ac:dyDescent="0.2">
      <c r="F57" s="68"/>
    </row>
    <row r="58" spans="1:11" x14ac:dyDescent="0.2">
      <c r="D58" s="71"/>
      <c r="F58" s="68"/>
    </row>
    <row r="59" spans="1:11" x14ac:dyDescent="0.2">
      <c r="F59" s="68"/>
    </row>
    <row r="60" spans="1:11" x14ac:dyDescent="0.2">
      <c r="A60" s="69"/>
      <c r="B60" s="70"/>
      <c r="F60" s="68"/>
    </row>
    <row r="61" spans="1:11" x14ac:dyDescent="0.2">
      <c r="B61" s="71"/>
      <c r="D61" s="71"/>
      <c r="F61" s="68"/>
    </row>
    <row r="62" spans="1:11" x14ac:dyDescent="0.2">
      <c r="F62" s="68"/>
    </row>
    <row r="63" spans="1:11" x14ac:dyDescent="0.2">
      <c r="F63" s="68"/>
    </row>
    <row r="64" spans="1:11" x14ac:dyDescent="0.2">
      <c r="F64" s="68"/>
      <c r="K64"/>
    </row>
    <row r="65" spans="6:11" x14ac:dyDescent="0.2">
      <c r="F65" s="68"/>
      <c r="K65"/>
    </row>
    <row r="66" spans="6:11" x14ac:dyDescent="0.2">
      <c r="F66" s="68"/>
      <c r="K66"/>
    </row>
    <row r="67" spans="6:11" x14ac:dyDescent="0.2">
      <c r="F67" s="68"/>
      <c r="K67"/>
    </row>
    <row r="68" spans="6:11" x14ac:dyDescent="0.2">
      <c r="F68" s="68"/>
      <c r="K68"/>
    </row>
  </sheetData>
  <mergeCells count="1">
    <mergeCell ref="A1:K1"/>
  </mergeCells>
  <pageMargins left="0.7" right="0.7" top="0.75" bottom="0.75" header="0.3" footer="0.3"/>
  <pageSetup scale="7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6">
    <tabColor theme="1" tint="0.499984740745262"/>
    <pageSetUpPr fitToPage="1"/>
  </sheetPr>
  <dimension ref="A1:K68"/>
  <sheetViews>
    <sheetView tabSelected="1" topLeftCell="A13"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3"/>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205" t="s">
        <v>127</v>
      </c>
      <c r="B1" s="206"/>
      <c r="C1" s="206"/>
      <c r="D1" s="206"/>
      <c r="E1" s="206"/>
      <c r="F1" s="206"/>
      <c r="G1" s="206"/>
      <c r="H1" s="206"/>
      <c r="I1" s="206"/>
      <c r="J1" s="206"/>
      <c r="K1" s="207"/>
    </row>
    <row r="3" spans="1:11" x14ac:dyDescent="0.2">
      <c r="A3" s="12" t="s">
        <v>13</v>
      </c>
      <c r="B3" s="12" t="s">
        <v>6</v>
      </c>
    </row>
    <row r="4" spans="1:11" x14ac:dyDescent="0.2">
      <c r="A4" s="14" t="s">
        <v>62</v>
      </c>
      <c r="B4" s="78">
        <f>'Data for Bill Impacts_HONI Avg '!C8</f>
        <v>2759</v>
      </c>
    </row>
    <row r="5" spans="1:11" x14ac:dyDescent="0.2">
      <c r="A5" s="14" t="s">
        <v>16</v>
      </c>
      <c r="B5" s="14">
        <f>VLOOKUP($B$3,'Data for Bill Impacts'!$A$3:$Y$15,5,0)</f>
        <v>0</v>
      </c>
    </row>
    <row r="6" spans="1:11" x14ac:dyDescent="0.2">
      <c r="A6" s="14" t="s">
        <v>20</v>
      </c>
      <c r="B6" s="14">
        <f>VLOOKUP($B$3,'Data for Bill Impacts'!$A$3:$Y$15,2,0)</f>
        <v>1.0669999999999999</v>
      </c>
    </row>
    <row r="7" spans="1:11" x14ac:dyDescent="0.2">
      <c r="A7" s="14" t="s">
        <v>15</v>
      </c>
      <c r="B7" s="14">
        <f>VLOOKUP($B$3,'Data for Bill Impacts'!$A$3:$Y$15,4,0)</f>
        <v>750</v>
      </c>
    </row>
    <row r="8" spans="1:11" x14ac:dyDescent="0.2">
      <c r="A8" s="14" t="s">
        <v>82</v>
      </c>
      <c r="B8" s="14">
        <f>B4*B6</f>
        <v>2943.8530000000001</v>
      </c>
    </row>
    <row r="9" spans="1:11" x14ac:dyDescent="0.2">
      <c r="A9" s="14" t="s">
        <v>21</v>
      </c>
      <c r="B9" s="15" t="str">
        <f>VLOOKUP($B$3,'Data for Bill Impacts'!$A$3:$Y$15,6,0)</f>
        <v>kWh</v>
      </c>
    </row>
    <row r="10" spans="1:11" ht="13.5" thickBot="1" x14ac:dyDescent="0.25"/>
    <row r="11" spans="1:11" s="19" customFormat="1" ht="39" thickBot="1" x14ac:dyDescent="0.25">
      <c r="A11" s="16"/>
      <c r="B11" s="17" t="s">
        <v>22</v>
      </c>
      <c r="C11" s="17" t="s">
        <v>23</v>
      </c>
      <c r="D11" s="17" t="s">
        <v>24</v>
      </c>
      <c r="E11" s="17" t="s">
        <v>22</v>
      </c>
      <c r="F11" s="17" t="s">
        <v>25</v>
      </c>
      <c r="G11" s="17" t="s">
        <v>26</v>
      </c>
      <c r="H11" s="17" t="s">
        <v>27</v>
      </c>
      <c r="I11" s="17" t="s">
        <v>28</v>
      </c>
      <c r="J11" s="17" t="s">
        <v>29</v>
      </c>
      <c r="K11" s="18" t="s">
        <v>30</v>
      </c>
    </row>
    <row r="12" spans="1:11" x14ac:dyDescent="0.2">
      <c r="A12" s="100" t="s">
        <v>31</v>
      </c>
      <c r="B12" s="101">
        <f>IF(B4&gt;B7,B7,B4)</f>
        <v>750</v>
      </c>
      <c r="C12" s="102">
        <v>9.0999999999999998E-2</v>
      </c>
      <c r="D12" s="103">
        <f>B12*C12</f>
        <v>68.25</v>
      </c>
      <c r="E12" s="101">
        <f>B12</f>
        <v>750</v>
      </c>
      <c r="F12" s="102">
        <f>C12</f>
        <v>9.0999999999999998E-2</v>
      </c>
      <c r="G12" s="103">
        <f>E12*F12</f>
        <v>68.25</v>
      </c>
      <c r="H12" s="103">
        <f>G12-D12</f>
        <v>0</v>
      </c>
      <c r="I12" s="104">
        <f>IF(ISERROR(H12/ABS(D12)),"N/A",(H12/ABS(D12)))</f>
        <v>0</v>
      </c>
      <c r="J12" s="104">
        <f>G12/$G$46</f>
        <v>0.13480247105439111</v>
      </c>
      <c r="K12" s="105"/>
    </row>
    <row r="13" spans="1:11" x14ac:dyDescent="0.2">
      <c r="A13" s="106" t="s">
        <v>32</v>
      </c>
      <c r="B13" s="72">
        <f>IF(B4&gt;B7,(B4)-B7,0)</f>
        <v>2009</v>
      </c>
      <c r="C13" s="20">
        <v>0.106</v>
      </c>
      <c r="D13" s="21">
        <f>B13*C13</f>
        <v>212.95400000000001</v>
      </c>
      <c r="E13" s="72">
        <f t="shared" ref="E13" si="0">B13</f>
        <v>2009</v>
      </c>
      <c r="F13" s="20">
        <f>C13</f>
        <v>0.106</v>
      </c>
      <c r="G13" s="21">
        <f>E13*F13</f>
        <v>212.95400000000001</v>
      </c>
      <c r="H13" s="21">
        <f t="shared" ref="H13:H46" si="1">G13-D13</f>
        <v>0</v>
      </c>
      <c r="I13" s="22">
        <f t="shared" ref="I13:I51" si="2">IF(ISERROR(H13/ABS(D13)),"N/A",(H13/ABS(D13)))</f>
        <v>0</v>
      </c>
      <c r="J13" s="22">
        <f>G13/$G$46</f>
        <v>0.42061136147863454</v>
      </c>
      <c r="K13" s="107"/>
    </row>
    <row r="14" spans="1:11" s="1" customFormat="1" x14ac:dyDescent="0.2">
      <c r="A14" s="45" t="s">
        <v>33</v>
      </c>
      <c r="B14" s="23"/>
      <c r="C14" s="24"/>
      <c r="D14" s="24">
        <f>SUM(D12:D13)</f>
        <v>281.20400000000001</v>
      </c>
      <c r="E14" s="75"/>
      <c r="F14" s="24"/>
      <c r="G14" s="24">
        <f>SUM(G12:G13)</f>
        <v>281.20400000000001</v>
      </c>
      <c r="H14" s="24">
        <f t="shared" si="1"/>
        <v>0</v>
      </c>
      <c r="I14" s="26">
        <f t="shared" si="2"/>
        <v>0</v>
      </c>
      <c r="J14" s="26">
        <f>G14/$G$46</f>
        <v>0.55541383253302568</v>
      </c>
      <c r="K14" s="107"/>
    </row>
    <row r="15" spans="1:11" s="1" customFormat="1" x14ac:dyDescent="0.2">
      <c r="A15" s="108" t="s">
        <v>34</v>
      </c>
      <c r="B15" s="74">
        <f>B4*0.65</f>
        <v>1793.3500000000001</v>
      </c>
      <c r="C15" s="27">
        <v>7.6999999999999999E-2</v>
      </c>
      <c r="D15" s="21">
        <f>B15*C15</f>
        <v>138.08795000000001</v>
      </c>
      <c r="E15" s="72">
        <f t="shared" ref="E15:F17" si="3">B15</f>
        <v>1793.3500000000001</v>
      </c>
      <c r="F15" s="27">
        <f t="shared" si="3"/>
        <v>7.6999999999999999E-2</v>
      </c>
      <c r="G15" s="21">
        <f>E15*F15</f>
        <v>138.08795000000001</v>
      </c>
      <c r="H15" s="21">
        <f t="shared" si="1"/>
        <v>0</v>
      </c>
      <c r="I15" s="22">
        <f t="shared" si="2"/>
        <v>0</v>
      </c>
      <c r="J15" s="22"/>
      <c r="K15" s="107">
        <f t="shared" ref="K15:K26" si="4">G15/$G$51</f>
        <v>0.28072545472616728</v>
      </c>
    </row>
    <row r="16" spans="1:11" s="1" customFormat="1" x14ac:dyDescent="0.2">
      <c r="A16" s="108" t="s">
        <v>35</v>
      </c>
      <c r="B16" s="74">
        <f>B4*0.17</f>
        <v>469.03000000000003</v>
      </c>
      <c r="C16" s="27">
        <v>0.113</v>
      </c>
      <c r="D16" s="21">
        <f>B16*C16</f>
        <v>53.000390000000003</v>
      </c>
      <c r="E16" s="72">
        <f t="shared" si="3"/>
        <v>469.03000000000003</v>
      </c>
      <c r="F16" s="27">
        <f t="shared" si="3"/>
        <v>0.113</v>
      </c>
      <c r="G16" s="21">
        <f>E16*F16</f>
        <v>53.000390000000003</v>
      </c>
      <c r="H16" s="21">
        <f t="shared" si="1"/>
        <v>0</v>
      </c>
      <c r="I16" s="22">
        <f t="shared" si="2"/>
        <v>0</v>
      </c>
      <c r="J16" s="22"/>
      <c r="K16" s="107">
        <f t="shared" si="4"/>
        <v>0.10774697273306041</v>
      </c>
    </row>
    <row r="17" spans="1:11" s="1" customFormat="1" x14ac:dyDescent="0.2">
      <c r="A17" s="108" t="s">
        <v>36</v>
      </c>
      <c r="B17" s="74">
        <f>B4*0.18</f>
        <v>496.62</v>
      </c>
      <c r="C17" s="27">
        <v>0.157</v>
      </c>
      <c r="D17" s="21">
        <f>B17*C17</f>
        <v>77.969340000000003</v>
      </c>
      <c r="E17" s="72">
        <f t="shared" si="3"/>
        <v>496.62</v>
      </c>
      <c r="F17" s="27">
        <f t="shared" si="3"/>
        <v>0.157</v>
      </c>
      <c r="G17" s="21">
        <f>E17*F17</f>
        <v>77.969340000000003</v>
      </c>
      <c r="H17" s="21">
        <f t="shared" si="1"/>
        <v>0</v>
      </c>
      <c r="I17" s="22">
        <f t="shared" si="2"/>
        <v>0</v>
      </c>
      <c r="J17" s="22"/>
      <c r="K17" s="107">
        <f t="shared" si="4"/>
        <v>0.15850751949173802</v>
      </c>
    </row>
    <row r="18" spans="1:11" s="1" customFormat="1" x14ac:dyDescent="0.2">
      <c r="A18" s="60" t="s">
        <v>37</v>
      </c>
      <c r="B18" s="28"/>
      <c r="C18" s="29"/>
      <c r="D18" s="29">
        <f>SUM(D15:D17)</f>
        <v>269.05768</v>
      </c>
      <c r="E18" s="76"/>
      <c r="F18" s="29"/>
      <c r="G18" s="29">
        <f>SUM(G15:G17)</f>
        <v>269.05768</v>
      </c>
      <c r="H18" s="30">
        <f t="shared" si="1"/>
        <v>0</v>
      </c>
      <c r="I18" s="31">
        <f t="shared" si="2"/>
        <v>0</v>
      </c>
      <c r="J18" s="32">
        <f t="shared" ref="J18:J23" si="5">G18/$G$46</f>
        <v>0.53142329846390668</v>
      </c>
      <c r="K18" s="61">
        <f t="shared" si="4"/>
        <v>0.54697994695096575</v>
      </c>
    </row>
    <row r="19" spans="1:11" x14ac:dyDescent="0.2">
      <c r="A19" s="106" t="s">
        <v>38</v>
      </c>
      <c r="B19" s="72">
        <v>1</v>
      </c>
      <c r="C19" s="77">
        <f>VLOOKUP($B$3,'Data for Bill Impacts'!$A$3:$Y$15,7,0)</f>
        <v>25.55</v>
      </c>
      <c r="D19" s="21">
        <f>B19*C19</f>
        <v>25.55</v>
      </c>
      <c r="E19" s="72">
        <f t="shared" ref="E19:E41" si="6">B19</f>
        <v>1</v>
      </c>
      <c r="F19" s="77">
        <f>VLOOKUP($B$3,'Data for Bill Impacts'!$A$3:$Y$15,17,0)</f>
        <v>26.07</v>
      </c>
      <c r="G19" s="21">
        <f>E19*F19</f>
        <v>26.07</v>
      </c>
      <c r="H19" s="21">
        <f t="shared" si="1"/>
        <v>0.51999999999999957</v>
      </c>
      <c r="I19" s="22">
        <f t="shared" si="2"/>
        <v>2.0352250489236775E-2</v>
      </c>
      <c r="J19" s="22">
        <f t="shared" si="5"/>
        <v>5.1491581251105881E-2</v>
      </c>
      <c r="K19" s="107">
        <f t="shared" si="4"/>
        <v>5.2998922822094043E-2</v>
      </c>
    </row>
    <row r="20" spans="1:11" hidden="1" x14ac:dyDescent="0.2">
      <c r="A20" s="106" t="s">
        <v>83</v>
      </c>
      <c r="B20" s="72">
        <v>1</v>
      </c>
      <c r="C20" s="77">
        <f>VLOOKUP($B$3,'Data for Bill Impacts'!$A$3:$Y$15,8,0)</f>
        <v>0</v>
      </c>
      <c r="D20" s="21">
        <f>B20*C20</f>
        <v>0</v>
      </c>
      <c r="E20" s="72">
        <f t="shared" si="6"/>
        <v>1</v>
      </c>
      <c r="F20" s="77">
        <v>0</v>
      </c>
      <c r="G20" s="21">
        <f t="shared" ref="G20:G22" si="7">E20*F20</f>
        <v>0</v>
      </c>
      <c r="H20" s="21">
        <f t="shared" si="1"/>
        <v>0</v>
      </c>
      <c r="I20" s="22" t="str">
        <f t="shared" si="2"/>
        <v>N/A</v>
      </c>
      <c r="J20" s="22">
        <f t="shared" si="5"/>
        <v>0</v>
      </c>
      <c r="K20" s="107">
        <f t="shared" si="4"/>
        <v>0</v>
      </c>
    </row>
    <row r="21" spans="1:11" hidden="1" x14ac:dyDescent="0.2">
      <c r="A21" s="106" t="s">
        <v>84</v>
      </c>
      <c r="B21" s="72">
        <v>1</v>
      </c>
      <c r="C21" s="77">
        <f>VLOOKUP($B$3,'Data for Bill Impacts'!$A$3:$Y$15,11,0)</f>
        <v>0</v>
      </c>
      <c r="D21" s="21">
        <f t="shared" ref="D21:D22" si="8">B21*C21</f>
        <v>0</v>
      </c>
      <c r="E21" s="72">
        <f t="shared" si="6"/>
        <v>1</v>
      </c>
      <c r="F21" s="120">
        <f>VLOOKUP($B$3,'Data for Bill Impacts'!$A$3:$Y$15,12,0)</f>
        <v>0</v>
      </c>
      <c r="G21" s="21">
        <f t="shared" si="7"/>
        <v>0</v>
      </c>
      <c r="H21" s="21">
        <f t="shared" si="1"/>
        <v>0</v>
      </c>
      <c r="I21" s="22" t="str">
        <f t="shared" si="2"/>
        <v>N/A</v>
      </c>
      <c r="J21" s="22">
        <f t="shared" si="5"/>
        <v>0</v>
      </c>
      <c r="K21" s="107">
        <f t="shared" si="4"/>
        <v>0</v>
      </c>
    </row>
    <row r="22" spans="1:11" x14ac:dyDescent="0.2">
      <c r="A22" s="106" t="s">
        <v>85</v>
      </c>
      <c r="B22" s="72">
        <v>1</v>
      </c>
      <c r="C22" s="120">
        <f>VLOOKUP($B$3,'Data for Bill Impacts'!$A$3:$Y$15,13,0)</f>
        <v>8.0000000000000002E-3</v>
      </c>
      <c r="D22" s="21">
        <f t="shared" si="8"/>
        <v>8.0000000000000002E-3</v>
      </c>
      <c r="E22" s="72">
        <f t="shared" si="6"/>
        <v>1</v>
      </c>
      <c r="F22" s="120">
        <f>VLOOKUP($B$3,'Data for Bill Impacts'!$A$3:$Y$15,22,0)</f>
        <v>8.0000000000000002E-3</v>
      </c>
      <c r="G22" s="21">
        <f t="shared" si="7"/>
        <v>8.0000000000000002E-3</v>
      </c>
      <c r="H22" s="21">
        <f t="shared" si="1"/>
        <v>0</v>
      </c>
      <c r="I22" s="22">
        <f t="shared" si="2"/>
        <v>0</v>
      </c>
      <c r="J22" s="22">
        <f t="shared" si="5"/>
        <v>1.5801022248133759E-5</v>
      </c>
      <c r="K22" s="107">
        <f t="shared" si="4"/>
        <v>1.6263574322084861E-5</v>
      </c>
    </row>
    <row r="23" spans="1:11" x14ac:dyDescent="0.2">
      <c r="A23" s="106" t="s">
        <v>39</v>
      </c>
      <c r="B23" s="72">
        <f>IF($B$9="kWh",$B$4,$B$5)</f>
        <v>2759</v>
      </c>
      <c r="C23" s="124">
        <f>VLOOKUP($B$3,'Data for Bill Impacts'!$A$3:$Y$15,10,0)</f>
        <v>3.0800000000000001E-2</v>
      </c>
      <c r="D23" s="21">
        <f>B23*C23</f>
        <v>84.977199999999996</v>
      </c>
      <c r="E23" s="72">
        <f t="shared" si="6"/>
        <v>2759</v>
      </c>
      <c r="F23" s="77">
        <f>VLOOKUP($B$3,'Data for Bill Impacts'!$A$3:$Y$15,19,0)</f>
        <v>3.1600000000000003E-2</v>
      </c>
      <c r="G23" s="21">
        <f>E23*F23</f>
        <v>87.184400000000011</v>
      </c>
      <c r="H23" s="21">
        <f t="shared" si="1"/>
        <v>2.2072000000000145</v>
      </c>
      <c r="I23" s="22">
        <f t="shared" si="2"/>
        <v>2.5974025974026146E-2</v>
      </c>
      <c r="J23" s="22">
        <f t="shared" si="5"/>
        <v>0.17220033051127412</v>
      </c>
      <c r="K23" s="107">
        <f t="shared" si="4"/>
        <v>0.17724124614079695</v>
      </c>
    </row>
    <row r="24" spans="1:11" x14ac:dyDescent="0.2">
      <c r="A24" s="106" t="s">
        <v>129</v>
      </c>
      <c r="B24" s="72">
        <f>IF($B$9="kWh",$B$4,$B$5)</f>
        <v>2759</v>
      </c>
      <c r="C24" s="77">
        <f>VLOOKUP($B$3,'Data for Bill Impacts'!$A$3:$Y$15,14,0)</f>
        <v>3.0000000000000004E-5</v>
      </c>
      <c r="D24" s="33">
        <f>B24*C24</f>
        <v>8.277000000000001E-2</v>
      </c>
      <c r="E24" s="72">
        <f t="shared" si="6"/>
        <v>2759</v>
      </c>
      <c r="F24" s="77">
        <f>VLOOKUP($B$3,'Data for Bill Impacts'!$A$3:$Y$15,23,0)</f>
        <v>3.0000000000000004E-5</v>
      </c>
      <c r="G24" s="33">
        <f>E24*F24</f>
        <v>8.277000000000001E-2</v>
      </c>
      <c r="H24" s="21">
        <f t="shared" si="1"/>
        <v>0</v>
      </c>
      <c r="I24" s="22">
        <f t="shared" si="2"/>
        <v>0</v>
      </c>
      <c r="J24" s="22">
        <f t="shared" ref="J24" si="9">G24/$G$46</f>
        <v>1.6348132643475392E-4</v>
      </c>
      <c r="K24" s="107">
        <f t="shared" si="4"/>
        <v>1.6826700582987052E-4</v>
      </c>
    </row>
    <row r="25" spans="1:11" s="1" customFormat="1" x14ac:dyDescent="0.2">
      <c r="A25" s="109" t="s">
        <v>72</v>
      </c>
      <c r="B25" s="73"/>
      <c r="C25" s="34"/>
      <c r="D25" s="34">
        <f>SUM(D19:D24)</f>
        <v>110.61797</v>
      </c>
      <c r="E25" s="72"/>
      <c r="F25" s="34"/>
      <c r="G25" s="34">
        <f>SUM(G19:G24)</f>
        <v>113.34517000000001</v>
      </c>
      <c r="H25" s="34">
        <f t="shared" si="1"/>
        <v>2.7272000000000105</v>
      </c>
      <c r="I25" s="35">
        <f t="shared" si="2"/>
        <v>2.4654222094294541E-2</v>
      </c>
      <c r="J25" s="35">
        <f>G25/$G$46</f>
        <v>0.22387119411106288</v>
      </c>
      <c r="K25" s="110">
        <f t="shared" si="4"/>
        <v>0.23042469954304295</v>
      </c>
    </row>
    <row r="26" spans="1:11" s="1" customFormat="1" x14ac:dyDescent="0.2">
      <c r="A26" s="118" t="s">
        <v>73</v>
      </c>
      <c r="B26" s="119">
        <v>1</v>
      </c>
      <c r="C26" s="77">
        <f>VLOOKUP($B$3,'Data for Bill Impacts'!$A$3:$Y$15,9,0)</f>
        <v>0.79</v>
      </c>
      <c r="D26" s="21">
        <f>B26*C26</f>
        <v>0.79</v>
      </c>
      <c r="E26" s="72">
        <v>1</v>
      </c>
      <c r="F26" s="77">
        <f>VLOOKUP($B$3,'Data for Bill Impacts'!$A$3:$Y$15,18,0)</f>
        <v>0.79</v>
      </c>
      <c r="G26" s="21">
        <f>E26*F26</f>
        <v>0.79</v>
      </c>
      <c r="H26" s="21">
        <f t="shared" si="1"/>
        <v>0</v>
      </c>
      <c r="I26" s="22">
        <f t="shared" si="2"/>
        <v>0</v>
      </c>
      <c r="J26" s="22">
        <f>G26/$G$46</f>
        <v>1.5603509470032086E-3</v>
      </c>
      <c r="K26" s="107">
        <f t="shared" si="4"/>
        <v>1.6060279643058803E-3</v>
      </c>
    </row>
    <row r="27" spans="1:11" s="1" customFormat="1" x14ac:dyDescent="0.2">
      <c r="A27" s="118" t="s">
        <v>75</v>
      </c>
      <c r="B27" s="119">
        <f>B8-B4</f>
        <v>184.85300000000007</v>
      </c>
      <c r="C27" s="186">
        <f>IF(B4&gt;B7,C13,C12)</f>
        <v>0.106</v>
      </c>
      <c r="D27" s="21">
        <f>B27*C27</f>
        <v>19.594418000000008</v>
      </c>
      <c r="E27" s="72">
        <f>B27</f>
        <v>184.85300000000007</v>
      </c>
      <c r="F27" s="186">
        <f>C27</f>
        <v>0.106</v>
      </c>
      <c r="G27" s="21">
        <f>E27*F27</f>
        <v>19.594418000000008</v>
      </c>
      <c r="H27" s="21">
        <f t="shared" si="1"/>
        <v>0</v>
      </c>
      <c r="I27" s="22">
        <f t="shared" si="2"/>
        <v>0</v>
      </c>
      <c r="J27" s="22">
        <f t="shared" ref="J27:J46" si="10">G27/$G$46</f>
        <v>3.8701479344654087E-2</v>
      </c>
      <c r="K27" s="107">
        <f t="shared" ref="K27:K41" si="11">G27/$G$51</f>
        <v>3.9834409180124694E-2</v>
      </c>
    </row>
    <row r="28" spans="1:11" s="1" customFormat="1" x14ac:dyDescent="0.2">
      <c r="A28" s="118" t="s">
        <v>74</v>
      </c>
      <c r="B28" s="119">
        <f>B8-B4</f>
        <v>184.85300000000007</v>
      </c>
      <c r="C28" s="186">
        <f>0.65*C15+0.17*C16+0.18*C17</f>
        <v>9.7519999999999996E-2</v>
      </c>
      <c r="D28" s="21">
        <f>B28*C28</f>
        <v>18.026864560000007</v>
      </c>
      <c r="E28" s="72">
        <f>B28</f>
        <v>184.85300000000007</v>
      </c>
      <c r="F28" s="186">
        <f>C28</f>
        <v>9.7519999999999996E-2</v>
      </c>
      <c r="G28" s="21">
        <f>E28*F28</f>
        <v>18.026864560000007</v>
      </c>
      <c r="H28" s="21">
        <f t="shared" si="1"/>
        <v>0</v>
      </c>
      <c r="I28" s="22">
        <f t="shared" si="2"/>
        <v>0</v>
      </c>
      <c r="J28" s="22">
        <f t="shared" si="10"/>
        <v>3.560536099708176E-2</v>
      </c>
      <c r="K28" s="107">
        <f t="shared" si="11"/>
        <v>3.6647656445714716E-2</v>
      </c>
    </row>
    <row r="29" spans="1:11" s="1" customFormat="1" x14ac:dyDescent="0.2">
      <c r="A29" s="109" t="s">
        <v>78</v>
      </c>
      <c r="B29" s="73"/>
      <c r="C29" s="34"/>
      <c r="D29" s="34">
        <f>SUM(D25,D26:D27)</f>
        <v>131.00238800000002</v>
      </c>
      <c r="E29" s="72"/>
      <c r="F29" s="34"/>
      <c r="G29" s="34">
        <f>SUM(G25,G26:G27)</f>
        <v>133.72958800000004</v>
      </c>
      <c r="H29" s="34">
        <f t="shared" si="1"/>
        <v>2.7272000000000105</v>
      </c>
      <c r="I29" s="35">
        <f t="shared" si="2"/>
        <v>2.0817941120279501E-2</v>
      </c>
      <c r="J29" s="35">
        <f t="shared" si="10"/>
        <v>0.26413302440272024</v>
      </c>
      <c r="K29" s="110">
        <f t="shared" si="11"/>
        <v>0.27186513668747353</v>
      </c>
    </row>
    <row r="30" spans="1:11" s="1" customFormat="1" x14ac:dyDescent="0.2">
      <c r="A30" s="109" t="s">
        <v>77</v>
      </c>
      <c r="B30" s="73"/>
      <c r="C30" s="34"/>
      <c r="D30" s="34">
        <f>SUM(D25,D26,D28)</f>
        <v>129.43483456000001</v>
      </c>
      <c r="E30" s="72"/>
      <c r="F30" s="34"/>
      <c r="G30" s="34">
        <f>SUM(G25,G26,G28)</f>
        <v>132.16203456000002</v>
      </c>
      <c r="H30" s="34">
        <f t="shared" si="1"/>
        <v>2.7272000000000105</v>
      </c>
      <c r="I30" s="35">
        <f t="shared" si="2"/>
        <v>2.1070062083911472E-2</v>
      </c>
      <c r="J30" s="35">
        <f t="shared" si="10"/>
        <v>0.26103690605514784</v>
      </c>
      <c r="K30" s="110">
        <f t="shared" si="11"/>
        <v>0.26867838395306354</v>
      </c>
    </row>
    <row r="31" spans="1:11" x14ac:dyDescent="0.2">
      <c r="A31" s="106" t="s">
        <v>40</v>
      </c>
      <c r="B31" s="72">
        <f>B8</f>
        <v>2943.8530000000001</v>
      </c>
      <c r="C31" s="124">
        <f>VLOOKUP($B$3,'Data for Bill Impacts'!$A$3:$Y$15,15,0)</f>
        <v>5.7999999999999996E-3</v>
      </c>
      <c r="D31" s="21">
        <f>B31*C31</f>
        <v>17.074347400000001</v>
      </c>
      <c r="E31" s="72">
        <f t="shared" si="6"/>
        <v>2943.8530000000001</v>
      </c>
      <c r="F31" s="77">
        <f>VLOOKUP($B$3,'Data for Bill Impacts'!$A$3:$Y$15,24,0)</f>
        <v>5.7999999999999996E-3</v>
      </c>
      <c r="G31" s="21">
        <f>E31*F31</f>
        <v>17.074347400000001</v>
      </c>
      <c r="H31" s="21">
        <f t="shared" si="1"/>
        <v>0</v>
      </c>
      <c r="I31" s="22">
        <f t="shared" si="2"/>
        <v>0</v>
      </c>
      <c r="J31" s="22">
        <f t="shared" si="10"/>
        <v>3.3724017892470599E-2</v>
      </c>
      <c r="K31" s="107">
        <f t="shared" si="11"/>
        <v>3.4711239742624557E-2</v>
      </c>
    </row>
    <row r="32" spans="1:11" x14ac:dyDescent="0.2">
      <c r="A32" s="106" t="s">
        <v>41</v>
      </c>
      <c r="B32" s="72">
        <f>B8</f>
        <v>2943.8530000000001</v>
      </c>
      <c r="C32" s="124">
        <f>VLOOKUP($B$3,'Data for Bill Impacts'!$A$3:$Y$15,16,0)</f>
        <v>4.7000000000000002E-3</v>
      </c>
      <c r="D32" s="21">
        <f>B32*C32</f>
        <v>13.836109100000002</v>
      </c>
      <c r="E32" s="72">
        <f t="shared" si="6"/>
        <v>2943.8530000000001</v>
      </c>
      <c r="F32" s="77">
        <f>VLOOKUP($B$3,'Data for Bill Impacts'!$A$3:$Y$15,25,0)</f>
        <v>4.7000000000000002E-3</v>
      </c>
      <c r="G32" s="21">
        <f>E32*F32</f>
        <v>13.836109100000002</v>
      </c>
      <c r="H32" s="21">
        <f t="shared" si="1"/>
        <v>0</v>
      </c>
      <c r="I32" s="22">
        <f t="shared" si="2"/>
        <v>0</v>
      </c>
      <c r="J32" s="22">
        <f t="shared" si="10"/>
        <v>2.7328083464588246E-2</v>
      </c>
      <c r="K32" s="107">
        <f t="shared" si="11"/>
        <v>2.812807358454059E-2</v>
      </c>
    </row>
    <row r="33" spans="1:11" s="1" customFormat="1" x14ac:dyDescent="0.2">
      <c r="A33" s="109" t="s">
        <v>76</v>
      </c>
      <c r="B33" s="73"/>
      <c r="C33" s="34"/>
      <c r="D33" s="34">
        <f>SUM(D31:D32)</f>
        <v>30.910456500000002</v>
      </c>
      <c r="E33" s="72"/>
      <c r="F33" s="34"/>
      <c r="G33" s="34">
        <f>SUM(G31:G32)</f>
        <v>30.910456500000002</v>
      </c>
      <c r="H33" s="34">
        <f t="shared" si="1"/>
        <v>0</v>
      </c>
      <c r="I33" s="35">
        <f t="shared" si="2"/>
        <v>0</v>
      </c>
      <c r="J33" s="35">
        <f t="shared" si="10"/>
        <v>6.1052101357058845E-2</v>
      </c>
      <c r="K33" s="110">
        <f t="shared" si="11"/>
        <v>6.2839313327165136E-2</v>
      </c>
    </row>
    <row r="34" spans="1:11" s="1" customFormat="1" ht="13.5" customHeight="1" x14ac:dyDescent="0.2">
      <c r="A34" s="109" t="s">
        <v>93</v>
      </c>
      <c r="B34" s="73"/>
      <c r="C34" s="34"/>
      <c r="D34" s="34">
        <f>D29+D33</f>
        <v>161.91284450000003</v>
      </c>
      <c r="E34" s="72"/>
      <c r="F34" s="34"/>
      <c r="G34" s="34">
        <f>G29+G33</f>
        <v>164.64004450000004</v>
      </c>
      <c r="H34" s="34">
        <f t="shared" si="1"/>
        <v>2.7272000000000105</v>
      </c>
      <c r="I34" s="35">
        <f t="shared" si="2"/>
        <v>1.6843629722038574E-2</v>
      </c>
      <c r="J34" s="35">
        <f t="shared" si="10"/>
        <v>0.32518512575977909</v>
      </c>
      <c r="K34" s="110">
        <f t="shared" si="11"/>
        <v>0.33470445001463872</v>
      </c>
    </row>
    <row r="35" spans="1:11" s="1" customFormat="1" ht="13.5" customHeight="1" x14ac:dyDescent="0.2">
      <c r="A35" s="109" t="s">
        <v>94</v>
      </c>
      <c r="B35" s="73"/>
      <c r="C35" s="34"/>
      <c r="D35" s="34">
        <f>D30+D33</f>
        <v>160.34529106000002</v>
      </c>
      <c r="E35" s="72"/>
      <c r="F35" s="34"/>
      <c r="G35" s="34">
        <f>G30+G33</f>
        <v>163.07249106000003</v>
      </c>
      <c r="H35" s="34">
        <f t="shared" si="1"/>
        <v>2.7272000000000105</v>
      </c>
      <c r="I35" s="35">
        <f t="shared" si="2"/>
        <v>1.7008294923855995E-2</v>
      </c>
      <c r="J35" s="35">
        <f t="shared" si="10"/>
        <v>0.32208900741220675</v>
      </c>
      <c r="K35" s="110">
        <f t="shared" si="11"/>
        <v>0.33151769728022873</v>
      </c>
    </row>
    <row r="36" spans="1:11" x14ac:dyDescent="0.2">
      <c r="A36" s="106" t="s">
        <v>42</v>
      </c>
      <c r="B36" s="72">
        <f>B8</f>
        <v>2943.8530000000001</v>
      </c>
      <c r="C36" s="33">
        <v>3.5999999999999999E-3</v>
      </c>
      <c r="D36" s="21">
        <f>B36*C36</f>
        <v>10.597870800000001</v>
      </c>
      <c r="E36" s="72">
        <f t="shared" si="6"/>
        <v>2943.8530000000001</v>
      </c>
      <c r="F36" s="33">
        <v>3.5999999999999999E-3</v>
      </c>
      <c r="G36" s="21">
        <f>E36*F36</f>
        <v>10.597870800000001</v>
      </c>
      <c r="H36" s="21">
        <f t="shared" si="1"/>
        <v>0</v>
      </c>
      <c r="I36" s="22">
        <f t="shared" si="2"/>
        <v>0</v>
      </c>
      <c r="J36" s="22">
        <f t="shared" si="10"/>
        <v>2.0932149036705889E-2</v>
      </c>
      <c r="K36" s="107">
        <f t="shared" si="11"/>
        <v>2.1544907426456622E-2</v>
      </c>
    </row>
    <row r="37" spans="1:11" x14ac:dyDescent="0.2">
      <c r="A37" s="106" t="s">
        <v>43</v>
      </c>
      <c r="B37" s="72">
        <f>B8</f>
        <v>2943.8530000000001</v>
      </c>
      <c r="C37" s="33">
        <v>2.0999999999999999E-3</v>
      </c>
      <c r="D37" s="21">
        <f>B37*C37</f>
        <v>6.1820912999999997</v>
      </c>
      <c r="E37" s="72">
        <f t="shared" si="6"/>
        <v>2943.8530000000001</v>
      </c>
      <c r="F37" s="33">
        <v>2.0999999999999999E-3</v>
      </c>
      <c r="G37" s="21">
        <f>E37*F37</f>
        <v>6.1820912999999997</v>
      </c>
      <c r="H37" s="21">
        <f>G37-D37</f>
        <v>0</v>
      </c>
      <c r="I37" s="22">
        <f t="shared" si="2"/>
        <v>0</v>
      </c>
      <c r="J37" s="22">
        <f t="shared" si="10"/>
        <v>1.2210420271411768E-2</v>
      </c>
      <c r="K37" s="107">
        <f t="shared" si="11"/>
        <v>1.2567862665433027E-2</v>
      </c>
    </row>
    <row r="38" spans="1:11" x14ac:dyDescent="0.2">
      <c r="A38" s="106" t="s">
        <v>99</v>
      </c>
      <c r="B38" s="72">
        <f>B8</f>
        <v>2943.8530000000001</v>
      </c>
      <c r="C38" s="33">
        <v>0</v>
      </c>
      <c r="D38" s="21">
        <f>B38*C38</f>
        <v>0</v>
      </c>
      <c r="E38" s="72">
        <f t="shared" si="6"/>
        <v>2943.8530000000001</v>
      </c>
      <c r="F38" s="33">
        <v>0</v>
      </c>
      <c r="G38" s="21">
        <f>E38*F38</f>
        <v>0</v>
      </c>
      <c r="H38" s="21">
        <f>G38-D38</f>
        <v>0</v>
      </c>
      <c r="I38" s="22" t="str">
        <f t="shared" si="2"/>
        <v>N/A</v>
      </c>
      <c r="J38" s="22">
        <f t="shared" si="10"/>
        <v>0</v>
      </c>
      <c r="K38" s="107">
        <f t="shared" si="11"/>
        <v>0</v>
      </c>
    </row>
    <row r="39" spans="1:11" x14ac:dyDescent="0.2">
      <c r="A39" s="106" t="s">
        <v>44</v>
      </c>
      <c r="B39" s="72">
        <v>1</v>
      </c>
      <c r="C39" s="21">
        <v>0.25</v>
      </c>
      <c r="D39" s="21">
        <f>B39*C39</f>
        <v>0.25</v>
      </c>
      <c r="E39" s="72">
        <f t="shared" si="6"/>
        <v>1</v>
      </c>
      <c r="F39" s="21">
        <f>C39</f>
        <v>0.25</v>
      </c>
      <c r="G39" s="21">
        <f>E39*F39</f>
        <v>0.25</v>
      </c>
      <c r="H39" s="21">
        <f t="shared" si="1"/>
        <v>0</v>
      </c>
      <c r="I39" s="22">
        <f t="shared" si="2"/>
        <v>0</v>
      </c>
      <c r="J39" s="22">
        <f t="shared" si="10"/>
        <v>4.9378194525417994E-4</v>
      </c>
      <c r="K39" s="107">
        <f t="shared" si="11"/>
        <v>5.0823669756515193E-4</v>
      </c>
    </row>
    <row r="40" spans="1:11" s="1" customFormat="1" x14ac:dyDescent="0.2">
      <c r="A40" s="109" t="s">
        <v>45</v>
      </c>
      <c r="B40" s="73"/>
      <c r="C40" s="34"/>
      <c r="D40" s="34">
        <f>SUM(D36:D39)</f>
        <v>17.029962099999999</v>
      </c>
      <c r="E40" s="72"/>
      <c r="F40" s="34"/>
      <c r="G40" s="34">
        <f>SUM(G36:G39)</f>
        <v>17.029962099999999</v>
      </c>
      <c r="H40" s="34">
        <f t="shared" si="1"/>
        <v>0</v>
      </c>
      <c r="I40" s="35">
        <f t="shared" si="2"/>
        <v>0</v>
      </c>
      <c r="J40" s="35">
        <f t="shared" si="10"/>
        <v>3.3636351253371832E-2</v>
      </c>
      <c r="K40" s="110">
        <f t="shared" si="11"/>
        <v>3.4621006789454796E-2</v>
      </c>
    </row>
    <row r="41" spans="1:11" s="1" customFormat="1" ht="13.5" thickBot="1" x14ac:dyDescent="0.25">
      <c r="A41" s="111" t="s">
        <v>46</v>
      </c>
      <c r="B41" s="112">
        <f>B4</f>
        <v>2759</v>
      </c>
      <c r="C41" s="113">
        <v>7.0000000000000001E-3</v>
      </c>
      <c r="D41" s="114">
        <f>B41*C41</f>
        <v>19.312999999999999</v>
      </c>
      <c r="E41" s="115">
        <f t="shared" si="6"/>
        <v>2759</v>
      </c>
      <c r="F41" s="113">
        <f>C41</f>
        <v>7.0000000000000001E-3</v>
      </c>
      <c r="G41" s="114">
        <f>E41*F41</f>
        <v>19.312999999999999</v>
      </c>
      <c r="H41" s="114">
        <f t="shared" si="1"/>
        <v>0</v>
      </c>
      <c r="I41" s="116">
        <f t="shared" si="2"/>
        <v>0</v>
      </c>
      <c r="J41" s="116">
        <f t="shared" si="10"/>
        <v>3.8145642834775909E-2</v>
      </c>
      <c r="K41" s="117">
        <f t="shared" si="11"/>
        <v>3.9262301360303113E-2</v>
      </c>
    </row>
    <row r="42" spans="1:11" s="1" customFormat="1" x14ac:dyDescent="0.2">
      <c r="A42" s="36" t="s">
        <v>107</v>
      </c>
      <c r="B42" s="37"/>
      <c r="C42" s="38"/>
      <c r="D42" s="38">
        <f>SUM(D14,D25,D26,D27,D33,D40,D41)</f>
        <v>479.45980660000004</v>
      </c>
      <c r="E42" s="37"/>
      <c r="F42" s="38"/>
      <c r="G42" s="38">
        <f>SUM(G14,G25,G26,G27,G33,G40,G41)</f>
        <v>482.18700660000002</v>
      </c>
      <c r="H42" s="38">
        <f t="shared" si="1"/>
        <v>2.7271999999999821</v>
      </c>
      <c r="I42" s="39">
        <f t="shared" si="2"/>
        <v>5.6880680350234426E-3</v>
      </c>
      <c r="J42" s="39">
        <f t="shared" si="10"/>
        <v>0.95238095238095244</v>
      </c>
      <c r="K42" s="40"/>
    </row>
    <row r="43" spans="1:11" x14ac:dyDescent="0.2">
      <c r="A43" s="142" t="s">
        <v>108</v>
      </c>
      <c r="B43" s="42"/>
      <c r="C43" s="25">
        <v>0.13</v>
      </c>
      <c r="D43" s="25">
        <f>D42*C43</f>
        <v>62.329774858000007</v>
      </c>
      <c r="E43" s="25"/>
      <c r="F43" s="25">
        <f>C43</f>
        <v>0.13</v>
      </c>
      <c r="G43" s="25">
        <f>G42*F43</f>
        <v>62.684310858000003</v>
      </c>
      <c r="H43" s="25">
        <f t="shared" si="1"/>
        <v>0.35453599999999597</v>
      </c>
      <c r="I43" s="43">
        <f t="shared" si="2"/>
        <v>5.6880680350234148E-3</v>
      </c>
      <c r="J43" s="43">
        <f t="shared" si="10"/>
        <v>0.12380952380952381</v>
      </c>
      <c r="K43" s="44"/>
    </row>
    <row r="44" spans="1:11" s="1" customFormat="1" x14ac:dyDescent="0.2">
      <c r="A44" s="45" t="s">
        <v>109</v>
      </c>
      <c r="B44" s="23"/>
      <c r="C44" s="24"/>
      <c r="D44" s="24">
        <f>SUM(D42:D43)</f>
        <v>541.78958145800004</v>
      </c>
      <c r="E44" s="24"/>
      <c r="F44" s="24"/>
      <c r="G44" s="24">
        <f>SUM(G42:G43)</f>
        <v>544.87131745800002</v>
      </c>
      <c r="H44" s="24">
        <f t="shared" si="1"/>
        <v>3.081735999999978</v>
      </c>
      <c r="I44" s="26">
        <f t="shared" si="2"/>
        <v>5.6880680350234391E-3</v>
      </c>
      <c r="J44" s="26">
        <f t="shared" si="10"/>
        <v>1.0761904761904761</v>
      </c>
      <c r="K44" s="46"/>
    </row>
    <row r="45" spans="1:11" x14ac:dyDescent="0.2">
      <c r="A45" s="41" t="s">
        <v>110</v>
      </c>
      <c r="B45" s="42"/>
      <c r="C45" s="25">
        <v>-0.08</v>
      </c>
      <c r="D45" s="25">
        <f>D42*C45</f>
        <v>-38.356784528000006</v>
      </c>
      <c r="E45" s="25"/>
      <c r="F45" s="25">
        <f>C45</f>
        <v>-0.08</v>
      </c>
      <c r="G45" s="25">
        <f>G42*F45</f>
        <v>-38.574960528000005</v>
      </c>
      <c r="H45" s="25">
        <f t="shared" si="1"/>
        <v>-0.2181759999999997</v>
      </c>
      <c r="I45" s="43">
        <f t="shared" si="2"/>
        <v>-5.6880680350234721E-3</v>
      </c>
      <c r="J45" s="43">
        <f t="shared" si="10"/>
        <v>-7.6190476190476197E-2</v>
      </c>
      <c r="K45" s="44"/>
    </row>
    <row r="46" spans="1:11" s="1" customFormat="1" ht="13.5" thickBot="1" x14ac:dyDescent="0.25">
      <c r="A46" s="47" t="s">
        <v>111</v>
      </c>
      <c r="B46" s="48"/>
      <c r="C46" s="49"/>
      <c r="D46" s="49">
        <f>SUM(D44:D45)</f>
        <v>503.43279693000005</v>
      </c>
      <c r="E46" s="49"/>
      <c r="F46" s="49"/>
      <c r="G46" s="49">
        <f>SUM(G44:G45)</f>
        <v>506.29635693</v>
      </c>
      <c r="H46" s="49">
        <f t="shared" si="1"/>
        <v>2.8635599999999499</v>
      </c>
      <c r="I46" s="50">
        <f t="shared" si="2"/>
        <v>5.6880680350233801E-3</v>
      </c>
      <c r="J46" s="50">
        <f t="shared" si="10"/>
        <v>1</v>
      </c>
      <c r="K46" s="51"/>
    </row>
    <row r="47" spans="1:11" x14ac:dyDescent="0.2">
      <c r="A47" s="52" t="s">
        <v>112</v>
      </c>
      <c r="B47" s="53"/>
      <c r="C47" s="54"/>
      <c r="D47" s="54">
        <f>SUM(D18,D25,D26,D28,D33,D40,D41)</f>
        <v>465.74593315999999</v>
      </c>
      <c r="E47" s="54"/>
      <c r="F47" s="54"/>
      <c r="G47" s="54">
        <f>SUM(G18,G25,G26,G28,G33,G40,G41)</f>
        <v>468.47313316000003</v>
      </c>
      <c r="H47" s="54">
        <f>G47-D47</f>
        <v>2.7272000000000389</v>
      </c>
      <c r="I47" s="55">
        <f t="shared" si="2"/>
        <v>5.8555530082603007E-3</v>
      </c>
      <c r="J47" s="55"/>
      <c r="K47" s="56">
        <f>G47/$G$51</f>
        <v>0.95238095238095233</v>
      </c>
    </row>
    <row r="48" spans="1:11" x14ac:dyDescent="0.2">
      <c r="A48" s="57" t="s">
        <v>108</v>
      </c>
      <c r="B48" s="58"/>
      <c r="C48" s="30">
        <v>0.13</v>
      </c>
      <c r="D48" s="30">
        <f>D47*C48</f>
        <v>60.546971310800004</v>
      </c>
      <c r="E48" s="30"/>
      <c r="F48" s="30">
        <f>C48</f>
        <v>0.13</v>
      </c>
      <c r="G48" s="30">
        <f>G47*F48</f>
        <v>60.901507310800007</v>
      </c>
      <c r="H48" s="30">
        <f>G48-D48</f>
        <v>0.35453600000000307</v>
      </c>
      <c r="I48" s="31">
        <f t="shared" si="2"/>
        <v>5.8555530082602678E-3</v>
      </c>
      <c r="J48" s="31"/>
      <c r="K48" s="59">
        <f>G48/$G$51</f>
        <v>0.12380952380952381</v>
      </c>
    </row>
    <row r="49" spans="1:11" x14ac:dyDescent="0.2">
      <c r="A49" s="135" t="s">
        <v>113</v>
      </c>
      <c r="B49" s="28"/>
      <c r="C49" s="29"/>
      <c r="D49" s="29">
        <f>SUM(D47:D48)</f>
        <v>526.29290447079995</v>
      </c>
      <c r="E49" s="29"/>
      <c r="F49" s="29"/>
      <c r="G49" s="29">
        <f>SUM(G47:G48)</f>
        <v>529.37464047080005</v>
      </c>
      <c r="H49" s="29">
        <f>G49-D49</f>
        <v>3.0817360000000917</v>
      </c>
      <c r="I49" s="32">
        <f t="shared" si="2"/>
        <v>5.8555530082603918E-3</v>
      </c>
      <c r="J49" s="32"/>
      <c r="K49" s="61">
        <f>G49/$G$51</f>
        <v>1.0761904761904761</v>
      </c>
    </row>
    <row r="50" spans="1:11" x14ac:dyDescent="0.2">
      <c r="A50" s="57" t="s">
        <v>110</v>
      </c>
      <c r="B50" s="58"/>
      <c r="C50" s="30">
        <v>-0.08</v>
      </c>
      <c r="D50" s="30">
        <f>D47*C50</f>
        <v>-37.259674652800001</v>
      </c>
      <c r="E50" s="30"/>
      <c r="F50" s="30">
        <f>C50</f>
        <v>-0.08</v>
      </c>
      <c r="G50" s="30">
        <f>G47*F50</f>
        <v>-37.477850652800001</v>
      </c>
      <c r="H50" s="30">
        <f>G50-D50</f>
        <v>-0.2181759999999997</v>
      </c>
      <c r="I50" s="31">
        <f t="shared" si="2"/>
        <v>-5.8555530082602088E-3</v>
      </c>
      <c r="J50" s="31"/>
      <c r="K50" s="59">
        <f>G50/$G$51</f>
        <v>-7.6190476190476183E-2</v>
      </c>
    </row>
    <row r="51" spans="1:11" ht="13.5" thickBot="1" x14ac:dyDescent="0.25">
      <c r="A51" s="62" t="s">
        <v>114</v>
      </c>
      <c r="B51" s="63"/>
      <c r="C51" s="64"/>
      <c r="D51" s="64">
        <f>SUM(D49:D50)</f>
        <v>489.03322981799994</v>
      </c>
      <c r="E51" s="64"/>
      <c r="F51" s="64"/>
      <c r="G51" s="64">
        <f>SUM(G49:G50)</f>
        <v>491.89678981800006</v>
      </c>
      <c r="H51" s="64">
        <f>G51-D51</f>
        <v>2.8635600000001205</v>
      </c>
      <c r="I51" s="65">
        <f t="shared" si="2"/>
        <v>5.8555530082604638E-3</v>
      </c>
      <c r="J51" s="65"/>
      <c r="K51" s="66">
        <f>G51/$G$51</f>
        <v>1</v>
      </c>
    </row>
    <row r="52" spans="1:11" x14ac:dyDescent="0.2">
      <c r="C52" s="67"/>
      <c r="F52" s="68"/>
    </row>
    <row r="53" spans="1:11" x14ac:dyDescent="0.2">
      <c r="F53" s="68"/>
    </row>
    <row r="54" spans="1:11" x14ac:dyDescent="0.2">
      <c r="F54" s="68"/>
    </row>
    <row r="55" spans="1:11" x14ac:dyDescent="0.2">
      <c r="A55" s="69"/>
      <c r="B55" s="70"/>
      <c r="F55" s="68"/>
    </row>
    <row r="56" spans="1:11" x14ac:dyDescent="0.2">
      <c r="B56" s="70"/>
      <c r="F56" s="68"/>
    </row>
    <row r="57" spans="1:11" x14ac:dyDescent="0.2">
      <c r="F57" s="68"/>
    </row>
    <row r="58" spans="1:11" x14ac:dyDescent="0.2">
      <c r="D58" s="71"/>
      <c r="F58" s="68"/>
    </row>
    <row r="59" spans="1:11" x14ac:dyDescent="0.2">
      <c r="F59" s="68"/>
    </row>
    <row r="60" spans="1:11" x14ac:dyDescent="0.2">
      <c r="A60" s="69"/>
      <c r="B60" s="70"/>
      <c r="F60" s="68"/>
    </row>
    <row r="61" spans="1:11" x14ac:dyDescent="0.2">
      <c r="B61" s="71"/>
      <c r="D61" s="71"/>
      <c r="F61" s="68"/>
    </row>
    <row r="62" spans="1:11" x14ac:dyDescent="0.2">
      <c r="F62" s="68"/>
    </row>
    <row r="63" spans="1:11" x14ac:dyDescent="0.2">
      <c r="F63" s="68"/>
    </row>
    <row r="64" spans="1:11" x14ac:dyDescent="0.2">
      <c r="F64" s="68"/>
      <c r="K64"/>
    </row>
    <row r="65" spans="6:11" x14ac:dyDescent="0.2">
      <c r="F65" s="68"/>
      <c r="K65"/>
    </row>
    <row r="66" spans="6:11" x14ac:dyDescent="0.2">
      <c r="F66" s="68"/>
      <c r="K66"/>
    </row>
    <row r="67" spans="6:11" x14ac:dyDescent="0.2">
      <c r="F67" s="68"/>
      <c r="K67"/>
    </row>
    <row r="68" spans="6:11" x14ac:dyDescent="0.2">
      <c r="F68" s="68"/>
      <c r="K68"/>
    </row>
  </sheetData>
  <mergeCells count="1">
    <mergeCell ref="A1:K1"/>
  </mergeCells>
  <pageMargins left="0.7" right="0.7" top="0.75" bottom="0.75" header="0.3" footer="0.3"/>
  <pageSetup scale="7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theme="1" tint="0.499984740745262"/>
    <pageSetUpPr fitToPage="1"/>
  </sheetPr>
  <dimension ref="A1:K68"/>
  <sheetViews>
    <sheetView tabSelected="1" topLeftCell="A13"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3"/>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205" t="s">
        <v>128</v>
      </c>
      <c r="B1" s="206"/>
      <c r="C1" s="206"/>
      <c r="D1" s="206"/>
      <c r="E1" s="206"/>
      <c r="F1" s="206"/>
      <c r="G1" s="206"/>
      <c r="H1" s="206"/>
      <c r="I1" s="206"/>
      <c r="J1" s="206"/>
      <c r="K1" s="207"/>
    </row>
    <row r="3" spans="1:11" x14ac:dyDescent="0.2">
      <c r="A3" s="12" t="s">
        <v>13</v>
      </c>
      <c r="B3" s="12" t="s">
        <v>6</v>
      </c>
    </row>
    <row r="4" spans="1:11" x14ac:dyDescent="0.2">
      <c r="A4" s="14" t="s">
        <v>62</v>
      </c>
      <c r="B4" s="14">
        <v>15000</v>
      </c>
    </row>
    <row r="5" spans="1:11" x14ac:dyDescent="0.2">
      <c r="A5" s="14" t="s">
        <v>16</v>
      </c>
      <c r="B5" s="14">
        <f>VLOOKUP($B$3,'Data for Bill Impacts'!$A$3:$Y$15,5,0)</f>
        <v>0</v>
      </c>
    </row>
    <row r="6" spans="1:11" x14ac:dyDescent="0.2">
      <c r="A6" s="14" t="s">
        <v>20</v>
      </c>
      <c r="B6" s="14">
        <f>VLOOKUP($B$3,'Data for Bill Impacts'!$A$3:$Y$15,2,0)</f>
        <v>1.0669999999999999</v>
      </c>
    </row>
    <row r="7" spans="1:11" x14ac:dyDescent="0.2">
      <c r="A7" s="14" t="s">
        <v>15</v>
      </c>
      <c r="B7" s="14">
        <f>VLOOKUP($B$3,'Data for Bill Impacts'!$A$3:$Y$15,4,0)</f>
        <v>750</v>
      </c>
    </row>
    <row r="8" spans="1:11" x14ac:dyDescent="0.2">
      <c r="A8" s="14" t="s">
        <v>82</v>
      </c>
      <c r="B8" s="14">
        <f>B4*B6</f>
        <v>16005</v>
      </c>
    </row>
    <row r="9" spans="1:11" x14ac:dyDescent="0.2">
      <c r="A9" s="14" t="s">
        <v>21</v>
      </c>
      <c r="B9" s="15" t="str">
        <f>VLOOKUP($B$3,'Data for Bill Impacts'!$A$3:$Y$15,6,0)</f>
        <v>kWh</v>
      </c>
    </row>
    <row r="10" spans="1:11" ht="13.5" thickBot="1" x14ac:dyDescent="0.25"/>
    <row r="11" spans="1:11" s="19" customFormat="1" ht="39" thickBot="1" x14ac:dyDescent="0.25">
      <c r="A11" s="16"/>
      <c r="B11" s="17" t="s">
        <v>22</v>
      </c>
      <c r="C11" s="17" t="s">
        <v>23</v>
      </c>
      <c r="D11" s="17" t="s">
        <v>24</v>
      </c>
      <c r="E11" s="17" t="s">
        <v>22</v>
      </c>
      <c r="F11" s="17" t="s">
        <v>25</v>
      </c>
      <c r="G11" s="17" t="s">
        <v>26</v>
      </c>
      <c r="H11" s="17" t="s">
        <v>27</v>
      </c>
      <c r="I11" s="17" t="s">
        <v>28</v>
      </c>
      <c r="J11" s="17" t="s">
        <v>29</v>
      </c>
      <c r="K11" s="18" t="s">
        <v>30</v>
      </c>
    </row>
    <row r="12" spans="1:11" x14ac:dyDescent="0.2">
      <c r="A12" s="100" t="s">
        <v>31</v>
      </c>
      <c r="B12" s="101">
        <f>IF(B4&gt;B7,B7,B4)</f>
        <v>750</v>
      </c>
      <c r="C12" s="102">
        <v>9.0999999999999998E-2</v>
      </c>
      <c r="D12" s="103">
        <f>B12*C12</f>
        <v>68.25</v>
      </c>
      <c r="E12" s="101">
        <f>B12</f>
        <v>750</v>
      </c>
      <c r="F12" s="102">
        <f>C12</f>
        <v>9.0999999999999998E-2</v>
      </c>
      <c r="G12" s="103">
        <f>E12*F12</f>
        <v>68.25</v>
      </c>
      <c r="H12" s="103">
        <f>G12-D12</f>
        <v>0</v>
      </c>
      <c r="I12" s="104">
        <f>IF(ISERROR(H12/ABS(D12)),"N/A",(H12/ABS(D12)))</f>
        <v>0</v>
      </c>
      <c r="J12" s="104">
        <f>G12/$G$46</f>
        <v>2.5478915413528667E-2</v>
      </c>
      <c r="K12" s="105"/>
    </row>
    <row r="13" spans="1:11" x14ac:dyDescent="0.2">
      <c r="A13" s="106" t="s">
        <v>32</v>
      </c>
      <c r="B13" s="72">
        <f>IF(B4&gt;B7,(B4)-B7,0)</f>
        <v>14250</v>
      </c>
      <c r="C13" s="20">
        <v>0.106</v>
      </c>
      <c r="D13" s="21">
        <f>B13*C13</f>
        <v>1510.5</v>
      </c>
      <c r="E13" s="72">
        <f t="shared" ref="E13" si="0">B13</f>
        <v>14250</v>
      </c>
      <c r="F13" s="20">
        <f>C13</f>
        <v>0.106</v>
      </c>
      <c r="G13" s="21">
        <f>E13*F13</f>
        <v>1510.5</v>
      </c>
      <c r="H13" s="21">
        <f t="shared" ref="H13:H46" si="1">G13-D13</f>
        <v>0</v>
      </c>
      <c r="I13" s="22">
        <f t="shared" ref="I13:I51" si="2">IF(ISERROR(H13/ABS(D13)),"N/A",(H13/ABS(D13)))</f>
        <v>0</v>
      </c>
      <c r="J13" s="22">
        <f>G13/$G$46</f>
        <v>0.56389599607523888</v>
      </c>
      <c r="K13" s="107"/>
    </row>
    <row r="14" spans="1:11" s="1" customFormat="1" x14ac:dyDescent="0.2">
      <c r="A14" s="45" t="s">
        <v>33</v>
      </c>
      <c r="B14" s="23"/>
      <c r="C14" s="24"/>
      <c r="D14" s="24">
        <f>SUM(D12:D13)</f>
        <v>1578.75</v>
      </c>
      <c r="E14" s="75"/>
      <c r="F14" s="24"/>
      <c r="G14" s="24">
        <f>SUM(G12:G13)</f>
        <v>1578.75</v>
      </c>
      <c r="H14" s="24">
        <f t="shared" si="1"/>
        <v>0</v>
      </c>
      <c r="I14" s="26">
        <f t="shared" si="2"/>
        <v>0</v>
      </c>
      <c r="J14" s="26">
        <f>G14/$G$46</f>
        <v>0.58937491148876753</v>
      </c>
      <c r="K14" s="107"/>
    </row>
    <row r="15" spans="1:11" s="1" customFormat="1" x14ac:dyDescent="0.2">
      <c r="A15" s="108" t="s">
        <v>34</v>
      </c>
      <c r="B15" s="74">
        <f>B4*0.65</f>
        <v>9750</v>
      </c>
      <c r="C15" s="27">
        <v>7.6999999999999999E-2</v>
      </c>
      <c r="D15" s="21">
        <f>B15*C15</f>
        <v>750.75</v>
      </c>
      <c r="E15" s="72">
        <f t="shared" ref="E15:F17" si="3">B15</f>
        <v>9750</v>
      </c>
      <c r="F15" s="27">
        <f t="shared" si="3"/>
        <v>7.6999999999999999E-2</v>
      </c>
      <c r="G15" s="21">
        <f>E15*F15</f>
        <v>750.75</v>
      </c>
      <c r="H15" s="21">
        <f t="shared" si="1"/>
        <v>0</v>
      </c>
      <c r="I15" s="22">
        <f t="shared" si="2"/>
        <v>0</v>
      </c>
      <c r="J15" s="22"/>
      <c r="K15" s="107">
        <f t="shared" ref="K15:K26" si="4">G15/$G$51</f>
        <v>0.29464407943010973</v>
      </c>
    </row>
    <row r="16" spans="1:11" s="1" customFormat="1" x14ac:dyDescent="0.2">
      <c r="A16" s="108" t="s">
        <v>35</v>
      </c>
      <c r="B16" s="74">
        <f>B4*0.17</f>
        <v>2550</v>
      </c>
      <c r="C16" s="27">
        <v>0.113</v>
      </c>
      <c r="D16" s="21">
        <f>B16*C16</f>
        <v>288.15000000000003</v>
      </c>
      <c r="E16" s="72">
        <f t="shared" si="3"/>
        <v>2550</v>
      </c>
      <c r="F16" s="27">
        <f t="shared" si="3"/>
        <v>0.113</v>
      </c>
      <c r="G16" s="21">
        <f>E16*F16</f>
        <v>288.15000000000003</v>
      </c>
      <c r="H16" s="21">
        <f t="shared" si="1"/>
        <v>0</v>
      </c>
      <c r="I16" s="22">
        <f t="shared" si="2"/>
        <v>0</v>
      </c>
      <c r="J16" s="22"/>
      <c r="K16" s="107">
        <f t="shared" si="4"/>
        <v>0.11308916615089727</v>
      </c>
    </row>
    <row r="17" spans="1:11" s="1" customFormat="1" x14ac:dyDescent="0.2">
      <c r="A17" s="108" t="s">
        <v>36</v>
      </c>
      <c r="B17" s="74">
        <f>B4*0.18</f>
        <v>2700</v>
      </c>
      <c r="C17" s="27">
        <v>0.157</v>
      </c>
      <c r="D17" s="21">
        <f>B17*C17</f>
        <v>423.9</v>
      </c>
      <c r="E17" s="72">
        <f t="shared" si="3"/>
        <v>2700</v>
      </c>
      <c r="F17" s="27">
        <f t="shared" si="3"/>
        <v>0.157</v>
      </c>
      <c r="G17" s="21">
        <f>E17*F17</f>
        <v>423.9</v>
      </c>
      <c r="H17" s="21">
        <f t="shared" si="1"/>
        <v>0</v>
      </c>
      <c r="I17" s="22">
        <f t="shared" si="2"/>
        <v>0</v>
      </c>
      <c r="J17" s="22"/>
      <c r="K17" s="107">
        <f t="shared" si="4"/>
        <v>0.16636646722667134</v>
      </c>
    </row>
    <row r="18" spans="1:11" s="1" customFormat="1" x14ac:dyDescent="0.2">
      <c r="A18" s="60" t="s">
        <v>37</v>
      </c>
      <c r="B18" s="28"/>
      <c r="C18" s="29"/>
      <c r="D18" s="29">
        <f>SUM(D15:D17)</f>
        <v>1462.8000000000002</v>
      </c>
      <c r="E18" s="76"/>
      <c r="F18" s="29"/>
      <c r="G18" s="29">
        <f>SUM(G15:G17)</f>
        <v>1462.8000000000002</v>
      </c>
      <c r="H18" s="30">
        <f t="shared" si="1"/>
        <v>0</v>
      </c>
      <c r="I18" s="31">
        <f t="shared" si="2"/>
        <v>0</v>
      </c>
      <c r="J18" s="32">
        <f t="shared" ref="J18:J23" si="5">G18/$G$46</f>
        <v>0.54608875409391566</v>
      </c>
      <c r="K18" s="61">
        <f t="shared" si="4"/>
        <v>0.57409971280767835</v>
      </c>
    </row>
    <row r="19" spans="1:11" x14ac:dyDescent="0.2">
      <c r="A19" s="106" t="s">
        <v>38</v>
      </c>
      <c r="B19" s="72">
        <v>1</v>
      </c>
      <c r="C19" s="77">
        <f>VLOOKUP($B$3,'Data for Bill Impacts'!$A$3:$Y$15,7,0)</f>
        <v>25.55</v>
      </c>
      <c r="D19" s="21">
        <f>B19*C19</f>
        <v>25.55</v>
      </c>
      <c r="E19" s="72">
        <f t="shared" ref="E19:E41" si="6">B19</f>
        <v>1</v>
      </c>
      <c r="F19" s="77">
        <f>VLOOKUP($B$3,'Data for Bill Impacts'!$A$3:$Y$15,17,0)</f>
        <v>26.07</v>
      </c>
      <c r="G19" s="21">
        <f>E19*F19</f>
        <v>26.07</v>
      </c>
      <c r="H19" s="21">
        <f t="shared" si="1"/>
        <v>0.51999999999999957</v>
      </c>
      <c r="I19" s="22">
        <f t="shared" si="2"/>
        <v>2.0352250489236775E-2</v>
      </c>
      <c r="J19" s="22">
        <f t="shared" si="5"/>
        <v>9.7323857118050174E-3</v>
      </c>
      <c r="K19" s="107">
        <f t="shared" si="4"/>
        <v>1.0231596604386228E-2</v>
      </c>
    </row>
    <row r="20" spans="1:11" hidden="1" x14ac:dyDescent="0.2">
      <c r="A20" s="106" t="s">
        <v>83</v>
      </c>
      <c r="B20" s="72">
        <v>1</v>
      </c>
      <c r="C20" s="77">
        <f>VLOOKUP($B$3,'Data for Bill Impacts'!$A$3:$Y$15,8,0)</f>
        <v>0</v>
      </c>
      <c r="D20" s="21">
        <f>B20*C20</f>
        <v>0</v>
      </c>
      <c r="E20" s="72">
        <f t="shared" si="6"/>
        <v>1</v>
      </c>
      <c r="F20" s="77">
        <v>0</v>
      </c>
      <c r="G20" s="21">
        <f t="shared" ref="G20:G22" si="7">E20*F20</f>
        <v>0</v>
      </c>
      <c r="H20" s="21">
        <f t="shared" si="1"/>
        <v>0</v>
      </c>
      <c r="I20" s="22" t="str">
        <f t="shared" si="2"/>
        <v>N/A</v>
      </c>
      <c r="J20" s="22">
        <f t="shared" si="5"/>
        <v>0</v>
      </c>
      <c r="K20" s="107">
        <f t="shared" si="4"/>
        <v>0</v>
      </c>
    </row>
    <row r="21" spans="1:11" hidden="1" x14ac:dyDescent="0.2">
      <c r="A21" s="106" t="s">
        <v>84</v>
      </c>
      <c r="B21" s="72">
        <v>1</v>
      </c>
      <c r="C21" s="77">
        <f>VLOOKUP($B$3,'Data for Bill Impacts'!$A$3:$Y$15,11,0)</f>
        <v>0</v>
      </c>
      <c r="D21" s="21">
        <f t="shared" ref="D21:D22" si="8">B21*C21</f>
        <v>0</v>
      </c>
      <c r="E21" s="72">
        <f t="shared" si="6"/>
        <v>1</v>
      </c>
      <c r="F21" s="120">
        <f>VLOOKUP($B$3,'Data for Bill Impacts'!$A$3:$Y$15,12,0)</f>
        <v>0</v>
      </c>
      <c r="G21" s="21">
        <f t="shared" si="7"/>
        <v>0</v>
      </c>
      <c r="H21" s="21">
        <f t="shared" si="1"/>
        <v>0</v>
      </c>
      <c r="I21" s="22" t="str">
        <f t="shared" si="2"/>
        <v>N/A</v>
      </c>
      <c r="J21" s="22">
        <f t="shared" si="5"/>
        <v>0</v>
      </c>
      <c r="K21" s="107">
        <f t="shared" si="4"/>
        <v>0</v>
      </c>
    </row>
    <row r="22" spans="1:11" x14ac:dyDescent="0.2">
      <c r="A22" s="106" t="s">
        <v>85</v>
      </c>
      <c r="B22" s="72">
        <v>1</v>
      </c>
      <c r="C22" s="120">
        <f>VLOOKUP($B$3,'Data for Bill Impacts'!$A$3:$Y$15,13,0)</f>
        <v>8.0000000000000002E-3</v>
      </c>
      <c r="D22" s="21">
        <f t="shared" si="8"/>
        <v>8.0000000000000002E-3</v>
      </c>
      <c r="E22" s="72">
        <f t="shared" si="6"/>
        <v>1</v>
      </c>
      <c r="F22" s="120">
        <f>VLOOKUP($B$3,'Data for Bill Impacts'!$A$3:$Y$15,22,0)</f>
        <v>8.0000000000000002E-3</v>
      </c>
      <c r="G22" s="21">
        <f t="shared" si="7"/>
        <v>8.0000000000000002E-3</v>
      </c>
      <c r="H22" s="21">
        <f t="shared" si="1"/>
        <v>0</v>
      </c>
      <c r="I22" s="22">
        <f t="shared" si="2"/>
        <v>0</v>
      </c>
      <c r="J22" s="22">
        <f t="shared" si="5"/>
        <v>2.9865395356517123E-6</v>
      </c>
      <c r="K22" s="107">
        <f t="shared" si="4"/>
        <v>3.1397304501376995E-6</v>
      </c>
    </row>
    <row r="23" spans="1:11" x14ac:dyDescent="0.2">
      <c r="A23" s="106" t="s">
        <v>39</v>
      </c>
      <c r="B23" s="72">
        <f>IF($B$9="kWh",$B$4,$B$5)</f>
        <v>15000</v>
      </c>
      <c r="C23" s="124">
        <f>VLOOKUP($B$3,'Data for Bill Impacts'!$A$3:$Y$15,10,0)</f>
        <v>3.0800000000000001E-2</v>
      </c>
      <c r="D23" s="21">
        <f>B23*C23</f>
        <v>462</v>
      </c>
      <c r="E23" s="72">
        <f t="shared" si="6"/>
        <v>15000</v>
      </c>
      <c r="F23" s="77">
        <f>VLOOKUP($B$3,'Data for Bill Impacts'!$A$3:$Y$15,19,0)</f>
        <v>3.1600000000000003E-2</v>
      </c>
      <c r="G23" s="21">
        <f>E23*F23</f>
        <v>474.00000000000006</v>
      </c>
      <c r="H23" s="21">
        <f t="shared" si="1"/>
        <v>12.000000000000057</v>
      </c>
      <c r="I23" s="22">
        <f t="shared" si="2"/>
        <v>2.5974025974026097E-2</v>
      </c>
      <c r="J23" s="22">
        <f t="shared" si="5"/>
        <v>0.17695246748736396</v>
      </c>
      <c r="K23" s="107">
        <f t="shared" si="4"/>
        <v>0.18602902917065869</v>
      </c>
    </row>
    <row r="24" spans="1:11" x14ac:dyDescent="0.2">
      <c r="A24" s="106" t="s">
        <v>129</v>
      </c>
      <c r="B24" s="72">
        <f>IF($B$9="kWh",$B$4,$B$5)</f>
        <v>15000</v>
      </c>
      <c r="C24" s="77">
        <f>VLOOKUP($B$3,'Data for Bill Impacts'!$A$3:$Y$15,14,0)</f>
        <v>3.0000000000000004E-5</v>
      </c>
      <c r="D24" s="33">
        <f>B24*C24</f>
        <v>0.45000000000000007</v>
      </c>
      <c r="E24" s="72">
        <f t="shared" si="6"/>
        <v>15000</v>
      </c>
      <c r="F24" s="77">
        <f>VLOOKUP($B$3,'Data for Bill Impacts'!$A$3:$Y$15,23,0)</f>
        <v>3.0000000000000004E-5</v>
      </c>
      <c r="G24" s="33">
        <f>E24*F24</f>
        <v>0.45000000000000007</v>
      </c>
      <c r="H24" s="21">
        <f t="shared" si="1"/>
        <v>0</v>
      </c>
      <c r="I24" s="22">
        <f t="shared" si="2"/>
        <v>0</v>
      </c>
      <c r="J24" s="22">
        <f t="shared" ref="J24" si="9">G24/$G$46</f>
        <v>1.6799284888040884E-4</v>
      </c>
      <c r="K24" s="107">
        <f t="shared" si="4"/>
        <v>1.766098378202456E-4</v>
      </c>
    </row>
    <row r="25" spans="1:11" s="1" customFormat="1" x14ac:dyDescent="0.2">
      <c r="A25" s="109" t="s">
        <v>72</v>
      </c>
      <c r="B25" s="73"/>
      <c r="C25" s="34"/>
      <c r="D25" s="34">
        <f>SUM(D19:D24)</f>
        <v>488.00799999999998</v>
      </c>
      <c r="E25" s="72"/>
      <c r="F25" s="34"/>
      <c r="G25" s="34">
        <f>SUM(G19:G24)</f>
        <v>500.52800000000002</v>
      </c>
      <c r="H25" s="34">
        <f t="shared" si="1"/>
        <v>12.520000000000039</v>
      </c>
      <c r="I25" s="35">
        <f t="shared" si="2"/>
        <v>2.5655317125948835E-2</v>
      </c>
      <c r="J25" s="35">
        <f>G25/$G$46</f>
        <v>0.18685583258758504</v>
      </c>
      <c r="K25" s="110">
        <f t="shared" si="4"/>
        <v>0.19644037534331529</v>
      </c>
    </row>
    <row r="26" spans="1:11" s="1" customFormat="1" x14ac:dyDescent="0.2">
      <c r="A26" s="118" t="s">
        <v>73</v>
      </c>
      <c r="B26" s="119">
        <v>1</v>
      </c>
      <c r="C26" s="77">
        <f>VLOOKUP($B$3,'Data for Bill Impacts'!$A$3:$Y$15,9,0)</f>
        <v>0.79</v>
      </c>
      <c r="D26" s="21">
        <f>B26*C26</f>
        <v>0.79</v>
      </c>
      <c r="E26" s="72">
        <v>1</v>
      </c>
      <c r="F26" s="77">
        <f>VLOOKUP($B$3,'Data for Bill Impacts'!$A$3:$Y$15,18,0)</f>
        <v>0.79</v>
      </c>
      <c r="G26" s="21">
        <f>E26*F26</f>
        <v>0.79</v>
      </c>
      <c r="H26" s="21">
        <f t="shared" si="1"/>
        <v>0</v>
      </c>
      <c r="I26" s="22">
        <f t="shared" si="2"/>
        <v>0</v>
      </c>
      <c r="J26" s="22">
        <f>G26/$G$46</f>
        <v>2.949207791456066E-4</v>
      </c>
      <c r="K26" s="107">
        <f t="shared" si="4"/>
        <v>3.1004838195109781E-4</v>
      </c>
    </row>
    <row r="27" spans="1:11" s="1" customFormat="1" x14ac:dyDescent="0.2">
      <c r="A27" s="118" t="s">
        <v>75</v>
      </c>
      <c r="B27" s="119">
        <f>B8-B4</f>
        <v>1005</v>
      </c>
      <c r="C27" s="186">
        <f>IF(B4&gt;B7,C13,C12)</f>
        <v>0.106</v>
      </c>
      <c r="D27" s="21">
        <f>B27*C27</f>
        <v>106.53</v>
      </c>
      <c r="E27" s="72">
        <f>B27</f>
        <v>1005</v>
      </c>
      <c r="F27" s="186">
        <f>C27</f>
        <v>0.106</v>
      </c>
      <c r="G27" s="21">
        <f>E27*F27</f>
        <v>106.53</v>
      </c>
      <c r="H27" s="21">
        <f t="shared" si="1"/>
        <v>0</v>
      </c>
      <c r="I27" s="22">
        <f t="shared" si="2"/>
        <v>0</v>
      </c>
      <c r="J27" s="22">
        <f t="shared" ref="J27:J46" si="10">G27/$G$46</f>
        <v>3.9769507091622108E-2</v>
      </c>
      <c r="K27" s="107">
        <f t="shared" ref="K27:K41" si="11">G27/$G$51</f>
        <v>4.1809435606646135E-2</v>
      </c>
    </row>
    <row r="28" spans="1:11" s="1" customFormat="1" x14ac:dyDescent="0.2">
      <c r="A28" s="118" t="s">
        <v>74</v>
      </c>
      <c r="B28" s="119">
        <f>B8-B4</f>
        <v>1005</v>
      </c>
      <c r="C28" s="186">
        <f>0.65*C15+0.17*C16+0.18*C17</f>
        <v>9.7519999999999996E-2</v>
      </c>
      <c r="D28" s="21">
        <f>B28*C28</f>
        <v>98.007599999999996</v>
      </c>
      <c r="E28" s="72">
        <f>B28</f>
        <v>1005</v>
      </c>
      <c r="F28" s="186">
        <f>C28</f>
        <v>9.7519999999999996E-2</v>
      </c>
      <c r="G28" s="21">
        <f>E28*F28</f>
        <v>98.007599999999996</v>
      </c>
      <c r="H28" s="21">
        <f t="shared" si="1"/>
        <v>0</v>
      </c>
      <c r="I28" s="22">
        <f t="shared" si="2"/>
        <v>0</v>
      </c>
      <c r="J28" s="22">
        <f t="shared" si="10"/>
        <v>3.6587946524292342E-2</v>
      </c>
      <c r="K28" s="107">
        <f t="shared" si="11"/>
        <v>3.8464680758114447E-2</v>
      </c>
    </row>
    <row r="29" spans="1:11" s="1" customFormat="1" x14ac:dyDescent="0.2">
      <c r="A29" s="109" t="s">
        <v>78</v>
      </c>
      <c r="B29" s="73"/>
      <c r="C29" s="34"/>
      <c r="D29" s="34">
        <f>SUM(D25,D26:D27)</f>
        <v>595.32799999999997</v>
      </c>
      <c r="E29" s="72"/>
      <c r="F29" s="34"/>
      <c r="G29" s="34">
        <f>SUM(G25,G26:G27)</f>
        <v>607.84800000000007</v>
      </c>
      <c r="H29" s="34">
        <f t="shared" si="1"/>
        <v>12.520000000000095</v>
      </c>
      <c r="I29" s="35">
        <f t="shared" si="2"/>
        <v>2.1030423564824929E-2</v>
      </c>
      <c r="J29" s="35">
        <f t="shared" si="10"/>
        <v>0.22692026045835276</v>
      </c>
      <c r="K29" s="110">
        <f t="shared" si="11"/>
        <v>0.23855985933191257</v>
      </c>
    </row>
    <row r="30" spans="1:11" s="1" customFormat="1" x14ac:dyDescent="0.2">
      <c r="A30" s="109" t="s">
        <v>77</v>
      </c>
      <c r="B30" s="73"/>
      <c r="C30" s="34"/>
      <c r="D30" s="34">
        <f>SUM(D25,D26,D28)</f>
        <v>586.80560000000003</v>
      </c>
      <c r="E30" s="72"/>
      <c r="F30" s="34"/>
      <c r="G30" s="34">
        <f>SUM(G25,G26,G28)</f>
        <v>599.32560000000001</v>
      </c>
      <c r="H30" s="34">
        <f t="shared" si="1"/>
        <v>12.519999999999982</v>
      </c>
      <c r="I30" s="35">
        <f t="shared" si="2"/>
        <v>2.1335856372195462E-2</v>
      </c>
      <c r="J30" s="35">
        <f t="shared" si="10"/>
        <v>0.22373869989102296</v>
      </c>
      <c r="K30" s="110">
        <f t="shared" si="11"/>
        <v>0.23521510448338084</v>
      </c>
    </row>
    <row r="31" spans="1:11" x14ac:dyDescent="0.2">
      <c r="A31" s="106" t="s">
        <v>40</v>
      </c>
      <c r="B31" s="72">
        <f>B8</f>
        <v>16005</v>
      </c>
      <c r="C31" s="124">
        <f>VLOOKUP($B$3,'Data for Bill Impacts'!$A$3:$Y$15,15,0)</f>
        <v>5.7999999999999996E-3</v>
      </c>
      <c r="D31" s="21">
        <f>B31*C31</f>
        <v>92.828999999999994</v>
      </c>
      <c r="E31" s="72">
        <f t="shared" si="6"/>
        <v>16005</v>
      </c>
      <c r="F31" s="77">
        <f>VLOOKUP($B$3,'Data for Bill Impacts'!$A$3:$Y$15,24,0)</f>
        <v>5.7999999999999996E-3</v>
      </c>
      <c r="G31" s="21">
        <f>E31*F31</f>
        <v>92.828999999999994</v>
      </c>
      <c r="H31" s="21">
        <f t="shared" si="1"/>
        <v>0</v>
      </c>
      <c r="I31" s="22">
        <f t="shared" si="2"/>
        <v>0</v>
      </c>
      <c r="J31" s="22">
        <f t="shared" si="10"/>
        <v>3.4654684819376592E-2</v>
      </c>
      <c r="K31" s="107">
        <f t="shared" si="11"/>
        <v>3.6432254744479059E-2</v>
      </c>
    </row>
    <row r="32" spans="1:11" x14ac:dyDescent="0.2">
      <c r="A32" s="106" t="s">
        <v>41</v>
      </c>
      <c r="B32" s="72">
        <f>B8</f>
        <v>16005</v>
      </c>
      <c r="C32" s="124">
        <f>VLOOKUP($B$3,'Data for Bill Impacts'!$A$3:$Y$15,16,0)</f>
        <v>4.7000000000000002E-3</v>
      </c>
      <c r="D32" s="21">
        <f>B32*C32</f>
        <v>75.223500000000001</v>
      </c>
      <c r="E32" s="72">
        <f t="shared" si="6"/>
        <v>16005</v>
      </c>
      <c r="F32" s="77">
        <f>VLOOKUP($B$3,'Data for Bill Impacts'!$A$3:$Y$15,25,0)</f>
        <v>4.7000000000000002E-3</v>
      </c>
      <c r="G32" s="21">
        <f>E32*F32</f>
        <v>75.223500000000001</v>
      </c>
      <c r="H32" s="21">
        <f t="shared" si="1"/>
        <v>0</v>
      </c>
      <c r="I32" s="22">
        <f t="shared" si="2"/>
        <v>0</v>
      </c>
      <c r="J32" s="22">
        <f t="shared" si="10"/>
        <v>2.808224459501207E-2</v>
      </c>
      <c r="K32" s="107">
        <f t="shared" si="11"/>
        <v>2.9522689189491653E-2</v>
      </c>
    </row>
    <row r="33" spans="1:11" s="1" customFormat="1" x14ac:dyDescent="0.2">
      <c r="A33" s="109" t="s">
        <v>76</v>
      </c>
      <c r="B33" s="73"/>
      <c r="C33" s="34"/>
      <c r="D33" s="34">
        <f>SUM(D31:D32)</f>
        <v>168.05250000000001</v>
      </c>
      <c r="E33" s="72"/>
      <c r="F33" s="34"/>
      <c r="G33" s="34">
        <f>SUM(G31:G32)</f>
        <v>168.05250000000001</v>
      </c>
      <c r="H33" s="34">
        <f t="shared" si="1"/>
        <v>0</v>
      </c>
      <c r="I33" s="35">
        <f t="shared" si="2"/>
        <v>0</v>
      </c>
      <c r="J33" s="35">
        <f t="shared" si="10"/>
        <v>6.2736929414388673E-2</v>
      </c>
      <c r="K33" s="110">
        <f t="shared" si="11"/>
        <v>6.5954943933970722E-2</v>
      </c>
    </row>
    <row r="34" spans="1:11" s="1" customFormat="1" ht="13.5" customHeight="1" x14ac:dyDescent="0.2">
      <c r="A34" s="109" t="s">
        <v>93</v>
      </c>
      <c r="B34" s="73"/>
      <c r="C34" s="34"/>
      <c r="D34" s="34">
        <f>D29+D33</f>
        <v>763.38049999999998</v>
      </c>
      <c r="E34" s="72"/>
      <c r="F34" s="34"/>
      <c r="G34" s="34">
        <f>G29+G33</f>
        <v>775.90050000000008</v>
      </c>
      <c r="H34" s="34">
        <f t="shared" si="1"/>
        <v>12.520000000000095</v>
      </c>
      <c r="I34" s="35">
        <f t="shared" si="2"/>
        <v>1.6400733317133587E-2</v>
      </c>
      <c r="J34" s="35">
        <f t="shared" si="10"/>
        <v>0.28965718987274142</v>
      </c>
      <c r="K34" s="110">
        <f t="shared" si="11"/>
        <v>0.30451480326588326</v>
      </c>
    </row>
    <row r="35" spans="1:11" s="1" customFormat="1" ht="13.5" customHeight="1" x14ac:dyDescent="0.2">
      <c r="A35" s="109" t="s">
        <v>94</v>
      </c>
      <c r="B35" s="73"/>
      <c r="C35" s="34"/>
      <c r="D35" s="34">
        <f>D30+D33</f>
        <v>754.85810000000004</v>
      </c>
      <c r="E35" s="72"/>
      <c r="F35" s="34"/>
      <c r="G35" s="34">
        <f>G30+G33</f>
        <v>767.37810000000002</v>
      </c>
      <c r="H35" s="34">
        <f t="shared" si="1"/>
        <v>12.519999999999982</v>
      </c>
      <c r="I35" s="35">
        <f t="shared" si="2"/>
        <v>1.6585898727191219E-2</v>
      </c>
      <c r="J35" s="35">
        <f t="shared" si="10"/>
        <v>0.28647562930541165</v>
      </c>
      <c r="K35" s="110">
        <f t="shared" si="11"/>
        <v>0.30117004841735157</v>
      </c>
    </row>
    <row r="36" spans="1:11" x14ac:dyDescent="0.2">
      <c r="A36" s="106" t="s">
        <v>42</v>
      </c>
      <c r="B36" s="72">
        <f>B8</f>
        <v>16005</v>
      </c>
      <c r="C36" s="33">
        <v>3.5999999999999999E-3</v>
      </c>
      <c r="D36" s="21">
        <f>B36*C36</f>
        <v>57.617999999999995</v>
      </c>
      <c r="E36" s="72">
        <f t="shared" si="6"/>
        <v>16005</v>
      </c>
      <c r="F36" s="33">
        <v>3.5999999999999999E-3</v>
      </c>
      <c r="G36" s="21">
        <f>E36*F36</f>
        <v>57.617999999999995</v>
      </c>
      <c r="H36" s="21">
        <f t="shared" si="1"/>
        <v>0</v>
      </c>
      <c r="I36" s="22">
        <f t="shared" si="2"/>
        <v>0</v>
      </c>
      <c r="J36" s="22">
        <f t="shared" si="10"/>
        <v>2.1509804370647541E-2</v>
      </c>
      <c r="K36" s="107">
        <f t="shared" si="11"/>
        <v>2.2613123634504243E-2</v>
      </c>
    </row>
    <row r="37" spans="1:11" x14ac:dyDescent="0.2">
      <c r="A37" s="106" t="s">
        <v>43</v>
      </c>
      <c r="B37" s="72">
        <f>B8</f>
        <v>16005</v>
      </c>
      <c r="C37" s="33">
        <v>2.0999999999999999E-3</v>
      </c>
      <c r="D37" s="21">
        <f>B37*C37</f>
        <v>33.610499999999995</v>
      </c>
      <c r="E37" s="72">
        <f t="shared" si="6"/>
        <v>16005</v>
      </c>
      <c r="F37" s="33">
        <v>2.0999999999999999E-3</v>
      </c>
      <c r="G37" s="21">
        <f>E37*F37</f>
        <v>33.610499999999995</v>
      </c>
      <c r="H37" s="21">
        <f>G37-D37</f>
        <v>0</v>
      </c>
      <c r="I37" s="22">
        <f t="shared" si="2"/>
        <v>0</v>
      </c>
      <c r="J37" s="22">
        <f t="shared" si="10"/>
        <v>1.2547385882877732E-2</v>
      </c>
      <c r="K37" s="107">
        <f t="shared" si="11"/>
        <v>1.3190988786794141E-2</v>
      </c>
    </row>
    <row r="38" spans="1:11" x14ac:dyDescent="0.2">
      <c r="A38" s="106" t="s">
        <v>99</v>
      </c>
      <c r="B38" s="72">
        <f>B8</f>
        <v>16005</v>
      </c>
      <c r="C38" s="33">
        <v>0</v>
      </c>
      <c r="D38" s="21">
        <f>B38*C38</f>
        <v>0</v>
      </c>
      <c r="E38" s="72">
        <f t="shared" si="6"/>
        <v>16005</v>
      </c>
      <c r="F38" s="33">
        <v>0</v>
      </c>
      <c r="G38" s="21">
        <f>E38*F38</f>
        <v>0</v>
      </c>
      <c r="H38" s="21">
        <f>G38-D38</f>
        <v>0</v>
      </c>
      <c r="I38" s="22" t="str">
        <f t="shared" si="2"/>
        <v>N/A</v>
      </c>
      <c r="J38" s="22">
        <f t="shared" ref="J38" si="12">G38/$G$46</f>
        <v>0</v>
      </c>
      <c r="K38" s="107">
        <f t="shared" ref="K38" si="13">G38/$G$51</f>
        <v>0</v>
      </c>
    </row>
    <row r="39" spans="1:11" x14ac:dyDescent="0.2">
      <c r="A39" s="106" t="s">
        <v>44</v>
      </c>
      <c r="B39" s="72">
        <v>1</v>
      </c>
      <c r="C39" s="21">
        <v>0.25</v>
      </c>
      <c r="D39" s="21">
        <f>B39*C39</f>
        <v>0.25</v>
      </c>
      <c r="E39" s="72">
        <f t="shared" si="6"/>
        <v>1</v>
      </c>
      <c r="F39" s="21">
        <f>C39</f>
        <v>0.25</v>
      </c>
      <c r="G39" s="21">
        <f>E39*F39</f>
        <v>0.25</v>
      </c>
      <c r="H39" s="21">
        <f t="shared" si="1"/>
        <v>0</v>
      </c>
      <c r="I39" s="22">
        <f t="shared" si="2"/>
        <v>0</v>
      </c>
      <c r="J39" s="22">
        <f t="shared" si="10"/>
        <v>9.3329360489116003E-5</v>
      </c>
      <c r="K39" s="107">
        <f t="shared" si="11"/>
        <v>9.8116576566803097E-5</v>
      </c>
    </row>
    <row r="40" spans="1:11" s="1" customFormat="1" x14ac:dyDescent="0.2">
      <c r="A40" s="109" t="s">
        <v>45</v>
      </c>
      <c r="B40" s="73"/>
      <c r="C40" s="34"/>
      <c r="D40" s="34">
        <f>SUM(D36:D39)</f>
        <v>91.478499999999997</v>
      </c>
      <c r="E40" s="72"/>
      <c r="F40" s="34"/>
      <c r="G40" s="34">
        <f>SUM(G36:G39)</f>
        <v>91.478499999999997</v>
      </c>
      <c r="H40" s="34">
        <f t="shared" si="1"/>
        <v>0</v>
      </c>
      <c r="I40" s="35">
        <f t="shared" si="2"/>
        <v>0</v>
      </c>
      <c r="J40" s="35">
        <f t="shared" si="10"/>
        <v>3.4150519614014392E-2</v>
      </c>
      <c r="K40" s="110">
        <f t="shared" si="11"/>
        <v>3.5902228997865188E-2</v>
      </c>
    </row>
    <row r="41" spans="1:11" s="1" customFormat="1" ht="13.5" thickBot="1" x14ac:dyDescent="0.25">
      <c r="A41" s="111" t="s">
        <v>46</v>
      </c>
      <c r="B41" s="112">
        <f>B4</f>
        <v>15000</v>
      </c>
      <c r="C41" s="113">
        <v>7.0000000000000001E-3</v>
      </c>
      <c r="D41" s="114">
        <f>B41*C41</f>
        <v>105</v>
      </c>
      <c r="E41" s="115">
        <f t="shared" si="6"/>
        <v>15000</v>
      </c>
      <c r="F41" s="113">
        <f>C41</f>
        <v>7.0000000000000001E-3</v>
      </c>
      <c r="G41" s="114">
        <f>E41*F41</f>
        <v>105</v>
      </c>
      <c r="H41" s="114">
        <f t="shared" si="1"/>
        <v>0</v>
      </c>
      <c r="I41" s="116">
        <f t="shared" si="2"/>
        <v>0</v>
      </c>
      <c r="J41" s="116">
        <f t="shared" si="10"/>
        <v>3.9198331405428721E-2</v>
      </c>
      <c r="K41" s="117">
        <f t="shared" si="11"/>
        <v>4.1208962158057305E-2</v>
      </c>
    </row>
    <row r="42" spans="1:11" s="1" customFormat="1" x14ac:dyDescent="0.2">
      <c r="A42" s="36" t="s">
        <v>107</v>
      </c>
      <c r="B42" s="37"/>
      <c r="C42" s="38"/>
      <c r="D42" s="38">
        <f>SUM(D14,D25,D26,D27,D33,D40,D41)</f>
        <v>2538.6090000000004</v>
      </c>
      <c r="E42" s="37"/>
      <c r="F42" s="38"/>
      <c r="G42" s="38">
        <f>SUM(G14,G25,G26,G27,G33,G40,G41)</f>
        <v>2551.1290000000008</v>
      </c>
      <c r="H42" s="38">
        <f t="shared" si="1"/>
        <v>12.520000000000437</v>
      </c>
      <c r="I42" s="39">
        <f t="shared" si="2"/>
        <v>4.9318347173591655E-3</v>
      </c>
      <c r="J42" s="39">
        <f t="shared" si="10"/>
        <v>0.95238095238095233</v>
      </c>
      <c r="K42" s="40"/>
    </row>
    <row r="43" spans="1:11" x14ac:dyDescent="0.2">
      <c r="A43" s="142" t="s">
        <v>108</v>
      </c>
      <c r="B43" s="42"/>
      <c r="C43" s="25">
        <v>0.13</v>
      </c>
      <c r="D43" s="25">
        <f>D42*C43</f>
        <v>330.01917000000009</v>
      </c>
      <c r="E43" s="25"/>
      <c r="F43" s="25">
        <f>C43</f>
        <v>0.13</v>
      </c>
      <c r="G43" s="25">
        <f>G42*F43</f>
        <v>331.64677000000012</v>
      </c>
      <c r="H43" s="25">
        <f t="shared" si="1"/>
        <v>1.6276000000000295</v>
      </c>
      <c r="I43" s="43">
        <f t="shared" si="2"/>
        <v>4.9318347173590822E-3</v>
      </c>
      <c r="J43" s="43">
        <f t="shared" si="10"/>
        <v>0.12380952380952381</v>
      </c>
      <c r="K43" s="44"/>
    </row>
    <row r="44" spans="1:11" s="1" customFormat="1" x14ac:dyDescent="0.2">
      <c r="A44" s="45" t="s">
        <v>109</v>
      </c>
      <c r="B44" s="23"/>
      <c r="C44" s="24"/>
      <c r="D44" s="24">
        <f>SUM(D42:D43)</f>
        <v>2868.6281700000004</v>
      </c>
      <c r="E44" s="24"/>
      <c r="F44" s="24"/>
      <c r="G44" s="24">
        <f>SUM(G42:G43)</f>
        <v>2882.7757700000011</v>
      </c>
      <c r="H44" s="24">
        <f t="shared" si="1"/>
        <v>14.147600000000693</v>
      </c>
      <c r="I44" s="26">
        <f t="shared" si="2"/>
        <v>4.9318347173592358E-3</v>
      </c>
      <c r="J44" s="26">
        <f t="shared" si="10"/>
        <v>1.0761904761904764</v>
      </c>
      <c r="K44" s="46"/>
    </row>
    <row r="45" spans="1:11" x14ac:dyDescent="0.2">
      <c r="A45" s="41" t="s">
        <v>110</v>
      </c>
      <c r="B45" s="42"/>
      <c r="C45" s="25">
        <v>-0.08</v>
      </c>
      <c r="D45" s="25">
        <f>D42*C45</f>
        <v>-203.08872000000002</v>
      </c>
      <c r="E45" s="25"/>
      <c r="F45" s="25">
        <f>C45</f>
        <v>-0.08</v>
      </c>
      <c r="G45" s="25">
        <f>G42*F45</f>
        <v>-204.09032000000008</v>
      </c>
      <c r="H45" s="25">
        <f t="shared" si="1"/>
        <v>-1.0016000000000531</v>
      </c>
      <c r="I45" s="43">
        <f t="shared" si="2"/>
        <v>-4.9318347173592557E-3</v>
      </c>
      <c r="J45" s="43">
        <f t="shared" si="10"/>
        <v>-7.6190476190476197E-2</v>
      </c>
      <c r="K45" s="44"/>
    </row>
    <row r="46" spans="1:11" s="1" customFormat="1" ht="13.5" thickBot="1" x14ac:dyDescent="0.25">
      <c r="A46" s="47" t="s">
        <v>111</v>
      </c>
      <c r="B46" s="48"/>
      <c r="C46" s="49"/>
      <c r="D46" s="49">
        <f>SUM(D44:D45)</f>
        <v>2665.5394500000002</v>
      </c>
      <c r="E46" s="49"/>
      <c r="F46" s="49"/>
      <c r="G46" s="49">
        <f>SUM(G44:G45)</f>
        <v>2678.6854500000009</v>
      </c>
      <c r="H46" s="49">
        <f t="shared" si="1"/>
        <v>13.14600000000064</v>
      </c>
      <c r="I46" s="50">
        <f t="shared" si="2"/>
        <v>4.931834717359234E-3</v>
      </c>
      <c r="J46" s="50">
        <f t="shared" si="10"/>
        <v>1</v>
      </c>
      <c r="K46" s="51"/>
    </row>
    <row r="47" spans="1:11" x14ac:dyDescent="0.2">
      <c r="A47" s="52" t="s">
        <v>112</v>
      </c>
      <c r="B47" s="53"/>
      <c r="C47" s="54"/>
      <c r="D47" s="54">
        <f>SUM(D18,D25,D26,D28,D33,D40,D41)</f>
        <v>2414.1366000000007</v>
      </c>
      <c r="E47" s="54"/>
      <c r="F47" s="54"/>
      <c r="G47" s="54">
        <f>SUM(G18,G25,G26,G28,G33,G40,G41)</f>
        <v>2426.6566000000003</v>
      </c>
      <c r="H47" s="54">
        <f>G47-D47</f>
        <v>12.519999999999527</v>
      </c>
      <c r="I47" s="55">
        <f t="shared" si="2"/>
        <v>5.186119128469998E-3</v>
      </c>
      <c r="J47" s="55"/>
      <c r="K47" s="56">
        <f>G47/$G$51</f>
        <v>0.95238095238095244</v>
      </c>
    </row>
    <row r="48" spans="1:11" x14ac:dyDescent="0.2">
      <c r="A48" s="57" t="s">
        <v>108</v>
      </c>
      <c r="B48" s="58"/>
      <c r="C48" s="30">
        <v>0.13</v>
      </c>
      <c r="D48" s="30">
        <f>D47*C48</f>
        <v>313.83775800000012</v>
      </c>
      <c r="E48" s="30"/>
      <c r="F48" s="30">
        <f>C48</f>
        <v>0.13</v>
      </c>
      <c r="G48" s="30">
        <f>G47*F48</f>
        <v>315.46535800000004</v>
      </c>
      <c r="H48" s="30">
        <f>G48-D48</f>
        <v>1.6275999999999158</v>
      </c>
      <c r="I48" s="31">
        <f t="shared" si="2"/>
        <v>5.1861191284699251E-3</v>
      </c>
      <c r="J48" s="31"/>
      <c r="K48" s="59">
        <f>G48/$G$51</f>
        <v>0.12380952380952381</v>
      </c>
    </row>
    <row r="49" spans="1:11" x14ac:dyDescent="0.2">
      <c r="A49" s="135" t="s">
        <v>113</v>
      </c>
      <c r="B49" s="28"/>
      <c r="C49" s="29"/>
      <c r="D49" s="29">
        <f>SUM(D47:D48)</f>
        <v>2727.9743580000008</v>
      </c>
      <c r="E49" s="29"/>
      <c r="F49" s="29"/>
      <c r="G49" s="29">
        <f>SUM(G47:G48)</f>
        <v>2742.1219580000002</v>
      </c>
      <c r="H49" s="29">
        <f>G49-D49</f>
        <v>14.147599999999329</v>
      </c>
      <c r="I49" s="32">
        <f t="shared" si="2"/>
        <v>5.1861191284699477E-3</v>
      </c>
      <c r="J49" s="32"/>
      <c r="K49" s="61">
        <f>G49/$G$51</f>
        <v>1.0761904761904761</v>
      </c>
    </row>
    <row r="50" spans="1:11" x14ac:dyDescent="0.2">
      <c r="A50" s="57" t="s">
        <v>110</v>
      </c>
      <c r="B50" s="58"/>
      <c r="C50" s="30">
        <v>-0.08</v>
      </c>
      <c r="D50" s="30">
        <f>D47*C50</f>
        <v>-193.13092800000007</v>
      </c>
      <c r="E50" s="30"/>
      <c r="F50" s="30">
        <f>C50</f>
        <v>-0.08</v>
      </c>
      <c r="G50" s="30">
        <f>G47*F50</f>
        <v>-194.13252800000004</v>
      </c>
      <c r="H50" s="30">
        <f>G50-D50</f>
        <v>-1.0015999999999678</v>
      </c>
      <c r="I50" s="31">
        <f t="shared" si="2"/>
        <v>-5.1861191284700266E-3</v>
      </c>
      <c r="J50" s="31"/>
      <c r="K50" s="59">
        <f>G50/$G$51</f>
        <v>-7.6190476190476197E-2</v>
      </c>
    </row>
    <row r="51" spans="1:11" ht="13.5" thickBot="1" x14ac:dyDescent="0.25">
      <c r="A51" s="62" t="s">
        <v>114</v>
      </c>
      <c r="B51" s="63"/>
      <c r="C51" s="64"/>
      <c r="D51" s="64">
        <f>SUM(D49:D50)</f>
        <v>2534.8434300000008</v>
      </c>
      <c r="E51" s="64"/>
      <c r="F51" s="64"/>
      <c r="G51" s="64">
        <f>SUM(G49:G50)</f>
        <v>2547.9894300000001</v>
      </c>
      <c r="H51" s="64">
        <f>G51-D51</f>
        <v>13.145999999999276</v>
      </c>
      <c r="I51" s="65">
        <f t="shared" si="2"/>
        <v>5.1861191284699078E-3</v>
      </c>
      <c r="J51" s="65"/>
      <c r="K51" s="66">
        <f>G51/$G$51</f>
        <v>1</v>
      </c>
    </row>
    <row r="52" spans="1:11" x14ac:dyDescent="0.2">
      <c r="C52" s="67"/>
      <c r="F52" s="68"/>
    </row>
    <row r="53" spans="1:11" x14ac:dyDescent="0.2">
      <c r="F53" s="68"/>
    </row>
    <row r="54" spans="1:11" x14ac:dyDescent="0.2">
      <c r="F54" s="68"/>
    </row>
    <row r="55" spans="1:11" x14ac:dyDescent="0.2">
      <c r="A55" s="69"/>
      <c r="B55" s="70"/>
      <c r="F55" s="68"/>
    </row>
    <row r="56" spans="1:11" x14ac:dyDescent="0.2">
      <c r="B56" s="70"/>
      <c r="F56" s="68"/>
    </row>
    <row r="57" spans="1:11" x14ac:dyDescent="0.2">
      <c r="F57" s="68"/>
    </row>
    <row r="58" spans="1:11" x14ac:dyDescent="0.2">
      <c r="D58" s="71"/>
      <c r="F58" s="68"/>
    </row>
    <row r="59" spans="1:11" x14ac:dyDescent="0.2">
      <c r="F59" s="68"/>
    </row>
    <row r="60" spans="1:11" x14ac:dyDescent="0.2">
      <c r="A60" s="69"/>
      <c r="B60" s="70"/>
      <c r="F60" s="68"/>
    </row>
    <row r="61" spans="1:11" x14ac:dyDescent="0.2">
      <c r="B61" s="71"/>
      <c r="D61" s="71"/>
      <c r="F61" s="68"/>
    </row>
    <row r="62" spans="1:11" x14ac:dyDescent="0.2">
      <c r="F62" s="68"/>
    </row>
    <row r="63" spans="1:11" x14ac:dyDescent="0.2">
      <c r="F63" s="68"/>
    </row>
    <row r="64" spans="1:11" x14ac:dyDescent="0.2">
      <c r="F64" s="68"/>
    </row>
    <row r="65" spans="6:6" x14ac:dyDescent="0.2">
      <c r="F65" s="68"/>
    </row>
    <row r="66" spans="6:6" x14ac:dyDescent="0.2">
      <c r="F66" s="68"/>
    </row>
    <row r="67" spans="6:6" x14ac:dyDescent="0.2">
      <c r="F67" s="68"/>
    </row>
    <row r="68" spans="6:6" x14ac:dyDescent="0.2">
      <c r="F68" s="68"/>
    </row>
  </sheetData>
  <mergeCells count="1">
    <mergeCell ref="A1:K1"/>
  </mergeCells>
  <pageMargins left="0.7" right="0.7" top="0.75" bottom="0.75" header="0.3" footer="0.3"/>
  <pageSetup scale="76" orientation="landscape" r:id="rId1"/>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Impacts'!$A$3:$A$11</xm:f>
          </x14:formula1>
          <xm:sqref>B3</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theme="1" tint="0.499984740745262"/>
    <pageSetUpPr fitToPage="1"/>
  </sheetPr>
  <dimension ref="A1:K68"/>
  <sheetViews>
    <sheetView tabSelected="1" topLeftCell="A4"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3"/>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205" t="s">
        <v>124</v>
      </c>
      <c r="B1" s="206"/>
      <c r="C1" s="206"/>
      <c r="D1" s="206"/>
      <c r="E1" s="206"/>
      <c r="F1" s="206"/>
      <c r="G1" s="206"/>
      <c r="H1" s="206"/>
      <c r="I1" s="206"/>
      <c r="J1" s="206"/>
      <c r="K1" s="207"/>
    </row>
    <row r="3" spans="1:11" x14ac:dyDescent="0.2">
      <c r="A3" s="12" t="s">
        <v>13</v>
      </c>
      <c r="B3" s="12" t="s">
        <v>4</v>
      </c>
    </row>
    <row r="4" spans="1:11" x14ac:dyDescent="0.2">
      <c r="A4" s="14" t="s">
        <v>62</v>
      </c>
      <c r="B4" s="14">
        <v>1000</v>
      </c>
    </row>
    <row r="5" spans="1:11" x14ac:dyDescent="0.2">
      <c r="A5" s="14" t="s">
        <v>16</v>
      </c>
      <c r="B5" s="14">
        <f>VLOOKUP($B$3,'Data for Bill Impacts'!$A$3:$Y$15,5,0)</f>
        <v>0</v>
      </c>
    </row>
    <row r="6" spans="1:11" x14ac:dyDescent="0.2">
      <c r="A6" s="14" t="s">
        <v>20</v>
      </c>
      <c r="B6" s="14">
        <f>VLOOKUP($B$3,'Data for Bill Impacts'!$A$3:$Y$15,2,0)</f>
        <v>1.0960000000000001</v>
      </c>
    </row>
    <row r="7" spans="1:11" x14ac:dyDescent="0.2">
      <c r="A7" s="14" t="s">
        <v>15</v>
      </c>
      <c r="B7" s="14">
        <f>VLOOKUP($B$3,'Data for Bill Impacts'!$A$3:$Y$15,4,0)</f>
        <v>750</v>
      </c>
    </row>
    <row r="8" spans="1:11" x14ac:dyDescent="0.2">
      <c r="A8" s="14" t="s">
        <v>82</v>
      </c>
      <c r="B8" s="14">
        <f>B4*B6</f>
        <v>1096</v>
      </c>
    </row>
    <row r="9" spans="1:11" x14ac:dyDescent="0.2">
      <c r="A9" s="14" t="s">
        <v>21</v>
      </c>
      <c r="B9" s="15" t="str">
        <f>VLOOKUP($B$3,'Data for Bill Impacts'!$A$3:$Y$15,6,0)</f>
        <v>kWh</v>
      </c>
    </row>
    <row r="10" spans="1:11" ht="13.5" thickBot="1" x14ac:dyDescent="0.25"/>
    <row r="11" spans="1:11" s="19" customFormat="1" ht="39" thickBot="1" x14ac:dyDescent="0.25">
      <c r="A11" s="16"/>
      <c r="B11" s="17" t="s">
        <v>22</v>
      </c>
      <c r="C11" s="17" t="s">
        <v>23</v>
      </c>
      <c r="D11" s="17" t="s">
        <v>24</v>
      </c>
      <c r="E11" s="17" t="s">
        <v>22</v>
      </c>
      <c r="F11" s="17" t="s">
        <v>25</v>
      </c>
      <c r="G11" s="17" t="s">
        <v>26</v>
      </c>
      <c r="H11" s="17" t="s">
        <v>27</v>
      </c>
      <c r="I11" s="17" t="s">
        <v>28</v>
      </c>
      <c r="J11" s="17" t="s">
        <v>29</v>
      </c>
      <c r="K11" s="18" t="s">
        <v>30</v>
      </c>
    </row>
    <row r="12" spans="1:11" x14ac:dyDescent="0.2">
      <c r="A12" s="100" t="s">
        <v>31</v>
      </c>
      <c r="B12" s="101">
        <f>IF(B4&gt;B7,B7,B4)</f>
        <v>750</v>
      </c>
      <c r="C12" s="102">
        <v>9.0999999999999998E-2</v>
      </c>
      <c r="D12" s="103">
        <f>B12*C12</f>
        <v>68.25</v>
      </c>
      <c r="E12" s="101">
        <f>B12</f>
        <v>750</v>
      </c>
      <c r="F12" s="102">
        <f>C12</f>
        <v>9.0999999999999998E-2</v>
      </c>
      <c r="G12" s="103">
        <f>E12*F12</f>
        <v>68.25</v>
      </c>
      <c r="H12" s="103">
        <f>G12-D12</f>
        <v>0</v>
      </c>
      <c r="I12" s="104">
        <f>IF(ISERROR(H12/ABS(D12)),"N/A",(H12/ABS(D12)))</f>
        <v>0</v>
      </c>
      <c r="J12" s="104">
        <f>G12/$G$46</f>
        <v>0.2836753148359572</v>
      </c>
      <c r="K12" s="105"/>
    </row>
    <row r="13" spans="1:11" x14ac:dyDescent="0.2">
      <c r="A13" s="106" t="s">
        <v>32</v>
      </c>
      <c r="B13" s="72">
        <f>IF(B4&gt;B7,(B4)-B7,0)</f>
        <v>250</v>
      </c>
      <c r="C13" s="20">
        <v>0.106</v>
      </c>
      <c r="D13" s="21">
        <f>B13*C13</f>
        <v>26.5</v>
      </c>
      <c r="E13" s="72">
        <f t="shared" ref="E13" si="0">B13</f>
        <v>250</v>
      </c>
      <c r="F13" s="20">
        <f>C13</f>
        <v>0.106</v>
      </c>
      <c r="G13" s="21">
        <f>E13*F13</f>
        <v>26.5</v>
      </c>
      <c r="H13" s="21">
        <f t="shared" ref="H13:H46" si="1">G13-D13</f>
        <v>0</v>
      </c>
      <c r="I13" s="22">
        <f t="shared" ref="I13:I51" si="2">IF(ISERROR(H13/ABS(D13)),"N/A",(H13/ABS(D13)))</f>
        <v>0</v>
      </c>
      <c r="J13" s="22">
        <f>G13/$G$46</f>
        <v>0.11014499403886982</v>
      </c>
      <c r="K13" s="107"/>
    </row>
    <row r="14" spans="1:11" s="1" customFormat="1" x14ac:dyDescent="0.2">
      <c r="A14" s="45" t="s">
        <v>33</v>
      </c>
      <c r="B14" s="23"/>
      <c r="C14" s="24"/>
      <c r="D14" s="24">
        <f>SUM(D12:D13)</f>
        <v>94.75</v>
      </c>
      <c r="E14" s="75"/>
      <c r="F14" s="24"/>
      <c r="G14" s="24">
        <f>SUM(G12:G13)</f>
        <v>94.75</v>
      </c>
      <c r="H14" s="24">
        <f t="shared" si="1"/>
        <v>0</v>
      </c>
      <c r="I14" s="26">
        <f t="shared" si="2"/>
        <v>0</v>
      </c>
      <c r="J14" s="26">
        <f>G14/$G$46</f>
        <v>0.393820308874827</v>
      </c>
      <c r="K14" s="107"/>
    </row>
    <row r="15" spans="1:11" s="1" customFormat="1" x14ac:dyDescent="0.2">
      <c r="A15" s="108" t="s">
        <v>34</v>
      </c>
      <c r="B15" s="74">
        <f>B4*0.65</f>
        <v>650</v>
      </c>
      <c r="C15" s="27">
        <v>7.6999999999999999E-2</v>
      </c>
      <c r="D15" s="21">
        <f>B15*C15</f>
        <v>50.05</v>
      </c>
      <c r="E15" s="72">
        <f t="shared" ref="E15:F17" si="3">B15</f>
        <v>650</v>
      </c>
      <c r="F15" s="27">
        <f t="shared" si="3"/>
        <v>7.6999999999999999E-2</v>
      </c>
      <c r="G15" s="21">
        <f>E15*F15</f>
        <v>50.05</v>
      </c>
      <c r="H15" s="21">
        <f t="shared" si="1"/>
        <v>0</v>
      </c>
      <c r="I15" s="22">
        <f t="shared" si="2"/>
        <v>0</v>
      </c>
      <c r="J15" s="22"/>
      <c r="K15" s="107">
        <f t="shared" ref="K15:K26" si="4">G15/$G$51</f>
        <v>0.20626784216834756</v>
      </c>
    </row>
    <row r="16" spans="1:11" s="1" customFormat="1" x14ac:dyDescent="0.2">
      <c r="A16" s="108" t="s">
        <v>35</v>
      </c>
      <c r="B16" s="74">
        <f>B4*0.17</f>
        <v>170</v>
      </c>
      <c r="C16" s="27">
        <v>0.113</v>
      </c>
      <c r="D16" s="21">
        <f>B16*C16</f>
        <v>19.21</v>
      </c>
      <c r="E16" s="72">
        <f t="shared" si="3"/>
        <v>170</v>
      </c>
      <c r="F16" s="27">
        <f t="shared" si="3"/>
        <v>0.113</v>
      </c>
      <c r="G16" s="21">
        <f>E16*F16</f>
        <v>19.21</v>
      </c>
      <c r="H16" s="21">
        <f t="shared" si="1"/>
        <v>0</v>
      </c>
      <c r="I16" s="22">
        <f t="shared" si="2"/>
        <v>0</v>
      </c>
      <c r="J16" s="22"/>
      <c r="K16" s="107">
        <f t="shared" si="4"/>
        <v>7.9168936025054093E-2</v>
      </c>
    </row>
    <row r="17" spans="1:11" s="1" customFormat="1" x14ac:dyDescent="0.2">
      <c r="A17" s="108" t="s">
        <v>36</v>
      </c>
      <c r="B17" s="74">
        <f>B4*0.18</f>
        <v>180</v>
      </c>
      <c r="C17" s="27">
        <v>0.157</v>
      </c>
      <c r="D17" s="21">
        <f>B17*C17</f>
        <v>28.26</v>
      </c>
      <c r="E17" s="72">
        <f t="shared" si="3"/>
        <v>180</v>
      </c>
      <c r="F17" s="27">
        <f t="shared" si="3"/>
        <v>0.157</v>
      </c>
      <c r="G17" s="21">
        <f>E17*F17</f>
        <v>28.26</v>
      </c>
      <c r="H17" s="21">
        <f t="shared" si="1"/>
        <v>0</v>
      </c>
      <c r="I17" s="22">
        <f t="shared" si="2"/>
        <v>0</v>
      </c>
      <c r="J17" s="22"/>
      <c r="K17" s="107">
        <f t="shared" si="4"/>
        <v>0.11646611827527478</v>
      </c>
    </row>
    <row r="18" spans="1:11" s="1" customFormat="1" x14ac:dyDescent="0.2">
      <c r="A18" s="60" t="s">
        <v>37</v>
      </c>
      <c r="B18" s="28"/>
      <c r="C18" s="29"/>
      <c r="D18" s="29">
        <f>SUM(D15:D17)</f>
        <v>97.52</v>
      </c>
      <c r="E18" s="76"/>
      <c r="F18" s="29"/>
      <c r="G18" s="29">
        <f>SUM(G15:G17)</f>
        <v>97.52</v>
      </c>
      <c r="H18" s="30">
        <f t="shared" si="1"/>
        <v>0</v>
      </c>
      <c r="I18" s="31">
        <f t="shared" si="2"/>
        <v>0</v>
      </c>
      <c r="J18" s="32">
        <f t="shared" ref="J18:J23" si="5">G18/$G$46</f>
        <v>0.40533357806304093</v>
      </c>
      <c r="K18" s="61">
        <f t="shared" si="4"/>
        <v>0.40190289646867644</v>
      </c>
    </row>
    <row r="19" spans="1:11" x14ac:dyDescent="0.2">
      <c r="A19" s="106" t="s">
        <v>38</v>
      </c>
      <c r="B19" s="72">
        <v>1</v>
      </c>
      <c r="C19" s="77">
        <f>VLOOKUP($B$3,'Data for Bill Impacts'!$A$3:$Y$15,7,0)</f>
        <v>31.38</v>
      </c>
      <c r="D19" s="21">
        <f>B19*C19</f>
        <v>31.38</v>
      </c>
      <c r="E19" s="72">
        <f t="shared" ref="E19:E41" si="6">B19</f>
        <v>1</v>
      </c>
      <c r="F19" s="77">
        <f>VLOOKUP($B$3,'Data for Bill Impacts'!$A$3:$Y$15,17,0)</f>
        <v>31.94</v>
      </c>
      <c r="G19" s="21">
        <f>E19*F19</f>
        <v>31.94</v>
      </c>
      <c r="H19" s="21">
        <f t="shared" si="1"/>
        <v>0.56000000000000227</v>
      </c>
      <c r="I19" s="22">
        <f t="shared" si="2"/>
        <v>1.7845761631612566E-2</v>
      </c>
      <c r="J19" s="22">
        <f t="shared" si="5"/>
        <v>0.13275589092835857</v>
      </c>
      <c r="K19" s="107">
        <f t="shared" si="4"/>
        <v>0.13163226531182862</v>
      </c>
    </row>
    <row r="20" spans="1:11" hidden="1" x14ac:dyDescent="0.2">
      <c r="A20" s="106" t="s">
        <v>83</v>
      </c>
      <c r="B20" s="72">
        <v>1</v>
      </c>
      <c r="C20" s="77">
        <f>VLOOKUP($B$3,'Data for Bill Impacts'!$A$3:$Y$15,8,0)</f>
        <v>0</v>
      </c>
      <c r="D20" s="21">
        <f>B20*C20</f>
        <v>0</v>
      </c>
      <c r="E20" s="72">
        <f t="shared" si="6"/>
        <v>1</v>
      </c>
      <c r="F20" s="77">
        <v>0</v>
      </c>
      <c r="G20" s="21">
        <f t="shared" ref="G20:G22" si="7">E20*F20</f>
        <v>0</v>
      </c>
      <c r="H20" s="21">
        <f t="shared" si="1"/>
        <v>0</v>
      </c>
      <c r="I20" s="22" t="str">
        <f t="shared" si="2"/>
        <v>N/A</v>
      </c>
      <c r="J20" s="22">
        <f t="shared" si="5"/>
        <v>0</v>
      </c>
      <c r="K20" s="107">
        <f t="shared" si="4"/>
        <v>0</v>
      </c>
    </row>
    <row r="21" spans="1:11" hidden="1" x14ac:dyDescent="0.2">
      <c r="A21" s="106" t="s">
        <v>84</v>
      </c>
      <c r="B21" s="72">
        <v>1</v>
      </c>
      <c r="C21" s="77">
        <f>VLOOKUP($B$3,'Data for Bill Impacts'!$A$3:$Y$15,11,0)</f>
        <v>0</v>
      </c>
      <c r="D21" s="21">
        <f t="shared" ref="D21:D22" si="8">B21*C21</f>
        <v>0</v>
      </c>
      <c r="E21" s="72">
        <f t="shared" si="6"/>
        <v>1</v>
      </c>
      <c r="F21" s="120">
        <f>VLOOKUP($B$3,'Data for Bill Impacts'!$A$3:$Y$15,12,0)</f>
        <v>0</v>
      </c>
      <c r="G21" s="21">
        <f t="shared" si="7"/>
        <v>0</v>
      </c>
      <c r="H21" s="21">
        <f t="shared" si="1"/>
        <v>0</v>
      </c>
      <c r="I21" s="22" t="str">
        <f t="shared" si="2"/>
        <v>N/A</v>
      </c>
      <c r="J21" s="22">
        <f t="shared" si="5"/>
        <v>0</v>
      </c>
      <c r="K21" s="107">
        <f t="shared" si="4"/>
        <v>0</v>
      </c>
    </row>
    <row r="22" spans="1:11" x14ac:dyDescent="0.2">
      <c r="A22" s="106" t="s">
        <v>85</v>
      </c>
      <c r="B22" s="72">
        <v>1</v>
      </c>
      <c r="C22" s="120">
        <f>VLOOKUP($B$3,'Data for Bill Impacts'!$A$3:$Y$15,13,0)</f>
        <v>2E-3</v>
      </c>
      <c r="D22" s="21">
        <f t="shared" si="8"/>
        <v>2E-3</v>
      </c>
      <c r="E22" s="72">
        <f t="shared" si="6"/>
        <v>1</v>
      </c>
      <c r="F22" s="120">
        <f>VLOOKUP($B$3,'Data for Bill Impacts'!$A$3:$Y$15,22,0)</f>
        <v>2E-3</v>
      </c>
      <c r="G22" s="21">
        <f t="shared" si="7"/>
        <v>2E-3</v>
      </c>
      <c r="H22" s="21">
        <f t="shared" si="1"/>
        <v>0</v>
      </c>
      <c r="I22" s="22">
        <f t="shared" si="2"/>
        <v>0</v>
      </c>
      <c r="J22" s="22">
        <f t="shared" si="5"/>
        <v>8.3128297387826283E-6</v>
      </c>
      <c r="K22" s="107">
        <f t="shared" si="4"/>
        <v>8.2424712155183856E-6</v>
      </c>
    </row>
    <row r="23" spans="1:11" x14ac:dyDescent="0.2">
      <c r="A23" s="106" t="s">
        <v>39</v>
      </c>
      <c r="B23" s="72">
        <f>IF($B$9="kWh",$B$4,$B$5)</f>
        <v>1000</v>
      </c>
      <c r="C23" s="124">
        <f>VLOOKUP($B$3,'Data for Bill Impacts'!$A$3:$Y$15,10,0)</f>
        <v>6.5199999999999994E-2</v>
      </c>
      <c r="D23" s="21">
        <f>B23*C23</f>
        <v>65.199999999999989</v>
      </c>
      <c r="E23" s="72">
        <f t="shared" si="6"/>
        <v>1000</v>
      </c>
      <c r="F23" s="124">
        <f>VLOOKUP($B$3,'Data for Bill Impacts'!$A$3:$Y$15,19,0)</f>
        <v>6.7000000000000004E-2</v>
      </c>
      <c r="G23" s="21">
        <f>E23*F23</f>
        <v>67</v>
      </c>
      <c r="H23" s="21">
        <f t="shared" si="1"/>
        <v>1.8000000000000114</v>
      </c>
      <c r="I23" s="22">
        <f t="shared" si="2"/>
        <v>2.7607361963190365E-2</v>
      </c>
      <c r="J23" s="22">
        <f t="shared" si="5"/>
        <v>0.27847979624921804</v>
      </c>
      <c r="K23" s="107">
        <f t="shared" si="4"/>
        <v>0.27612278571986587</v>
      </c>
    </row>
    <row r="24" spans="1:11" x14ac:dyDescent="0.2">
      <c r="A24" s="106" t="s">
        <v>129</v>
      </c>
      <c r="B24" s="72">
        <f>IF($B$9="kWh",$B$4,$B$5)</f>
        <v>1000</v>
      </c>
      <c r="C24" s="77">
        <f>VLOOKUP($B$3,'Data for Bill Impacts'!$A$3:$Y$15,14,0)</f>
        <v>2.0000000000000002E-5</v>
      </c>
      <c r="D24" s="33">
        <f>B24*C24</f>
        <v>0.02</v>
      </c>
      <c r="E24" s="72">
        <f t="shared" si="6"/>
        <v>1000</v>
      </c>
      <c r="F24" s="77">
        <f>VLOOKUP($B$3,'Data for Bill Impacts'!$A$3:$Y$15,23,0)</f>
        <v>2.0000000000000002E-5</v>
      </c>
      <c r="G24" s="33">
        <f>E24*F24</f>
        <v>0.02</v>
      </c>
      <c r="H24" s="21">
        <f t="shared" si="1"/>
        <v>0</v>
      </c>
      <c r="I24" s="22">
        <f t="shared" si="2"/>
        <v>0</v>
      </c>
      <c r="J24" s="22">
        <f t="shared" ref="J24" si="9">G24/$G$46</f>
        <v>8.3128297387826286E-5</v>
      </c>
      <c r="K24" s="107">
        <f t="shared" si="4"/>
        <v>8.2424712155183846E-5</v>
      </c>
    </row>
    <row r="25" spans="1:11" s="1" customFormat="1" x14ac:dyDescent="0.2">
      <c r="A25" s="109" t="s">
        <v>72</v>
      </c>
      <c r="B25" s="73"/>
      <c r="C25" s="34"/>
      <c r="D25" s="34">
        <f>SUM(D19:D24)</f>
        <v>96.60199999999999</v>
      </c>
      <c r="E25" s="72"/>
      <c r="F25" s="34"/>
      <c r="G25" s="34">
        <f>SUM(G19:G24)</f>
        <v>98.962000000000003</v>
      </c>
      <c r="H25" s="34">
        <f t="shared" si="1"/>
        <v>2.3600000000000136</v>
      </c>
      <c r="I25" s="35">
        <f t="shared" si="2"/>
        <v>2.4430136022028672E-2</v>
      </c>
      <c r="J25" s="35">
        <f>G25/$G$46</f>
        <v>0.41132712830470325</v>
      </c>
      <c r="K25" s="110">
        <f t="shared" si="4"/>
        <v>0.40784571821506521</v>
      </c>
    </row>
    <row r="26" spans="1:11" s="1" customFormat="1" x14ac:dyDescent="0.2">
      <c r="A26" s="118" t="s">
        <v>73</v>
      </c>
      <c r="B26" s="119">
        <v>1</v>
      </c>
      <c r="C26" s="77">
        <f>VLOOKUP($B$3,'Data for Bill Impacts'!$A$3:$Y$15,9,0)</f>
        <v>0.79</v>
      </c>
      <c r="D26" s="21">
        <f>B26*C26</f>
        <v>0.79</v>
      </c>
      <c r="E26" s="72">
        <v>1</v>
      </c>
      <c r="F26" s="77">
        <f>VLOOKUP($B$3,'Data for Bill Impacts'!$A$3:$Y$15,18,0)</f>
        <v>0.79</v>
      </c>
      <c r="G26" s="21">
        <f>E26*F26</f>
        <v>0.79</v>
      </c>
      <c r="H26" s="21">
        <f t="shared" si="1"/>
        <v>0</v>
      </c>
      <c r="I26" s="22">
        <f t="shared" si="2"/>
        <v>0</v>
      </c>
      <c r="J26" s="22">
        <f>G26/$G$46</f>
        <v>3.283567746819138E-3</v>
      </c>
      <c r="K26" s="107">
        <f t="shared" si="4"/>
        <v>3.2557761301297622E-3</v>
      </c>
    </row>
    <row r="27" spans="1:11" s="1" customFormat="1" x14ac:dyDescent="0.2">
      <c r="A27" s="118" t="s">
        <v>75</v>
      </c>
      <c r="B27" s="119">
        <f>B8-B4</f>
        <v>96</v>
      </c>
      <c r="C27" s="186">
        <f>IF(B4&gt;B7,C13,C12)</f>
        <v>0.106</v>
      </c>
      <c r="D27" s="21">
        <f>B27*C27</f>
        <v>10.176</v>
      </c>
      <c r="E27" s="72">
        <f>B27</f>
        <v>96</v>
      </c>
      <c r="F27" s="186">
        <f>C27</f>
        <v>0.106</v>
      </c>
      <c r="G27" s="21">
        <f>E27*F27</f>
        <v>10.176</v>
      </c>
      <c r="H27" s="21">
        <f t="shared" si="1"/>
        <v>0</v>
      </c>
      <c r="I27" s="22">
        <f t="shared" si="2"/>
        <v>0</v>
      </c>
      <c r="J27" s="22">
        <f t="shared" ref="J27:J46" si="10">G27/$G$46</f>
        <v>4.2295677710926009E-2</v>
      </c>
      <c r="K27" s="107">
        <f t="shared" ref="K27:K41" si="11">G27/$G$51</f>
        <v>4.1937693544557543E-2</v>
      </c>
    </row>
    <row r="28" spans="1:11" s="1" customFormat="1" x14ac:dyDescent="0.2">
      <c r="A28" s="118" t="s">
        <v>74</v>
      </c>
      <c r="B28" s="119">
        <f>B8-B4</f>
        <v>96</v>
      </c>
      <c r="C28" s="186">
        <f>0.65*C15+0.17*C16+0.18*C17</f>
        <v>9.7519999999999996E-2</v>
      </c>
      <c r="D28" s="21">
        <f>B28*C28</f>
        <v>9.3619199999999996</v>
      </c>
      <c r="E28" s="72">
        <f>B28</f>
        <v>96</v>
      </c>
      <c r="F28" s="186">
        <f>C28</f>
        <v>9.7519999999999996E-2</v>
      </c>
      <c r="G28" s="21">
        <f>E28*F28</f>
        <v>9.3619199999999996</v>
      </c>
      <c r="H28" s="21">
        <f t="shared" si="1"/>
        <v>0</v>
      </c>
      <c r="I28" s="22">
        <f t="shared" si="2"/>
        <v>0</v>
      </c>
      <c r="J28" s="22">
        <f t="shared" si="10"/>
        <v>3.8912023494051928E-2</v>
      </c>
      <c r="K28" s="107">
        <f t="shared" si="11"/>
        <v>3.8582678060992935E-2</v>
      </c>
    </row>
    <row r="29" spans="1:11" s="1" customFormat="1" x14ac:dyDescent="0.2">
      <c r="A29" s="109" t="s">
        <v>78</v>
      </c>
      <c r="B29" s="73"/>
      <c r="C29" s="34"/>
      <c r="D29" s="34">
        <f>SUM(D25,D26:D27)</f>
        <v>107.568</v>
      </c>
      <c r="E29" s="72"/>
      <c r="F29" s="34"/>
      <c r="G29" s="34">
        <f>SUM(G25,G26:G27)</f>
        <v>109.92800000000001</v>
      </c>
      <c r="H29" s="34">
        <f t="shared" si="1"/>
        <v>2.3600000000000136</v>
      </c>
      <c r="I29" s="35">
        <f t="shared" si="2"/>
        <v>2.1939610293024076E-2</v>
      </c>
      <c r="J29" s="35">
        <f t="shared" si="10"/>
        <v>0.45690637376244841</v>
      </c>
      <c r="K29" s="110">
        <f t="shared" si="11"/>
        <v>0.45303918788975256</v>
      </c>
    </row>
    <row r="30" spans="1:11" s="1" customFormat="1" x14ac:dyDescent="0.2">
      <c r="A30" s="109" t="s">
        <v>77</v>
      </c>
      <c r="B30" s="73"/>
      <c r="C30" s="34"/>
      <c r="D30" s="34">
        <f>SUM(D25,D26,D28)</f>
        <v>106.75391999999999</v>
      </c>
      <c r="E30" s="72"/>
      <c r="F30" s="34"/>
      <c r="G30" s="34">
        <f>SUM(G25,G26,G28)</f>
        <v>109.11392000000001</v>
      </c>
      <c r="H30" s="34">
        <f t="shared" si="1"/>
        <v>2.3600000000000136</v>
      </c>
      <c r="I30" s="35">
        <f t="shared" si="2"/>
        <v>2.2106916542268554E-2</v>
      </c>
      <c r="J30" s="35">
        <f t="shared" si="10"/>
        <v>0.45352271954557433</v>
      </c>
      <c r="K30" s="110">
        <f t="shared" si="11"/>
        <v>0.44968417240618791</v>
      </c>
    </row>
    <row r="31" spans="1:11" x14ac:dyDescent="0.2">
      <c r="A31" s="106" t="s">
        <v>40</v>
      </c>
      <c r="B31" s="72">
        <f>B8</f>
        <v>1096</v>
      </c>
      <c r="C31" s="124">
        <f>VLOOKUP($B$3,'Data for Bill Impacts'!$A$3:$Y$15,15,0)</f>
        <v>5.4999999999999997E-3</v>
      </c>
      <c r="D31" s="21">
        <f>B31*C31</f>
        <v>6.0279999999999996</v>
      </c>
      <c r="E31" s="72">
        <f t="shared" si="6"/>
        <v>1096</v>
      </c>
      <c r="F31" s="77">
        <f>VLOOKUP($B$3,'Data for Bill Impacts'!$A$3:$Y$15,24,0)</f>
        <v>5.4999999999999997E-3</v>
      </c>
      <c r="G31" s="21">
        <f>E31*F31</f>
        <v>6.0279999999999996</v>
      </c>
      <c r="H31" s="21">
        <f t="shared" si="1"/>
        <v>0</v>
      </c>
      <c r="I31" s="22">
        <f t="shared" si="2"/>
        <v>0</v>
      </c>
      <c r="J31" s="22">
        <f t="shared" si="10"/>
        <v>2.5054868832690837E-2</v>
      </c>
      <c r="K31" s="107">
        <f t="shared" si="11"/>
        <v>2.484280824357241E-2</v>
      </c>
    </row>
    <row r="32" spans="1:11" x14ac:dyDescent="0.2">
      <c r="A32" s="106" t="s">
        <v>41</v>
      </c>
      <c r="B32" s="72">
        <f>B8</f>
        <v>1096</v>
      </c>
      <c r="C32" s="124">
        <f>VLOOKUP($B$3,'Data for Bill Impacts'!$A$3:$Y$15,16,0)</f>
        <v>4.4999999999999997E-3</v>
      </c>
      <c r="D32" s="21">
        <f>B32*C32</f>
        <v>4.9319999999999995</v>
      </c>
      <c r="E32" s="72">
        <f t="shared" si="6"/>
        <v>1096</v>
      </c>
      <c r="F32" s="77">
        <f>VLOOKUP($B$3,'Data for Bill Impacts'!$A$3:$Y$15,25,0)</f>
        <v>4.4999999999999997E-3</v>
      </c>
      <c r="G32" s="21">
        <f>E32*F32</f>
        <v>4.9319999999999995</v>
      </c>
      <c r="H32" s="21">
        <f t="shared" si="1"/>
        <v>0</v>
      </c>
      <c r="I32" s="22">
        <f t="shared" si="2"/>
        <v>0</v>
      </c>
      <c r="J32" s="22">
        <f t="shared" si="10"/>
        <v>2.0499438135837957E-2</v>
      </c>
      <c r="K32" s="107">
        <f t="shared" si="11"/>
        <v>2.0325934017468336E-2</v>
      </c>
    </row>
    <row r="33" spans="1:11" s="1" customFormat="1" x14ac:dyDescent="0.2">
      <c r="A33" s="109" t="s">
        <v>76</v>
      </c>
      <c r="B33" s="73"/>
      <c r="C33" s="34"/>
      <c r="D33" s="34">
        <f>SUM(D31:D32)</f>
        <v>10.959999999999999</v>
      </c>
      <c r="E33" s="72"/>
      <c r="F33" s="34"/>
      <c r="G33" s="34">
        <f>SUM(G31:G32)</f>
        <v>10.959999999999999</v>
      </c>
      <c r="H33" s="34">
        <f t="shared" si="1"/>
        <v>0</v>
      </c>
      <c r="I33" s="35">
        <f t="shared" si="2"/>
        <v>0</v>
      </c>
      <c r="J33" s="35">
        <f t="shared" si="10"/>
        <v>4.5554306968528795E-2</v>
      </c>
      <c r="K33" s="110">
        <f t="shared" si="11"/>
        <v>4.5168742261040742E-2</v>
      </c>
    </row>
    <row r="34" spans="1:11" s="1" customFormat="1" x14ac:dyDescent="0.2">
      <c r="A34" s="109" t="s">
        <v>93</v>
      </c>
      <c r="B34" s="73"/>
      <c r="C34" s="34"/>
      <c r="D34" s="34">
        <f>D29+D33</f>
        <v>118.52799999999999</v>
      </c>
      <c r="E34" s="72"/>
      <c r="F34" s="34"/>
      <c r="G34" s="34">
        <f>G29+G33</f>
        <v>120.88800000000001</v>
      </c>
      <c r="H34" s="34">
        <f t="shared" si="1"/>
        <v>2.3600000000000136</v>
      </c>
      <c r="I34" s="35">
        <f t="shared" si="2"/>
        <v>1.9910907127429923E-2</v>
      </c>
      <c r="J34" s="35">
        <f t="shared" si="10"/>
        <v>0.50246068073097716</v>
      </c>
      <c r="K34" s="110">
        <f t="shared" si="11"/>
        <v>0.49820793015079329</v>
      </c>
    </row>
    <row r="35" spans="1:11" s="1" customFormat="1" x14ac:dyDescent="0.2">
      <c r="A35" s="109" t="s">
        <v>94</v>
      </c>
      <c r="B35" s="73"/>
      <c r="C35" s="34"/>
      <c r="D35" s="34">
        <f>D30+D33</f>
        <v>117.71391999999999</v>
      </c>
      <c r="E35" s="72"/>
      <c r="F35" s="34"/>
      <c r="G35" s="34">
        <f>G30+G33</f>
        <v>120.07392</v>
      </c>
      <c r="H35" s="34">
        <f t="shared" si="1"/>
        <v>2.3600000000000136</v>
      </c>
      <c r="I35" s="35">
        <f t="shared" si="2"/>
        <v>2.0048605976251695E-2</v>
      </c>
      <c r="J35" s="35">
        <f t="shared" si="10"/>
        <v>0.49907702651410307</v>
      </c>
      <c r="K35" s="110">
        <f t="shared" si="11"/>
        <v>0.49485291466722864</v>
      </c>
    </row>
    <row r="36" spans="1:11" x14ac:dyDescent="0.2">
      <c r="A36" s="106" t="s">
        <v>42</v>
      </c>
      <c r="B36" s="72">
        <f>B8</f>
        <v>1096</v>
      </c>
      <c r="C36" s="33">
        <v>3.5999999999999999E-3</v>
      </c>
      <c r="D36" s="21">
        <f>B36*C36</f>
        <v>3.9455999999999998</v>
      </c>
      <c r="E36" s="72">
        <f t="shared" si="6"/>
        <v>1096</v>
      </c>
      <c r="F36" s="33">
        <v>3.5999999999999999E-3</v>
      </c>
      <c r="G36" s="21">
        <f>E36*F36</f>
        <v>3.9455999999999998</v>
      </c>
      <c r="H36" s="21">
        <f t="shared" si="1"/>
        <v>0</v>
      </c>
      <c r="I36" s="22">
        <f t="shared" si="2"/>
        <v>0</v>
      </c>
      <c r="J36" s="22">
        <f t="shared" si="10"/>
        <v>1.6399550508670369E-2</v>
      </c>
      <c r="K36" s="107">
        <f t="shared" si="11"/>
        <v>1.6260747213974667E-2</v>
      </c>
    </row>
    <row r="37" spans="1:11" x14ac:dyDescent="0.2">
      <c r="A37" s="106" t="s">
        <v>43</v>
      </c>
      <c r="B37" s="72">
        <f>B8</f>
        <v>1096</v>
      </c>
      <c r="C37" s="33">
        <v>2.0999999999999999E-3</v>
      </c>
      <c r="D37" s="21">
        <f>B37*C37</f>
        <v>2.3015999999999996</v>
      </c>
      <c r="E37" s="72">
        <f t="shared" si="6"/>
        <v>1096</v>
      </c>
      <c r="F37" s="33">
        <v>2.0999999999999999E-3</v>
      </c>
      <c r="G37" s="21">
        <f>E37*F37</f>
        <v>2.3015999999999996</v>
      </c>
      <c r="H37" s="21">
        <f>G37-D37</f>
        <v>0</v>
      </c>
      <c r="I37" s="22">
        <f t="shared" si="2"/>
        <v>0</v>
      </c>
      <c r="J37" s="22">
        <f t="shared" si="10"/>
        <v>9.5664044633910466E-3</v>
      </c>
      <c r="K37" s="107">
        <f t="shared" si="11"/>
        <v>9.4854358748185565E-3</v>
      </c>
    </row>
    <row r="38" spans="1:11" x14ac:dyDescent="0.2">
      <c r="A38" s="106" t="s">
        <v>99</v>
      </c>
      <c r="B38" s="72">
        <f>B8</f>
        <v>1096</v>
      </c>
      <c r="C38" s="33">
        <v>0</v>
      </c>
      <c r="D38" s="21">
        <f>B38*C38</f>
        <v>0</v>
      </c>
      <c r="E38" s="72">
        <f t="shared" si="6"/>
        <v>1096</v>
      </c>
      <c r="F38" s="33">
        <v>0</v>
      </c>
      <c r="G38" s="21">
        <f>E38*F38</f>
        <v>0</v>
      </c>
      <c r="H38" s="21">
        <f>G38-D38</f>
        <v>0</v>
      </c>
      <c r="I38" s="22" t="str">
        <f t="shared" si="2"/>
        <v>N/A</v>
      </c>
      <c r="J38" s="22">
        <f t="shared" ref="J38" si="12">G38/$G$46</f>
        <v>0</v>
      </c>
      <c r="K38" s="107">
        <f t="shared" ref="K38" si="13">G38/$G$51</f>
        <v>0</v>
      </c>
    </row>
    <row r="39" spans="1:11" x14ac:dyDescent="0.2">
      <c r="A39" s="106" t="s">
        <v>44</v>
      </c>
      <c r="B39" s="72">
        <v>1</v>
      </c>
      <c r="C39" s="21">
        <v>0.25</v>
      </c>
      <c r="D39" s="21">
        <f>B39*C39</f>
        <v>0.25</v>
      </c>
      <c r="E39" s="72">
        <f t="shared" si="6"/>
        <v>1</v>
      </c>
      <c r="F39" s="21">
        <f>C39</f>
        <v>0.25</v>
      </c>
      <c r="G39" s="21">
        <f>E39*F39</f>
        <v>0.25</v>
      </c>
      <c r="H39" s="21">
        <f t="shared" si="1"/>
        <v>0</v>
      </c>
      <c r="I39" s="22">
        <f t="shared" si="2"/>
        <v>0</v>
      </c>
      <c r="J39" s="22">
        <f t="shared" si="10"/>
        <v>1.0391037173478285E-3</v>
      </c>
      <c r="K39" s="107">
        <f t="shared" si="11"/>
        <v>1.0303089019397982E-3</v>
      </c>
    </row>
    <row r="40" spans="1:11" s="1" customFormat="1" x14ac:dyDescent="0.2">
      <c r="A40" s="109" t="s">
        <v>45</v>
      </c>
      <c r="B40" s="73"/>
      <c r="C40" s="34"/>
      <c r="D40" s="34">
        <f>SUM(D36:D39)</f>
        <v>6.4971999999999994</v>
      </c>
      <c r="E40" s="72"/>
      <c r="F40" s="34"/>
      <c r="G40" s="34">
        <f>SUM(G36:G39)</f>
        <v>6.4971999999999994</v>
      </c>
      <c r="H40" s="34">
        <f t="shared" si="1"/>
        <v>0</v>
      </c>
      <c r="I40" s="35">
        <f t="shared" si="2"/>
        <v>0</v>
      </c>
      <c r="J40" s="35">
        <f t="shared" si="10"/>
        <v>2.7005058689409243E-2</v>
      </c>
      <c r="K40" s="110">
        <f t="shared" si="11"/>
        <v>2.6776491990733023E-2</v>
      </c>
    </row>
    <row r="41" spans="1:11" s="1" customFormat="1" ht="13.5" thickBot="1" x14ac:dyDescent="0.25">
      <c r="A41" s="111" t="s">
        <v>46</v>
      </c>
      <c r="B41" s="112">
        <f>B4</f>
        <v>1000</v>
      </c>
      <c r="C41" s="113">
        <v>7.0000000000000001E-3</v>
      </c>
      <c r="D41" s="114">
        <f>B41*C41</f>
        <v>7</v>
      </c>
      <c r="E41" s="115">
        <f t="shared" si="6"/>
        <v>1000</v>
      </c>
      <c r="F41" s="113">
        <f>C41</f>
        <v>7.0000000000000001E-3</v>
      </c>
      <c r="G41" s="114">
        <f>E41*F41</f>
        <v>7</v>
      </c>
      <c r="H41" s="114">
        <f t="shared" si="1"/>
        <v>0</v>
      </c>
      <c r="I41" s="116">
        <f t="shared" si="2"/>
        <v>0</v>
      </c>
      <c r="J41" s="116">
        <f t="shared" si="10"/>
        <v>2.9094904085739198E-2</v>
      </c>
      <c r="K41" s="117">
        <f t="shared" si="11"/>
        <v>2.8848649254314348E-2</v>
      </c>
    </row>
    <row r="42" spans="1:11" s="1" customFormat="1" x14ac:dyDescent="0.2">
      <c r="A42" s="36" t="s">
        <v>107</v>
      </c>
      <c r="B42" s="37"/>
      <c r="C42" s="38"/>
      <c r="D42" s="38">
        <f>SUM(D14,D25,D26,D27,D33,D40,D41)</f>
        <v>226.77519999999996</v>
      </c>
      <c r="E42" s="37"/>
      <c r="F42" s="38"/>
      <c r="G42" s="38">
        <f>SUM(G14,G25,G26,G27,G33,G40,G41)</f>
        <v>229.13519999999997</v>
      </c>
      <c r="H42" s="38">
        <f t="shared" si="1"/>
        <v>2.3600000000000136</v>
      </c>
      <c r="I42" s="39">
        <f t="shared" si="2"/>
        <v>1.0406781693941904E-2</v>
      </c>
      <c r="J42" s="39">
        <f t="shared" si="10"/>
        <v>0.95238095238095244</v>
      </c>
      <c r="K42" s="40"/>
    </row>
    <row r="43" spans="1:11" x14ac:dyDescent="0.2">
      <c r="A43" s="142" t="s">
        <v>108</v>
      </c>
      <c r="B43" s="42"/>
      <c r="C43" s="25">
        <v>0.13</v>
      </c>
      <c r="D43" s="25">
        <f>D42*C43</f>
        <v>29.480775999999995</v>
      </c>
      <c r="E43" s="25"/>
      <c r="F43" s="25">
        <f>C43</f>
        <v>0.13</v>
      </c>
      <c r="G43" s="25">
        <f>G42*F43</f>
        <v>29.787575999999998</v>
      </c>
      <c r="H43" s="25">
        <f t="shared" si="1"/>
        <v>0.30680000000000263</v>
      </c>
      <c r="I43" s="43">
        <f t="shared" si="2"/>
        <v>1.0406781693941932E-2</v>
      </c>
      <c r="J43" s="43">
        <f t="shared" si="10"/>
        <v>0.12380952380952383</v>
      </c>
      <c r="K43" s="44"/>
    </row>
    <row r="44" spans="1:11" s="1" customFormat="1" x14ac:dyDescent="0.2">
      <c r="A44" s="45" t="s">
        <v>109</v>
      </c>
      <c r="B44" s="23"/>
      <c r="C44" s="24"/>
      <c r="D44" s="24">
        <f>SUM(D42:D43)</f>
        <v>256.25597599999998</v>
      </c>
      <c r="E44" s="24"/>
      <c r="F44" s="24"/>
      <c r="G44" s="24">
        <f>SUM(G42:G43)</f>
        <v>258.92277599999994</v>
      </c>
      <c r="H44" s="24">
        <f t="shared" si="1"/>
        <v>2.6667999999999665</v>
      </c>
      <c r="I44" s="26">
        <f t="shared" si="2"/>
        <v>1.0406781693941712E-2</v>
      </c>
      <c r="J44" s="26">
        <f t="shared" si="10"/>
        <v>1.0761904761904761</v>
      </c>
      <c r="K44" s="46"/>
    </row>
    <row r="45" spans="1:11" x14ac:dyDescent="0.2">
      <c r="A45" s="41" t="s">
        <v>110</v>
      </c>
      <c r="B45" s="42"/>
      <c r="C45" s="25">
        <v>-0.08</v>
      </c>
      <c r="D45" s="25">
        <f>D42*C45</f>
        <v>-18.142015999999998</v>
      </c>
      <c r="E45" s="25"/>
      <c r="F45" s="25">
        <f>C45</f>
        <v>-0.08</v>
      </c>
      <c r="G45" s="25">
        <f>G42*F45</f>
        <v>-18.330815999999999</v>
      </c>
      <c r="H45" s="25">
        <f t="shared" si="1"/>
        <v>-0.18880000000000052</v>
      </c>
      <c r="I45" s="43">
        <f t="shared" si="2"/>
        <v>-1.0406781693941871E-2</v>
      </c>
      <c r="J45" s="43">
        <f t="shared" si="10"/>
        <v>-7.6190476190476197E-2</v>
      </c>
      <c r="K45" s="44"/>
    </row>
    <row r="46" spans="1:11" s="1" customFormat="1" ht="13.5" thickBot="1" x14ac:dyDescent="0.25">
      <c r="A46" s="47" t="s">
        <v>111</v>
      </c>
      <c r="B46" s="48"/>
      <c r="C46" s="49"/>
      <c r="D46" s="49">
        <f>SUM(D44:D45)</f>
        <v>238.11395999999996</v>
      </c>
      <c r="E46" s="49"/>
      <c r="F46" s="49"/>
      <c r="G46" s="49">
        <f>SUM(G44:G45)</f>
        <v>240.59195999999994</v>
      </c>
      <c r="H46" s="49">
        <f t="shared" si="1"/>
        <v>2.4779999999999802</v>
      </c>
      <c r="I46" s="50">
        <f t="shared" si="2"/>
        <v>1.040678169394176E-2</v>
      </c>
      <c r="J46" s="50">
        <f t="shared" si="10"/>
        <v>1</v>
      </c>
      <c r="K46" s="51"/>
    </row>
    <row r="47" spans="1:11" x14ac:dyDescent="0.2">
      <c r="A47" s="52" t="s">
        <v>112</v>
      </c>
      <c r="B47" s="53"/>
      <c r="C47" s="54"/>
      <c r="D47" s="54">
        <f>SUM(D18,D25,D26,D28,D33,D40,D41)</f>
        <v>228.73111999999998</v>
      </c>
      <c r="E47" s="54"/>
      <c r="F47" s="54"/>
      <c r="G47" s="54">
        <f>SUM(G18,G25,G26,G28,G33,G40,G41)</f>
        <v>231.09111999999999</v>
      </c>
      <c r="H47" s="54">
        <f>G47-D47</f>
        <v>2.3600000000000136</v>
      </c>
      <c r="I47" s="55">
        <f t="shared" si="2"/>
        <v>1.0317791474986062E-2</v>
      </c>
      <c r="J47" s="55"/>
      <c r="K47" s="56">
        <f>G47/$G$51</f>
        <v>0.95238095238095244</v>
      </c>
    </row>
    <row r="48" spans="1:11" x14ac:dyDescent="0.2">
      <c r="A48" s="143" t="s">
        <v>108</v>
      </c>
      <c r="B48" s="58"/>
      <c r="C48" s="30">
        <v>0.13</v>
      </c>
      <c r="D48" s="30">
        <f>D47*C48</f>
        <v>29.735045599999999</v>
      </c>
      <c r="E48" s="30"/>
      <c r="F48" s="30">
        <f>C48</f>
        <v>0.13</v>
      </c>
      <c r="G48" s="30">
        <f>G47*F48</f>
        <v>30.041845599999998</v>
      </c>
      <c r="H48" s="30">
        <f>G48-D48</f>
        <v>0.30679999999999907</v>
      </c>
      <c r="I48" s="31">
        <f t="shared" si="2"/>
        <v>1.031779147498597E-2</v>
      </c>
      <c r="J48" s="31"/>
      <c r="K48" s="59">
        <f>G48/$G$51</f>
        <v>0.12380952380952381</v>
      </c>
    </row>
    <row r="49" spans="1:11" x14ac:dyDescent="0.2">
      <c r="A49" s="135" t="s">
        <v>113</v>
      </c>
      <c r="B49" s="28"/>
      <c r="C49" s="29"/>
      <c r="D49" s="29">
        <f>SUM(D47:D48)</f>
        <v>258.46616559999995</v>
      </c>
      <c r="E49" s="29"/>
      <c r="F49" s="29"/>
      <c r="G49" s="29">
        <f>SUM(G47:G48)</f>
        <v>261.13296559999998</v>
      </c>
      <c r="H49" s="29">
        <f>G49-D49</f>
        <v>2.6668000000000234</v>
      </c>
      <c r="I49" s="32">
        <f t="shared" si="2"/>
        <v>1.0317791474986094E-2</v>
      </c>
      <c r="J49" s="32"/>
      <c r="K49" s="61">
        <f>G49/$G$51</f>
        <v>1.0761904761904761</v>
      </c>
    </row>
    <row r="50" spans="1:11" x14ac:dyDescent="0.2">
      <c r="A50" s="57" t="s">
        <v>110</v>
      </c>
      <c r="B50" s="58"/>
      <c r="C50" s="30">
        <v>-0.08</v>
      </c>
      <c r="D50" s="30">
        <f>D47*C50</f>
        <v>-18.2984896</v>
      </c>
      <c r="E50" s="30"/>
      <c r="F50" s="30">
        <f>C50</f>
        <v>-0.08</v>
      </c>
      <c r="G50" s="30">
        <f>G47*F50</f>
        <v>-18.4872896</v>
      </c>
      <c r="H50" s="30">
        <f>G50-D50</f>
        <v>-0.18880000000000052</v>
      </c>
      <c r="I50" s="31">
        <f t="shared" si="2"/>
        <v>-1.0317791474986029E-2</v>
      </c>
      <c r="J50" s="31"/>
      <c r="K50" s="59">
        <f>G50/$G$51</f>
        <v>-7.6190476190476197E-2</v>
      </c>
    </row>
    <row r="51" spans="1:11" ht="13.5" thickBot="1" x14ac:dyDescent="0.25">
      <c r="A51" s="62" t="s">
        <v>114</v>
      </c>
      <c r="B51" s="63"/>
      <c r="C51" s="64"/>
      <c r="D51" s="64">
        <f>SUM(D49:D50)</f>
        <v>240.16767599999994</v>
      </c>
      <c r="E51" s="64"/>
      <c r="F51" s="64"/>
      <c r="G51" s="64">
        <f>SUM(G49:G50)</f>
        <v>242.64567599999998</v>
      </c>
      <c r="H51" s="64">
        <f>G51-D51</f>
        <v>2.4780000000000371</v>
      </c>
      <c r="I51" s="65">
        <f t="shared" si="2"/>
        <v>1.0317791474986158E-2</v>
      </c>
      <c r="J51" s="65"/>
      <c r="K51" s="66">
        <f>G51/$G$51</f>
        <v>1</v>
      </c>
    </row>
    <row r="52" spans="1:11" x14ac:dyDescent="0.2">
      <c r="C52" s="67"/>
      <c r="F52" s="68"/>
    </row>
    <row r="53" spans="1:11" x14ac:dyDescent="0.2">
      <c r="F53" s="68"/>
    </row>
    <row r="54" spans="1:11" x14ac:dyDescent="0.2">
      <c r="F54" s="68"/>
    </row>
    <row r="55" spans="1:11" x14ac:dyDescent="0.2">
      <c r="A55" s="69"/>
      <c r="B55" s="70"/>
      <c r="F55" s="68"/>
    </row>
    <row r="56" spans="1:11" x14ac:dyDescent="0.2">
      <c r="B56" s="70"/>
      <c r="F56" s="68"/>
    </row>
    <row r="57" spans="1:11" x14ac:dyDescent="0.2">
      <c r="F57" s="68"/>
    </row>
    <row r="58" spans="1:11" x14ac:dyDescent="0.2">
      <c r="D58" s="71"/>
      <c r="F58" s="68"/>
    </row>
    <row r="59" spans="1:11" x14ac:dyDescent="0.2">
      <c r="F59" s="68"/>
    </row>
    <row r="60" spans="1:11" x14ac:dyDescent="0.2">
      <c r="A60" s="69"/>
      <c r="B60" s="70"/>
      <c r="F60" s="68"/>
    </row>
    <row r="61" spans="1:11" x14ac:dyDescent="0.2">
      <c r="B61" s="71"/>
      <c r="D61" s="71"/>
      <c r="F61" s="68"/>
    </row>
    <row r="62" spans="1:11" x14ac:dyDescent="0.2">
      <c r="F62" s="68"/>
    </row>
    <row r="63" spans="1:11" x14ac:dyDescent="0.2">
      <c r="F63" s="68"/>
    </row>
    <row r="64" spans="1:11" x14ac:dyDescent="0.2">
      <c r="F64" s="68"/>
      <c r="K64"/>
    </row>
    <row r="65" spans="6:11" x14ac:dyDescent="0.2">
      <c r="F65" s="68"/>
      <c r="K65"/>
    </row>
    <row r="66" spans="6:11" x14ac:dyDescent="0.2">
      <c r="F66" s="68"/>
      <c r="K66"/>
    </row>
    <row r="67" spans="6:11" x14ac:dyDescent="0.2">
      <c r="F67" s="68"/>
      <c r="K67"/>
    </row>
    <row r="68" spans="6:11" x14ac:dyDescent="0.2">
      <c r="F68" s="68"/>
      <c r="K68"/>
    </row>
  </sheetData>
  <mergeCells count="1">
    <mergeCell ref="A1:K1"/>
  </mergeCells>
  <pageMargins left="0.7" right="0.7" top="0.75" bottom="0.75" header="0.3" footer="0.3"/>
  <pageSetup scale="7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theme="1" tint="0.499984740745262"/>
    <pageSetUpPr fitToPage="1"/>
  </sheetPr>
  <dimension ref="A1:K68"/>
  <sheetViews>
    <sheetView tabSelected="1" topLeftCell="A19"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3"/>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205" t="s">
        <v>126</v>
      </c>
      <c r="B1" s="206"/>
      <c r="C1" s="206"/>
      <c r="D1" s="206"/>
      <c r="E1" s="206"/>
      <c r="F1" s="206"/>
      <c r="G1" s="206"/>
      <c r="H1" s="206"/>
      <c r="I1" s="206"/>
      <c r="J1" s="206"/>
      <c r="K1" s="207"/>
    </row>
    <row r="3" spans="1:11" x14ac:dyDescent="0.2">
      <c r="A3" s="12" t="s">
        <v>13</v>
      </c>
      <c r="B3" s="12" t="s">
        <v>4</v>
      </c>
    </row>
    <row r="4" spans="1:11" x14ac:dyDescent="0.2">
      <c r="A4" s="14" t="s">
        <v>62</v>
      </c>
      <c r="B4" s="14">
        <v>2000</v>
      </c>
    </row>
    <row r="5" spans="1:11" x14ac:dyDescent="0.2">
      <c r="A5" s="14" t="s">
        <v>16</v>
      </c>
      <c r="B5" s="14">
        <f>VLOOKUP($B$3,'Data for Bill Impacts'!$A$3:$Y$15,5,0)</f>
        <v>0</v>
      </c>
    </row>
    <row r="6" spans="1:11" x14ac:dyDescent="0.2">
      <c r="A6" s="14" t="s">
        <v>20</v>
      </c>
      <c r="B6" s="14">
        <f>VLOOKUP($B$3,'Data for Bill Impacts'!$A$3:$Y$15,2,0)</f>
        <v>1.0960000000000001</v>
      </c>
    </row>
    <row r="7" spans="1:11" x14ac:dyDescent="0.2">
      <c r="A7" s="14" t="s">
        <v>15</v>
      </c>
      <c r="B7" s="14">
        <f>VLOOKUP($B$3,'Data for Bill Impacts'!$A$3:$Y$15,4,0)</f>
        <v>750</v>
      </c>
    </row>
    <row r="8" spans="1:11" x14ac:dyDescent="0.2">
      <c r="A8" s="14" t="s">
        <v>82</v>
      </c>
      <c r="B8" s="14">
        <f>B4*B6</f>
        <v>2192</v>
      </c>
    </row>
    <row r="9" spans="1:11" x14ac:dyDescent="0.2">
      <c r="A9" s="14" t="s">
        <v>21</v>
      </c>
      <c r="B9" s="15" t="str">
        <f>VLOOKUP($B$3,'Data for Bill Impacts'!$A$3:$Y$15,6,0)</f>
        <v>kWh</v>
      </c>
    </row>
    <row r="10" spans="1:11" ht="13.5" thickBot="1" x14ac:dyDescent="0.25"/>
    <row r="11" spans="1:11" s="19" customFormat="1" ht="39" thickBot="1" x14ac:dyDescent="0.25">
      <c r="A11" s="16"/>
      <c r="B11" s="17" t="s">
        <v>22</v>
      </c>
      <c r="C11" s="17" t="s">
        <v>23</v>
      </c>
      <c r="D11" s="17" t="s">
        <v>24</v>
      </c>
      <c r="E11" s="17" t="s">
        <v>22</v>
      </c>
      <c r="F11" s="17" t="s">
        <v>25</v>
      </c>
      <c r="G11" s="17" t="s">
        <v>26</v>
      </c>
      <c r="H11" s="17" t="s">
        <v>27</v>
      </c>
      <c r="I11" s="17" t="s">
        <v>28</v>
      </c>
      <c r="J11" s="17" t="s">
        <v>29</v>
      </c>
      <c r="K11" s="18" t="s">
        <v>30</v>
      </c>
    </row>
    <row r="12" spans="1:11" x14ac:dyDescent="0.2">
      <c r="A12" s="100" t="s">
        <v>31</v>
      </c>
      <c r="B12" s="101">
        <f>IF(B4&gt;B7,B7,B4)</f>
        <v>750</v>
      </c>
      <c r="C12" s="102">
        <v>9.0999999999999998E-2</v>
      </c>
      <c r="D12" s="103">
        <f>B12*C12</f>
        <v>68.25</v>
      </c>
      <c r="E12" s="101">
        <f>B12</f>
        <v>750</v>
      </c>
      <c r="F12" s="102">
        <f>C12</f>
        <v>9.0999999999999998E-2</v>
      </c>
      <c r="G12" s="103">
        <f>E12*F12</f>
        <v>68.25</v>
      </c>
      <c r="H12" s="103">
        <f>G12-D12</f>
        <v>0</v>
      </c>
      <c r="I12" s="104">
        <f>IF(ISERROR(H12/ABS(D12)),"N/A",(H12/ABS(D12)))</f>
        <v>0</v>
      </c>
      <c r="J12" s="104">
        <f>G12/$G$46</f>
        <v>0.14889869940422196</v>
      </c>
      <c r="K12" s="105"/>
    </row>
    <row r="13" spans="1:11" x14ac:dyDescent="0.2">
      <c r="A13" s="106" t="s">
        <v>32</v>
      </c>
      <c r="B13" s="72">
        <f>IF(B4&gt;B7,(B4)-B7,0)</f>
        <v>1250</v>
      </c>
      <c r="C13" s="20">
        <v>0.106</v>
      </c>
      <c r="D13" s="21">
        <f>B13*C13</f>
        <v>132.5</v>
      </c>
      <c r="E13" s="72">
        <f t="shared" ref="E13" si="0">B13</f>
        <v>1250</v>
      </c>
      <c r="F13" s="20">
        <f>C13</f>
        <v>0.106</v>
      </c>
      <c r="G13" s="21">
        <f>E13*F13</f>
        <v>132.5</v>
      </c>
      <c r="H13" s="21">
        <f t="shared" ref="H13:H46" si="1">G13-D13</f>
        <v>0</v>
      </c>
      <c r="I13" s="22">
        <f t="shared" ref="I13:I51" si="2">IF(ISERROR(H13/ABS(D13)),"N/A",(H13/ABS(D13)))</f>
        <v>0</v>
      </c>
      <c r="J13" s="22">
        <f>G13/$G$46</f>
        <v>0.28907073510709752</v>
      </c>
      <c r="K13" s="107"/>
    </row>
    <row r="14" spans="1:11" s="1" customFormat="1" x14ac:dyDescent="0.2">
      <c r="A14" s="45" t="s">
        <v>33</v>
      </c>
      <c r="B14" s="23"/>
      <c r="C14" s="24"/>
      <c r="D14" s="24">
        <f>SUM(D12:D13)</f>
        <v>200.75</v>
      </c>
      <c r="E14" s="75"/>
      <c r="F14" s="24"/>
      <c r="G14" s="24">
        <f>SUM(G12:G13)</f>
        <v>200.75</v>
      </c>
      <c r="H14" s="24">
        <f t="shared" si="1"/>
        <v>0</v>
      </c>
      <c r="I14" s="26">
        <f t="shared" si="2"/>
        <v>0</v>
      </c>
      <c r="J14" s="26">
        <f>G14/$G$46</f>
        <v>0.43796943451131948</v>
      </c>
      <c r="K14" s="107"/>
    </row>
    <row r="15" spans="1:11" s="1" customFormat="1" x14ac:dyDescent="0.2">
      <c r="A15" s="108" t="s">
        <v>34</v>
      </c>
      <c r="B15" s="74">
        <f>B4*0.65</f>
        <v>1300</v>
      </c>
      <c r="C15" s="27">
        <v>7.6999999999999999E-2</v>
      </c>
      <c r="D15" s="21">
        <f>B15*C15</f>
        <v>100.1</v>
      </c>
      <c r="E15" s="72">
        <f t="shared" ref="E15:F17" si="3">B15</f>
        <v>1300</v>
      </c>
      <c r="F15" s="27">
        <f t="shared" si="3"/>
        <v>7.6999999999999999E-2</v>
      </c>
      <c r="G15" s="21">
        <f>E15*F15</f>
        <v>100.1</v>
      </c>
      <c r="H15" s="21">
        <f t="shared" si="1"/>
        <v>0</v>
      </c>
      <c r="I15" s="22">
        <f t="shared" si="2"/>
        <v>0</v>
      </c>
      <c r="J15" s="22"/>
      <c r="K15" s="107">
        <f t="shared" ref="K15:K26" si="4">G15/$G$51</f>
        <v>0.22211854619031277</v>
      </c>
    </row>
    <row r="16" spans="1:11" s="1" customFormat="1" x14ac:dyDescent="0.2">
      <c r="A16" s="108" t="s">
        <v>35</v>
      </c>
      <c r="B16" s="74">
        <f>B4*0.17</f>
        <v>340</v>
      </c>
      <c r="C16" s="27">
        <v>0.113</v>
      </c>
      <c r="D16" s="21">
        <f>B16*C16</f>
        <v>38.42</v>
      </c>
      <c r="E16" s="72">
        <f t="shared" si="3"/>
        <v>340</v>
      </c>
      <c r="F16" s="27">
        <f t="shared" si="3"/>
        <v>0.113</v>
      </c>
      <c r="G16" s="21">
        <f>E16*F16</f>
        <v>38.42</v>
      </c>
      <c r="H16" s="21">
        <f t="shared" si="1"/>
        <v>0</v>
      </c>
      <c r="I16" s="22">
        <f t="shared" si="2"/>
        <v>0</v>
      </c>
      <c r="J16" s="22"/>
      <c r="K16" s="107">
        <f t="shared" si="4"/>
        <v>8.5252692753564605E-2</v>
      </c>
    </row>
    <row r="17" spans="1:11" s="1" customFormat="1" x14ac:dyDescent="0.2">
      <c r="A17" s="108" t="s">
        <v>36</v>
      </c>
      <c r="B17" s="74">
        <f>B4*0.18</f>
        <v>360</v>
      </c>
      <c r="C17" s="27">
        <v>0.157</v>
      </c>
      <c r="D17" s="21">
        <f>B17*C17</f>
        <v>56.52</v>
      </c>
      <c r="E17" s="72">
        <f t="shared" si="3"/>
        <v>360</v>
      </c>
      <c r="F17" s="27">
        <f t="shared" si="3"/>
        <v>0.157</v>
      </c>
      <c r="G17" s="21">
        <f>E17*F17</f>
        <v>56.52</v>
      </c>
      <c r="H17" s="21">
        <f t="shared" si="1"/>
        <v>0</v>
      </c>
      <c r="I17" s="22">
        <f t="shared" si="2"/>
        <v>0</v>
      </c>
      <c r="J17" s="22"/>
      <c r="K17" s="107">
        <f t="shared" si="4"/>
        <v>0.12541598632044434</v>
      </c>
    </row>
    <row r="18" spans="1:11" s="1" customFormat="1" x14ac:dyDescent="0.2">
      <c r="A18" s="60" t="s">
        <v>37</v>
      </c>
      <c r="B18" s="28"/>
      <c r="C18" s="29"/>
      <c r="D18" s="29">
        <f>SUM(D15:D17)</f>
        <v>195.04</v>
      </c>
      <c r="E18" s="76"/>
      <c r="F18" s="29"/>
      <c r="G18" s="29">
        <f>SUM(G15:G17)</f>
        <v>195.04</v>
      </c>
      <c r="H18" s="30">
        <f t="shared" si="1"/>
        <v>0</v>
      </c>
      <c r="I18" s="31">
        <f t="shared" si="2"/>
        <v>0</v>
      </c>
      <c r="J18" s="32">
        <f t="shared" ref="J18:J23" si="5">G18/$G$46</f>
        <v>0.42551212207764755</v>
      </c>
      <c r="K18" s="61">
        <f t="shared" si="4"/>
        <v>0.43278722526432173</v>
      </c>
    </row>
    <row r="19" spans="1:11" x14ac:dyDescent="0.2">
      <c r="A19" s="106" t="s">
        <v>38</v>
      </c>
      <c r="B19" s="72">
        <v>1</v>
      </c>
      <c r="C19" s="77">
        <f>VLOOKUP($B$3,'Data for Bill Impacts'!$A$3:$Y$15,7,0)</f>
        <v>31.38</v>
      </c>
      <c r="D19" s="21">
        <f>B19*C19</f>
        <v>31.38</v>
      </c>
      <c r="E19" s="72">
        <f t="shared" ref="E19:E41" si="6">B19</f>
        <v>1</v>
      </c>
      <c r="F19" s="77">
        <f>VLOOKUP($B$3,'Data for Bill Impacts'!$A$3:$Y$15,17,0)</f>
        <v>31.94</v>
      </c>
      <c r="G19" s="21">
        <f>E19*F19</f>
        <v>31.94</v>
      </c>
      <c r="H19" s="21">
        <f t="shared" si="1"/>
        <v>0.56000000000000227</v>
      </c>
      <c r="I19" s="22">
        <f t="shared" si="2"/>
        <v>1.7845761631612566E-2</v>
      </c>
      <c r="J19" s="22">
        <f t="shared" si="5"/>
        <v>6.9682409655250535E-2</v>
      </c>
      <c r="K19" s="107">
        <f t="shared" si="4"/>
        <v>7.0873789863322587E-2</v>
      </c>
    </row>
    <row r="20" spans="1:11" hidden="1" x14ac:dyDescent="0.2">
      <c r="A20" s="106" t="s">
        <v>83</v>
      </c>
      <c r="B20" s="72">
        <v>1</v>
      </c>
      <c r="C20" s="77">
        <f>VLOOKUP($B$3,'Data for Bill Impacts'!$A$3:$Y$15,8,0)</f>
        <v>0</v>
      </c>
      <c r="D20" s="21">
        <f>B20*C20</f>
        <v>0</v>
      </c>
      <c r="E20" s="72">
        <f t="shared" si="6"/>
        <v>1</v>
      </c>
      <c r="F20" s="77">
        <v>0</v>
      </c>
      <c r="G20" s="21">
        <f t="shared" ref="G20:G22" si="7">E20*F20</f>
        <v>0</v>
      </c>
      <c r="H20" s="21">
        <f t="shared" si="1"/>
        <v>0</v>
      </c>
      <c r="I20" s="22" t="str">
        <f t="shared" si="2"/>
        <v>N/A</v>
      </c>
      <c r="J20" s="22">
        <f t="shared" si="5"/>
        <v>0</v>
      </c>
      <c r="K20" s="107">
        <f t="shared" si="4"/>
        <v>0</v>
      </c>
    </row>
    <row r="21" spans="1:11" hidden="1" x14ac:dyDescent="0.2">
      <c r="A21" s="106" t="s">
        <v>84</v>
      </c>
      <c r="B21" s="72">
        <v>1</v>
      </c>
      <c r="C21" s="77">
        <f>VLOOKUP($B$3,'Data for Bill Impacts'!$A$3:$Y$15,11,0)</f>
        <v>0</v>
      </c>
      <c r="D21" s="21">
        <f t="shared" ref="D21:D22" si="8">B21*C21</f>
        <v>0</v>
      </c>
      <c r="E21" s="72">
        <f t="shared" si="6"/>
        <v>1</v>
      </c>
      <c r="F21" s="120">
        <f>VLOOKUP($B$3,'Data for Bill Impacts'!$A$3:$Y$15,12,0)</f>
        <v>0</v>
      </c>
      <c r="G21" s="21">
        <f t="shared" si="7"/>
        <v>0</v>
      </c>
      <c r="H21" s="21">
        <f t="shared" si="1"/>
        <v>0</v>
      </c>
      <c r="I21" s="22" t="str">
        <f t="shared" si="2"/>
        <v>N/A</v>
      </c>
      <c r="J21" s="22">
        <f t="shared" si="5"/>
        <v>0</v>
      </c>
      <c r="K21" s="107">
        <f t="shared" si="4"/>
        <v>0</v>
      </c>
    </row>
    <row r="22" spans="1:11" x14ac:dyDescent="0.2">
      <c r="A22" s="106" t="s">
        <v>85</v>
      </c>
      <c r="B22" s="72">
        <v>1</v>
      </c>
      <c r="C22" s="120">
        <f>VLOOKUP($B$3,'Data for Bill Impacts'!$A$3:$Y$15,13,0)</f>
        <v>2E-3</v>
      </c>
      <c r="D22" s="21">
        <f t="shared" si="8"/>
        <v>2E-3</v>
      </c>
      <c r="E22" s="72">
        <f t="shared" si="6"/>
        <v>1</v>
      </c>
      <c r="F22" s="120">
        <f>VLOOKUP($B$3,'Data for Bill Impacts'!$A$3:$Y$15,22,0)</f>
        <v>2E-3</v>
      </c>
      <c r="G22" s="21">
        <f t="shared" si="7"/>
        <v>2E-3</v>
      </c>
      <c r="H22" s="21">
        <f t="shared" si="1"/>
        <v>0</v>
      </c>
      <c r="I22" s="22">
        <f t="shared" si="2"/>
        <v>0</v>
      </c>
      <c r="J22" s="22">
        <f t="shared" si="5"/>
        <v>4.3633318506731705E-6</v>
      </c>
      <c r="K22" s="107">
        <f t="shared" si="4"/>
        <v>4.4379329908154402E-6</v>
      </c>
    </row>
    <row r="23" spans="1:11" x14ac:dyDescent="0.2">
      <c r="A23" s="106" t="s">
        <v>39</v>
      </c>
      <c r="B23" s="72">
        <f>IF($B$9="kWh",$B$4,$B$5)</f>
        <v>2000</v>
      </c>
      <c r="C23" s="124">
        <f>VLOOKUP($B$3,'Data for Bill Impacts'!$A$3:$Y$15,10,0)</f>
        <v>6.5199999999999994E-2</v>
      </c>
      <c r="D23" s="21">
        <f>B23*C23</f>
        <v>130.39999999999998</v>
      </c>
      <c r="E23" s="72">
        <f t="shared" si="6"/>
        <v>2000</v>
      </c>
      <c r="F23" s="124">
        <f>VLOOKUP($B$3,'Data for Bill Impacts'!$A$3:$Y$15,19,0)</f>
        <v>6.7000000000000004E-2</v>
      </c>
      <c r="G23" s="21">
        <f>E23*F23</f>
        <v>134</v>
      </c>
      <c r="H23" s="21">
        <f t="shared" si="1"/>
        <v>3.6000000000000227</v>
      </c>
      <c r="I23" s="22">
        <f t="shared" si="2"/>
        <v>2.7607361963190365E-2</v>
      </c>
      <c r="J23" s="22">
        <f t="shared" si="5"/>
        <v>0.29234323399510243</v>
      </c>
      <c r="K23" s="107">
        <f t="shared" si="4"/>
        <v>0.29734151038463447</v>
      </c>
    </row>
    <row r="24" spans="1:11" x14ac:dyDescent="0.2">
      <c r="A24" s="106" t="s">
        <v>129</v>
      </c>
      <c r="B24" s="72">
        <f>IF($B$9="kWh",$B$4,$B$5)</f>
        <v>2000</v>
      </c>
      <c r="C24" s="77">
        <f>VLOOKUP($B$3,'Data for Bill Impacts'!$A$3:$Y$15,14,0)</f>
        <v>2.0000000000000002E-5</v>
      </c>
      <c r="D24" s="33">
        <f>B24*C24</f>
        <v>0.04</v>
      </c>
      <c r="E24" s="72">
        <f t="shared" si="6"/>
        <v>2000</v>
      </c>
      <c r="F24" s="77">
        <f>VLOOKUP($B$3,'Data for Bill Impacts'!$A$3:$Y$15,23,0)</f>
        <v>2.0000000000000002E-5</v>
      </c>
      <c r="G24" s="33">
        <f>E24*F24</f>
        <v>0.04</v>
      </c>
      <c r="H24" s="21">
        <f t="shared" si="1"/>
        <v>0</v>
      </c>
      <c r="I24" s="22">
        <f t="shared" si="2"/>
        <v>0</v>
      </c>
      <c r="J24" s="22">
        <f t="shared" ref="J24" si="9">G24/$G$46</f>
        <v>8.7266637013463409E-5</v>
      </c>
      <c r="K24" s="107">
        <f t="shared" si="4"/>
        <v>8.8758659816308801E-5</v>
      </c>
    </row>
    <row r="25" spans="1:11" s="1" customFormat="1" x14ac:dyDescent="0.2">
      <c r="A25" s="109" t="s">
        <v>72</v>
      </c>
      <c r="B25" s="73"/>
      <c r="C25" s="34"/>
      <c r="D25" s="34">
        <f>SUM(D19:D24)</f>
        <v>161.82199999999997</v>
      </c>
      <c r="E25" s="72"/>
      <c r="F25" s="34"/>
      <c r="G25" s="34">
        <f>SUM(G19:G24)</f>
        <v>165.982</v>
      </c>
      <c r="H25" s="34">
        <f t="shared" si="1"/>
        <v>4.160000000000025</v>
      </c>
      <c r="I25" s="35">
        <f t="shared" si="2"/>
        <v>2.5707258592774937E-2</v>
      </c>
      <c r="J25" s="35">
        <f>G25/$G$46</f>
        <v>0.36211727361921708</v>
      </c>
      <c r="K25" s="110">
        <f t="shared" si="4"/>
        <v>0.36830849684076417</v>
      </c>
    </row>
    <row r="26" spans="1:11" s="1" customFormat="1" x14ac:dyDescent="0.2">
      <c r="A26" s="118" t="s">
        <v>73</v>
      </c>
      <c r="B26" s="119">
        <v>1</v>
      </c>
      <c r="C26" s="77">
        <f>VLOOKUP($B$3,'Data for Bill Impacts'!$A$3:$Y$15,9,0)</f>
        <v>0.79</v>
      </c>
      <c r="D26" s="21">
        <f>B26*C26</f>
        <v>0.79</v>
      </c>
      <c r="E26" s="72">
        <v>1</v>
      </c>
      <c r="F26" s="77">
        <f>VLOOKUP($B$3,'Data for Bill Impacts'!$A$3:$Y$15,18,0)</f>
        <v>0.79</v>
      </c>
      <c r="G26" s="21">
        <f>E26*F26</f>
        <v>0.79</v>
      </c>
      <c r="H26" s="21">
        <f t="shared" si="1"/>
        <v>0</v>
      </c>
      <c r="I26" s="22">
        <f t="shared" si="2"/>
        <v>0</v>
      </c>
      <c r="J26" s="22">
        <f>G26/$G$46</f>
        <v>1.7235160810159023E-3</v>
      </c>
      <c r="K26" s="107">
        <f t="shared" si="4"/>
        <v>1.7529835313720989E-3</v>
      </c>
    </row>
    <row r="27" spans="1:11" s="1" customFormat="1" x14ac:dyDescent="0.2">
      <c r="A27" s="118" t="s">
        <v>75</v>
      </c>
      <c r="B27" s="119">
        <f>B8-B4</f>
        <v>192</v>
      </c>
      <c r="C27" s="186">
        <f>IF(B4&gt;B7,C13,C12)</f>
        <v>0.106</v>
      </c>
      <c r="D27" s="21">
        <f>B27*C27</f>
        <v>20.352</v>
      </c>
      <c r="E27" s="72">
        <f>B27</f>
        <v>192</v>
      </c>
      <c r="F27" s="186">
        <f>C27</f>
        <v>0.106</v>
      </c>
      <c r="G27" s="21">
        <f>E27*F27</f>
        <v>20.352</v>
      </c>
      <c r="H27" s="21">
        <f t="shared" si="1"/>
        <v>0</v>
      </c>
      <c r="I27" s="22">
        <f t="shared" si="2"/>
        <v>0</v>
      </c>
      <c r="J27" s="22">
        <f t="shared" ref="J27:J46" si="10">G27/$G$46</f>
        <v>4.4401264912450181E-2</v>
      </c>
      <c r="K27" s="107">
        <f t="shared" ref="K27:K41" si="11">G27/$G$51</f>
        <v>4.5160406114537921E-2</v>
      </c>
    </row>
    <row r="28" spans="1:11" s="1" customFormat="1" x14ac:dyDescent="0.2">
      <c r="A28" s="118" t="s">
        <v>74</v>
      </c>
      <c r="B28" s="119">
        <f>B8-B4</f>
        <v>192</v>
      </c>
      <c r="C28" s="186">
        <f>0.65*C15+0.17*C16+0.18*C17</f>
        <v>9.7519999999999996E-2</v>
      </c>
      <c r="D28" s="21">
        <f>B28*C28</f>
        <v>18.723839999999999</v>
      </c>
      <c r="E28" s="72">
        <f>B28</f>
        <v>192</v>
      </c>
      <c r="F28" s="186">
        <f>C28</f>
        <v>9.7519999999999996E-2</v>
      </c>
      <c r="G28" s="21">
        <f>E28*F28</f>
        <v>18.723839999999999</v>
      </c>
      <c r="H28" s="21">
        <f t="shared" si="1"/>
        <v>0</v>
      </c>
      <c r="I28" s="22">
        <f t="shared" si="2"/>
        <v>0</v>
      </c>
      <c r="J28" s="22">
        <f t="shared" si="10"/>
        <v>4.0849163719454164E-2</v>
      </c>
      <c r="K28" s="107">
        <f t="shared" si="11"/>
        <v>4.1547573625374881E-2</v>
      </c>
    </row>
    <row r="29" spans="1:11" s="1" customFormat="1" x14ac:dyDescent="0.2">
      <c r="A29" s="109" t="s">
        <v>78</v>
      </c>
      <c r="B29" s="73"/>
      <c r="C29" s="34"/>
      <c r="D29" s="34">
        <f>SUM(D25,D26:D27)</f>
        <v>182.96399999999997</v>
      </c>
      <c r="E29" s="72"/>
      <c r="F29" s="34"/>
      <c r="G29" s="34">
        <f>SUM(G25,G26:G27)</f>
        <v>187.124</v>
      </c>
      <c r="H29" s="34">
        <f t="shared" si="1"/>
        <v>4.160000000000025</v>
      </c>
      <c r="I29" s="35">
        <f t="shared" si="2"/>
        <v>2.2736713233204486E-2</v>
      </c>
      <c r="J29" s="35">
        <f t="shared" si="10"/>
        <v>0.40824205461268315</v>
      </c>
      <c r="K29" s="110">
        <f t="shared" si="11"/>
        <v>0.41522188648667419</v>
      </c>
    </row>
    <row r="30" spans="1:11" s="1" customFormat="1" x14ac:dyDescent="0.2">
      <c r="A30" s="109" t="s">
        <v>77</v>
      </c>
      <c r="B30" s="73"/>
      <c r="C30" s="34"/>
      <c r="D30" s="34">
        <f>SUM(D25,D26,D28)</f>
        <v>181.33583999999996</v>
      </c>
      <c r="E30" s="72"/>
      <c r="F30" s="34"/>
      <c r="G30" s="34">
        <f>SUM(G25,G26,G28)</f>
        <v>185.49583999999999</v>
      </c>
      <c r="H30" s="34">
        <f t="shared" si="1"/>
        <v>4.160000000000025</v>
      </c>
      <c r="I30" s="35">
        <f t="shared" si="2"/>
        <v>2.2940859346944464E-2</v>
      </c>
      <c r="J30" s="35">
        <f t="shared" si="10"/>
        <v>0.40468995341968711</v>
      </c>
      <c r="K30" s="110">
        <f t="shared" si="11"/>
        <v>0.41160905399751113</v>
      </c>
    </row>
    <row r="31" spans="1:11" x14ac:dyDescent="0.2">
      <c r="A31" s="106" t="s">
        <v>40</v>
      </c>
      <c r="B31" s="72">
        <f>B8</f>
        <v>2192</v>
      </c>
      <c r="C31" s="124">
        <f>VLOOKUP($B$3,'Data for Bill Impacts'!$A$3:$Y$15,15,0)</f>
        <v>5.4999999999999997E-3</v>
      </c>
      <c r="D31" s="21">
        <f>B31*C31</f>
        <v>12.055999999999999</v>
      </c>
      <c r="E31" s="72">
        <f t="shared" si="6"/>
        <v>2192</v>
      </c>
      <c r="F31" s="77">
        <f>VLOOKUP($B$3,'Data for Bill Impacts'!$A$3:$Y$15,24,0)</f>
        <v>5.4999999999999997E-3</v>
      </c>
      <c r="G31" s="21">
        <f>E31*F31</f>
        <v>12.055999999999999</v>
      </c>
      <c r="H31" s="21">
        <f t="shared" si="1"/>
        <v>0</v>
      </c>
      <c r="I31" s="22">
        <f t="shared" si="2"/>
        <v>0</v>
      </c>
      <c r="J31" s="22">
        <f t="shared" si="10"/>
        <v>2.630216439585787E-2</v>
      </c>
      <c r="K31" s="107">
        <f t="shared" si="11"/>
        <v>2.6751860068635471E-2</v>
      </c>
    </row>
    <row r="32" spans="1:11" x14ac:dyDescent="0.2">
      <c r="A32" s="106" t="s">
        <v>41</v>
      </c>
      <c r="B32" s="72">
        <f>B8</f>
        <v>2192</v>
      </c>
      <c r="C32" s="124">
        <f>VLOOKUP($B$3,'Data for Bill Impacts'!$A$3:$Y$15,16,0)</f>
        <v>4.4999999999999997E-3</v>
      </c>
      <c r="D32" s="21">
        <f>B32*C32</f>
        <v>9.863999999999999</v>
      </c>
      <c r="E32" s="72">
        <f t="shared" si="6"/>
        <v>2192</v>
      </c>
      <c r="F32" s="77">
        <f>VLOOKUP($B$3,'Data for Bill Impacts'!$A$3:$Y$15,25,0)</f>
        <v>4.4999999999999997E-3</v>
      </c>
      <c r="G32" s="21">
        <f>E32*F32</f>
        <v>9.863999999999999</v>
      </c>
      <c r="H32" s="21">
        <f t="shared" si="1"/>
        <v>0</v>
      </c>
      <c r="I32" s="22">
        <f t="shared" si="2"/>
        <v>0</v>
      </c>
      <c r="J32" s="22">
        <f t="shared" si="10"/>
        <v>2.1519952687520074E-2</v>
      </c>
      <c r="K32" s="107">
        <f t="shared" si="11"/>
        <v>2.1887885510701748E-2</v>
      </c>
    </row>
    <row r="33" spans="1:11" s="1" customFormat="1" x14ac:dyDescent="0.2">
      <c r="A33" s="109" t="s">
        <v>76</v>
      </c>
      <c r="B33" s="73"/>
      <c r="C33" s="34"/>
      <c r="D33" s="34">
        <f>SUM(D31:D32)</f>
        <v>21.919999999999998</v>
      </c>
      <c r="E33" s="72"/>
      <c r="F33" s="34"/>
      <c r="G33" s="34">
        <f>SUM(G31:G32)</f>
        <v>21.919999999999998</v>
      </c>
      <c r="H33" s="34">
        <f t="shared" si="1"/>
        <v>0</v>
      </c>
      <c r="I33" s="35">
        <f t="shared" si="2"/>
        <v>0</v>
      </c>
      <c r="J33" s="35">
        <f t="shared" si="10"/>
        <v>4.7822117083377948E-2</v>
      </c>
      <c r="K33" s="110">
        <f t="shared" si="11"/>
        <v>4.8639745579337222E-2</v>
      </c>
    </row>
    <row r="34" spans="1:11" s="1" customFormat="1" x14ac:dyDescent="0.2">
      <c r="A34" s="109" t="s">
        <v>93</v>
      </c>
      <c r="B34" s="73"/>
      <c r="C34" s="34"/>
      <c r="D34" s="34">
        <f>D29+D33</f>
        <v>204.88399999999996</v>
      </c>
      <c r="E34" s="72"/>
      <c r="F34" s="34"/>
      <c r="G34" s="34">
        <f>G29+G33</f>
        <v>209.04399999999998</v>
      </c>
      <c r="H34" s="34">
        <f t="shared" si="1"/>
        <v>4.160000000000025</v>
      </c>
      <c r="I34" s="35">
        <f t="shared" si="2"/>
        <v>2.03041721169053E-2</v>
      </c>
      <c r="J34" s="35">
        <f t="shared" si="10"/>
        <v>0.45606417169606112</v>
      </c>
      <c r="K34" s="110">
        <f t="shared" si="11"/>
        <v>0.46386163206601139</v>
      </c>
    </row>
    <row r="35" spans="1:11" s="1" customFormat="1" x14ac:dyDescent="0.2">
      <c r="A35" s="109" t="s">
        <v>94</v>
      </c>
      <c r="B35" s="73"/>
      <c r="C35" s="34"/>
      <c r="D35" s="34">
        <f>D30+D33</f>
        <v>203.25583999999995</v>
      </c>
      <c r="E35" s="72"/>
      <c r="F35" s="34"/>
      <c r="G35" s="34">
        <f>G30+G33</f>
        <v>207.41583999999997</v>
      </c>
      <c r="H35" s="34">
        <f t="shared" si="1"/>
        <v>4.160000000000025</v>
      </c>
      <c r="I35" s="35">
        <f t="shared" si="2"/>
        <v>2.0466816599218139E-2</v>
      </c>
      <c r="J35" s="35">
        <f t="shared" si="10"/>
        <v>0.45251207050306508</v>
      </c>
      <c r="K35" s="110">
        <f t="shared" si="11"/>
        <v>0.46024879957684833</v>
      </c>
    </row>
    <row r="36" spans="1:11" x14ac:dyDescent="0.2">
      <c r="A36" s="106" t="s">
        <v>42</v>
      </c>
      <c r="B36" s="72">
        <f>B8</f>
        <v>2192</v>
      </c>
      <c r="C36" s="33">
        <v>3.5999999999999999E-3</v>
      </c>
      <c r="D36" s="21">
        <f>B36*C36</f>
        <v>7.8911999999999995</v>
      </c>
      <c r="E36" s="72">
        <f t="shared" si="6"/>
        <v>2192</v>
      </c>
      <c r="F36" s="33">
        <v>3.5999999999999999E-3</v>
      </c>
      <c r="G36" s="21">
        <f>E36*F36</f>
        <v>7.8911999999999995</v>
      </c>
      <c r="H36" s="21">
        <f t="shared" si="1"/>
        <v>0</v>
      </c>
      <c r="I36" s="22">
        <f t="shared" si="2"/>
        <v>0</v>
      </c>
      <c r="J36" s="22">
        <f t="shared" si="10"/>
        <v>1.721596215001606E-2</v>
      </c>
      <c r="K36" s="107">
        <f t="shared" si="11"/>
        <v>1.7510308408561399E-2</v>
      </c>
    </row>
    <row r="37" spans="1:11" x14ac:dyDescent="0.2">
      <c r="A37" s="106" t="s">
        <v>43</v>
      </c>
      <c r="B37" s="72">
        <f>B8</f>
        <v>2192</v>
      </c>
      <c r="C37" s="33">
        <v>2.0999999999999999E-3</v>
      </c>
      <c r="D37" s="21">
        <f>B37*C37</f>
        <v>4.6031999999999993</v>
      </c>
      <c r="E37" s="72">
        <f t="shared" si="6"/>
        <v>2192</v>
      </c>
      <c r="F37" s="33">
        <v>2.0999999999999999E-3</v>
      </c>
      <c r="G37" s="21">
        <f>E37*F37</f>
        <v>4.6031999999999993</v>
      </c>
      <c r="H37" s="21">
        <f>G37-D37</f>
        <v>0</v>
      </c>
      <c r="I37" s="22">
        <f t="shared" si="2"/>
        <v>0</v>
      </c>
      <c r="J37" s="22">
        <f t="shared" si="10"/>
        <v>1.0042644587509367E-2</v>
      </c>
      <c r="K37" s="107">
        <f t="shared" si="11"/>
        <v>1.0214346571660815E-2</v>
      </c>
    </row>
    <row r="38" spans="1:11" x14ac:dyDescent="0.2">
      <c r="A38" s="106" t="s">
        <v>99</v>
      </c>
      <c r="B38" s="72">
        <f>B8</f>
        <v>2192</v>
      </c>
      <c r="C38" s="33">
        <v>0</v>
      </c>
      <c r="D38" s="21">
        <f>B38*C38</f>
        <v>0</v>
      </c>
      <c r="E38" s="72">
        <f t="shared" si="6"/>
        <v>2192</v>
      </c>
      <c r="F38" s="33">
        <v>0</v>
      </c>
      <c r="G38" s="21">
        <f>E38*F38</f>
        <v>0</v>
      </c>
      <c r="H38" s="21">
        <f>G38-D38</f>
        <v>0</v>
      </c>
      <c r="I38" s="22" t="str">
        <f t="shared" si="2"/>
        <v>N/A</v>
      </c>
      <c r="J38" s="22">
        <f t="shared" ref="J38" si="12">G38/$G$46</f>
        <v>0</v>
      </c>
      <c r="K38" s="107">
        <f t="shared" ref="K38" si="13">G38/$G$51</f>
        <v>0</v>
      </c>
    </row>
    <row r="39" spans="1:11" x14ac:dyDescent="0.2">
      <c r="A39" s="106" t="s">
        <v>44</v>
      </c>
      <c r="B39" s="72">
        <v>1</v>
      </c>
      <c r="C39" s="21">
        <v>0.25</v>
      </c>
      <c r="D39" s="21">
        <f>B39*C39</f>
        <v>0.25</v>
      </c>
      <c r="E39" s="72">
        <f t="shared" si="6"/>
        <v>1</v>
      </c>
      <c r="F39" s="21">
        <f>C39</f>
        <v>0.25</v>
      </c>
      <c r="G39" s="21">
        <f>E39*F39</f>
        <v>0.25</v>
      </c>
      <c r="H39" s="21">
        <f t="shared" si="1"/>
        <v>0</v>
      </c>
      <c r="I39" s="22">
        <f t="shared" si="2"/>
        <v>0</v>
      </c>
      <c r="J39" s="22">
        <f t="shared" si="10"/>
        <v>5.4541648133414633E-4</v>
      </c>
      <c r="K39" s="107">
        <f t="shared" si="11"/>
        <v>5.5474162385193006E-4</v>
      </c>
    </row>
    <row r="40" spans="1:11" s="1" customFormat="1" x14ac:dyDescent="0.2">
      <c r="A40" s="109" t="s">
        <v>45</v>
      </c>
      <c r="B40" s="73"/>
      <c r="C40" s="34"/>
      <c r="D40" s="34">
        <f>SUM(D36:D39)</f>
        <v>12.744399999999999</v>
      </c>
      <c r="E40" s="72"/>
      <c r="F40" s="34"/>
      <c r="G40" s="34">
        <f>SUM(G36:G39)</f>
        <v>12.744399999999999</v>
      </c>
      <c r="H40" s="34">
        <f t="shared" si="1"/>
        <v>0</v>
      </c>
      <c r="I40" s="35">
        <f t="shared" si="2"/>
        <v>0</v>
      </c>
      <c r="J40" s="35">
        <f t="shared" si="10"/>
        <v>2.7804023218859573E-2</v>
      </c>
      <c r="K40" s="110">
        <f t="shared" si="11"/>
        <v>2.8279396604074147E-2</v>
      </c>
    </row>
    <row r="41" spans="1:11" s="1" customFormat="1" ht="13.5" thickBot="1" x14ac:dyDescent="0.25">
      <c r="A41" s="111" t="s">
        <v>46</v>
      </c>
      <c r="B41" s="112">
        <f>B4</f>
        <v>2000</v>
      </c>
      <c r="C41" s="113">
        <v>7.0000000000000001E-3</v>
      </c>
      <c r="D41" s="114">
        <f>B41*C41</f>
        <v>14</v>
      </c>
      <c r="E41" s="115">
        <f t="shared" si="6"/>
        <v>2000</v>
      </c>
      <c r="F41" s="113">
        <f>C41</f>
        <v>7.0000000000000001E-3</v>
      </c>
      <c r="G41" s="114">
        <f>E41*F41</f>
        <v>14</v>
      </c>
      <c r="H41" s="114">
        <f t="shared" si="1"/>
        <v>0</v>
      </c>
      <c r="I41" s="116">
        <f t="shared" si="2"/>
        <v>0</v>
      </c>
      <c r="J41" s="116">
        <f t="shared" si="10"/>
        <v>3.0543322954712192E-2</v>
      </c>
      <c r="K41" s="117">
        <f t="shared" si="11"/>
        <v>3.1065530935708081E-2</v>
      </c>
    </row>
    <row r="42" spans="1:11" s="1" customFormat="1" x14ac:dyDescent="0.2">
      <c r="A42" s="36" t="s">
        <v>107</v>
      </c>
      <c r="B42" s="37"/>
      <c r="C42" s="38"/>
      <c r="D42" s="38">
        <f>SUM(D14,D25,D26,D27,D33,D40,D41)</f>
        <v>432.3784</v>
      </c>
      <c r="E42" s="37"/>
      <c r="F42" s="38"/>
      <c r="G42" s="38">
        <f>SUM(G14,G25,G26,G27,G33,G40,G41)</f>
        <v>436.53839999999997</v>
      </c>
      <c r="H42" s="38">
        <f t="shared" si="1"/>
        <v>4.1599999999999682</v>
      </c>
      <c r="I42" s="39">
        <f t="shared" si="2"/>
        <v>9.6212021692109687E-3</v>
      </c>
      <c r="J42" s="39">
        <f t="shared" si="10"/>
        <v>0.95238095238095233</v>
      </c>
      <c r="K42" s="40"/>
    </row>
    <row r="43" spans="1:11" x14ac:dyDescent="0.2">
      <c r="A43" s="142" t="s">
        <v>108</v>
      </c>
      <c r="B43" s="42"/>
      <c r="C43" s="25">
        <v>0.13</v>
      </c>
      <c r="D43" s="25">
        <f>D42*C43</f>
        <v>56.209192000000002</v>
      </c>
      <c r="E43" s="25"/>
      <c r="F43" s="25">
        <f>C43</f>
        <v>0.13</v>
      </c>
      <c r="G43" s="25">
        <f>G42*F43</f>
        <v>56.749991999999999</v>
      </c>
      <c r="H43" s="25">
        <f t="shared" si="1"/>
        <v>0.54079999999999728</v>
      </c>
      <c r="I43" s="43">
        <f t="shared" si="2"/>
        <v>9.6212021692109947E-3</v>
      </c>
      <c r="J43" s="43">
        <f t="shared" si="10"/>
        <v>0.12380952380952381</v>
      </c>
      <c r="K43" s="44"/>
    </row>
    <row r="44" spans="1:11" s="1" customFormat="1" x14ac:dyDescent="0.2">
      <c r="A44" s="45" t="s">
        <v>109</v>
      </c>
      <c r="B44" s="23"/>
      <c r="C44" s="24"/>
      <c r="D44" s="24">
        <f>SUM(D42:D43)</f>
        <v>488.58759199999997</v>
      </c>
      <c r="E44" s="24"/>
      <c r="F44" s="24"/>
      <c r="G44" s="24">
        <f>SUM(G42:G43)</f>
        <v>493.28839199999999</v>
      </c>
      <c r="H44" s="24">
        <f t="shared" si="1"/>
        <v>4.7008000000000152</v>
      </c>
      <c r="I44" s="26">
        <f t="shared" si="2"/>
        <v>9.6212021692110745E-3</v>
      </c>
      <c r="J44" s="26">
        <f t="shared" si="10"/>
        <v>1.0761904761904761</v>
      </c>
      <c r="K44" s="46"/>
    </row>
    <row r="45" spans="1:11" x14ac:dyDescent="0.2">
      <c r="A45" s="41" t="s">
        <v>110</v>
      </c>
      <c r="B45" s="42"/>
      <c r="C45" s="25">
        <v>-0.08</v>
      </c>
      <c r="D45" s="25">
        <f>D42*C45</f>
        <v>-34.590271999999999</v>
      </c>
      <c r="E45" s="25"/>
      <c r="F45" s="25">
        <f>C45</f>
        <v>-0.08</v>
      </c>
      <c r="G45" s="25">
        <f>G42*F45</f>
        <v>-34.923071999999998</v>
      </c>
      <c r="H45" s="25">
        <f t="shared" si="1"/>
        <v>-0.33279999999999887</v>
      </c>
      <c r="I45" s="43">
        <f t="shared" si="2"/>
        <v>-9.6212021692110104E-3</v>
      </c>
      <c r="J45" s="43">
        <f t="shared" si="10"/>
        <v>-7.6190476190476183E-2</v>
      </c>
      <c r="K45" s="44"/>
    </row>
    <row r="46" spans="1:11" s="1" customFormat="1" ht="13.5" thickBot="1" x14ac:dyDescent="0.25">
      <c r="A46" s="47" t="s">
        <v>111</v>
      </c>
      <c r="B46" s="48"/>
      <c r="C46" s="49"/>
      <c r="D46" s="49">
        <f>SUM(D44:D45)</f>
        <v>453.99731999999995</v>
      </c>
      <c r="E46" s="49"/>
      <c r="F46" s="49"/>
      <c r="G46" s="49">
        <f>SUM(G44:G45)</f>
        <v>458.36532</v>
      </c>
      <c r="H46" s="49">
        <f t="shared" si="1"/>
        <v>4.3680000000000518</v>
      </c>
      <c r="I46" s="50">
        <f t="shared" si="2"/>
        <v>9.6212021692111578E-3</v>
      </c>
      <c r="J46" s="50">
        <f t="shared" si="10"/>
        <v>1</v>
      </c>
      <c r="K46" s="51"/>
    </row>
    <row r="47" spans="1:11" x14ac:dyDescent="0.2">
      <c r="A47" s="52" t="s">
        <v>112</v>
      </c>
      <c r="B47" s="53"/>
      <c r="C47" s="54"/>
      <c r="D47" s="54">
        <f>SUM(D18,D25,D26,D28,D33,D40,D41)</f>
        <v>425.04023999999998</v>
      </c>
      <c r="E47" s="54"/>
      <c r="F47" s="54"/>
      <c r="G47" s="54">
        <f>SUM(G18,G25,G26,G28,G33,G40,G41)</f>
        <v>429.20024000000001</v>
      </c>
      <c r="H47" s="54">
        <f>G47-D47</f>
        <v>4.160000000000025</v>
      </c>
      <c r="I47" s="55">
        <f t="shared" si="2"/>
        <v>9.7873086087096727E-3</v>
      </c>
      <c r="J47" s="55"/>
      <c r="K47" s="56">
        <f>G47/$G$51</f>
        <v>0.95238095238095233</v>
      </c>
    </row>
    <row r="48" spans="1:11" x14ac:dyDescent="0.2">
      <c r="A48" s="57" t="s">
        <v>108</v>
      </c>
      <c r="B48" s="58"/>
      <c r="C48" s="30">
        <v>0.13</v>
      </c>
      <c r="D48" s="30">
        <f>D47*C48</f>
        <v>55.255231199999997</v>
      </c>
      <c r="E48" s="30"/>
      <c r="F48" s="30">
        <f>C48</f>
        <v>0.13</v>
      </c>
      <c r="G48" s="30">
        <f>G47*F48</f>
        <v>55.796031200000002</v>
      </c>
      <c r="H48" s="30">
        <f>G48-D48</f>
        <v>0.54080000000000439</v>
      </c>
      <c r="I48" s="31">
        <f t="shared" si="2"/>
        <v>9.7873086087096935E-3</v>
      </c>
      <c r="J48" s="31"/>
      <c r="K48" s="59">
        <f>G48/$G$51</f>
        <v>0.12380952380952381</v>
      </c>
    </row>
    <row r="49" spans="1:11" x14ac:dyDescent="0.2">
      <c r="A49" s="135" t="s">
        <v>113</v>
      </c>
      <c r="B49" s="28"/>
      <c r="C49" s="29"/>
      <c r="D49" s="29">
        <f>SUM(D47:D48)</f>
        <v>480.29547119999995</v>
      </c>
      <c r="E49" s="29"/>
      <c r="F49" s="29"/>
      <c r="G49" s="29">
        <f>SUM(G47:G48)</f>
        <v>484.99627120000002</v>
      </c>
      <c r="H49" s="29">
        <f>G49-D49</f>
        <v>4.700800000000072</v>
      </c>
      <c r="I49" s="32">
        <f t="shared" si="2"/>
        <v>9.7873086087097647E-3</v>
      </c>
      <c r="J49" s="32"/>
      <c r="K49" s="61">
        <f>G49/$G$51</f>
        <v>1.0761904761904761</v>
      </c>
    </row>
    <row r="50" spans="1:11" x14ac:dyDescent="0.2">
      <c r="A50" s="57" t="s">
        <v>110</v>
      </c>
      <c r="B50" s="58"/>
      <c r="C50" s="30">
        <v>-0.08</v>
      </c>
      <c r="D50" s="30">
        <f>D47*C50</f>
        <v>-34.003219199999997</v>
      </c>
      <c r="E50" s="30"/>
      <c r="F50" s="30">
        <f>C50</f>
        <v>-0.08</v>
      </c>
      <c r="G50" s="30">
        <f>G47*F50</f>
        <v>-34.336019200000003</v>
      </c>
      <c r="H50" s="30">
        <f>G50-D50</f>
        <v>-0.33280000000000598</v>
      </c>
      <c r="I50" s="31">
        <f t="shared" si="2"/>
        <v>-9.7873086087097907E-3</v>
      </c>
      <c r="J50" s="31"/>
      <c r="K50" s="59">
        <f>G50/$G$51</f>
        <v>-7.6190476190476197E-2</v>
      </c>
    </row>
    <row r="51" spans="1:11" ht="13.5" thickBot="1" x14ac:dyDescent="0.25">
      <c r="A51" s="62" t="s">
        <v>114</v>
      </c>
      <c r="B51" s="63"/>
      <c r="C51" s="64"/>
      <c r="D51" s="64">
        <f>SUM(D49:D50)</f>
        <v>446.29225199999996</v>
      </c>
      <c r="E51" s="64"/>
      <c r="F51" s="64"/>
      <c r="G51" s="64">
        <f>SUM(G49:G50)</f>
        <v>450.66025200000001</v>
      </c>
      <c r="H51" s="64">
        <f>G51-D51</f>
        <v>4.3680000000000518</v>
      </c>
      <c r="I51" s="65">
        <f t="shared" si="2"/>
        <v>9.78730860870973E-3</v>
      </c>
      <c r="J51" s="65"/>
      <c r="K51" s="66">
        <f>G51/$G$51</f>
        <v>1</v>
      </c>
    </row>
    <row r="52" spans="1:11" x14ac:dyDescent="0.2">
      <c r="C52" s="67"/>
      <c r="F52" s="68"/>
    </row>
    <row r="53" spans="1:11" x14ac:dyDescent="0.2">
      <c r="F53" s="68"/>
    </row>
    <row r="54" spans="1:11" x14ac:dyDescent="0.2">
      <c r="F54" s="68"/>
    </row>
    <row r="55" spans="1:11" x14ac:dyDescent="0.2">
      <c r="A55" s="69"/>
      <c r="B55" s="70"/>
      <c r="F55" s="68"/>
    </row>
    <row r="56" spans="1:11" x14ac:dyDescent="0.2">
      <c r="B56" s="70"/>
      <c r="F56" s="68"/>
    </row>
    <row r="57" spans="1:11" x14ac:dyDescent="0.2">
      <c r="F57" s="68"/>
    </row>
    <row r="58" spans="1:11" x14ac:dyDescent="0.2">
      <c r="D58" s="71"/>
      <c r="F58" s="68"/>
    </row>
    <row r="59" spans="1:11" x14ac:dyDescent="0.2">
      <c r="F59" s="68"/>
    </row>
    <row r="60" spans="1:11" x14ac:dyDescent="0.2">
      <c r="A60" s="69"/>
      <c r="B60" s="70"/>
      <c r="F60" s="68"/>
    </row>
    <row r="61" spans="1:11" x14ac:dyDescent="0.2">
      <c r="B61" s="71"/>
      <c r="D61" s="71"/>
      <c r="F61" s="68"/>
    </row>
    <row r="62" spans="1:11" x14ac:dyDescent="0.2">
      <c r="F62" s="68"/>
    </row>
    <row r="63" spans="1:11" x14ac:dyDescent="0.2">
      <c r="F63" s="68"/>
    </row>
    <row r="64" spans="1:11" x14ac:dyDescent="0.2">
      <c r="F64" s="68"/>
      <c r="K64"/>
    </row>
    <row r="65" spans="6:11" x14ac:dyDescent="0.2">
      <c r="F65" s="68"/>
      <c r="K65"/>
    </row>
    <row r="66" spans="6:11" x14ac:dyDescent="0.2">
      <c r="F66" s="68"/>
      <c r="K66"/>
    </row>
    <row r="67" spans="6:11" x14ac:dyDescent="0.2">
      <c r="F67" s="68"/>
      <c r="K67"/>
    </row>
    <row r="68" spans="6:11" x14ac:dyDescent="0.2">
      <c r="F68" s="68"/>
      <c r="K68"/>
    </row>
  </sheetData>
  <mergeCells count="1">
    <mergeCell ref="A1:K1"/>
  </mergeCells>
  <pageMargins left="0.7" right="0.7" top="0.75" bottom="0.75" header="0.3" footer="0.3"/>
  <pageSetup scale="7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7">
    <tabColor theme="1" tint="0.499984740745262"/>
    <pageSetUpPr fitToPage="1"/>
  </sheetPr>
  <dimension ref="A1:K68"/>
  <sheetViews>
    <sheetView tabSelected="1" zoomScaleNormal="100" zoomScaleSheetLayoutView="12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3"/>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205" t="s">
        <v>127</v>
      </c>
      <c r="B1" s="206"/>
      <c r="C1" s="206"/>
      <c r="D1" s="206"/>
      <c r="E1" s="206"/>
      <c r="F1" s="206"/>
      <c r="G1" s="206"/>
      <c r="H1" s="206"/>
      <c r="I1" s="206"/>
      <c r="J1" s="206"/>
      <c r="K1" s="207"/>
    </row>
    <row r="3" spans="1:11" x14ac:dyDescent="0.2">
      <c r="A3" s="12" t="s">
        <v>13</v>
      </c>
      <c r="B3" s="12" t="s">
        <v>4</v>
      </c>
    </row>
    <row r="4" spans="1:11" x14ac:dyDescent="0.2">
      <c r="A4" s="14" t="s">
        <v>62</v>
      </c>
      <c r="B4" s="78">
        <f>'Data for Bill Impacts_HONI Avg '!C7</f>
        <v>1982</v>
      </c>
    </row>
    <row r="5" spans="1:11" x14ac:dyDescent="0.2">
      <c r="A5" s="14" t="s">
        <v>16</v>
      </c>
      <c r="B5" s="14">
        <f>VLOOKUP($B$3,'Data for Bill Impacts'!$A$3:$Y$15,5,0)</f>
        <v>0</v>
      </c>
    </row>
    <row r="6" spans="1:11" x14ac:dyDescent="0.2">
      <c r="A6" s="14" t="s">
        <v>20</v>
      </c>
      <c r="B6" s="14">
        <f>VLOOKUP($B$3,'Data for Bill Impacts'!$A$3:$Y$15,2,0)</f>
        <v>1.0960000000000001</v>
      </c>
    </row>
    <row r="7" spans="1:11" x14ac:dyDescent="0.2">
      <c r="A7" s="14" t="s">
        <v>15</v>
      </c>
      <c r="B7" s="14">
        <f>VLOOKUP($B$3,'Data for Bill Impacts'!$A$3:$Y$15,4,0)</f>
        <v>750</v>
      </c>
    </row>
    <row r="8" spans="1:11" x14ac:dyDescent="0.2">
      <c r="A8" s="14" t="s">
        <v>82</v>
      </c>
      <c r="B8" s="14">
        <f>B4*B6</f>
        <v>2172.2720000000004</v>
      </c>
    </row>
    <row r="9" spans="1:11" x14ac:dyDescent="0.2">
      <c r="A9" s="14" t="s">
        <v>21</v>
      </c>
      <c r="B9" s="15" t="str">
        <f>VLOOKUP($B$3,'Data for Bill Impacts'!$A$3:$Y$15,6,0)</f>
        <v>kWh</v>
      </c>
    </row>
    <row r="10" spans="1:11" ht="13.5" thickBot="1" x14ac:dyDescent="0.25"/>
    <row r="11" spans="1:11" s="19" customFormat="1" ht="39" thickBot="1" x14ac:dyDescent="0.25">
      <c r="A11" s="16"/>
      <c r="B11" s="17" t="s">
        <v>22</v>
      </c>
      <c r="C11" s="17" t="s">
        <v>23</v>
      </c>
      <c r="D11" s="17" t="s">
        <v>24</v>
      </c>
      <c r="E11" s="17" t="s">
        <v>22</v>
      </c>
      <c r="F11" s="17" t="s">
        <v>25</v>
      </c>
      <c r="G11" s="17" t="s">
        <v>26</v>
      </c>
      <c r="H11" s="17" t="s">
        <v>27</v>
      </c>
      <c r="I11" s="17" t="s">
        <v>28</v>
      </c>
      <c r="J11" s="17" t="s">
        <v>29</v>
      </c>
      <c r="K11" s="18" t="s">
        <v>30</v>
      </c>
    </row>
    <row r="12" spans="1:11" x14ac:dyDescent="0.2">
      <c r="A12" s="100" t="s">
        <v>31</v>
      </c>
      <c r="B12" s="101">
        <f>IF(B4&gt;B7,B7,B4)</f>
        <v>750</v>
      </c>
      <c r="C12" s="102">
        <v>9.0999999999999998E-2</v>
      </c>
      <c r="D12" s="103">
        <f>B12*C12</f>
        <v>68.25</v>
      </c>
      <c r="E12" s="101">
        <f>B12</f>
        <v>750</v>
      </c>
      <c r="F12" s="102">
        <f>C12</f>
        <v>9.0999999999999998E-2</v>
      </c>
      <c r="G12" s="103">
        <f>E12*F12</f>
        <v>68.25</v>
      </c>
      <c r="H12" s="103">
        <f>G12-D12</f>
        <v>0</v>
      </c>
      <c r="I12" s="104">
        <f>IF(ISERROR(H12/ABS(D12)),"N/A",(H12/ABS(D12)))</f>
        <v>0</v>
      </c>
      <c r="J12" s="104">
        <f>G12/$G$46</f>
        <v>0.15018305845342006</v>
      </c>
      <c r="K12" s="105"/>
    </row>
    <row r="13" spans="1:11" x14ac:dyDescent="0.2">
      <c r="A13" s="106" t="s">
        <v>32</v>
      </c>
      <c r="B13" s="72">
        <f>IF(B4&gt;B7,(B4)-B7,0)</f>
        <v>1232</v>
      </c>
      <c r="C13" s="20">
        <v>0.106</v>
      </c>
      <c r="D13" s="21">
        <f>B13*C13</f>
        <v>130.59199999999998</v>
      </c>
      <c r="E13" s="72">
        <f t="shared" ref="E13" si="0">B13</f>
        <v>1232</v>
      </c>
      <c r="F13" s="20">
        <f>C13</f>
        <v>0.106</v>
      </c>
      <c r="G13" s="21">
        <f>E13*F13</f>
        <v>130.59199999999998</v>
      </c>
      <c r="H13" s="21">
        <f t="shared" ref="H13:H46" si="1">G13-D13</f>
        <v>0</v>
      </c>
      <c r="I13" s="22">
        <f t="shared" ref="I13:I51" si="2">IF(ISERROR(H13/ABS(D13)),"N/A",(H13/ABS(D13)))</f>
        <v>0</v>
      </c>
      <c r="J13" s="22">
        <f>G13/$G$46</f>
        <v>0.2873656552314876</v>
      </c>
      <c r="K13" s="107"/>
    </row>
    <row r="14" spans="1:11" s="1" customFormat="1" x14ac:dyDescent="0.2">
      <c r="A14" s="45" t="s">
        <v>33</v>
      </c>
      <c r="B14" s="23"/>
      <c r="C14" s="24"/>
      <c r="D14" s="24">
        <f>SUM(D12:D13)</f>
        <v>198.84199999999998</v>
      </c>
      <c r="E14" s="75"/>
      <c r="F14" s="24"/>
      <c r="G14" s="24">
        <f>SUM(G12:G13)</f>
        <v>198.84199999999998</v>
      </c>
      <c r="H14" s="24">
        <f t="shared" si="1"/>
        <v>0</v>
      </c>
      <c r="I14" s="26">
        <f t="shared" si="2"/>
        <v>0</v>
      </c>
      <c r="J14" s="26">
        <f>G14/$G$46</f>
        <v>0.43754871368490766</v>
      </c>
      <c r="K14" s="107"/>
    </row>
    <row r="15" spans="1:11" s="1" customFormat="1" x14ac:dyDescent="0.2">
      <c r="A15" s="108" t="s">
        <v>34</v>
      </c>
      <c r="B15" s="74">
        <f>B4*0.65</f>
        <v>1288.3</v>
      </c>
      <c r="C15" s="27">
        <v>7.6999999999999999E-2</v>
      </c>
      <c r="D15" s="21">
        <f>B15*C15</f>
        <v>99.199100000000001</v>
      </c>
      <c r="E15" s="72">
        <f t="shared" ref="E15:F17" si="3">B15</f>
        <v>1288.3</v>
      </c>
      <c r="F15" s="27">
        <f t="shared" si="3"/>
        <v>7.6999999999999999E-2</v>
      </c>
      <c r="G15" s="21">
        <f>E15*F15</f>
        <v>99.199100000000001</v>
      </c>
      <c r="H15" s="21">
        <f t="shared" si="1"/>
        <v>0</v>
      </c>
      <c r="I15" s="22">
        <f t="shared" si="2"/>
        <v>0</v>
      </c>
      <c r="J15" s="22"/>
      <c r="K15" s="107">
        <f t="shared" ref="K15:K26" si="4">G15/$G$51</f>
        <v>0.22196364037384878</v>
      </c>
    </row>
    <row r="16" spans="1:11" s="1" customFormat="1" x14ac:dyDescent="0.2">
      <c r="A16" s="108" t="s">
        <v>35</v>
      </c>
      <c r="B16" s="74">
        <f>B4*0.17</f>
        <v>336.94</v>
      </c>
      <c r="C16" s="27">
        <v>0.113</v>
      </c>
      <c r="D16" s="21">
        <f>B16*C16</f>
        <v>38.074220000000004</v>
      </c>
      <c r="E16" s="72">
        <f t="shared" si="3"/>
        <v>336.94</v>
      </c>
      <c r="F16" s="27">
        <f t="shared" si="3"/>
        <v>0.113</v>
      </c>
      <c r="G16" s="21">
        <f>E16*F16</f>
        <v>38.074220000000004</v>
      </c>
      <c r="H16" s="21">
        <f t="shared" si="1"/>
        <v>0</v>
      </c>
      <c r="I16" s="22">
        <f t="shared" si="2"/>
        <v>0</v>
      </c>
      <c r="J16" s="22"/>
      <c r="K16" s="107">
        <f t="shared" si="4"/>
        <v>8.5193237394238466E-2</v>
      </c>
    </row>
    <row r="17" spans="1:11" s="1" customFormat="1" x14ac:dyDescent="0.2">
      <c r="A17" s="108" t="s">
        <v>36</v>
      </c>
      <c r="B17" s="74">
        <f>B4*0.18</f>
        <v>356.76</v>
      </c>
      <c r="C17" s="27">
        <v>0.157</v>
      </c>
      <c r="D17" s="21">
        <f>B17*C17</f>
        <v>56.011319999999998</v>
      </c>
      <c r="E17" s="72">
        <f t="shared" si="3"/>
        <v>356.76</v>
      </c>
      <c r="F17" s="27">
        <f t="shared" si="3"/>
        <v>0.157</v>
      </c>
      <c r="G17" s="21">
        <f>E17*F17</f>
        <v>56.011319999999998</v>
      </c>
      <c r="H17" s="21">
        <f t="shared" si="1"/>
        <v>0</v>
      </c>
      <c r="I17" s="22">
        <f t="shared" si="2"/>
        <v>0</v>
      </c>
      <c r="J17" s="22"/>
      <c r="K17" s="107">
        <f t="shared" si="4"/>
        <v>0.12532852101828104</v>
      </c>
    </row>
    <row r="18" spans="1:11" s="1" customFormat="1" x14ac:dyDescent="0.2">
      <c r="A18" s="60" t="s">
        <v>37</v>
      </c>
      <c r="B18" s="28"/>
      <c r="C18" s="29"/>
      <c r="D18" s="29">
        <f>SUM(D15:D17)</f>
        <v>193.28464000000002</v>
      </c>
      <c r="E18" s="76"/>
      <c r="F18" s="29"/>
      <c r="G18" s="29">
        <f>SUM(G15:G17)</f>
        <v>193.28464000000002</v>
      </c>
      <c r="H18" s="30">
        <f t="shared" si="1"/>
        <v>0</v>
      </c>
      <c r="I18" s="31">
        <f t="shared" si="2"/>
        <v>0</v>
      </c>
      <c r="J18" s="32">
        <f t="shared" ref="J18:J23" si="5">G18/$G$46</f>
        <v>0.42531982985008432</v>
      </c>
      <c r="K18" s="61">
        <f t="shared" si="4"/>
        <v>0.43248539878636832</v>
      </c>
    </row>
    <row r="19" spans="1:11" x14ac:dyDescent="0.2">
      <c r="A19" s="106" t="s">
        <v>38</v>
      </c>
      <c r="B19" s="72">
        <v>1</v>
      </c>
      <c r="C19" s="77">
        <f>VLOOKUP($B$3,'Data for Bill Impacts'!$A$3:$Y$15,7,0)</f>
        <v>31.38</v>
      </c>
      <c r="D19" s="21">
        <f>B19*C19</f>
        <v>31.38</v>
      </c>
      <c r="E19" s="72">
        <f t="shared" ref="E19:E41" si="6">B19</f>
        <v>1</v>
      </c>
      <c r="F19" s="77">
        <f>VLOOKUP($B$3,'Data for Bill Impacts'!$A$3:$Y$15,17,0)</f>
        <v>31.94</v>
      </c>
      <c r="G19" s="21">
        <f>E19*F19</f>
        <v>31.94</v>
      </c>
      <c r="H19" s="21">
        <f t="shared" si="1"/>
        <v>0.56000000000000227</v>
      </c>
      <c r="I19" s="22">
        <f t="shared" si="2"/>
        <v>1.7845761631612566E-2</v>
      </c>
      <c r="J19" s="22">
        <f t="shared" si="5"/>
        <v>7.0283470871827639E-2</v>
      </c>
      <c r="K19" s="107">
        <f t="shared" si="4"/>
        <v>7.146757050760269E-2</v>
      </c>
    </row>
    <row r="20" spans="1:11" hidden="1" x14ac:dyDescent="0.2">
      <c r="A20" s="106" t="s">
        <v>83</v>
      </c>
      <c r="B20" s="72">
        <v>1</v>
      </c>
      <c r="C20" s="77">
        <f>VLOOKUP($B$3,'Data for Bill Impacts'!$A$3:$Y$15,8,0)</f>
        <v>0</v>
      </c>
      <c r="D20" s="21">
        <f>B20*C20</f>
        <v>0</v>
      </c>
      <c r="E20" s="72">
        <f t="shared" si="6"/>
        <v>1</v>
      </c>
      <c r="F20" s="77">
        <v>0</v>
      </c>
      <c r="G20" s="21">
        <f t="shared" ref="G20:G22" si="7">E20*F20</f>
        <v>0</v>
      </c>
      <c r="H20" s="21">
        <f t="shared" si="1"/>
        <v>0</v>
      </c>
      <c r="I20" s="22" t="str">
        <f t="shared" si="2"/>
        <v>N/A</v>
      </c>
      <c r="J20" s="22">
        <f t="shared" si="5"/>
        <v>0</v>
      </c>
      <c r="K20" s="107">
        <f t="shared" si="4"/>
        <v>0</v>
      </c>
    </row>
    <row r="21" spans="1:11" hidden="1" x14ac:dyDescent="0.2">
      <c r="A21" s="106" t="s">
        <v>84</v>
      </c>
      <c r="B21" s="72">
        <v>1</v>
      </c>
      <c r="C21" s="77">
        <f>VLOOKUP($B$3,'Data for Bill Impacts'!$A$3:$Y$15,11,0)</f>
        <v>0</v>
      </c>
      <c r="D21" s="21">
        <f t="shared" ref="D21:D22" si="8">B21*C21</f>
        <v>0</v>
      </c>
      <c r="E21" s="72">
        <f t="shared" si="6"/>
        <v>1</v>
      </c>
      <c r="F21" s="120">
        <f>VLOOKUP($B$3,'Data for Bill Impacts'!$A$3:$Y$15,12,0)</f>
        <v>0</v>
      </c>
      <c r="G21" s="21">
        <f t="shared" si="7"/>
        <v>0</v>
      </c>
      <c r="H21" s="21">
        <f t="shared" si="1"/>
        <v>0</v>
      </c>
      <c r="I21" s="22" t="str">
        <f t="shared" si="2"/>
        <v>N/A</v>
      </c>
      <c r="J21" s="22">
        <f t="shared" si="5"/>
        <v>0</v>
      </c>
      <c r="K21" s="107">
        <f t="shared" si="4"/>
        <v>0</v>
      </c>
    </row>
    <row r="22" spans="1:11" x14ac:dyDescent="0.2">
      <c r="A22" s="106" t="s">
        <v>85</v>
      </c>
      <c r="B22" s="72">
        <v>1</v>
      </c>
      <c r="C22" s="120">
        <f>VLOOKUP($B$3,'Data for Bill Impacts'!$A$3:$Y$15,13,0)</f>
        <v>2E-3</v>
      </c>
      <c r="D22" s="21">
        <f t="shared" si="8"/>
        <v>2E-3</v>
      </c>
      <c r="E22" s="72">
        <f t="shared" si="6"/>
        <v>1</v>
      </c>
      <c r="F22" s="120">
        <f>VLOOKUP($B$3,'Data for Bill Impacts'!$A$3:$Y$15,22,0)</f>
        <v>2E-3</v>
      </c>
      <c r="G22" s="21">
        <f t="shared" si="7"/>
        <v>2E-3</v>
      </c>
      <c r="H22" s="21">
        <f t="shared" si="1"/>
        <v>0</v>
      </c>
      <c r="I22" s="22">
        <f t="shared" si="2"/>
        <v>0</v>
      </c>
      <c r="J22" s="22">
        <f t="shared" si="5"/>
        <v>4.4009687458877671E-6</v>
      </c>
      <c r="K22" s="107">
        <f t="shared" si="4"/>
        <v>4.4751139954666683E-6</v>
      </c>
    </row>
    <row r="23" spans="1:11" x14ac:dyDescent="0.2">
      <c r="A23" s="106" t="s">
        <v>39</v>
      </c>
      <c r="B23" s="72">
        <f>IF($B$9="kWh",$B$4,$B$5)</f>
        <v>1982</v>
      </c>
      <c r="C23" s="124">
        <f>VLOOKUP($B$3,'Data for Bill Impacts'!$A$3:$Y$15,10,0)</f>
        <v>6.5199999999999994E-2</v>
      </c>
      <c r="D23" s="21">
        <f>B23*C23</f>
        <v>129.22639999999998</v>
      </c>
      <c r="E23" s="72">
        <f t="shared" si="6"/>
        <v>1982</v>
      </c>
      <c r="F23" s="124">
        <f>VLOOKUP($B$3,'Data for Bill Impacts'!$A$3:$Y$15,19,0)</f>
        <v>6.7000000000000004E-2</v>
      </c>
      <c r="G23" s="21">
        <f>E23*F23</f>
        <v>132.79400000000001</v>
      </c>
      <c r="H23" s="21">
        <f t="shared" si="1"/>
        <v>3.5676000000000272</v>
      </c>
      <c r="I23" s="22">
        <f t="shared" si="2"/>
        <v>2.7607361963190399E-2</v>
      </c>
      <c r="J23" s="22">
        <f t="shared" si="5"/>
        <v>0.29221112182071007</v>
      </c>
      <c r="K23" s="107">
        <f t="shared" si="4"/>
        <v>0.29713414395700039</v>
      </c>
    </row>
    <row r="24" spans="1:11" x14ac:dyDescent="0.2">
      <c r="A24" s="106" t="s">
        <v>129</v>
      </c>
      <c r="B24" s="72">
        <f>IF($B$9="kWh",$B$4,$B$5)</f>
        <v>1982</v>
      </c>
      <c r="C24" s="77">
        <f>VLOOKUP($B$3,'Data for Bill Impacts'!$A$3:$Y$15,14,0)</f>
        <v>2.0000000000000002E-5</v>
      </c>
      <c r="D24" s="33">
        <f>B24*C24</f>
        <v>3.9640000000000002E-2</v>
      </c>
      <c r="E24" s="72">
        <f t="shared" si="6"/>
        <v>1982</v>
      </c>
      <c r="F24" s="77">
        <f>VLOOKUP($B$3,'Data for Bill Impacts'!$A$3:$Y$15,23,0)</f>
        <v>2.0000000000000002E-5</v>
      </c>
      <c r="G24" s="33">
        <f>E24*F24</f>
        <v>3.9640000000000002E-2</v>
      </c>
      <c r="H24" s="21">
        <f t="shared" si="1"/>
        <v>0</v>
      </c>
      <c r="I24" s="22">
        <f t="shared" si="2"/>
        <v>0</v>
      </c>
      <c r="J24" s="22">
        <f t="shared" ref="J24" si="9">G24/$G$46</f>
        <v>8.7227200543495544E-5</v>
      </c>
      <c r="K24" s="107">
        <f t="shared" si="4"/>
        <v>8.8696759390149361E-5</v>
      </c>
    </row>
    <row r="25" spans="1:11" s="1" customFormat="1" x14ac:dyDescent="0.2">
      <c r="A25" s="109" t="s">
        <v>72</v>
      </c>
      <c r="B25" s="73"/>
      <c r="C25" s="34"/>
      <c r="D25" s="34">
        <f>SUM(D19:D24)</f>
        <v>160.64803999999998</v>
      </c>
      <c r="E25" s="72"/>
      <c r="F25" s="34"/>
      <c r="G25" s="34">
        <f>SUM(G19:G24)</f>
        <v>164.77564000000001</v>
      </c>
      <c r="H25" s="34">
        <f t="shared" si="1"/>
        <v>4.1276000000000295</v>
      </c>
      <c r="I25" s="35">
        <f t="shared" si="2"/>
        <v>2.5693435164226279E-2</v>
      </c>
      <c r="J25" s="35">
        <f>G25/$G$46</f>
        <v>0.36258622086182712</v>
      </c>
      <c r="K25" s="110">
        <f t="shared" si="4"/>
        <v>0.36869488633798869</v>
      </c>
    </row>
    <row r="26" spans="1:11" s="1" customFormat="1" x14ac:dyDescent="0.2">
      <c r="A26" s="118" t="s">
        <v>73</v>
      </c>
      <c r="B26" s="119">
        <v>1</v>
      </c>
      <c r="C26" s="77">
        <f>VLOOKUP($B$3,'Data for Bill Impacts'!$A$3:$Y$15,9,0)</f>
        <v>0.79</v>
      </c>
      <c r="D26" s="21">
        <f>B26*C26</f>
        <v>0.79</v>
      </c>
      <c r="E26" s="72">
        <v>1</v>
      </c>
      <c r="F26" s="77">
        <f>VLOOKUP($B$3,'Data for Bill Impacts'!$A$3:$Y$15,18,0)</f>
        <v>0.79</v>
      </c>
      <c r="G26" s="21">
        <f>E26*F26</f>
        <v>0.79</v>
      </c>
      <c r="H26" s="21">
        <f t="shared" si="1"/>
        <v>0</v>
      </c>
      <c r="I26" s="22">
        <f t="shared" si="2"/>
        <v>0</v>
      </c>
      <c r="J26" s="22">
        <f>G26/$G$46</f>
        <v>1.738382654625668E-3</v>
      </c>
      <c r="K26" s="107">
        <f t="shared" si="4"/>
        <v>1.767670028209334E-3</v>
      </c>
    </row>
    <row r="27" spans="1:11" s="1" customFormat="1" x14ac:dyDescent="0.2">
      <c r="A27" s="118" t="s">
        <v>75</v>
      </c>
      <c r="B27" s="119">
        <f>B8-B4</f>
        <v>190.27200000000039</v>
      </c>
      <c r="C27" s="186">
        <f>IF(B4&gt;B7,C13,C12)</f>
        <v>0.106</v>
      </c>
      <c r="D27" s="21">
        <f>B27*C27</f>
        <v>20.168832000000041</v>
      </c>
      <c r="E27" s="72">
        <f>B27</f>
        <v>190.27200000000039</v>
      </c>
      <c r="F27" s="186">
        <f>C27</f>
        <v>0.106</v>
      </c>
      <c r="G27" s="21">
        <f>E27*F27</f>
        <v>20.168832000000041</v>
      </c>
      <c r="H27" s="21">
        <f t="shared" si="1"/>
        <v>0</v>
      </c>
      <c r="I27" s="22">
        <f t="shared" si="2"/>
        <v>0</v>
      </c>
      <c r="J27" s="22">
        <f t="shared" ref="J27:J46" si="10">G27/$G$46</f>
        <v>4.4381199636530623E-2</v>
      </c>
      <c r="K27" s="107">
        <f t="shared" ref="K27:K41" si="11">G27/$G$51</f>
        <v>4.5128911177708085E-2</v>
      </c>
    </row>
    <row r="28" spans="1:11" s="1" customFormat="1" x14ac:dyDescent="0.2">
      <c r="A28" s="118" t="s">
        <v>74</v>
      </c>
      <c r="B28" s="119">
        <f>B8-B4</f>
        <v>190.27200000000039</v>
      </c>
      <c r="C28" s="186">
        <f>0.65*C15+0.17*C16+0.18*C17</f>
        <v>9.7519999999999996E-2</v>
      </c>
      <c r="D28" s="21">
        <f>B28*C28</f>
        <v>18.555325440000036</v>
      </c>
      <c r="E28" s="72">
        <f>B28</f>
        <v>190.27200000000039</v>
      </c>
      <c r="F28" s="186">
        <f>C28</f>
        <v>9.7519999999999996E-2</v>
      </c>
      <c r="G28" s="21">
        <f>E28*F28</f>
        <v>18.555325440000036</v>
      </c>
      <c r="H28" s="21">
        <f t="shared" si="1"/>
        <v>0</v>
      </c>
      <c r="I28" s="22">
        <f t="shared" si="2"/>
        <v>0</v>
      </c>
      <c r="J28" s="22">
        <f t="shared" si="10"/>
        <v>4.0830703665608169E-2</v>
      </c>
      <c r="K28" s="107">
        <f t="shared" si="11"/>
        <v>4.1518598283491435E-2</v>
      </c>
    </row>
    <row r="29" spans="1:11" s="1" customFormat="1" x14ac:dyDescent="0.2">
      <c r="A29" s="109" t="s">
        <v>78</v>
      </c>
      <c r="B29" s="73"/>
      <c r="C29" s="34"/>
      <c r="D29" s="34">
        <f>SUM(D25,D26:D27)</f>
        <v>181.60687200000001</v>
      </c>
      <c r="E29" s="72"/>
      <c r="F29" s="34"/>
      <c r="G29" s="34">
        <f>SUM(G25,G26:G27)</f>
        <v>185.73447200000004</v>
      </c>
      <c r="H29" s="34">
        <f t="shared" si="1"/>
        <v>4.1276000000000295</v>
      </c>
      <c r="I29" s="35">
        <f t="shared" si="2"/>
        <v>2.2728214822179356E-2</v>
      </c>
      <c r="J29" s="35">
        <f t="shared" si="10"/>
        <v>0.40870580315298338</v>
      </c>
      <c r="K29" s="110">
        <f t="shared" si="11"/>
        <v>0.41559146754390608</v>
      </c>
    </row>
    <row r="30" spans="1:11" s="1" customFormat="1" x14ac:dyDescent="0.2">
      <c r="A30" s="109" t="s">
        <v>77</v>
      </c>
      <c r="B30" s="73"/>
      <c r="C30" s="34"/>
      <c r="D30" s="34">
        <f>SUM(D25,D26,D28)</f>
        <v>179.99336544000002</v>
      </c>
      <c r="E30" s="72"/>
      <c r="F30" s="34"/>
      <c r="G30" s="34">
        <f>SUM(G25,G26,G28)</f>
        <v>184.12096544000005</v>
      </c>
      <c r="H30" s="34">
        <f t="shared" si="1"/>
        <v>4.1276000000000295</v>
      </c>
      <c r="I30" s="35">
        <f t="shared" si="2"/>
        <v>2.2931956352446482E-2</v>
      </c>
      <c r="J30" s="35">
        <f t="shared" si="10"/>
        <v>0.40515530718206094</v>
      </c>
      <c r="K30" s="110">
        <f t="shared" si="11"/>
        <v>0.41198115464968948</v>
      </c>
    </row>
    <row r="31" spans="1:11" x14ac:dyDescent="0.2">
      <c r="A31" s="106" t="s">
        <v>40</v>
      </c>
      <c r="B31" s="72">
        <f>B8</f>
        <v>2172.2720000000004</v>
      </c>
      <c r="C31" s="124">
        <f>VLOOKUP($B$3,'Data for Bill Impacts'!$A$3:$Y$15,15,0)</f>
        <v>5.4999999999999997E-3</v>
      </c>
      <c r="D31" s="21">
        <f>B31*C31</f>
        <v>11.947496000000001</v>
      </c>
      <c r="E31" s="72">
        <f t="shared" si="6"/>
        <v>2172.2720000000004</v>
      </c>
      <c r="F31" s="77">
        <f>VLOOKUP($B$3,'Data for Bill Impacts'!$A$3:$Y$15,24,0)</f>
        <v>5.4999999999999997E-3</v>
      </c>
      <c r="G31" s="21">
        <f>E31*F31</f>
        <v>11.947496000000001</v>
      </c>
      <c r="H31" s="21">
        <f t="shared" si="1"/>
        <v>0</v>
      </c>
      <c r="I31" s="22">
        <f t="shared" si="2"/>
        <v>0</v>
      </c>
      <c r="J31" s="22">
        <f t="shared" si="10"/>
        <v>2.629027824380956E-2</v>
      </c>
      <c r="K31" s="107">
        <f t="shared" si="11"/>
        <v>2.673320328019102E-2</v>
      </c>
    </row>
    <row r="32" spans="1:11" x14ac:dyDescent="0.2">
      <c r="A32" s="106" t="s">
        <v>41</v>
      </c>
      <c r="B32" s="72">
        <f>B8</f>
        <v>2172.2720000000004</v>
      </c>
      <c r="C32" s="124">
        <f>VLOOKUP($B$3,'Data for Bill Impacts'!$A$3:$Y$15,16,0)</f>
        <v>4.4999999999999997E-3</v>
      </c>
      <c r="D32" s="21">
        <f>B32*C32</f>
        <v>9.7752240000000015</v>
      </c>
      <c r="E32" s="72">
        <f t="shared" si="6"/>
        <v>2172.2720000000004</v>
      </c>
      <c r="F32" s="77">
        <f>VLOOKUP($B$3,'Data for Bill Impacts'!$A$3:$Y$15,25,0)</f>
        <v>4.4999999999999997E-3</v>
      </c>
      <c r="G32" s="21">
        <f>E32*F32</f>
        <v>9.7752240000000015</v>
      </c>
      <c r="H32" s="21">
        <f t="shared" si="1"/>
        <v>0</v>
      </c>
      <c r="I32" s="22">
        <f t="shared" si="2"/>
        <v>0</v>
      </c>
      <c r="J32" s="22">
        <f t="shared" si="10"/>
        <v>2.1510227654026003E-2</v>
      </c>
      <c r="K32" s="107">
        <f t="shared" si="11"/>
        <v>2.1872620865610835E-2</v>
      </c>
    </row>
    <row r="33" spans="1:11" s="1" customFormat="1" x14ac:dyDescent="0.2">
      <c r="A33" s="109" t="s">
        <v>76</v>
      </c>
      <c r="B33" s="73"/>
      <c r="C33" s="34"/>
      <c r="D33" s="34">
        <f>SUM(D31:D32)</f>
        <v>21.722720000000002</v>
      </c>
      <c r="E33" s="72"/>
      <c r="F33" s="34"/>
      <c r="G33" s="34">
        <f>SUM(G31:G32)</f>
        <v>21.722720000000002</v>
      </c>
      <c r="H33" s="34">
        <f t="shared" si="1"/>
        <v>0</v>
      </c>
      <c r="I33" s="35">
        <f t="shared" si="2"/>
        <v>0</v>
      </c>
      <c r="J33" s="35">
        <f t="shared" si="10"/>
        <v>4.7800505897835563E-2</v>
      </c>
      <c r="K33" s="110">
        <f t="shared" si="11"/>
        <v>4.8605824145801856E-2</v>
      </c>
    </row>
    <row r="34" spans="1:11" s="1" customFormat="1" x14ac:dyDescent="0.2">
      <c r="A34" s="109" t="s">
        <v>93</v>
      </c>
      <c r="B34" s="73"/>
      <c r="C34" s="34"/>
      <c r="D34" s="34">
        <f>D29+D33</f>
        <v>203.32959200000002</v>
      </c>
      <c r="E34" s="72"/>
      <c r="F34" s="34"/>
      <c r="G34" s="34">
        <f>G29+G33</f>
        <v>207.45719200000005</v>
      </c>
      <c r="H34" s="34">
        <f t="shared" si="1"/>
        <v>4.1276000000000295</v>
      </c>
      <c r="I34" s="35">
        <f t="shared" si="2"/>
        <v>2.0300045651987682E-2</v>
      </c>
      <c r="J34" s="35">
        <f t="shared" si="10"/>
        <v>0.45650630905081896</v>
      </c>
      <c r="K34" s="110">
        <f t="shared" si="11"/>
        <v>0.46419729168970797</v>
      </c>
    </row>
    <row r="35" spans="1:11" s="1" customFormat="1" x14ac:dyDescent="0.2">
      <c r="A35" s="109" t="s">
        <v>94</v>
      </c>
      <c r="B35" s="73"/>
      <c r="C35" s="34"/>
      <c r="D35" s="34">
        <f>D30+D33</f>
        <v>201.71608544000003</v>
      </c>
      <c r="E35" s="72"/>
      <c r="F35" s="34"/>
      <c r="G35" s="34">
        <f>G30+G33</f>
        <v>205.84368544000006</v>
      </c>
      <c r="H35" s="34">
        <f t="shared" si="1"/>
        <v>4.1276000000000295</v>
      </c>
      <c r="I35" s="35">
        <f t="shared" si="2"/>
        <v>2.0462423663420607E-2</v>
      </c>
      <c r="J35" s="35">
        <f t="shared" si="10"/>
        <v>0.45295581307989652</v>
      </c>
      <c r="K35" s="110">
        <f t="shared" si="11"/>
        <v>0.46058697879549132</v>
      </c>
    </row>
    <row r="36" spans="1:11" x14ac:dyDescent="0.2">
      <c r="A36" s="106" t="s">
        <v>42</v>
      </c>
      <c r="B36" s="72">
        <f>B8</f>
        <v>2172.2720000000004</v>
      </c>
      <c r="C36" s="33">
        <v>3.5999999999999999E-3</v>
      </c>
      <c r="D36" s="21">
        <f>B36*C36</f>
        <v>7.820179200000001</v>
      </c>
      <c r="E36" s="72">
        <f t="shared" si="6"/>
        <v>2172.2720000000004</v>
      </c>
      <c r="F36" s="33">
        <v>3.5999999999999999E-3</v>
      </c>
      <c r="G36" s="21">
        <f>E36*F36</f>
        <v>7.820179200000001</v>
      </c>
      <c r="H36" s="21">
        <f t="shared" si="1"/>
        <v>0</v>
      </c>
      <c r="I36" s="22">
        <f t="shared" si="2"/>
        <v>0</v>
      </c>
      <c r="J36" s="22">
        <f t="shared" si="10"/>
        <v>1.7208182123220804E-2</v>
      </c>
      <c r="K36" s="107">
        <f t="shared" si="11"/>
        <v>1.7498096692488668E-2</v>
      </c>
    </row>
    <row r="37" spans="1:11" x14ac:dyDescent="0.2">
      <c r="A37" s="106" t="s">
        <v>43</v>
      </c>
      <c r="B37" s="72">
        <f>B8</f>
        <v>2172.2720000000004</v>
      </c>
      <c r="C37" s="33">
        <v>2.0999999999999999E-3</v>
      </c>
      <c r="D37" s="21">
        <f>B37*C37</f>
        <v>4.5617712000000008</v>
      </c>
      <c r="E37" s="72">
        <f t="shared" si="6"/>
        <v>2172.2720000000004</v>
      </c>
      <c r="F37" s="33">
        <v>2.0999999999999999E-3</v>
      </c>
      <c r="G37" s="21">
        <f>E37*F37</f>
        <v>4.5617712000000008</v>
      </c>
      <c r="H37" s="21">
        <f>G37-D37</f>
        <v>0</v>
      </c>
      <c r="I37" s="22">
        <f t="shared" si="2"/>
        <v>0</v>
      </c>
      <c r="J37" s="22">
        <f t="shared" si="10"/>
        <v>1.003810623854547E-2</v>
      </c>
      <c r="K37" s="107">
        <f t="shared" si="11"/>
        <v>1.0207223070618391E-2</v>
      </c>
    </row>
    <row r="38" spans="1:11" x14ac:dyDescent="0.2">
      <c r="A38" s="106" t="s">
        <v>99</v>
      </c>
      <c r="B38" s="72">
        <f>B8</f>
        <v>2172.2720000000004</v>
      </c>
      <c r="C38" s="33">
        <v>0</v>
      </c>
      <c r="D38" s="21">
        <f>B38*C38</f>
        <v>0</v>
      </c>
      <c r="E38" s="72">
        <f t="shared" si="6"/>
        <v>2172.2720000000004</v>
      </c>
      <c r="F38" s="33">
        <v>0</v>
      </c>
      <c r="G38" s="21">
        <f>E38*F38</f>
        <v>0</v>
      </c>
      <c r="H38" s="21">
        <f>G38-D38</f>
        <v>0</v>
      </c>
      <c r="I38" s="22" t="str">
        <f t="shared" si="2"/>
        <v>N/A</v>
      </c>
      <c r="J38" s="22">
        <f t="shared" si="10"/>
        <v>0</v>
      </c>
      <c r="K38" s="107">
        <f t="shared" si="11"/>
        <v>0</v>
      </c>
    </row>
    <row r="39" spans="1:11" x14ac:dyDescent="0.2">
      <c r="A39" s="106" t="s">
        <v>44</v>
      </c>
      <c r="B39" s="72">
        <v>1</v>
      </c>
      <c r="C39" s="21">
        <v>0.25</v>
      </c>
      <c r="D39" s="21">
        <f>B39*C39</f>
        <v>0.25</v>
      </c>
      <c r="E39" s="72">
        <f t="shared" si="6"/>
        <v>1</v>
      </c>
      <c r="F39" s="21">
        <f>C39</f>
        <v>0.25</v>
      </c>
      <c r="G39" s="21">
        <f>E39*F39</f>
        <v>0.25</v>
      </c>
      <c r="H39" s="21">
        <f t="shared" si="1"/>
        <v>0</v>
      </c>
      <c r="I39" s="22">
        <f t="shared" si="2"/>
        <v>0</v>
      </c>
      <c r="J39" s="22">
        <f t="shared" si="10"/>
        <v>5.5012109323597091E-4</v>
      </c>
      <c r="K39" s="107">
        <f t="shared" si="11"/>
        <v>5.5938924943333356E-4</v>
      </c>
    </row>
    <row r="40" spans="1:11" s="1" customFormat="1" x14ac:dyDescent="0.2">
      <c r="A40" s="109" t="s">
        <v>45</v>
      </c>
      <c r="B40" s="73"/>
      <c r="C40" s="34"/>
      <c r="D40" s="34">
        <f>SUM(D36:D39)</f>
        <v>12.631950400000001</v>
      </c>
      <c r="E40" s="72"/>
      <c r="F40" s="34"/>
      <c r="G40" s="34">
        <f>SUM(G36:G39)</f>
        <v>12.631950400000001</v>
      </c>
      <c r="H40" s="34">
        <f t="shared" si="1"/>
        <v>0</v>
      </c>
      <c r="I40" s="35">
        <f t="shared" si="2"/>
        <v>0</v>
      </c>
      <c r="J40" s="35">
        <f t="shared" si="10"/>
        <v>2.7796409455002242E-2</v>
      </c>
      <c r="K40" s="110">
        <f t="shared" si="11"/>
        <v>2.8264709012540391E-2</v>
      </c>
    </row>
    <row r="41" spans="1:11" s="1" customFormat="1" ht="13.5" thickBot="1" x14ac:dyDescent="0.25">
      <c r="A41" s="111" t="s">
        <v>46</v>
      </c>
      <c r="B41" s="112">
        <f>B4</f>
        <v>1982</v>
      </c>
      <c r="C41" s="113">
        <v>7.0000000000000001E-3</v>
      </c>
      <c r="D41" s="114">
        <f>B41*C41</f>
        <v>13.874000000000001</v>
      </c>
      <c r="E41" s="115">
        <f t="shared" si="6"/>
        <v>1982</v>
      </c>
      <c r="F41" s="113">
        <f>C41</f>
        <v>7.0000000000000001E-3</v>
      </c>
      <c r="G41" s="114">
        <f>E41*F41</f>
        <v>13.874000000000001</v>
      </c>
      <c r="H41" s="114">
        <f t="shared" si="1"/>
        <v>0</v>
      </c>
      <c r="I41" s="116">
        <f t="shared" si="2"/>
        <v>0</v>
      </c>
      <c r="J41" s="116">
        <f t="shared" si="10"/>
        <v>3.0529520190223442E-2</v>
      </c>
      <c r="K41" s="117">
        <f t="shared" si="11"/>
        <v>3.1043865786552279E-2</v>
      </c>
    </row>
    <row r="42" spans="1:11" s="1" customFormat="1" x14ac:dyDescent="0.2">
      <c r="A42" s="36" t="s">
        <v>107</v>
      </c>
      <c r="B42" s="37"/>
      <c r="C42" s="38"/>
      <c r="D42" s="38">
        <f>SUM(D14,D25,D26,D27,D33,D40,D41)</f>
        <v>428.67754240000005</v>
      </c>
      <c r="E42" s="37"/>
      <c r="F42" s="38"/>
      <c r="G42" s="38">
        <f>SUM(G14,G25,G26,G27,G33,G40,G41)</f>
        <v>432.80514240000008</v>
      </c>
      <c r="H42" s="38">
        <f t="shared" si="1"/>
        <v>4.1276000000000295</v>
      </c>
      <c r="I42" s="39">
        <f t="shared" si="2"/>
        <v>9.6286826151218245E-3</v>
      </c>
      <c r="J42" s="39">
        <f t="shared" si="10"/>
        <v>0.95238095238095244</v>
      </c>
      <c r="K42" s="40"/>
    </row>
    <row r="43" spans="1:11" x14ac:dyDescent="0.2">
      <c r="A43" s="142" t="s">
        <v>108</v>
      </c>
      <c r="B43" s="42"/>
      <c r="C43" s="25">
        <v>0.13</v>
      </c>
      <c r="D43" s="25">
        <f>D42*C43</f>
        <v>55.728080512000005</v>
      </c>
      <c r="E43" s="25"/>
      <c r="F43" s="25">
        <f>C43</f>
        <v>0.13</v>
      </c>
      <c r="G43" s="25">
        <f>G42*F43</f>
        <v>56.264668512000014</v>
      </c>
      <c r="H43" s="25">
        <f t="shared" si="1"/>
        <v>0.53658800000000895</v>
      </c>
      <c r="I43" s="43">
        <f t="shared" si="2"/>
        <v>9.6286826151219165E-3</v>
      </c>
      <c r="J43" s="43">
        <f t="shared" si="10"/>
        <v>0.12380952380952381</v>
      </c>
      <c r="K43" s="44"/>
    </row>
    <row r="44" spans="1:11" s="1" customFormat="1" x14ac:dyDescent="0.2">
      <c r="A44" s="45" t="s">
        <v>109</v>
      </c>
      <c r="B44" s="23"/>
      <c r="C44" s="24"/>
      <c r="D44" s="24">
        <f>SUM(D42:D43)</f>
        <v>484.40562291200007</v>
      </c>
      <c r="E44" s="24"/>
      <c r="F44" s="24"/>
      <c r="G44" s="24">
        <f>SUM(G42:G43)</f>
        <v>489.06981091200009</v>
      </c>
      <c r="H44" s="24">
        <f t="shared" si="1"/>
        <v>4.6641880000000242</v>
      </c>
      <c r="I44" s="26">
        <f t="shared" si="2"/>
        <v>9.6286826151218054E-3</v>
      </c>
      <c r="J44" s="26">
        <f t="shared" si="10"/>
        <v>1.0761904761904761</v>
      </c>
      <c r="K44" s="46"/>
    </row>
    <row r="45" spans="1:11" x14ac:dyDescent="0.2">
      <c r="A45" s="41" t="s">
        <v>110</v>
      </c>
      <c r="B45" s="42"/>
      <c r="C45" s="25">
        <v>-0.08</v>
      </c>
      <c r="D45" s="25">
        <f>D42*C45</f>
        <v>-34.294203392000007</v>
      </c>
      <c r="E45" s="25"/>
      <c r="F45" s="25">
        <f>C45</f>
        <v>-0.08</v>
      </c>
      <c r="G45" s="25">
        <f>G42*F45</f>
        <v>-34.624411392000006</v>
      </c>
      <c r="H45" s="25">
        <f t="shared" si="1"/>
        <v>-0.33020799999999895</v>
      </c>
      <c r="I45" s="43">
        <f t="shared" si="2"/>
        <v>-9.6286826151217239E-3</v>
      </c>
      <c r="J45" s="43">
        <f t="shared" si="10"/>
        <v>-7.6190476190476183E-2</v>
      </c>
      <c r="K45" s="44"/>
    </row>
    <row r="46" spans="1:11" s="1" customFormat="1" ht="13.5" thickBot="1" x14ac:dyDescent="0.25">
      <c r="A46" s="47" t="s">
        <v>111</v>
      </c>
      <c r="B46" s="48"/>
      <c r="C46" s="49"/>
      <c r="D46" s="49">
        <f>SUM(D44:D45)</f>
        <v>450.11141952000008</v>
      </c>
      <c r="E46" s="49"/>
      <c r="F46" s="49"/>
      <c r="G46" s="49">
        <f>SUM(G44:G45)</f>
        <v>454.44539952000008</v>
      </c>
      <c r="H46" s="49">
        <f t="shared" si="1"/>
        <v>4.3339799999999968</v>
      </c>
      <c r="I46" s="50">
        <f t="shared" si="2"/>
        <v>9.6286826151217482E-3</v>
      </c>
      <c r="J46" s="50">
        <f t="shared" si="10"/>
        <v>1</v>
      </c>
      <c r="K46" s="51"/>
    </row>
    <row r="47" spans="1:11" x14ac:dyDescent="0.2">
      <c r="A47" s="52" t="s">
        <v>112</v>
      </c>
      <c r="B47" s="53"/>
      <c r="C47" s="54"/>
      <c r="D47" s="54">
        <f>SUM(D18,D25,D26,D28,D33,D40,D41)</f>
        <v>421.50667584000007</v>
      </c>
      <c r="E47" s="54"/>
      <c r="F47" s="54"/>
      <c r="G47" s="54">
        <f>SUM(G18,G25,G26,G28,G33,G40,G41)</f>
        <v>425.6342758400001</v>
      </c>
      <c r="H47" s="54">
        <f>G47-D47</f>
        <v>4.1276000000000295</v>
      </c>
      <c r="I47" s="55">
        <f t="shared" si="2"/>
        <v>9.7924902180358993E-3</v>
      </c>
      <c r="J47" s="55"/>
      <c r="K47" s="56">
        <f>G47/$G$51</f>
        <v>0.95238095238095233</v>
      </c>
    </row>
    <row r="48" spans="1:11" x14ac:dyDescent="0.2">
      <c r="A48" s="57" t="s">
        <v>108</v>
      </c>
      <c r="B48" s="58"/>
      <c r="C48" s="30">
        <v>0.13</v>
      </c>
      <c r="D48" s="30">
        <f>D47*C48</f>
        <v>54.795867859200008</v>
      </c>
      <c r="E48" s="30"/>
      <c r="F48" s="30">
        <f>C48</f>
        <v>0.13</v>
      </c>
      <c r="G48" s="30">
        <f>G47*F48</f>
        <v>55.332455859200017</v>
      </c>
      <c r="H48" s="30">
        <f>G48-D48</f>
        <v>0.53658800000000895</v>
      </c>
      <c r="I48" s="31">
        <f t="shared" si="2"/>
        <v>9.792490218035993E-3</v>
      </c>
      <c r="J48" s="31"/>
      <c r="K48" s="59">
        <f>G48/$G$51</f>
        <v>0.12380952380952381</v>
      </c>
    </row>
    <row r="49" spans="1:11" x14ac:dyDescent="0.2">
      <c r="A49" s="135" t="s">
        <v>113</v>
      </c>
      <c r="B49" s="28"/>
      <c r="C49" s="29"/>
      <c r="D49" s="29">
        <f>SUM(D47:D48)</f>
        <v>476.3025436992001</v>
      </c>
      <c r="E49" s="29"/>
      <c r="F49" s="29"/>
      <c r="G49" s="29">
        <f>SUM(G47:G48)</f>
        <v>480.96673169920012</v>
      </c>
      <c r="H49" s="29">
        <f>G49-D49</f>
        <v>4.6641880000000242</v>
      </c>
      <c r="I49" s="32">
        <f t="shared" si="2"/>
        <v>9.7924902180358802E-3</v>
      </c>
      <c r="J49" s="32"/>
      <c r="K49" s="61">
        <f>G49/$G$51</f>
        <v>1.0761904761904761</v>
      </c>
    </row>
    <row r="50" spans="1:11" x14ac:dyDescent="0.2">
      <c r="A50" s="57" t="s">
        <v>110</v>
      </c>
      <c r="B50" s="58"/>
      <c r="C50" s="30">
        <v>-0.08</v>
      </c>
      <c r="D50" s="30">
        <f>D47*C50</f>
        <v>-33.720534067200006</v>
      </c>
      <c r="E50" s="30"/>
      <c r="F50" s="30">
        <f>C50</f>
        <v>-0.08</v>
      </c>
      <c r="G50" s="30">
        <f>G47*F50</f>
        <v>-34.050742067200005</v>
      </c>
      <c r="H50" s="30">
        <f>G50-D50</f>
        <v>-0.33020799999999895</v>
      </c>
      <c r="I50" s="31">
        <f t="shared" si="2"/>
        <v>-9.7924902180357987E-3</v>
      </c>
      <c r="J50" s="31"/>
      <c r="K50" s="59">
        <f>G50/$G$51</f>
        <v>-7.6190476190476183E-2</v>
      </c>
    </row>
    <row r="51" spans="1:11" ht="13.5" thickBot="1" x14ac:dyDescent="0.25">
      <c r="A51" s="62" t="s">
        <v>114</v>
      </c>
      <c r="B51" s="63"/>
      <c r="C51" s="64"/>
      <c r="D51" s="64">
        <f>SUM(D49:D50)</f>
        <v>442.58200963200011</v>
      </c>
      <c r="E51" s="64"/>
      <c r="F51" s="64"/>
      <c r="G51" s="64">
        <f>SUM(G49:G50)</f>
        <v>446.91598963200011</v>
      </c>
      <c r="H51" s="64">
        <f>G51-D51</f>
        <v>4.3339799999999968</v>
      </c>
      <c r="I51" s="65">
        <f t="shared" si="2"/>
        <v>9.7924902180358212E-3</v>
      </c>
      <c r="J51" s="65"/>
      <c r="K51" s="66">
        <f>G51/$G$51</f>
        <v>1</v>
      </c>
    </row>
    <row r="52" spans="1:11" x14ac:dyDescent="0.2">
      <c r="C52" s="67"/>
      <c r="F52" s="68"/>
    </row>
    <row r="53" spans="1:11" x14ac:dyDescent="0.2">
      <c r="F53" s="68"/>
    </row>
    <row r="54" spans="1:11" x14ac:dyDescent="0.2">
      <c r="F54" s="68"/>
    </row>
    <row r="55" spans="1:11" x14ac:dyDescent="0.2">
      <c r="A55" s="69"/>
      <c r="B55" s="70"/>
      <c r="F55" s="68"/>
    </row>
    <row r="56" spans="1:11" x14ac:dyDescent="0.2">
      <c r="B56" s="70"/>
      <c r="F56" s="68"/>
    </row>
    <row r="57" spans="1:11" x14ac:dyDescent="0.2">
      <c r="F57" s="68"/>
    </row>
    <row r="58" spans="1:11" x14ac:dyDescent="0.2">
      <c r="D58" s="71"/>
      <c r="F58" s="68"/>
    </row>
    <row r="59" spans="1:11" x14ac:dyDescent="0.2">
      <c r="F59" s="68"/>
    </row>
    <row r="60" spans="1:11" x14ac:dyDescent="0.2">
      <c r="A60" s="69"/>
      <c r="B60" s="70"/>
      <c r="F60" s="68"/>
    </row>
    <row r="61" spans="1:11" x14ac:dyDescent="0.2">
      <c r="B61" s="71"/>
      <c r="D61" s="71"/>
      <c r="F61" s="68"/>
    </row>
    <row r="62" spans="1:11" x14ac:dyDescent="0.2">
      <c r="F62" s="68"/>
    </row>
    <row r="63" spans="1:11" x14ac:dyDescent="0.2">
      <c r="F63" s="68"/>
    </row>
    <row r="64" spans="1:11" x14ac:dyDescent="0.2">
      <c r="F64" s="68"/>
      <c r="K64"/>
    </row>
    <row r="65" spans="6:11" x14ac:dyDescent="0.2">
      <c r="F65" s="68"/>
      <c r="K65"/>
    </row>
    <row r="66" spans="6:11" x14ac:dyDescent="0.2">
      <c r="F66" s="68"/>
      <c r="K66"/>
    </row>
    <row r="67" spans="6:11" x14ac:dyDescent="0.2">
      <c r="F67" s="68"/>
      <c r="K67"/>
    </row>
    <row r="68" spans="6:11" x14ac:dyDescent="0.2">
      <c r="F68" s="68"/>
      <c r="K68"/>
    </row>
  </sheetData>
  <mergeCells count="1">
    <mergeCell ref="A1:K1"/>
  </mergeCells>
  <pageMargins left="0.7" right="0.7" top="0.75" bottom="0.75" header="0.3" footer="0.3"/>
  <pageSetup scale="7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1">
    <tabColor theme="1" tint="0.499984740745262"/>
    <pageSetUpPr fitToPage="1"/>
  </sheetPr>
  <dimension ref="A1:K68"/>
  <sheetViews>
    <sheetView tabSelected="1"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3"/>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205" t="s">
        <v>128</v>
      </c>
      <c r="B1" s="206"/>
      <c r="C1" s="206"/>
      <c r="D1" s="206"/>
      <c r="E1" s="206"/>
      <c r="F1" s="206"/>
      <c r="G1" s="206"/>
      <c r="H1" s="206"/>
      <c r="I1" s="206"/>
      <c r="J1" s="206"/>
      <c r="K1" s="207"/>
    </row>
    <row r="3" spans="1:11" x14ac:dyDescent="0.2">
      <c r="A3" s="12" t="s">
        <v>13</v>
      </c>
      <c r="B3" s="12" t="s">
        <v>4</v>
      </c>
    </row>
    <row r="4" spans="1:11" x14ac:dyDescent="0.2">
      <c r="A4" s="14" t="s">
        <v>62</v>
      </c>
      <c r="B4" s="147">
        <v>15000</v>
      </c>
    </row>
    <row r="5" spans="1:11" x14ac:dyDescent="0.2">
      <c r="A5" s="14" t="s">
        <v>16</v>
      </c>
      <c r="B5" s="14">
        <f>VLOOKUP($B$3,'Data for Bill Impacts'!$A$3:$Y$15,5,0)</f>
        <v>0</v>
      </c>
    </row>
    <row r="6" spans="1:11" x14ac:dyDescent="0.2">
      <c r="A6" s="14" t="s">
        <v>20</v>
      </c>
      <c r="B6" s="14">
        <f>VLOOKUP($B$3,'Data for Bill Impacts'!$A$3:$Y$15,2,0)</f>
        <v>1.0960000000000001</v>
      </c>
    </row>
    <row r="7" spans="1:11" x14ac:dyDescent="0.2">
      <c r="A7" s="14" t="s">
        <v>15</v>
      </c>
      <c r="B7" s="14">
        <f>VLOOKUP($B$3,'Data for Bill Impacts'!$A$3:$Y$15,4,0)</f>
        <v>750</v>
      </c>
    </row>
    <row r="8" spans="1:11" x14ac:dyDescent="0.2">
      <c r="A8" s="14" t="s">
        <v>82</v>
      </c>
      <c r="B8" s="14">
        <f>B4*B6</f>
        <v>16440</v>
      </c>
    </row>
    <row r="9" spans="1:11" x14ac:dyDescent="0.2">
      <c r="A9" s="14" t="s">
        <v>21</v>
      </c>
      <c r="B9" s="15" t="str">
        <f>VLOOKUP($B$3,'Data for Bill Impacts'!$A$3:$Y$15,6,0)</f>
        <v>kWh</v>
      </c>
    </row>
    <row r="10" spans="1:11" ht="13.5" thickBot="1" x14ac:dyDescent="0.25"/>
    <row r="11" spans="1:11" s="19" customFormat="1" ht="39" thickBot="1" x14ac:dyDescent="0.25">
      <c r="A11" s="16"/>
      <c r="B11" s="17" t="s">
        <v>22</v>
      </c>
      <c r="C11" s="17" t="s">
        <v>23</v>
      </c>
      <c r="D11" s="17" t="s">
        <v>24</v>
      </c>
      <c r="E11" s="17" t="s">
        <v>22</v>
      </c>
      <c r="F11" s="17" t="s">
        <v>25</v>
      </c>
      <c r="G11" s="17" t="s">
        <v>26</v>
      </c>
      <c r="H11" s="17" t="s">
        <v>27</v>
      </c>
      <c r="I11" s="17" t="s">
        <v>28</v>
      </c>
      <c r="J11" s="17" t="s">
        <v>29</v>
      </c>
      <c r="K11" s="18" t="s">
        <v>30</v>
      </c>
    </row>
    <row r="12" spans="1:11" x14ac:dyDescent="0.2">
      <c r="A12" s="100" t="s">
        <v>31</v>
      </c>
      <c r="B12" s="101">
        <f>IF(B4&gt;B7,B7,B4)</f>
        <v>750</v>
      </c>
      <c r="C12" s="102">
        <v>9.0999999999999998E-2</v>
      </c>
      <c r="D12" s="103">
        <f>B12*C12</f>
        <v>68.25</v>
      </c>
      <c r="E12" s="101">
        <f>B12</f>
        <v>750</v>
      </c>
      <c r="F12" s="102">
        <f>C12</f>
        <v>9.0999999999999998E-2</v>
      </c>
      <c r="G12" s="103">
        <f>E12*F12</f>
        <v>68.25</v>
      </c>
      <c r="H12" s="103">
        <f>G12-D12</f>
        <v>0</v>
      </c>
      <c r="I12" s="104">
        <f>IF(ISERROR(H12/ABS(D12)),"N/A",(H12/ABS(D12)))</f>
        <v>0</v>
      </c>
      <c r="J12" s="104">
        <f>G12/$G$46</f>
        <v>2.074834492048596E-2</v>
      </c>
      <c r="K12" s="105"/>
    </row>
    <row r="13" spans="1:11" x14ac:dyDescent="0.2">
      <c r="A13" s="106" t="s">
        <v>32</v>
      </c>
      <c r="B13" s="72">
        <f>IF(B4&gt;B7,(B4)-B7,0)</f>
        <v>14250</v>
      </c>
      <c r="C13" s="20">
        <v>0.106</v>
      </c>
      <c r="D13" s="21">
        <f>B13*C13</f>
        <v>1510.5</v>
      </c>
      <c r="E13" s="72">
        <f t="shared" ref="E13" si="0">B13</f>
        <v>14250</v>
      </c>
      <c r="F13" s="20">
        <f>C13</f>
        <v>0.106</v>
      </c>
      <c r="G13" s="21">
        <f>E13*F13</f>
        <v>1510.5</v>
      </c>
      <c r="H13" s="21">
        <f t="shared" ref="H13:H46" si="1">G13-D13</f>
        <v>0</v>
      </c>
      <c r="I13" s="22">
        <f t="shared" ref="I13:I51" si="2">IF(ISERROR(H13/ABS(D13)),"N/A",(H13/ABS(D13)))</f>
        <v>0</v>
      </c>
      <c r="J13" s="22">
        <f>G13/$G$46</f>
        <v>0.45919963373471123</v>
      </c>
      <c r="K13" s="107"/>
    </row>
    <row r="14" spans="1:11" s="1" customFormat="1" x14ac:dyDescent="0.2">
      <c r="A14" s="45" t="s">
        <v>33</v>
      </c>
      <c r="B14" s="23"/>
      <c r="C14" s="24"/>
      <c r="D14" s="24">
        <f>SUM(D12:D13)</f>
        <v>1578.75</v>
      </c>
      <c r="E14" s="75"/>
      <c r="F14" s="24"/>
      <c r="G14" s="24">
        <f>SUM(G12:G13)</f>
        <v>1578.75</v>
      </c>
      <c r="H14" s="24">
        <f t="shared" si="1"/>
        <v>0</v>
      </c>
      <c r="I14" s="26">
        <f t="shared" si="2"/>
        <v>0</v>
      </c>
      <c r="J14" s="26">
        <f>G14/$G$46</f>
        <v>0.47994797865519717</v>
      </c>
      <c r="K14" s="107"/>
    </row>
    <row r="15" spans="1:11" s="1" customFormat="1" x14ac:dyDescent="0.2">
      <c r="A15" s="108" t="s">
        <v>34</v>
      </c>
      <c r="B15" s="74">
        <f>B4*0.65</f>
        <v>9750</v>
      </c>
      <c r="C15" s="27">
        <v>7.6999999999999999E-2</v>
      </c>
      <c r="D15" s="21">
        <f>B15*C15</f>
        <v>750.75</v>
      </c>
      <c r="E15" s="72">
        <f t="shared" ref="E15:F17" si="3">B15</f>
        <v>9750</v>
      </c>
      <c r="F15" s="27">
        <f t="shared" si="3"/>
        <v>7.6999999999999999E-2</v>
      </c>
      <c r="G15" s="21">
        <f>E15*F15</f>
        <v>750.75</v>
      </c>
      <c r="H15" s="21">
        <f t="shared" si="1"/>
        <v>0</v>
      </c>
      <c r="I15" s="22">
        <f t="shared" si="2"/>
        <v>0</v>
      </c>
      <c r="J15" s="22"/>
      <c r="K15" s="107">
        <f t="shared" ref="K15:K26" si="4">G15/$G$51</f>
        <v>0.23796695940263698</v>
      </c>
    </row>
    <row r="16" spans="1:11" s="1" customFormat="1" x14ac:dyDescent="0.2">
      <c r="A16" s="108" t="s">
        <v>35</v>
      </c>
      <c r="B16" s="74">
        <f>B4*0.17</f>
        <v>2550</v>
      </c>
      <c r="C16" s="27">
        <v>0.113</v>
      </c>
      <c r="D16" s="21">
        <f>B16*C16</f>
        <v>288.15000000000003</v>
      </c>
      <c r="E16" s="72">
        <f t="shared" si="3"/>
        <v>2550</v>
      </c>
      <c r="F16" s="27">
        <f t="shared" si="3"/>
        <v>0.113</v>
      </c>
      <c r="G16" s="21">
        <f>E16*F16</f>
        <v>288.15000000000003</v>
      </c>
      <c r="H16" s="21">
        <f t="shared" si="1"/>
        <v>0</v>
      </c>
      <c r="I16" s="22">
        <f t="shared" si="2"/>
        <v>0</v>
      </c>
      <c r="J16" s="22"/>
      <c r="K16" s="107">
        <f t="shared" si="4"/>
        <v>9.1335570232260882E-2</v>
      </c>
    </row>
    <row r="17" spans="1:11" s="1" customFormat="1" x14ac:dyDescent="0.2">
      <c r="A17" s="108" t="s">
        <v>36</v>
      </c>
      <c r="B17" s="74">
        <f>B4*0.18</f>
        <v>2700</v>
      </c>
      <c r="C17" s="27">
        <v>0.157</v>
      </c>
      <c r="D17" s="21">
        <f>B17*C17</f>
        <v>423.9</v>
      </c>
      <c r="E17" s="72">
        <f t="shared" si="3"/>
        <v>2700</v>
      </c>
      <c r="F17" s="27">
        <f t="shared" si="3"/>
        <v>0.157</v>
      </c>
      <c r="G17" s="21">
        <f>E17*F17</f>
        <v>423.9</v>
      </c>
      <c r="H17" s="21">
        <f t="shared" si="1"/>
        <v>0</v>
      </c>
      <c r="I17" s="22">
        <f t="shared" si="2"/>
        <v>0</v>
      </c>
      <c r="J17" s="22"/>
      <c r="K17" s="107">
        <f t="shared" si="4"/>
        <v>0.13436456089347695</v>
      </c>
    </row>
    <row r="18" spans="1:11" s="1" customFormat="1" x14ac:dyDescent="0.2">
      <c r="A18" s="60" t="s">
        <v>37</v>
      </c>
      <c r="B18" s="28"/>
      <c r="C18" s="29"/>
      <c r="D18" s="29">
        <f>SUM(D15:D17)</f>
        <v>1462.8000000000002</v>
      </c>
      <c r="E18" s="76"/>
      <c r="F18" s="29"/>
      <c r="G18" s="29">
        <f>SUM(G15:G17)</f>
        <v>1462.8000000000002</v>
      </c>
      <c r="H18" s="30">
        <f t="shared" si="1"/>
        <v>0</v>
      </c>
      <c r="I18" s="31">
        <f t="shared" si="2"/>
        <v>0</v>
      </c>
      <c r="J18" s="32">
        <f t="shared" ref="J18:J23" si="5">G18/$G$46</f>
        <v>0.44469859266940459</v>
      </c>
      <c r="K18" s="61">
        <f t="shared" si="4"/>
        <v>0.46366709052837485</v>
      </c>
    </row>
    <row r="19" spans="1:11" x14ac:dyDescent="0.2">
      <c r="A19" s="106" t="s">
        <v>38</v>
      </c>
      <c r="B19" s="72">
        <v>1</v>
      </c>
      <c r="C19" s="77">
        <f>VLOOKUP($B$3,'Data for Bill Impacts'!$A$3:$Y$15,7,0)</f>
        <v>31.38</v>
      </c>
      <c r="D19" s="21">
        <f>B19*C19</f>
        <v>31.38</v>
      </c>
      <c r="E19" s="72">
        <f t="shared" ref="E19:E41" si="6">B19</f>
        <v>1</v>
      </c>
      <c r="F19" s="77">
        <f>VLOOKUP($B$3,'Data for Bill Impacts'!$A$3:$Y$15,17,0)</f>
        <v>31.94</v>
      </c>
      <c r="G19" s="21">
        <f>E19*F19</f>
        <v>31.94</v>
      </c>
      <c r="H19" s="21">
        <f t="shared" si="1"/>
        <v>0.56000000000000227</v>
      </c>
      <c r="I19" s="22">
        <f t="shared" si="2"/>
        <v>1.7845761631612566E-2</v>
      </c>
      <c r="J19" s="22">
        <f t="shared" si="5"/>
        <v>9.7099214177336496E-3</v>
      </c>
      <c r="K19" s="107">
        <f t="shared" si="4"/>
        <v>1.0124095482278023E-2</v>
      </c>
    </row>
    <row r="20" spans="1:11" hidden="1" x14ac:dyDescent="0.2">
      <c r="A20" s="106" t="s">
        <v>83</v>
      </c>
      <c r="B20" s="72">
        <v>1</v>
      </c>
      <c r="C20" s="77">
        <f>VLOOKUP($B$3,'Data for Bill Impacts'!$A$3:$Y$15,8,0)</f>
        <v>0</v>
      </c>
      <c r="D20" s="21">
        <f>B20*C20</f>
        <v>0</v>
      </c>
      <c r="E20" s="72">
        <f t="shared" si="6"/>
        <v>1</v>
      </c>
      <c r="F20" s="77">
        <v>0</v>
      </c>
      <c r="G20" s="21">
        <f t="shared" ref="G20:G22" si="7">E20*F20</f>
        <v>0</v>
      </c>
      <c r="H20" s="21">
        <f t="shared" si="1"/>
        <v>0</v>
      </c>
      <c r="I20" s="22" t="str">
        <f t="shared" si="2"/>
        <v>N/A</v>
      </c>
      <c r="J20" s="22">
        <f t="shared" si="5"/>
        <v>0</v>
      </c>
      <c r="K20" s="107">
        <f t="shared" si="4"/>
        <v>0</v>
      </c>
    </row>
    <row r="21" spans="1:11" hidden="1" x14ac:dyDescent="0.2">
      <c r="A21" s="106" t="s">
        <v>84</v>
      </c>
      <c r="B21" s="72">
        <v>1</v>
      </c>
      <c r="C21" s="77">
        <f>VLOOKUP($B$3,'Data for Bill Impacts'!$A$3:$Y$15,11,0)</f>
        <v>0</v>
      </c>
      <c r="D21" s="21">
        <f t="shared" ref="D21:D22" si="8">B21*C21</f>
        <v>0</v>
      </c>
      <c r="E21" s="72">
        <f t="shared" si="6"/>
        <v>1</v>
      </c>
      <c r="F21" s="120">
        <f>VLOOKUP($B$3,'Data for Bill Impacts'!$A$3:$Y$15,12,0)</f>
        <v>0</v>
      </c>
      <c r="G21" s="21">
        <f t="shared" si="7"/>
        <v>0</v>
      </c>
      <c r="H21" s="21">
        <f t="shared" si="1"/>
        <v>0</v>
      </c>
      <c r="I21" s="22" t="str">
        <f t="shared" si="2"/>
        <v>N/A</v>
      </c>
      <c r="J21" s="22">
        <f t="shared" si="5"/>
        <v>0</v>
      </c>
      <c r="K21" s="107">
        <f t="shared" si="4"/>
        <v>0</v>
      </c>
    </row>
    <row r="22" spans="1:11" x14ac:dyDescent="0.2">
      <c r="A22" s="106" t="s">
        <v>85</v>
      </c>
      <c r="B22" s="72">
        <v>1</v>
      </c>
      <c r="C22" s="120">
        <f>VLOOKUP($B$3,'Data for Bill Impacts'!$A$3:$Y$15,13,0)</f>
        <v>2E-3</v>
      </c>
      <c r="D22" s="21">
        <f t="shared" si="8"/>
        <v>2E-3</v>
      </c>
      <c r="E22" s="72">
        <f t="shared" si="6"/>
        <v>1</v>
      </c>
      <c r="F22" s="120">
        <f>VLOOKUP($B$3,'Data for Bill Impacts'!$A$3:$Y$15,22,0)</f>
        <v>2E-3</v>
      </c>
      <c r="G22" s="21">
        <f t="shared" si="7"/>
        <v>2E-3</v>
      </c>
      <c r="H22" s="21">
        <f t="shared" si="1"/>
        <v>0</v>
      </c>
      <c r="I22" s="22">
        <f t="shared" si="2"/>
        <v>0</v>
      </c>
      <c r="J22" s="22">
        <f t="shared" si="5"/>
        <v>6.0801010756002808E-7</v>
      </c>
      <c r="K22" s="107">
        <f t="shared" si="4"/>
        <v>6.3394461379323876E-7</v>
      </c>
    </row>
    <row r="23" spans="1:11" x14ac:dyDescent="0.2">
      <c r="A23" s="106" t="s">
        <v>39</v>
      </c>
      <c r="B23" s="72">
        <f>IF($B$9="kWh",$B$4,$B$5)</f>
        <v>15000</v>
      </c>
      <c r="C23" s="124">
        <f>VLOOKUP($B$3,'Data for Bill Impacts'!$A$3:$Y$15,10,0)</f>
        <v>6.5199999999999994E-2</v>
      </c>
      <c r="D23" s="21">
        <f>B23*C23</f>
        <v>977.99999999999989</v>
      </c>
      <c r="E23" s="72">
        <f t="shared" si="6"/>
        <v>15000</v>
      </c>
      <c r="F23" s="124">
        <f>VLOOKUP($B$3,'Data for Bill Impacts'!$A$3:$Y$15,19,0)</f>
        <v>6.7000000000000004E-2</v>
      </c>
      <c r="G23" s="21">
        <f>E23*F23</f>
        <v>1005.0000000000001</v>
      </c>
      <c r="H23" s="21">
        <f t="shared" si="1"/>
        <v>27.000000000000227</v>
      </c>
      <c r="I23" s="22">
        <f t="shared" si="2"/>
        <v>2.760736196319042E-2</v>
      </c>
      <c r="J23" s="22">
        <f t="shared" si="5"/>
        <v>0.30552507904891418</v>
      </c>
      <c r="K23" s="107">
        <f t="shared" si="4"/>
        <v>0.31855716843110249</v>
      </c>
    </row>
    <row r="24" spans="1:11" x14ac:dyDescent="0.2">
      <c r="A24" s="106" t="s">
        <v>129</v>
      </c>
      <c r="B24" s="72">
        <f>IF($B$9="kWh",$B$4,$B$5)</f>
        <v>15000</v>
      </c>
      <c r="C24" s="77">
        <f>VLOOKUP($B$3,'Data for Bill Impacts'!$A$3:$Y$15,14,0)</f>
        <v>2.0000000000000002E-5</v>
      </c>
      <c r="D24" s="33">
        <f>B24*C24</f>
        <v>0.30000000000000004</v>
      </c>
      <c r="E24" s="72">
        <f t="shared" si="6"/>
        <v>15000</v>
      </c>
      <c r="F24" s="77">
        <f>VLOOKUP($B$3,'Data for Bill Impacts'!$A$3:$Y$15,23,0)</f>
        <v>2.0000000000000002E-5</v>
      </c>
      <c r="G24" s="33">
        <f>E24*F24</f>
        <v>0.30000000000000004</v>
      </c>
      <c r="H24" s="21">
        <f t="shared" si="1"/>
        <v>0</v>
      </c>
      <c r="I24" s="22">
        <f t="shared" si="2"/>
        <v>0</v>
      </c>
      <c r="J24" s="22">
        <f t="shared" ref="J24" si="9">G24/$G$46</f>
        <v>9.1201516134004225E-5</v>
      </c>
      <c r="K24" s="107">
        <f t="shared" si="4"/>
        <v>9.509169206898582E-5</v>
      </c>
    </row>
    <row r="25" spans="1:11" s="1" customFormat="1" x14ac:dyDescent="0.2">
      <c r="A25" s="109" t="s">
        <v>72</v>
      </c>
      <c r="B25" s="73"/>
      <c r="C25" s="34"/>
      <c r="D25" s="34">
        <f>SUM(D19:D24)</f>
        <v>1009.6819999999998</v>
      </c>
      <c r="E25" s="72"/>
      <c r="F25" s="34"/>
      <c r="G25" s="34">
        <f>SUM(G19:G24)</f>
        <v>1037.242</v>
      </c>
      <c r="H25" s="34">
        <f t="shared" si="1"/>
        <v>27.560000000000173</v>
      </c>
      <c r="I25" s="35">
        <f t="shared" si="2"/>
        <v>2.7295722811736943E-2</v>
      </c>
      <c r="J25" s="35">
        <f>G25/$G$46</f>
        <v>0.31532680999288931</v>
      </c>
      <c r="K25" s="110">
        <f t="shared" si="4"/>
        <v>0.32877698955006324</v>
      </c>
    </row>
    <row r="26" spans="1:11" s="1" customFormat="1" x14ac:dyDescent="0.2">
      <c r="A26" s="118" t="s">
        <v>73</v>
      </c>
      <c r="B26" s="119">
        <v>1</v>
      </c>
      <c r="C26" s="77">
        <f>VLOOKUP($B$3,'Data for Bill Impacts'!$A$3:$Y$15,9,0)</f>
        <v>0.79</v>
      </c>
      <c r="D26" s="21">
        <f>B26*C26</f>
        <v>0.79</v>
      </c>
      <c r="E26" s="72">
        <v>1</v>
      </c>
      <c r="F26" s="77">
        <f>VLOOKUP($B$3,'Data for Bill Impacts'!$A$3:$Y$15,18,0)</f>
        <v>0.79</v>
      </c>
      <c r="G26" s="21">
        <f>E26*F26</f>
        <v>0.79</v>
      </c>
      <c r="H26" s="21">
        <f t="shared" si="1"/>
        <v>0</v>
      </c>
      <c r="I26" s="22">
        <f t="shared" si="2"/>
        <v>0</v>
      </c>
      <c r="J26" s="22">
        <f>G26/$G$46</f>
        <v>2.4016399248621111E-4</v>
      </c>
      <c r="K26" s="107">
        <f t="shared" si="4"/>
        <v>2.5040812244832929E-4</v>
      </c>
    </row>
    <row r="27" spans="1:11" s="1" customFormat="1" x14ac:dyDescent="0.2">
      <c r="A27" s="118" t="s">
        <v>75</v>
      </c>
      <c r="B27" s="119">
        <f>B8-B4</f>
        <v>1440</v>
      </c>
      <c r="C27" s="186">
        <f>IF(B4&gt;B7,C13,C12)</f>
        <v>0.106</v>
      </c>
      <c r="D27" s="21">
        <f>B27*C27</f>
        <v>152.63999999999999</v>
      </c>
      <c r="E27" s="72">
        <f>B27</f>
        <v>1440</v>
      </c>
      <c r="F27" s="186">
        <f>C27</f>
        <v>0.106</v>
      </c>
      <c r="G27" s="21">
        <f>E27*F27</f>
        <v>152.63999999999999</v>
      </c>
      <c r="H27" s="21">
        <f t="shared" si="1"/>
        <v>0</v>
      </c>
      <c r="I27" s="22">
        <f t="shared" si="2"/>
        <v>0</v>
      </c>
      <c r="J27" s="22">
        <f t="shared" ref="J27:J46" si="10">G27/$G$46</f>
        <v>4.6403331408981341E-2</v>
      </c>
      <c r="K27" s="107">
        <f t="shared" ref="K27:K41" si="11">G27/$G$51</f>
        <v>4.8382652924699975E-2</v>
      </c>
    </row>
    <row r="28" spans="1:11" s="1" customFormat="1" x14ac:dyDescent="0.2">
      <c r="A28" s="118" t="s">
        <v>74</v>
      </c>
      <c r="B28" s="119">
        <f>B8-B4</f>
        <v>1440</v>
      </c>
      <c r="C28" s="186">
        <f>0.65*C15+0.17*C16+0.18*C17</f>
        <v>9.7519999999999996E-2</v>
      </c>
      <c r="D28" s="21">
        <f>B28*C28</f>
        <v>140.4288</v>
      </c>
      <c r="E28" s="72">
        <f>B28</f>
        <v>1440</v>
      </c>
      <c r="F28" s="186">
        <f>C28</f>
        <v>9.7519999999999996E-2</v>
      </c>
      <c r="G28" s="21">
        <f>E28*F28</f>
        <v>140.4288</v>
      </c>
      <c r="H28" s="21">
        <f t="shared" si="1"/>
        <v>0</v>
      </c>
      <c r="I28" s="22">
        <f t="shared" si="2"/>
        <v>0</v>
      </c>
      <c r="J28" s="22">
        <f t="shared" si="10"/>
        <v>4.2691064896262836E-2</v>
      </c>
      <c r="K28" s="107">
        <f t="shared" si="11"/>
        <v>4.4512040690723981E-2</v>
      </c>
    </row>
    <row r="29" spans="1:11" s="1" customFormat="1" x14ac:dyDescent="0.2">
      <c r="A29" s="109" t="s">
        <v>78</v>
      </c>
      <c r="B29" s="73"/>
      <c r="C29" s="34"/>
      <c r="D29" s="34">
        <f>SUM(D25,D26:D27)</f>
        <v>1163.1119999999996</v>
      </c>
      <c r="E29" s="72"/>
      <c r="F29" s="34"/>
      <c r="G29" s="34">
        <f>SUM(G25,G26:G27)</f>
        <v>1190.672</v>
      </c>
      <c r="H29" s="34">
        <f t="shared" si="1"/>
        <v>27.5600000000004</v>
      </c>
      <c r="I29" s="35">
        <f t="shared" si="2"/>
        <v>2.3695052583070596E-2</v>
      </c>
      <c r="J29" s="35">
        <f t="shared" si="10"/>
        <v>0.36197030539435687</v>
      </c>
      <c r="K29" s="110">
        <f t="shared" si="11"/>
        <v>0.37741005059721161</v>
      </c>
    </row>
    <row r="30" spans="1:11" s="1" customFormat="1" x14ac:dyDescent="0.2">
      <c r="A30" s="109" t="s">
        <v>77</v>
      </c>
      <c r="B30" s="73"/>
      <c r="C30" s="34"/>
      <c r="D30" s="34">
        <f>SUM(D25,D26,D28)</f>
        <v>1150.9007999999997</v>
      </c>
      <c r="E30" s="72"/>
      <c r="F30" s="34"/>
      <c r="G30" s="34">
        <f>SUM(G25,G26,G28)</f>
        <v>1178.4607999999998</v>
      </c>
      <c r="H30" s="34">
        <f t="shared" si="1"/>
        <v>27.560000000000173</v>
      </c>
      <c r="I30" s="35">
        <f t="shared" si="2"/>
        <v>2.3946460025051838E-2</v>
      </c>
      <c r="J30" s="35">
        <f t="shared" si="10"/>
        <v>0.35825803888163832</v>
      </c>
      <c r="K30" s="110">
        <f t="shared" si="11"/>
        <v>0.3735394383632355</v>
      </c>
    </row>
    <row r="31" spans="1:11" x14ac:dyDescent="0.2">
      <c r="A31" s="106" t="s">
        <v>40</v>
      </c>
      <c r="B31" s="72">
        <f>B8</f>
        <v>16440</v>
      </c>
      <c r="C31" s="124">
        <f>VLOOKUP($B$3,'Data for Bill Impacts'!$A$3:$Y$15,15,0)</f>
        <v>5.4999999999999997E-3</v>
      </c>
      <c r="D31" s="21">
        <f>B31*C31</f>
        <v>90.42</v>
      </c>
      <c r="E31" s="72">
        <f t="shared" si="6"/>
        <v>16440</v>
      </c>
      <c r="F31" s="77">
        <f>VLOOKUP($B$3,'Data for Bill Impacts'!$A$3:$Y$15,24,0)</f>
        <v>5.4999999999999997E-3</v>
      </c>
      <c r="G31" s="21">
        <f>E31*F31</f>
        <v>90.42</v>
      </c>
      <c r="H31" s="21">
        <f t="shared" si="1"/>
        <v>0</v>
      </c>
      <c r="I31" s="22">
        <f t="shared" si="2"/>
        <v>0</v>
      </c>
      <c r="J31" s="22">
        <f t="shared" si="10"/>
        <v>2.7488136962788869E-2</v>
      </c>
      <c r="K31" s="107">
        <f t="shared" si="11"/>
        <v>2.8660635989592325E-2</v>
      </c>
    </row>
    <row r="32" spans="1:11" x14ac:dyDescent="0.2">
      <c r="A32" s="106" t="s">
        <v>41</v>
      </c>
      <c r="B32" s="72">
        <f>B8</f>
        <v>16440</v>
      </c>
      <c r="C32" s="124">
        <f>VLOOKUP($B$3,'Data for Bill Impacts'!$A$3:$Y$15,16,0)</f>
        <v>4.4999999999999997E-3</v>
      </c>
      <c r="D32" s="21">
        <f>B32*C32</f>
        <v>73.97999999999999</v>
      </c>
      <c r="E32" s="72">
        <f t="shared" si="6"/>
        <v>16440</v>
      </c>
      <c r="F32" s="77">
        <f>VLOOKUP($B$3,'Data for Bill Impacts'!$A$3:$Y$15,25,0)</f>
        <v>4.4999999999999997E-3</v>
      </c>
      <c r="G32" s="21">
        <f>E32*F32</f>
        <v>73.97999999999999</v>
      </c>
      <c r="H32" s="21">
        <f t="shared" si="1"/>
        <v>0</v>
      </c>
      <c r="I32" s="22">
        <f t="shared" si="2"/>
        <v>0</v>
      </c>
      <c r="J32" s="22">
        <f t="shared" si="10"/>
        <v>2.2490293878645436E-2</v>
      </c>
      <c r="K32" s="107">
        <f t="shared" si="11"/>
        <v>2.3449611264211898E-2</v>
      </c>
    </row>
    <row r="33" spans="1:11" s="1" customFormat="1" x14ac:dyDescent="0.2">
      <c r="A33" s="109" t="s">
        <v>76</v>
      </c>
      <c r="B33" s="73"/>
      <c r="C33" s="34"/>
      <c r="D33" s="34">
        <f>SUM(D31:D32)</f>
        <v>164.39999999999998</v>
      </c>
      <c r="E33" s="72"/>
      <c r="F33" s="34"/>
      <c r="G33" s="34">
        <f>SUM(G31:G32)</f>
        <v>164.39999999999998</v>
      </c>
      <c r="H33" s="34">
        <f t="shared" si="1"/>
        <v>0</v>
      </c>
      <c r="I33" s="35">
        <f t="shared" si="2"/>
        <v>0</v>
      </c>
      <c r="J33" s="35">
        <f t="shared" si="10"/>
        <v>4.9978430841434301E-2</v>
      </c>
      <c r="K33" s="110">
        <f t="shared" si="11"/>
        <v>5.2110247253804219E-2</v>
      </c>
    </row>
    <row r="34" spans="1:11" s="1" customFormat="1" x14ac:dyDescent="0.2">
      <c r="A34" s="109" t="s">
        <v>93</v>
      </c>
      <c r="B34" s="73"/>
      <c r="C34" s="34"/>
      <c r="D34" s="34">
        <f>D29+D33</f>
        <v>1327.5119999999997</v>
      </c>
      <c r="E34" s="72"/>
      <c r="F34" s="34"/>
      <c r="G34" s="34">
        <f>G29+G33</f>
        <v>1355.0720000000001</v>
      </c>
      <c r="H34" s="34">
        <f t="shared" si="1"/>
        <v>27.5600000000004</v>
      </c>
      <c r="I34" s="35">
        <f t="shared" si="2"/>
        <v>2.0760640958424788E-2</v>
      </c>
      <c r="J34" s="35">
        <f t="shared" si="10"/>
        <v>0.41194873623579126</v>
      </c>
      <c r="K34" s="110">
        <f t="shared" si="11"/>
        <v>0.42952029785101586</v>
      </c>
    </row>
    <row r="35" spans="1:11" s="1" customFormat="1" x14ac:dyDescent="0.2">
      <c r="A35" s="109" t="s">
        <v>94</v>
      </c>
      <c r="B35" s="73"/>
      <c r="C35" s="34"/>
      <c r="D35" s="34">
        <f>D30+D33</f>
        <v>1315.3007999999995</v>
      </c>
      <c r="E35" s="72"/>
      <c r="F35" s="34"/>
      <c r="G35" s="34">
        <f>G30+G33</f>
        <v>1342.8607999999999</v>
      </c>
      <c r="H35" s="34">
        <f t="shared" si="1"/>
        <v>27.5600000000004</v>
      </c>
      <c r="I35" s="35">
        <f t="shared" si="2"/>
        <v>2.0953381918417755E-2</v>
      </c>
      <c r="J35" s="35">
        <f t="shared" si="10"/>
        <v>0.40823646972307265</v>
      </c>
      <c r="K35" s="110">
        <f t="shared" si="11"/>
        <v>0.42564968561703975</v>
      </c>
    </row>
    <row r="36" spans="1:11" x14ac:dyDescent="0.2">
      <c r="A36" s="106" t="s">
        <v>42</v>
      </c>
      <c r="B36" s="72">
        <f>B8</f>
        <v>16440</v>
      </c>
      <c r="C36" s="33">
        <v>3.5999999999999999E-3</v>
      </c>
      <c r="D36" s="21">
        <f>B36*C36</f>
        <v>59.183999999999997</v>
      </c>
      <c r="E36" s="72">
        <f t="shared" si="6"/>
        <v>16440</v>
      </c>
      <c r="F36" s="33">
        <v>3.5999999999999999E-3</v>
      </c>
      <c r="G36" s="21">
        <f>E36*F36</f>
        <v>59.183999999999997</v>
      </c>
      <c r="H36" s="21">
        <f t="shared" si="1"/>
        <v>0</v>
      </c>
      <c r="I36" s="22">
        <f t="shared" si="2"/>
        <v>0</v>
      </c>
      <c r="J36" s="22">
        <f t="shared" si="10"/>
        <v>1.7992235102916351E-2</v>
      </c>
      <c r="K36" s="107">
        <f t="shared" si="11"/>
        <v>1.8759689011369519E-2</v>
      </c>
    </row>
    <row r="37" spans="1:11" x14ac:dyDescent="0.2">
      <c r="A37" s="106" t="s">
        <v>43</v>
      </c>
      <c r="B37" s="72">
        <f>B8</f>
        <v>16440</v>
      </c>
      <c r="C37" s="33">
        <v>2.0999999999999999E-3</v>
      </c>
      <c r="D37" s="21">
        <f>B37*C37</f>
        <v>34.524000000000001</v>
      </c>
      <c r="E37" s="72">
        <f t="shared" si="6"/>
        <v>16440</v>
      </c>
      <c r="F37" s="33">
        <v>2.0999999999999999E-3</v>
      </c>
      <c r="G37" s="21">
        <f>E37*F37</f>
        <v>34.524000000000001</v>
      </c>
      <c r="H37" s="21">
        <f>G37-D37</f>
        <v>0</v>
      </c>
      <c r="I37" s="22">
        <f t="shared" si="2"/>
        <v>0</v>
      </c>
      <c r="J37" s="22">
        <f t="shared" si="10"/>
        <v>1.0495470476701206E-2</v>
      </c>
      <c r="K37" s="107">
        <f t="shared" si="11"/>
        <v>1.0943151923298887E-2</v>
      </c>
    </row>
    <row r="38" spans="1:11" x14ac:dyDescent="0.2">
      <c r="A38" s="106" t="s">
        <v>99</v>
      </c>
      <c r="B38" s="72">
        <f>B8</f>
        <v>16440</v>
      </c>
      <c r="C38" s="33">
        <v>0</v>
      </c>
      <c r="D38" s="21">
        <f>B38*C38</f>
        <v>0</v>
      </c>
      <c r="E38" s="72">
        <f t="shared" si="6"/>
        <v>16440</v>
      </c>
      <c r="F38" s="33">
        <v>0</v>
      </c>
      <c r="G38" s="21">
        <f>E38*F38</f>
        <v>0</v>
      </c>
      <c r="H38" s="21">
        <f>G38-D38</f>
        <v>0</v>
      </c>
      <c r="I38" s="22" t="str">
        <f t="shared" si="2"/>
        <v>N/A</v>
      </c>
      <c r="J38" s="22">
        <f t="shared" ref="J38" si="12">G38/$G$46</f>
        <v>0</v>
      </c>
      <c r="K38" s="107">
        <f t="shared" ref="K38" si="13">G38/$G$51</f>
        <v>0</v>
      </c>
    </row>
    <row r="39" spans="1:11" x14ac:dyDescent="0.2">
      <c r="A39" s="106" t="s">
        <v>44</v>
      </c>
      <c r="B39" s="72">
        <v>1</v>
      </c>
      <c r="C39" s="21">
        <v>0.25</v>
      </c>
      <c r="D39" s="21">
        <f>B39*C39</f>
        <v>0.25</v>
      </c>
      <c r="E39" s="72">
        <f t="shared" si="6"/>
        <v>1</v>
      </c>
      <c r="F39" s="21">
        <f>C39</f>
        <v>0.25</v>
      </c>
      <c r="G39" s="21">
        <f>E39*F39</f>
        <v>0.25</v>
      </c>
      <c r="H39" s="21">
        <f t="shared" si="1"/>
        <v>0</v>
      </c>
      <c r="I39" s="22">
        <f t="shared" si="2"/>
        <v>0</v>
      </c>
      <c r="J39" s="22">
        <f t="shared" si="10"/>
        <v>7.6001263445003517E-5</v>
      </c>
      <c r="K39" s="107">
        <f t="shared" si="11"/>
        <v>7.9243076724154848E-5</v>
      </c>
    </row>
    <row r="40" spans="1:11" s="1" customFormat="1" x14ac:dyDescent="0.2">
      <c r="A40" s="109" t="s">
        <v>45</v>
      </c>
      <c r="B40" s="73"/>
      <c r="C40" s="34"/>
      <c r="D40" s="34">
        <f>SUM(D36:D39)</f>
        <v>93.957999999999998</v>
      </c>
      <c r="E40" s="72"/>
      <c r="F40" s="34"/>
      <c r="G40" s="34">
        <f>SUM(G36:G39)</f>
        <v>93.957999999999998</v>
      </c>
      <c r="H40" s="34">
        <f t="shared" si="1"/>
        <v>0</v>
      </c>
      <c r="I40" s="35">
        <f t="shared" si="2"/>
        <v>0</v>
      </c>
      <c r="J40" s="35">
        <f t="shared" si="10"/>
        <v>2.8563706843062558E-2</v>
      </c>
      <c r="K40" s="110">
        <f t="shared" si="11"/>
        <v>2.9782084011392561E-2</v>
      </c>
    </row>
    <row r="41" spans="1:11" s="1" customFormat="1" ht="13.5" thickBot="1" x14ac:dyDescent="0.25">
      <c r="A41" s="111" t="s">
        <v>46</v>
      </c>
      <c r="B41" s="112">
        <f>B4</f>
        <v>15000</v>
      </c>
      <c r="C41" s="113">
        <v>7.0000000000000001E-3</v>
      </c>
      <c r="D41" s="114">
        <f>B41*C41</f>
        <v>105</v>
      </c>
      <c r="E41" s="115">
        <f t="shared" si="6"/>
        <v>15000</v>
      </c>
      <c r="F41" s="113">
        <f>C41</f>
        <v>7.0000000000000001E-3</v>
      </c>
      <c r="G41" s="114">
        <f>E41*F41</f>
        <v>105</v>
      </c>
      <c r="H41" s="114">
        <f t="shared" si="1"/>
        <v>0</v>
      </c>
      <c r="I41" s="116">
        <f t="shared" si="2"/>
        <v>0</v>
      </c>
      <c r="J41" s="116">
        <f t="shared" si="10"/>
        <v>3.1920530646901472E-2</v>
      </c>
      <c r="K41" s="117">
        <f t="shared" si="11"/>
        <v>3.3282092224145035E-2</v>
      </c>
    </row>
    <row r="42" spans="1:11" s="1" customFormat="1" x14ac:dyDescent="0.2">
      <c r="A42" s="36" t="s">
        <v>107</v>
      </c>
      <c r="B42" s="37"/>
      <c r="C42" s="38"/>
      <c r="D42" s="38">
        <f>SUM(D14,D25,D26,D27,D33,D40,D41)</f>
        <v>3105.22</v>
      </c>
      <c r="E42" s="37"/>
      <c r="F42" s="38"/>
      <c r="G42" s="38">
        <f>SUM(G14,G25,G26,G27,G33,G40,G41)</f>
        <v>3132.78</v>
      </c>
      <c r="H42" s="38">
        <f t="shared" si="1"/>
        <v>27.5600000000004</v>
      </c>
      <c r="I42" s="39">
        <f t="shared" si="2"/>
        <v>8.8753775899937538E-3</v>
      </c>
      <c r="J42" s="39">
        <f t="shared" si="10"/>
        <v>0.95238095238095244</v>
      </c>
      <c r="K42" s="40"/>
    </row>
    <row r="43" spans="1:11" x14ac:dyDescent="0.2">
      <c r="A43" s="142" t="s">
        <v>108</v>
      </c>
      <c r="B43" s="42"/>
      <c r="C43" s="25">
        <v>0.13</v>
      </c>
      <c r="D43" s="25">
        <f>D42*C43</f>
        <v>403.67859999999996</v>
      </c>
      <c r="E43" s="25"/>
      <c r="F43" s="25">
        <f>C43</f>
        <v>0.13</v>
      </c>
      <c r="G43" s="25">
        <f>G42*F43</f>
        <v>407.26140000000004</v>
      </c>
      <c r="H43" s="25">
        <f t="shared" si="1"/>
        <v>3.582800000000077</v>
      </c>
      <c r="I43" s="43">
        <f t="shared" si="2"/>
        <v>8.8753775899938145E-3</v>
      </c>
      <c r="J43" s="43">
        <f t="shared" si="10"/>
        <v>0.12380952380952383</v>
      </c>
      <c r="K43" s="44"/>
    </row>
    <row r="44" spans="1:11" s="1" customFormat="1" x14ac:dyDescent="0.2">
      <c r="A44" s="45" t="s">
        <v>109</v>
      </c>
      <c r="B44" s="23"/>
      <c r="C44" s="24"/>
      <c r="D44" s="24">
        <f>SUM(D42:D43)</f>
        <v>3508.8985999999995</v>
      </c>
      <c r="E44" s="24"/>
      <c r="F44" s="24"/>
      <c r="G44" s="24">
        <f>SUM(G42:G43)</f>
        <v>3540.0414000000001</v>
      </c>
      <c r="H44" s="24">
        <f t="shared" si="1"/>
        <v>31.142800000000534</v>
      </c>
      <c r="I44" s="26">
        <f t="shared" si="2"/>
        <v>8.8753775899937763E-3</v>
      </c>
      <c r="J44" s="26">
        <f t="shared" si="10"/>
        <v>1.0761904761904764</v>
      </c>
      <c r="K44" s="46"/>
    </row>
    <row r="45" spans="1:11" x14ac:dyDescent="0.2">
      <c r="A45" s="41" t="s">
        <v>110</v>
      </c>
      <c r="B45" s="42"/>
      <c r="C45" s="25">
        <v>-0.08</v>
      </c>
      <c r="D45" s="25">
        <f>D42*C45</f>
        <v>-248.41759999999999</v>
      </c>
      <c r="E45" s="25"/>
      <c r="F45" s="25">
        <f>C45</f>
        <v>-0.08</v>
      </c>
      <c r="G45" s="25">
        <f>G42*F45</f>
        <v>-250.62240000000003</v>
      </c>
      <c r="H45" s="25">
        <f t="shared" si="1"/>
        <v>-2.2048000000000343</v>
      </c>
      <c r="I45" s="43">
        <f t="shared" si="2"/>
        <v>-8.8753775899937624E-3</v>
      </c>
      <c r="J45" s="43">
        <f t="shared" si="10"/>
        <v>-7.6190476190476197E-2</v>
      </c>
      <c r="K45" s="44"/>
    </row>
    <row r="46" spans="1:11" s="1" customFormat="1" ht="13.5" thickBot="1" x14ac:dyDescent="0.25">
      <c r="A46" s="47" t="s">
        <v>111</v>
      </c>
      <c r="B46" s="48"/>
      <c r="C46" s="49"/>
      <c r="D46" s="49">
        <f>SUM(D44:D45)</f>
        <v>3260.4809999999998</v>
      </c>
      <c r="E46" s="49"/>
      <c r="F46" s="49"/>
      <c r="G46" s="49">
        <f>SUM(G44:G45)</f>
        <v>3289.4189999999999</v>
      </c>
      <c r="H46" s="49">
        <f t="shared" si="1"/>
        <v>28.938000000000102</v>
      </c>
      <c r="I46" s="50">
        <f t="shared" si="2"/>
        <v>8.8753775899936549E-3</v>
      </c>
      <c r="J46" s="50">
        <f t="shared" si="10"/>
        <v>1</v>
      </c>
      <c r="K46" s="51"/>
    </row>
    <row r="47" spans="1:11" x14ac:dyDescent="0.2">
      <c r="A47" s="52" t="s">
        <v>112</v>
      </c>
      <c r="B47" s="53"/>
      <c r="C47" s="54"/>
      <c r="D47" s="54">
        <f>SUM(D18,D25,D26,D28,D33,D40,D41)</f>
        <v>2977.0588000000002</v>
      </c>
      <c r="E47" s="54"/>
      <c r="F47" s="54"/>
      <c r="G47" s="54">
        <f>SUM(G18,G25,G26,G28,G33,G40,G41)</f>
        <v>3004.6188000000006</v>
      </c>
      <c r="H47" s="54">
        <f>G47-D47</f>
        <v>27.5600000000004</v>
      </c>
      <c r="I47" s="55">
        <f t="shared" si="2"/>
        <v>9.2574590733647578E-3</v>
      </c>
      <c r="J47" s="55"/>
      <c r="K47" s="56">
        <f>G47/$G$51</f>
        <v>0.95238095238095244</v>
      </c>
    </row>
    <row r="48" spans="1:11" x14ac:dyDescent="0.2">
      <c r="A48" s="57" t="s">
        <v>108</v>
      </c>
      <c r="B48" s="58"/>
      <c r="C48" s="30">
        <v>0.13</v>
      </c>
      <c r="D48" s="30">
        <f>D47*C48</f>
        <v>387.01764400000002</v>
      </c>
      <c r="E48" s="30"/>
      <c r="F48" s="30">
        <f>C48</f>
        <v>0.13</v>
      </c>
      <c r="G48" s="30">
        <f>G47*F48</f>
        <v>390.6004440000001</v>
      </c>
      <c r="H48" s="30">
        <f>G48-D48</f>
        <v>3.582800000000077</v>
      </c>
      <c r="I48" s="31">
        <f t="shared" si="2"/>
        <v>9.257459073364822E-3</v>
      </c>
      <c r="J48" s="31"/>
      <c r="K48" s="59">
        <f>G48/$G$51</f>
        <v>0.12380952380952381</v>
      </c>
    </row>
    <row r="49" spans="1:11" x14ac:dyDescent="0.2">
      <c r="A49" s="135" t="s">
        <v>113</v>
      </c>
      <c r="B49" s="28"/>
      <c r="C49" s="29"/>
      <c r="D49" s="29">
        <f>SUM(D47:D48)</f>
        <v>3364.0764440000003</v>
      </c>
      <c r="E49" s="29"/>
      <c r="F49" s="29"/>
      <c r="G49" s="29">
        <f>SUM(G47:G48)</f>
        <v>3395.2192440000008</v>
      </c>
      <c r="H49" s="29">
        <f>G49-D49</f>
        <v>31.142800000000534</v>
      </c>
      <c r="I49" s="32">
        <f t="shared" si="2"/>
        <v>9.2574590733647821E-3</v>
      </c>
      <c r="J49" s="32"/>
      <c r="K49" s="61">
        <f>G49/$G$51</f>
        <v>1.0761904761904761</v>
      </c>
    </row>
    <row r="50" spans="1:11" x14ac:dyDescent="0.2">
      <c r="A50" s="57" t="s">
        <v>110</v>
      </c>
      <c r="B50" s="58"/>
      <c r="C50" s="30">
        <v>-0.08</v>
      </c>
      <c r="D50" s="30">
        <f>D47*C50</f>
        <v>-238.16470400000003</v>
      </c>
      <c r="E50" s="30"/>
      <c r="F50" s="30">
        <f>C50</f>
        <v>-0.08</v>
      </c>
      <c r="G50" s="30">
        <f>G47*F50</f>
        <v>-240.36950400000006</v>
      </c>
      <c r="H50" s="30">
        <f>G50-D50</f>
        <v>-2.2048000000000343</v>
      </c>
      <c r="I50" s="31">
        <f t="shared" si="2"/>
        <v>-9.2574590733647665E-3</v>
      </c>
      <c r="J50" s="31"/>
      <c r="K50" s="59">
        <f>G50/$G$51</f>
        <v>-7.6190476190476197E-2</v>
      </c>
    </row>
    <row r="51" spans="1:11" ht="13.5" thickBot="1" x14ac:dyDescent="0.25">
      <c r="A51" s="62" t="s">
        <v>114</v>
      </c>
      <c r="B51" s="63"/>
      <c r="C51" s="64"/>
      <c r="D51" s="64">
        <f>SUM(D49:D50)</f>
        <v>3125.9117400000005</v>
      </c>
      <c r="E51" s="64"/>
      <c r="F51" s="64"/>
      <c r="G51" s="64">
        <f>SUM(G49:G50)</f>
        <v>3154.8497400000006</v>
      </c>
      <c r="H51" s="64">
        <f>G51-D51</f>
        <v>28.938000000000102</v>
      </c>
      <c r="I51" s="65">
        <f t="shared" si="2"/>
        <v>9.2574590733646555E-3</v>
      </c>
      <c r="J51" s="65"/>
      <c r="K51" s="66">
        <f>G51/$G$51</f>
        <v>1</v>
      </c>
    </row>
    <row r="52" spans="1:11" x14ac:dyDescent="0.2">
      <c r="C52" s="67"/>
      <c r="F52" s="68"/>
    </row>
    <row r="53" spans="1:11" x14ac:dyDescent="0.2">
      <c r="F53" s="68"/>
    </row>
    <row r="54" spans="1:11" x14ac:dyDescent="0.2">
      <c r="F54" s="68"/>
    </row>
    <row r="55" spans="1:11" x14ac:dyDescent="0.2">
      <c r="A55" s="69"/>
      <c r="B55" s="70"/>
      <c r="F55" s="68"/>
    </row>
    <row r="56" spans="1:11" x14ac:dyDescent="0.2">
      <c r="B56" s="70"/>
      <c r="F56" s="68"/>
    </row>
    <row r="57" spans="1:11" x14ac:dyDescent="0.2">
      <c r="F57" s="68"/>
    </row>
    <row r="58" spans="1:11" x14ac:dyDescent="0.2">
      <c r="D58" s="71"/>
      <c r="F58" s="68"/>
    </row>
    <row r="59" spans="1:11" x14ac:dyDescent="0.2">
      <c r="F59" s="68"/>
    </row>
    <row r="60" spans="1:11" x14ac:dyDescent="0.2">
      <c r="A60" s="69"/>
      <c r="B60" s="70"/>
      <c r="F60" s="68"/>
    </row>
    <row r="61" spans="1:11" x14ac:dyDescent="0.2">
      <c r="B61" s="71"/>
      <c r="D61" s="71"/>
      <c r="F61" s="68"/>
    </row>
    <row r="62" spans="1:11" x14ac:dyDescent="0.2">
      <c r="F62" s="68"/>
    </row>
    <row r="63" spans="1:11" x14ac:dyDescent="0.2">
      <c r="F63" s="68"/>
    </row>
    <row r="64" spans="1:11" x14ac:dyDescent="0.2">
      <c r="F64" s="68"/>
    </row>
    <row r="65" spans="6:6" x14ac:dyDescent="0.2">
      <c r="F65" s="68"/>
    </row>
    <row r="66" spans="6:6" x14ac:dyDescent="0.2">
      <c r="F66" s="68"/>
    </row>
    <row r="67" spans="6:6" x14ac:dyDescent="0.2">
      <c r="F67" s="68"/>
    </row>
    <row r="68" spans="6:6" x14ac:dyDescent="0.2">
      <c r="F68" s="68"/>
    </row>
  </sheetData>
  <mergeCells count="1">
    <mergeCell ref="A1:K1"/>
  </mergeCells>
  <pageMargins left="0.7" right="0.7" top="0.75" bottom="0.75" header="0.3" footer="0.3"/>
  <pageSetup scale="76"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theme="1" tint="0.499984740745262"/>
    <pageSetUpPr fitToPage="1"/>
  </sheetPr>
  <dimension ref="A1:J54"/>
  <sheetViews>
    <sheetView tabSelected="1" topLeftCell="A4" zoomScaleNormal="100" zoomScaleSheetLayoutView="100" workbookViewId="0">
      <selection activeCell="N13" sqref="N13"/>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205" t="s">
        <v>124</v>
      </c>
      <c r="B1" s="206"/>
      <c r="C1" s="206"/>
      <c r="D1" s="206"/>
      <c r="E1" s="206"/>
      <c r="F1" s="206"/>
      <c r="G1" s="206"/>
      <c r="H1" s="206"/>
      <c r="I1" s="206"/>
      <c r="J1" s="207"/>
    </row>
    <row r="3" spans="1:10" x14ac:dyDescent="0.2">
      <c r="A3" s="12" t="s">
        <v>13</v>
      </c>
      <c r="B3" s="12" t="s">
        <v>7</v>
      </c>
    </row>
    <row r="4" spans="1:10" x14ac:dyDescent="0.2">
      <c r="A4" s="14" t="s">
        <v>62</v>
      </c>
      <c r="B4" s="78">
        <v>15000</v>
      </c>
    </row>
    <row r="5" spans="1:10" x14ac:dyDescent="0.2">
      <c r="A5" s="14" t="s">
        <v>16</v>
      </c>
      <c r="B5" s="78">
        <v>60</v>
      </c>
    </row>
    <row r="6" spans="1:10" x14ac:dyDescent="0.2">
      <c r="A6" s="14" t="s">
        <v>20</v>
      </c>
      <c r="B6" s="79">
        <f>VLOOKUP($B$3,'Data for Bill Impacts'!$A$3:$Y$15,2,0)</f>
        <v>1.05</v>
      </c>
    </row>
    <row r="7" spans="1:10" x14ac:dyDescent="0.2">
      <c r="A7" s="80" t="s">
        <v>48</v>
      </c>
      <c r="B7" s="81">
        <f>B4/(B5*730)</f>
        <v>0.34246575342465752</v>
      </c>
    </row>
    <row r="8" spans="1:10" x14ac:dyDescent="0.2">
      <c r="A8" s="14" t="s">
        <v>15</v>
      </c>
      <c r="B8" s="78">
        <f>VLOOKUP($B$3,'Data for Bill Impacts'!$A$3:$Y$15,4,0)</f>
        <v>0</v>
      </c>
    </row>
    <row r="9" spans="1:10" x14ac:dyDescent="0.2">
      <c r="A9" s="14" t="s">
        <v>82</v>
      </c>
      <c r="B9" s="78">
        <f>B4*B6</f>
        <v>15750</v>
      </c>
    </row>
    <row r="10" spans="1:10" x14ac:dyDescent="0.2">
      <c r="A10" s="14" t="s">
        <v>21</v>
      </c>
      <c r="B10" s="15" t="s">
        <v>19</v>
      </c>
    </row>
    <row r="11" spans="1:10" ht="13.5" thickBot="1" x14ac:dyDescent="0.25"/>
    <row r="12" spans="1:10" s="19" customFormat="1" ht="26.25" thickBot="1" x14ac:dyDescent="0.25">
      <c r="A12" s="16"/>
      <c r="B12" s="17" t="s">
        <v>22</v>
      </c>
      <c r="C12" s="17" t="s">
        <v>23</v>
      </c>
      <c r="D12" s="17" t="s">
        <v>24</v>
      </c>
      <c r="E12" s="17" t="s">
        <v>22</v>
      </c>
      <c r="F12" s="17" t="s">
        <v>25</v>
      </c>
      <c r="G12" s="17" t="s">
        <v>26</v>
      </c>
      <c r="H12" s="17" t="s">
        <v>27</v>
      </c>
      <c r="I12" s="17" t="s">
        <v>28</v>
      </c>
      <c r="J12" s="121" t="s">
        <v>49</v>
      </c>
    </row>
    <row r="13" spans="1:10" x14ac:dyDescent="0.2">
      <c r="A13" s="100" t="s">
        <v>31</v>
      </c>
      <c r="B13" s="101">
        <f>B9</f>
        <v>15750</v>
      </c>
      <c r="C13" s="102">
        <v>9.0999999999999998E-2</v>
      </c>
      <c r="D13" s="103">
        <f>B13*C13</f>
        <v>1433.25</v>
      </c>
      <c r="E13" s="101">
        <f>B13</f>
        <v>15750</v>
      </c>
      <c r="F13" s="102">
        <f>C13</f>
        <v>9.0999999999999998E-2</v>
      </c>
      <c r="G13" s="103">
        <f>E13*F13</f>
        <v>1433.25</v>
      </c>
      <c r="H13" s="103">
        <f>G13-D13</f>
        <v>0</v>
      </c>
      <c r="I13" s="104">
        <f t="shared" ref="I13:I38" si="0">IF(ISERROR(H13/ABS(D13)),"N/A",(H13/ABS(D13)))</f>
        <v>0</v>
      </c>
      <c r="J13" s="122">
        <f t="shared" ref="J13:J29" si="1">G13/$G$38</f>
        <v>0.48383356944310241</v>
      </c>
    </row>
    <row r="14" spans="1:10" x14ac:dyDescent="0.2">
      <c r="A14" s="106" t="s">
        <v>32</v>
      </c>
      <c r="B14" s="72">
        <v>0</v>
      </c>
      <c r="C14" s="20">
        <v>0.106</v>
      </c>
      <c r="D14" s="21">
        <f>B14*C14</f>
        <v>0</v>
      </c>
      <c r="E14" s="72">
        <f t="shared" ref="E14" si="2">B14</f>
        <v>0</v>
      </c>
      <c r="F14" s="20">
        <f>C14</f>
        <v>0.106</v>
      </c>
      <c r="G14" s="21">
        <f>E14*F14</f>
        <v>0</v>
      </c>
      <c r="H14" s="21">
        <f t="shared" ref="H14:H38" si="3">G14-D14</f>
        <v>0</v>
      </c>
      <c r="I14" s="22" t="str">
        <f t="shared" si="0"/>
        <v>N/A</v>
      </c>
      <c r="J14" s="123">
        <f t="shared" si="1"/>
        <v>0</v>
      </c>
    </row>
    <row r="15" spans="1:10" s="1" customFormat="1" x14ac:dyDescent="0.2">
      <c r="A15" s="45" t="s">
        <v>33</v>
      </c>
      <c r="B15" s="23"/>
      <c r="C15" s="24"/>
      <c r="D15" s="24">
        <f>SUM(D13:D14)</f>
        <v>1433.25</v>
      </c>
      <c r="E15" s="75"/>
      <c r="F15" s="24"/>
      <c r="G15" s="24">
        <f>SUM(G13:G14)</f>
        <v>1433.25</v>
      </c>
      <c r="H15" s="24">
        <f t="shared" si="3"/>
        <v>0</v>
      </c>
      <c r="I15" s="26">
        <f t="shared" si="0"/>
        <v>0</v>
      </c>
      <c r="J15" s="46">
        <f t="shared" si="1"/>
        <v>0.48383356944310241</v>
      </c>
    </row>
    <row r="16" spans="1:10" s="1" customFormat="1" x14ac:dyDescent="0.2">
      <c r="A16" s="106" t="s">
        <v>38</v>
      </c>
      <c r="B16" s="72">
        <v>1</v>
      </c>
      <c r="C16" s="77">
        <f>VLOOKUP($B$3,'Data for Bill Impacts'!$A$3:$Y$15,7,0)</f>
        <v>106.68</v>
      </c>
      <c r="D16" s="21">
        <f>B16*C16</f>
        <v>106.68</v>
      </c>
      <c r="E16" s="72">
        <f t="shared" ref="E16:E33" si="4">B16</f>
        <v>1</v>
      </c>
      <c r="F16" s="77">
        <f>VLOOKUP($B$3,'Data for Bill Impacts'!$A$3:$Y$15,17,0)</f>
        <v>108.5</v>
      </c>
      <c r="G16" s="21">
        <f>E16*F16</f>
        <v>108.5</v>
      </c>
      <c r="H16" s="21">
        <f t="shared" si="3"/>
        <v>1.8199999999999932</v>
      </c>
      <c r="I16" s="22">
        <f t="shared" si="0"/>
        <v>1.7060367454068175E-2</v>
      </c>
      <c r="J16" s="123">
        <f t="shared" si="1"/>
        <v>3.662720550118724E-2</v>
      </c>
    </row>
    <row r="17" spans="1:10" hidden="1" x14ac:dyDescent="0.2">
      <c r="A17" s="106" t="s">
        <v>83</v>
      </c>
      <c r="B17" s="72">
        <v>1</v>
      </c>
      <c r="C17" s="77">
        <f>VLOOKUP($B$3,'Data for Bill Impacts'!$A$3:$Y$15,8,0)</f>
        <v>0</v>
      </c>
      <c r="D17" s="21">
        <f>B17*C17</f>
        <v>0</v>
      </c>
      <c r="E17" s="72">
        <f t="shared" si="4"/>
        <v>1</v>
      </c>
      <c r="F17" s="77">
        <v>0</v>
      </c>
      <c r="G17" s="21">
        <f t="shared" ref="G17:G19" si="5">E17*F17</f>
        <v>0</v>
      </c>
      <c r="H17" s="21">
        <f t="shared" si="3"/>
        <v>0</v>
      </c>
      <c r="I17" s="22" t="str">
        <f t="shared" si="0"/>
        <v>N/A</v>
      </c>
      <c r="J17" s="123">
        <f t="shared" si="1"/>
        <v>0</v>
      </c>
    </row>
    <row r="18" spans="1:10" hidden="1" x14ac:dyDescent="0.2">
      <c r="A18" s="106" t="s">
        <v>84</v>
      </c>
      <c r="B18" s="72">
        <v>1</v>
      </c>
      <c r="C18" s="77">
        <f>VLOOKUP($B$3,'Data for Bill Impacts'!$A$3:$Y$15,11,0)</f>
        <v>0</v>
      </c>
      <c r="D18" s="21">
        <f t="shared" ref="D18:D19" si="6">B18*C18</f>
        <v>0</v>
      </c>
      <c r="E18" s="72">
        <f t="shared" si="4"/>
        <v>1</v>
      </c>
      <c r="F18" s="77">
        <f>VLOOKUP($B$3,'Data for Bill Impacts'!$A$3:$Y$15,12,0)</f>
        <v>0</v>
      </c>
      <c r="G18" s="21">
        <f t="shared" si="5"/>
        <v>0</v>
      </c>
      <c r="H18" s="21">
        <f t="shared" si="3"/>
        <v>0</v>
      </c>
      <c r="I18" s="22" t="str">
        <f t="shared" si="0"/>
        <v>N/A</v>
      </c>
      <c r="J18" s="123">
        <f t="shared" si="1"/>
        <v>0</v>
      </c>
    </row>
    <row r="19" spans="1:10" x14ac:dyDescent="0.2">
      <c r="A19" s="106" t="s">
        <v>85</v>
      </c>
      <c r="B19" s="72">
        <v>1</v>
      </c>
      <c r="C19" s="120">
        <f>VLOOKUP($B$3,'Data for Bill Impacts'!$A$3:$Y$15,13,0)</f>
        <v>1.7999999999999999E-2</v>
      </c>
      <c r="D19" s="21">
        <f t="shared" si="6"/>
        <v>1.7999999999999999E-2</v>
      </c>
      <c r="E19" s="72">
        <f t="shared" si="4"/>
        <v>1</v>
      </c>
      <c r="F19" s="120">
        <f>VLOOKUP($B$3,'Data for Bill Impacts'!$A$3:$Y$15,22,0)</f>
        <v>1.7999999999999999E-2</v>
      </c>
      <c r="G19" s="21">
        <f t="shared" si="5"/>
        <v>1.7999999999999999E-2</v>
      </c>
      <c r="H19" s="21">
        <f t="shared" si="3"/>
        <v>0</v>
      </c>
      <c r="I19" s="22">
        <f t="shared" si="0"/>
        <v>0</v>
      </c>
      <c r="J19" s="123">
        <f t="shared" si="1"/>
        <v>6.0764027559573301E-6</v>
      </c>
    </row>
    <row r="20" spans="1:10" x14ac:dyDescent="0.2">
      <c r="A20" s="106" t="s">
        <v>39</v>
      </c>
      <c r="B20" s="72">
        <f>IF($B$10="kWh",$B$4,$B$5)</f>
        <v>60</v>
      </c>
      <c r="C20" s="77">
        <f>VLOOKUP($B$3,'Data for Bill Impacts'!$A$3:$Y$15,10,0)</f>
        <v>10.6761</v>
      </c>
      <c r="D20" s="21">
        <f>B20*C20</f>
        <v>640.56600000000003</v>
      </c>
      <c r="E20" s="72">
        <f t="shared" si="4"/>
        <v>60</v>
      </c>
      <c r="F20" s="77">
        <f>VLOOKUP($B$3,'Data for Bill Impacts'!$A$3:$Y$15,19,0)</f>
        <v>10.8703</v>
      </c>
      <c r="G20" s="21">
        <f>E20*F20</f>
        <v>652.21800000000007</v>
      </c>
      <c r="H20" s="21">
        <f t="shared" si="3"/>
        <v>11.652000000000044</v>
      </c>
      <c r="I20" s="22">
        <f t="shared" si="0"/>
        <v>1.8190163074531029E-2</v>
      </c>
      <c r="J20" s="123">
        <f t="shared" si="1"/>
        <v>0.22017440292694326</v>
      </c>
    </row>
    <row r="21" spans="1:10" s="1" customFormat="1" x14ac:dyDescent="0.2">
      <c r="A21" s="106" t="s">
        <v>129</v>
      </c>
      <c r="B21" s="72">
        <f>IF($B$10="kWh",$B$4,$B$5)</f>
        <v>60</v>
      </c>
      <c r="C21" s="77">
        <f>VLOOKUP($B$3,'Data for Bill Impacts'!$A$3:$Y$15,14,0)</f>
        <v>1.1179999999999999E-2</v>
      </c>
      <c r="D21" s="21">
        <f>B21*C21</f>
        <v>0.67079999999999995</v>
      </c>
      <c r="E21" s="72">
        <f>B21</f>
        <v>60</v>
      </c>
      <c r="F21" s="77">
        <f>VLOOKUP($B$3,'Data for Bill Impacts'!$A$3:$Y$15,23,0)</f>
        <v>1.1179999999999999E-2</v>
      </c>
      <c r="G21" s="21">
        <f>E21*F21</f>
        <v>0.67079999999999995</v>
      </c>
      <c r="H21" s="21">
        <f>G21-D21</f>
        <v>0</v>
      </c>
      <c r="I21" s="22">
        <f t="shared" si="0"/>
        <v>0</v>
      </c>
      <c r="J21" s="123">
        <f t="shared" si="1"/>
        <v>2.2644727603867649E-4</v>
      </c>
    </row>
    <row r="22" spans="1:10" s="1" customFormat="1" x14ac:dyDescent="0.2">
      <c r="A22" s="106" t="s">
        <v>117</v>
      </c>
      <c r="B22" s="72">
        <f>B9</f>
        <v>15750</v>
      </c>
      <c r="C22" s="124">
        <f>VLOOKUP($B$3,'Data for Bill Impacts'!$A$3:$Y$15,20,0)</f>
        <v>0</v>
      </c>
      <c r="D22" s="21">
        <f>B22*C22</f>
        <v>0</v>
      </c>
      <c r="E22" s="72">
        <f t="shared" si="4"/>
        <v>15750</v>
      </c>
      <c r="F22" s="124">
        <f>VLOOKUP($B$3,'Data for Bill Impacts'!$A$3:$Y$15,21,0)</f>
        <v>0</v>
      </c>
      <c r="G22" s="21">
        <f>E22*F22</f>
        <v>0</v>
      </c>
      <c r="H22" s="21">
        <f t="shared" si="3"/>
        <v>0</v>
      </c>
      <c r="I22" s="22" t="str">
        <f t="shared" si="0"/>
        <v>N/A</v>
      </c>
      <c r="J22" s="123">
        <f t="shared" si="1"/>
        <v>0</v>
      </c>
    </row>
    <row r="23" spans="1:10" x14ac:dyDescent="0.2">
      <c r="A23" s="109" t="s">
        <v>95</v>
      </c>
      <c r="B23" s="73"/>
      <c r="C23" s="34"/>
      <c r="D23" s="34">
        <f>SUM(D16:D22)</f>
        <v>747.9348</v>
      </c>
      <c r="E23" s="72"/>
      <c r="F23" s="34"/>
      <c r="G23" s="34">
        <f>SUM(G16:G22)</f>
        <v>761.40680000000009</v>
      </c>
      <c r="H23" s="34">
        <f t="shared" si="3"/>
        <v>13.472000000000094</v>
      </c>
      <c r="I23" s="35">
        <f t="shared" si="0"/>
        <v>1.8012265240232295E-2</v>
      </c>
      <c r="J23" s="110">
        <f t="shared" si="1"/>
        <v>0.25703413210692516</v>
      </c>
    </row>
    <row r="24" spans="1:10" x14ac:dyDescent="0.2">
      <c r="A24" s="106" t="s">
        <v>40</v>
      </c>
      <c r="B24" s="72">
        <f>B5</f>
        <v>60</v>
      </c>
      <c r="C24" s="124">
        <f>VLOOKUP($B$3,'Data for Bill Impacts'!$A$3:$Y$15,15,0)</f>
        <v>2.1349</v>
      </c>
      <c r="D24" s="21">
        <f>B24*C24</f>
        <v>128.09399999999999</v>
      </c>
      <c r="E24" s="72">
        <f t="shared" si="4"/>
        <v>60</v>
      </c>
      <c r="F24" s="77">
        <f>VLOOKUP($B$3,'Data for Bill Impacts'!$A$3:$Y$15,24,0)</f>
        <v>2.1349</v>
      </c>
      <c r="G24" s="21">
        <f>E24*F24</f>
        <v>128.09399999999999</v>
      </c>
      <c r="H24" s="21">
        <f t="shared" si="3"/>
        <v>0</v>
      </c>
      <c r="I24" s="22">
        <f t="shared" si="0"/>
        <v>0</v>
      </c>
      <c r="J24" s="123">
        <f t="shared" si="1"/>
        <v>4.3241707478977681E-2</v>
      </c>
    </row>
    <row r="25" spans="1:10" s="1" customFormat="1" x14ac:dyDescent="0.2">
      <c r="A25" s="106" t="s">
        <v>41</v>
      </c>
      <c r="B25" s="72">
        <f>B5</f>
        <v>60</v>
      </c>
      <c r="C25" s="124">
        <f>VLOOKUP($B$3,'Data for Bill Impacts'!$A$3:$Y$15,16,0)</f>
        <v>1.7284999999999999</v>
      </c>
      <c r="D25" s="21">
        <f>B25*C25</f>
        <v>103.71</v>
      </c>
      <c r="E25" s="72">
        <f t="shared" si="4"/>
        <v>60</v>
      </c>
      <c r="F25" s="77">
        <f>VLOOKUP($B$3,'Data for Bill Impacts'!$A$3:$Y$15,25,0)</f>
        <v>1.7284999999999999</v>
      </c>
      <c r="G25" s="21">
        <f>E25*F25</f>
        <v>103.71</v>
      </c>
      <c r="H25" s="21">
        <f t="shared" si="3"/>
        <v>0</v>
      </c>
      <c r="I25" s="22">
        <f t="shared" si="0"/>
        <v>0</v>
      </c>
      <c r="J25" s="123">
        <f t="shared" si="1"/>
        <v>3.5010207212240817E-2</v>
      </c>
    </row>
    <row r="26" spans="1:10" x14ac:dyDescent="0.2">
      <c r="A26" s="109" t="s">
        <v>76</v>
      </c>
      <c r="B26" s="73"/>
      <c r="C26" s="34"/>
      <c r="D26" s="34">
        <f>SUM(D24:D25)</f>
        <v>231.80399999999997</v>
      </c>
      <c r="E26" s="72"/>
      <c r="F26" s="34"/>
      <c r="G26" s="34">
        <f>SUM(G24:G25)</f>
        <v>231.80399999999997</v>
      </c>
      <c r="H26" s="34">
        <f t="shared" si="3"/>
        <v>0</v>
      </c>
      <c r="I26" s="35">
        <f t="shared" si="0"/>
        <v>0</v>
      </c>
      <c r="J26" s="110">
        <f t="shared" si="1"/>
        <v>7.8251914691218491E-2</v>
      </c>
    </row>
    <row r="27" spans="1:10" s="1" customFormat="1" x14ac:dyDescent="0.2">
      <c r="A27" s="109" t="s">
        <v>80</v>
      </c>
      <c r="B27" s="73"/>
      <c r="C27" s="34"/>
      <c r="D27" s="34">
        <f>D23+D26</f>
        <v>979.73879999999997</v>
      </c>
      <c r="E27" s="72"/>
      <c r="F27" s="34"/>
      <c r="G27" s="34">
        <f>G23+G26</f>
        <v>993.21080000000006</v>
      </c>
      <c r="H27" s="34">
        <f t="shared" si="3"/>
        <v>13.472000000000094</v>
      </c>
      <c r="I27" s="35">
        <f t="shared" si="0"/>
        <v>1.3750603732341818E-2</v>
      </c>
      <c r="J27" s="110">
        <f t="shared" si="1"/>
        <v>0.33528604679814361</v>
      </c>
    </row>
    <row r="28" spans="1:10" x14ac:dyDescent="0.2">
      <c r="A28" s="106" t="s">
        <v>42</v>
      </c>
      <c r="B28" s="72">
        <f>B9</f>
        <v>15750</v>
      </c>
      <c r="C28" s="33">
        <v>3.5999999999999999E-3</v>
      </c>
      <c r="D28" s="21">
        <f>B28*C28</f>
        <v>56.699999999999996</v>
      </c>
      <c r="E28" s="72">
        <f t="shared" si="4"/>
        <v>15750</v>
      </c>
      <c r="F28" s="33">
        <v>3.5999999999999999E-3</v>
      </c>
      <c r="G28" s="21">
        <f>E28*F28</f>
        <v>56.699999999999996</v>
      </c>
      <c r="H28" s="21">
        <f t="shared" si="3"/>
        <v>0</v>
      </c>
      <c r="I28" s="22">
        <f t="shared" si="0"/>
        <v>0</v>
      </c>
      <c r="J28" s="123">
        <f t="shared" si="1"/>
        <v>1.9140668681265589E-2</v>
      </c>
    </row>
    <row r="29" spans="1:10" x14ac:dyDescent="0.2">
      <c r="A29" s="106" t="s">
        <v>43</v>
      </c>
      <c r="B29" s="72">
        <f>B9</f>
        <v>15750</v>
      </c>
      <c r="C29" s="33">
        <v>2.0999999999999999E-3</v>
      </c>
      <c r="D29" s="21">
        <f>B29*C29</f>
        <v>33.074999999999996</v>
      </c>
      <c r="E29" s="72">
        <f t="shared" si="4"/>
        <v>15750</v>
      </c>
      <c r="F29" s="33">
        <v>2.0999999999999999E-3</v>
      </c>
      <c r="G29" s="21">
        <f>E29*F29</f>
        <v>33.074999999999996</v>
      </c>
      <c r="H29" s="21">
        <f>G29-D29</f>
        <v>0</v>
      </c>
      <c r="I29" s="22">
        <f t="shared" si="0"/>
        <v>0</v>
      </c>
      <c r="J29" s="123">
        <f t="shared" si="1"/>
        <v>1.1165390064071593E-2</v>
      </c>
    </row>
    <row r="30" spans="1:10" x14ac:dyDescent="0.2">
      <c r="A30" s="106" t="s">
        <v>99</v>
      </c>
      <c r="B30" s="72">
        <f>B9</f>
        <v>15750</v>
      </c>
      <c r="C30" s="33">
        <v>0</v>
      </c>
      <c r="D30" s="21">
        <f>B30*C30</f>
        <v>0</v>
      </c>
      <c r="E30" s="72">
        <f t="shared" si="4"/>
        <v>15750</v>
      </c>
      <c r="F30" s="33">
        <v>0</v>
      </c>
      <c r="G30" s="21">
        <f>E30*F30</f>
        <v>0</v>
      </c>
      <c r="H30" s="21">
        <f>G30-D30</f>
        <v>0</v>
      </c>
      <c r="I30" s="22" t="str">
        <f t="shared" si="0"/>
        <v>N/A</v>
      </c>
      <c r="J30" s="123">
        <f t="shared" ref="J30" si="7">G30/$G$38</f>
        <v>0</v>
      </c>
    </row>
    <row r="31" spans="1:10" x14ac:dyDescent="0.2">
      <c r="A31" s="106" t="s">
        <v>44</v>
      </c>
      <c r="B31" s="72">
        <v>1</v>
      </c>
      <c r="C31" s="21">
        <v>0.25</v>
      </c>
      <c r="D31" s="21">
        <f>B31*C31</f>
        <v>0.25</v>
      </c>
      <c r="E31" s="72">
        <f t="shared" si="4"/>
        <v>1</v>
      </c>
      <c r="F31" s="21">
        <f>C31</f>
        <v>0.25</v>
      </c>
      <c r="G31" s="21">
        <f>E31*F31</f>
        <v>0.25</v>
      </c>
      <c r="H31" s="21">
        <f t="shared" si="3"/>
        <v>0</v>
      </c>
      <c r="I31" s="22">
        <f t="shared" si="0"/>
        <v>0</v>
      </c>
      <c r="J31" s="123">
        <f t="shared" ref="J31:J38" si="8">G31/$G$38</f>
        <v>8.4394482721629588E-5</v>
      </c>
    </row>
    <row r="32" spans="1:10" x14ac:dyDescent="0.2">
      <c r="A32" s="109" t="s">
        <v>45</v>
      </c>
      <c r="B32" s="73"/>
      <c r="C32" s="34"/>
      <c r="D32" s="34">
        <f>SUM(D28:D31)</f>
        <v>90.024999999999991</v>
      </c>
      <c r="E32" s="72"/>
      <c r="F32" s="34"/>
      <c r="G32" s="34">
        <f>SUM(G28:G31)</f>
        <v>90.024999999999991</v>
      </c>
      <c r="H32" s="34">
        <f t="shared" si="3"/>
        <v>0</v>
      </c>
      <c r="I32" s="35">
        <f t="shared" si="0"/>
        <v>0</v>
      </c>
      <c r="J32" s="110">
        <f t="shared" si="8"/>
        <v>3.0390453228058813E-2</v>
      </c>
    </row>
    <row r="33" spans="1:10" ht="13.5" thickBot="1" x14ac:dyDescent="0.25">
      <c r="A33" s="111" t="s">
        <v>46</v>
      </c>
      <c r="B33" s="112">
        <f>B4</f>
        <v>15000</v>
      </c>
      <c r="C33" s="113">
        <v>7.0000000000000001E-3</v>
      </c>
      <c r="D33" s="114">
        <f>B33*C33</f>
        <v>105</v>
      </c>
      <c r="E33" s="115">
        <f t="shared" si="4"/>
        <v>15000</v>
      </c>
      <c r="F33" s="113">
        <f>C33</f>
        <v>7.0000000000000001E-3</v>
      </c>
      <c r="G33" s="114">
        <f>E33*F33</f>
        <v>105</v>
      </c>
      <c r="H33" s="114">
        <f t="shared" si="3"/>
        <v>0</v>
      </c>
      <c r="I33" s="116">
        <f t="shared" si="0"/>
        <v>0</v>
      </c>
      <c r="J33" s="117">
        <f t="shared" si="8"/>
        <v>3.5445682743084427E-2</v>
      </c>
    </row>
    <row r="34" spans="1:10" x14ac:dyDescent="0.2">
      <c r="A34" s="36" t="s">
        <v>116</v>
      </c>
      <c r="B34" s="37"/>
      <c r="C34" s="38"/>
      <c r="D34" s="38">
        <f>SUM(D15,D23,D26,D32,D33)</f>
        <v>2608.0138000000002</v>
      </c>
      <c r="E34" s="37"/>
      <c r="F34" s="38"/>
      <c r="G34" s="38">
        <f>SUM(G15,G23,G26,G32,G33)</f>
        <v>2621.4858000000004</v>
      </c>
      <c r="H34" s="38">
        <f t="shared" si="3"/>
        <v>13.472000000000207</v>
      </c>
      <c r="I34" s="39">
        <f t="shared" si="0"/>
        <v>5.1656168383772379E-3</v>
      </c>
      <c r="J34" s="40">
        <f t="shared" si="8"/>
        <v>0.88495575221238942</v>
      </c>
    </row>
    <row r="35" spans="1:10" x14ac:dyDescent="0.2">
      <c r="A35" s="142" t="s">
        <v>108</v>
      </c>
      <c r="B35" s="42"/>
      <c r="C35" s="25">
        <v>0.13</v>
      </c>
      <c r="D35" s="25">
        <f>D34*C35</f>
        <v>339.04179400000004</v>
      </c>
      <c r="E35" s="25"/>
      <c r="F35" s="25">
        <f>C35</f>
        <v>0.13</v>
      </c>
      <c r="G35" s="25">
        <f>G34*F35</f>
        <v>340.79315400000007</v>
      </c>
      <c r="H35" s="25">
        <f t="shared" si="3"/>
        <v>1.7513600000000338</v>
      </c>
      <c r="I35" s="43">
        <f t="shared" si="0"/>
        <v>5.1656168383772579E-3</v>
      </c>
      <c r="J35" s="44">
        <f t="shared" si="8"/>
        <v>0.11504424778761063</v>
      </c>
    </row>
    <row r="36" spans="1:10" x14ac:dyDescent="0.2">
      <c r="A36" s="45" t="s">
        <v>109</v>
      </c>
      <c r="B36" s="23"/>
      <c r="C36" s="24"/>
      <c r="D36" s="24">
        <f>SUM(D34:D35)</f>
        <v>2947.0555940000004</v>
      </c>
      <c r="E36" s="24"/>
      <c r="F36" s="24"/>
      <c r="G36" s="24">
        <f>SUM(G34:G35)</f>
        <v>2962.2789540000003</v>
      </c>
      <c r="H36" s="24">
        <f t="shared" si="3"/>
        <v>15.223359999999957</v>
      </c>
      <c r="I36" s="26">
        <f t="shared" si="0"/>
        <v>5.1656168383771434E-3</v>
      </c>
      <c r="J36" s="46">
        <f t="shared" si="8"/>
        <v>1</v>
      </c>
    </row>
    <row r="37" spans="1:10" x14ac:dyDescent="0.2">
      <c r="A37" s="41" t="s">
        <v>110</v>
      </c>
      <c r="B37" s="42"/>
      <c r="C37" s="25">
        <v>0</v>
      </c>
      <c r="D37" s="25">
        <f>D34*C37</f>
        <v>0</v>
      </c>
      <c r="E37" s="25"/>
      <c r="F37" s="25">
        <f>C37</f>
        <v>0</v>
      </c>
      <c r="G37" s="25">
        <f>G34*F37</f>
        <v>0</v>
      </c>
      <c r="H37" s="25">
        <f t="shared" si="3"/>
        <v>0</v>
      </c>
      <c r="I37" s="43" t="str">
        <f t="shared" si="0"/>
        <v>N/A</v>
      </c>
      <c r="J37" s="44">
        <f t="shared" si="8"/>
        <v>0</v>
      </c>
    </row>
    <row r="38" spans="1:10" ht="13.5" thickBot="1" x14ac:dyDescent="0.25">
      <c r="A38" s="47" t="s">
        <v>111</v>
      </c>
      <c r="B38" s="48"/>
      <c r="C38" s="49"/>
      <c r="D38" s="49">
        <f>SUM(D36:D37)</f>
        <v>2947.0555940000004</v>
      </c>
      <c r="E38" s="49"/>
      <c r="F38" s="49"/>
      <c r="G38" s="49">
        <f>SUM(G36:G37)</f>
        <v>2962.2789540000003</v>
      </c>
      <c r="H38" s="49">
        <f t="shared" si="3"/>
        <v>15.223359999999957</v>
      </c>
      <c r="I38" s="50">
        <f t="shared" si="0"/>
        <v>5.1656168383771434E-3</v>
      </c>
      <c r="J38" s="51">
        <f t="shared" si="8"/>
        <v>1</v>
      </c>
    </row>
    <row r="39" spans="1:10" x14ac:dyDescent="0.2">
      <c r="A39" s="184"/>
      <c r="F39" s="68"/>
    </row>
    <row r="40" spans="1:10" x14ac:dyDescent="0.2">
      <c r="A40" s="184"/>
      <c r="F40" s="68"/>
    </row>
    <row r="41" spans="1:10" x14ac:dyDescent="0.2">
      <c r="A41" s="184"/>
    </row>
    <row r="42" spans="1:10" x14ac:dyDescent="0.2">
      <c r="A42" s="184"/>
    </row>
    <row r="43" spans="1:10" x14ac:dyDescent="0.2">
      <c r="A43" s="184"/>
    </row>
    <row r="44" spans="1:10" x14ac:dyDescent="0.2">
      <c r="A44" s="184"/>
    </row>
    <row r="45" spans="1:10" x14ac:dyDescent="0.2">
      <c r="A45" s="184"/>
    </row>
    <row r="46" spans="1:10" x14ac:dyDescent="0.2">
      <c r="A46" s="184"/>
    </row>
    <row r="47" spans="1:10" x14ac:dyDescent="0.2">
      <c r="A47" s="184"/>
    </row>
    <row r="48" spans="1:10" x14ac:dyDescent="0.2">
      <c r="A48" s="184"/>
    </row>
    <row r="49" spans="1:1" x14ac:dyDescent="0.2">
      <c r="A49" s="184"/>
    </row>
    <row r="50" spans="1:1" x14ac:dyDescent="0.2">
      <c r="A50" s="184"/>
    </row>
    <row r="51" spans="1:1" x14ac:dyDescent="0.2">
      <c r="A51" s="184"/>
    </row>
    <row r="52" spans="1:1" x14ac:dyDescent="0.2">
      <c r="A52" s="184"/>
    </row>
    <row r="53" spans="1:1" x14ac:dyDescent="0.2">
      <c r="A53" s="184"/>
    </row>
    <row r="54" spans="1:1" x14ac:dyDescent="0.2">
      <c r="A54" s="184"/>
    </row>
  </sheetData>
  <mergeCells count="1">
    <mergeCell ref="A1:J1"/>
  </mergeCells>
  <dataValidations disablePrompts="1"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scale="71"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Impacts'!$A$12:$A$15</xm:f>
          </x14:formula1>
          <xm:sqref>B3</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theme="1" tint="0.499984740745262"/>
    <pageSetUpPr fitToPage="1"/>
  </sheetPr>
  <dimension ref="A1:J54"/>
  <sheetViews>
    <sheetView tabSelected="1" topLeftCell="A16" zoomScaleNormal="100" workbookViewId="0">
      <selection activeCell="N13" sqref="N13"/>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205" t="s">
        <v>127</v>
      </c>
      <c r="B1" s="206"/>
      <c r="C1" s="206"/>
      <c r="D1" s="206"/>
      <c r="E1" s="206"/>
      <c r="F1" s="206"/>
      <c r="G1" s="206"/>
      <c r="H1" s="206"/>
      <c r="I1" s="206"/>
      <c r="J1" s="207"/>
    </row>
    <row r="3" spans="1:10" x14ac:dyDescent="0.2">
      <c r="A3" s="12" t="s">
        <v>13</v>
      </c>
      <c r="B3" s="12" t="s">
        <v>7</v>
      </c>
    </row>
    <row r="4" spans="1:10" x14ac:dyDescent="0.2">
      <c r="A4" s="14" t="s">
        <v>62</v>
      </c>
      <c r="B4" s="78">
        <f>'Data for Bill Impacts_HONI Avg '!C13</f>
        <v>50525</v>
      </c>
    </row>
    <row r="5" spans="1:10" x14ac:dyDescent="0.2">
      <c r="A5" s="14" t="s">
        <v>16</v>
      </c>
      <c r="B5" s="78">
        <v>138</v>
      </c>
    </row>
    <row r="6" spans="1:10" x14ac:dyDescent="0.2">
      <c r="A6" s="14" t="s">
        <v>20</v>
      </c>
      <c r="B6" s="79">
        <f>VLOOKUP($B$3,'Data for Bill Impacts'!$A$3:$Y$15,2,0)</f>
        <v>1.05</v>
      </c>
    </row>
    <row r="7" spans="1:10" x14ac:dyDescent="0.2">
      <c r="A7" s="80" t="s">
        <v>48</v>
      </c>
      <c r="B7" s="81">
        <f>B4/(B5*730)</f>
        <v>0.50153861425451662</v>
      </c>
    </row>
    <row r="8" spans="1:10" x14ac:dyDescent="0.2">
      <c r="A8" s="14" t="s">
        <v>15</v>
      </c>
      <c r="B8" s="78">
        <f>VLOOKUP($B$3,'Data for Bill Impacts'!$A$3:$Y$15,4,0)</f>
        <v>0</v>
      </c>
    </row>
    <row r="9" spans="1:10" x14ac:dyDescent="0.2">
      <c r="A9" s="14" t="s">
        <v>82</v>
      </c>
      <c r="B9" s="78">
        <f>B4*B6</f>
        <v>53051.25</v>
      </c>
    </row>
    <row r="10" spans="1:10" x14ac:dyDescent="0.2">
      <c r="A10" s="14" t="s">
        <v>21</v>
      </c>
      <c r="B10" s="15" t="s">
        <v>19</v>
      </c>
    </row>
    <row r="11" spans="1:10" ht="13.5" thickBot="1" x14ac:dyDescent="0.25"/>
    <row r="12" spans="1:10" s="19" customFormat="1" ht="26.25" thickBot="1" x14ac:dyDescent="0.25">
      <c r="A12" s="16"/>
      <c r="B12" s="17" t="s">
        <v>22</v>
      </c>
      <c r="C12" s="17" t="s">
        <v>23</v>
      </c>
      <c r="D12" s="17" t="s">
        <v>24</v>
      </c>
      <c r="E12" s="17" t="s">
        <v>22</v>
      </c>
      <c r="F12" s="17" t="s">
        <v>25</v>
      </c>
      <c r="G12" s="17" t="s">
        <v>26</v>
      </c>
      <c r="H12" s="17" t="s">
        <v>27</v>
      </c>
      <c r="I12" s="17" t="s">
        <v>28</v>
      </c>
      <c r="J12" s="121" t="s">
        <v>49</v>
      </c>
    </row>
    <row r="13" spans="1:10" x14ac:dyDescent="0.2">
      <c r="A13" s="100" t="s">
        <v>31</v>
      </c>
      <c r="B13" s="101">
        <f>B9</f>
        <v>53051.25</v>
      </c>
      <c r="C13" s="102">
        <v>9.0999999999999998E-2</v>
      </c>
      <c r="D13" s="103">
        <f>B13*C13</f>
        <v>4827.6637499999997</v>
      </c>
      <c r="E13" s="101">
        <f>B13</f>
        <v>53051.25</v>
      </c>
      <c r="F13" s="102">
        <f>C13</f>
        <v>9.0999999999999998E-2</v>
      </c>
      <c r="G13" s="103">
        <f>E13*F13</f>
        <v>4827.6637499999997</v>
      </c>
      <c r="H13" s="103">
        <f>G13-D13</f>
        <v>0</v>
      </c>
      <c r="I13" s="104">
        <f t="shared" ref="I13:I38" si="0">IF(ISERROR(H13/ABS(D13)),"N/A",(H13/ABS(D13)))</f>
        <v>0</v>
      </c>
      <c r="J13" s="122">
        <f t="shared" ref="J13:J32" si="1">G13/$G$38</f>
        <v>0.56012915578281919</v>
      </c>
    </row>
    <row r="14" spans="1:10" x14ac:dyDescent="0.2">
      <c r="A14" s="106" t="s">
        <v>32</v>
      </c>
      <c r="B14" s="72">
        <v>0</v>
      </c>
      <c r="C14" s="20">
        <v>0.106</v>
      </c>
      <c r="D14" s="21">
        <f>B14*C14</f>
        <v>0</v>
      </c>
      <c r="E14" s="72">
        <f t="shared" ref="E14" si="2">B14</f>
        <v>0</v>
      </c>
      <c r="F14" s="20">
        <f>C14</f>
        <v>0.106</v>
      </c>
      <c r="G14" s="21">
        <f>E14*F14</f>
        <v>0</v>
      </c>
      <c r="H14" s="21">
        <f t="shared" ref="H14:H38" si="3">G14-D14</f>
        <v>0</v>
      </c>
      <c r="I14" s="22" t="str">
        <f t="shared" si="0"/>
        <v>N/A</v>
      </c>
      <c r="J14" s="123">
        <f t="shared" si="1"/>
        <v>0</v>
      </c>
    </row>
    <row r="15" spans="1:10" s="1" customFormat="1" x14ac:dyDescent="0.2">
      <c r="A15" s="45" t="s">
        <v>33</v>
      </c>
      <c r="B15" s="23"/>
      <c r="C15" s="24"/>
      <c r="D15" s="24">
        <f>SUM(D13:D14)</f>
        <v>4827.6637499999997</v>
      </c>
      <c r="E15" s="75"/>
      <c r="F15" s="24"/>
      <c r="G15" s="24">
        <f>SUM(G13:G14)</f>
        <v>4827.6637499999997</v>
      </c>
      <c r="H15" s="24">
        <f t="shared" si="3"/>
        <v>0</v>
      </c>
      <c r="I15" s="26">
        <f t="shared" si="0"/>
        <v>0</v>
      </c>
      <c r="J15" s="46">
        <f t="shared" si="1"/>
        <v>0.56012915578281919</v>
      </c>
    </row>
    <row r="16" spans="1:10" s="1" customFormat="1" x14ac:dyDescent="0.2">
      <c r="A16" s="106" t="s">
        <v>38</v>
      </c>
      <c r="B16" s="72">
        <v>1</v>
      </c>
      <c r="C16" s="77">
        <f>VLOOKUP($B$3,'Data for Bill Impacts'!$A$3:$Y$15,7,0)</f>
        <v>106.68</v>
      </c>
      <c r="D16" s="21">
        <f>B16*C16</f>
        <v>106.68</v>
      </c>
      <c r="E16" s="72">
        <f t="shared" ref="E16:E31" si="4">B16</f>
        <v>1</v>
      </c>
      <c r="F16" s="77">
        <f>VLOOKUP($B$3,'Data for Bill Impacts'!$A$3:$Y$15,17,0)</f>
        <v>108.5</v>
      </c>
      <c r="G16" s="21">
        <f>E16*F16</f>
        <v>108.5</v>
      </c>
      <c r="H16" s="21">
        <f t="shared" si="3"/>
        <v>1.8199999999999932</v>
      </c>
      <c r="I16" s="22">
        <f t="shared" si="0"/>
        <v>1.7060367454068175E-2</v>
      </c>
      <c r="J16" s="123">
        <f t="shared" si="1"/>
        <v>1.2588700570215952E-2</v>
      </c>
    </row>
    <row r="17" spans="1:10" hidden="1" x14ac:dyDescent="0.2">
      <c r="A17" s="106" t="s">
        <v>83</v>
      </c>
      <c r="B17" s="72">
        <v>1</v>
      </c>
      <c r="C17" s="77">
        <f>VLOOKUP($B$3,'Data for Bill Impacts'!$A$3:$Y$15,8,0)</f>
        <v>0</v>
      </c>
      <c r="D17" s="21">
        <f>B17*C17</f>
        <v>0</v>
      </c>
      <c r="E17" s="72">
        <f t="shared" si="4"/>
        <v>1</v>
      </c>
      <c r="F17" s="77">
        <v>0</v>
      </c>
      <c r="G17" s="21">
        <f t="shared" ref="G17:G19" si="5">E17*F17</f>
        <v>0</v>
      </c>
      <c r="H17" s="21">
        <f t="shared" si="3"/>
        <v>0</v>
      </c>
      <c r="I17" s="22" t="str">
        <f t="shared" si="0"/>
        <v>N/A</v>
      </c>
      <c r="J17" s="123">
        <f t="shared" si="1"/>
        <v>0</v>
      </c>
    </row>
    <row r="18" spans="1:10" hidden="1" x14ac:dyDescent="0.2">
      <c r="A18" s="106" t="s">
        <v>84</v>
      </c>
      <c r="B18" s="72">
        <v>1</v>
      </c>
      <c r="C18" s="77">
        <f>VLOOKUP($B$3,'Data for Bill Impacts'!$A$3:$Y$15,11,0)</f>
        <v>0</v>
      </c>
      <c r="D18" s="21">
        <f t="shared" ref="D18:D19" si="6">B18*C18</f>
        <v>0</v>
      </c>
      <c r="E18" s="72">
        <f t="shared" si="4"/>
        <v>1</v>
      </c>
      <c r="F18" s="77">
        <f>VLOOKUP($B$3,'Data for Bill Impacts'!$A$3:$Y$15,12,0)</f>
        <v>0</v>
      </c>
      <c r="G18" s="21">
        <f t="shared" si="5"/>
        <v>0</v>
      </c>
      <c r="H18" s="21">
        <f t="shared" si="3"/>
        <v>0</v>
      </c>
      <c r="I18" s="22" t="str">
        <f t="shared" si="0"/>
        <v>N/A</v>
      </c>
      <c r="J18" s="123">
        <f t="shared" si="1"/>
        <v>0</v>
      </c>
    </row>
    <row r="19" spans="1:10" x14ac:dyDescent="0.2">
      <c r="A19" s="106" t="s">
        <v>85</v>
      </c>
      <c r="B19" s="72">
        <v>1</v>
      </c>
      <c r="C19" s="120">
        <f>VLOOKUP($B$3,'Data for Bill Impacts'!$A$3:$Y$15,13,0)</f>
        <v>1.7999999999999999E-2</v>
      </c>
      <c r="D19" s="21">
        <f t="shared" si="6"/>
        <v>1.7999999999999999E-2</v>
      </c>
      <c r="E19" s="72">
        <f t="shared" si="4"/>
        <v>1</v>
      </c>
      <c r="F19" s="120">
        <f>VLOOKUP($B$3,'Data for Bill Impacts'!$A$3:$Y$15,22,0)</f>
        <v>1.7999999999999999E-2</v>
      </c>
      <c r="G19" s="21">
        <f t="shared" si="5"/>
        <v>1.7999999999999999E-2</v>
      </c>
      <c r="H19" s="21">
        <f t="shared" si="3"/>
        <v>0</v>
      </c>
      <c r="I19" s="22">
        <f t="shared" si="0"/>
        <v>0</v>
      </c>
      <c r="J19" s="123">
        <f t="shared" si="1"/>
        <v>2.088448020865319E-6</v>
      </c>
    </row>
    <row r="20" spans="1:10" x14ac:dyDescent="0.2">
      <c r="A20" s="106" t="s">
        <v>39</v>
      </c>
      <c r="B20" s="72">
        <f>IF($B$10="kWh",$B$4,$B$5)</f>
        <v>138</v>
      </c>
      <c r="C20" s="77">
        <f>VLOOKUP($B$3,'Data for Bill Impacts'!$A$3:$Y$15,10,0)</f>
        <v>10.6761</v>
      </c>
      <c r="D20" s="21">
        <f>B20*C20</f>
        <v>1473.3018</v>
      </c>
      <c r="E20" s="72">
        <f t="shared" si="4"/>
        <v>138</v>
      </c>
      <c r="F20" s="77">
        <f>VLOOKUP($B$3,'Data for Bill Impacts'!$A$3:$Y$15,19,0)</f>
        <v>10.8703</v>
      </c>
      <c r="G20" s="21">
        <f>E20*F20</f>
        <v>1500.1014</v>
      </c>
      <c r="H20" s="21">
        <f t="shared" si="3"/>
        <v>26.799600000000055</v>
      </c>
      <c r="I20" s="22">
        <f t="shared" si="0"/>
        <v>1.8190163074530998E-2</v>
      </c>
      <c r="J20" s="123">
        <f t="shared" si="1"/>
        <v>0.17404909999596083</v>
      </c>
    </row>
    <row r="21" spans="1:10" s="1" customFormat="1" x14ac:dyDescent="0.2">
      <c r="A21" s="106" t="s">
        <v>129</v>
      </c>
      <c r="B21" s="72">
        <f>IF($B$10="kWh",$B$4,$B$5)</f>
        <v>138</v>
      </c>
      <c r="C21" s="77">
        <f>VLOOKUP($B$3,'Data for Bill Impacts'!$A$3:$Y$15,14,0)</f>
        <v>1.1179999999999999E-2</v>
      </c>
      <c r="D21" s="21">
        <f>B21*C21</f>
        <v>1.5428399999999998</v>
      </c>
      <c r="E21" s="72">
        <f>B21</f>
        <v>138</v>
      </c>
      <c r="F21" s="77">
        <f>VLOOKUP($B$3,'Data for Bill Impacts'!$A$3:$Y$15,23,0)</f>
        <v>1.1179999999999999E-2</v>
      </c>
      <c r="G21" s="21">
        <f>E21*F21</f>
        <v>1.5428399999999998</v>
      </c>
      <c r="H21" s="21">
        <f>G21-D21</f>
        <v>0</v>
      </c>
      <c r="I21" s="22">
        <f t="shared" si="0"/>
        <v>0</v>
      </c>
      <c r="J21" s="123">
        <f t="shared" si="1"/>
        <v>1.7900784136176939E-4</v>
      </c>
    </row>
    <row r="22" spans="1:10" s="1" customFormat="1" x14ac:dyDescent="0.2">
      <c r="A22" s="106" t="s">
        <v>117</v>
      </c>
      <c r="B22" s="72">
        <f>B9</f>
        <v>53051.25</v>
      </c>
      <c r="C22" s="124">
        <f>VLOOKUP($B$3,'Data for Bill Impacts'!$A$3:$Y$15,20,0)</f>
        <v>0</v>
      </c>
      <c r="D22" s="21">
        <f>B22*C22</f>
        <v>0</v>
      </c>
      <c r="E22" s="72">
        <f t="shared" si="4"/>
        <v>53051.25</v>
      </c>
      <c r="F22" s="124">
        <f>VLOOKUP($B$3,'Data for Bill Impacts'!$A$3:$Y$15,21,0)</f>
        <v>0</v>
      </c>
      <c r="G22" s="21">
        <f>E22*F22</f>
        <v>0</v>
      </c>
      <c r="H22" s="21">
        <f t="shared" si="3"/>
        <v>0</v>
      </c>
      <c r="I22" s="22" t="str">
        <f t="shared" si="0"/>
        <v>N/A</v>
      </c>
      <c r="J22" s="123">
        <f t="shared" si="1"/>
        <v>0</v>
      </c>
    </row>
    <row r="23" spans="1:10" x14ac:dyDescent="0.2">
      <c r="A23" s="109" t="s">
        <v>95</v>
      </c>
      <c r="B23" s="73"/>
      <c r="C23" s="34"/>
      <c r="D23" s="34">
        <f>SUM(D16:D22)</f>
        <v>1581.5426400000001</v>
      </c>
      <c r="E23" s="72"/>
      <c r="F23" s="34"/>
      <c r="G23" s="34">
        <f>SUM(G16:G22)</f>
        <v>1610.1622400000001</v>
      </c>
      <c r="H23" s="34">
        <f t="shared" si="3"/>
        <v>28.619599999999991</v>
      </c>
      <c r="I23" s="35">
        <f t="shared" si="0"/>
        <v>1.8096002773595778E-2</v>
      </c>
      <c r="J23" s="110">
        <f t="shared" si="1"/>
        <v>0.18681889685555941</v>
      </c>
    </row>
    <row r="24" spans="1:10" x14ac:dyDescent="0.2">
      <c r="A24" s="106" t="s">
        <v>40</v>
      </c>
      <c r="B24" s="72">
        <f>B5</f>
        <v>138</v>
      </c>
      <c r="C24" s="124">
        <f>VLOOKUP($B$3,'Data for Bill Impacts'!$A$3:$Y$15,15,0)</f>
        <v>2.1349</v>
      </c>
      <c r="D24" s="21">
        <f>B24*C24</f>
        <v>294.61619999999999</v>
      </c>
      <c r="E24" s="72">
        <f t="shared" si="4"/>
        <v>138</v>
      </c>
      <c r="F24" s="77">
        <f>VLOOKUP($B$3,'Data for Bill Impacts'!$A$3:$Y$15,24,0)</f>
        <v>2.1349</v>
      </c>
      <c r="G24" s="21">
        <f>E24*F24</f>
        <v>294.61619999999999</v>
      </c>
      <c r="H24" s="21">
        <f t="shared" si="3"/>
        <v>0</v>
      </c>
      <c r="I24" s="22">
        <f t="shared" si="0"/>
        <v>0</v>
      </c>
      <c r="J24" s="123">
        <f t="shared" si="1"/>
        <v>3.4182812211381169E-2</v>
      </c>
    </row>
    <row r="25" spans="1:10" s="1" customFormat="1" x14ac:dyDescent="0.2">
      <c r="A25" s="106" t="s">
        <v>41</v>
      </c>
      <c r="B25" s="72">
        <f>B5</f>
        <v>138</v>
      </c>
      <c r="C25" s="124">
        <f>VLOOKUP($B$3,'Data for Bill Impacts'!$A$3:$Y$15,16,0)</f>
        <v>1.7284999999999999</v>
      </c>
      <c r="D25" s="21">
        <f>B25*C25</f>
        <v>238.53299999999999</v>
      </c>
      <c r="E25" s="72">
        <f t="shared" si="4"/>
        <v>138</v>
      </c>
      <c r="F25" s="77">
        <f>VLOOKUP($B$3,'Data for Bill Impacts'!$A$3:$Y$15,25,0)</f>
        <v>1.7284999999999999</v>
      </c>
      <c r="G25" s="21">
        <f>E25*F25</f>
        <v>238.53299999999999</v>
      </c>
      <c r="H25" s="21">
        <f t="shared" si="3"/>
        <v>0</v>
      </c>
      <c r="I25" s="22">
        <f t="shared" si="0"/>
        <v>0</v>
      </c>
      <c r="J25" s="123">
        <f t="shared" si="1"/>
        <v>2.7675765097837066E-2</v>
      </c>
    </row>
    <row r="26" spans="1:10" x14ac:dyDescent="0.2">
      <c r="A26" s="109" t="s">
        <v>76</v>
      </c>
      <c r="B26" s="73"/>
      <c r="C26" s="34"/>
      <c r="D26" s="34">
        <f>SUM(D24:D25)</f>
        <v>533.14919999999995</v>
      </c>
      <c r="E26" s="72"/>
      <c r="F26" s="34"/>
      <c r="G26" s="34">
        <f>SUM(G24:G25)</f>
        <v>533.14919999999995</v>
      </c>
      <c r="H26" s="34">
        <f t="shared" si="3"/>
        <v>0</v>
      </c>
      <c r="I26" s="35">
        <f t="shared" si="0"/>
        <v>0</v>
      </c>
      <c r="J26" s="110">
        <f t="shared" si="1"/>
        <v>6.1858577309218232E-2</v>
      </c>
    </row>
    <row r="27" spans="1:10" s="1" customFormat="1" x14ac:dyDescent="0.2">
      <c r="A27" s="109" t="s">
        <v>80</v>
      </c>
      <c r="B27" s="73"/>
      <c r="C27" s="34"/>
      <c r="D27" s="34">
        <f>D23+D26</f>
        <v>2114.69184</v>
      </c>
      <c r="E27" s="72"/>
      <c r="F27" s="34"/>
      <c r="G27" s="34">
        <f>G23+G26</f>
        <v>2143.3114399999999</v>
      </c>
      <c r="H27" s="34">
        <f t="shared" si="3"/>
        <v>28.619599999999991</v>
      </c>
      <c r="I27" s="35">
        <f t="shared" si="0"/>
        <v>1.3533697656865216E-2</v>
      </c>
      <c r="J27" s="110">
        <f t="shared" si="1"/>
        <v>0.24867747416477765</v>
      </c>
    </row>
    <row r="28" spans="1:10" x14ac:dyDescent="0.2">
      <c r="A28" s="106" t="s">
        <v>42</v>
      </c>
      <c r="B28" s="72">
        <f>B9</f>
        <v>53051.25</v>
      </c>
      <c r="C28" s="33">
        <v>3.5999999999999999E-3</v>
      </c>
      <c r="D28" s="21">
        <f>B28*C28</f>
        <v>190.9845</v>
      </c>
      <c r="E28" s="72">
        <f t="shared" si="4"/>
        <v>53051.25</v>
      </c>
      <c r="F28" s="33">
        <v>3.5999999999999999E-3</v>
      </c>
      <c r="G28" s="21">
        <f>E28*F28</f>
        <v>190.9845</v>
      </c>
      <c r="H28" s="21">
        <f t="shared" si="3"/>
        <v>0</v>
      </c>
      <c r="I28" s="22">
        <f t="shared" si="0"/>
        <v>0</v>
      </c>
      <c r="J28" s="123">
        <f t="shared" si="1"/>
        <v>2.2158955613386256E-2</v>
      </c>
    </row>
    <row r="29" spans="1:10" x14ac:dyDescent="0.2">
      <c r="A29" s="106" t="s">
        <v>43</v>
      </c>
      <c r="B29" s="72">
        <f>B9</f>
        <v>53051.25</v>
      </c>
      <c r="C29" s="33">
        <v>2.0999999999999999E-3</v>
      </c>
      <c r="D29" s="21">
        <f>B29*C29</f>
        <v>111.407625</v>
      </c>
      <c r="E29" s="72">
        <f t="shared" si="4"/>
        <v>53051.25</v>
      </c>
      <c r="F29" s="33">
        <v>2.0999999999999999E-3</v>
      </c>
      <c r="G29" s="21">
        <f>E29*F29</f>
        <v>111.407625</v>
      </c>
      <c r="H29" s="21">
        <f>G29-D29</f>
        <v>0</v>
      </c>
      <c r="I29" s="22">
        <f t="shared" si="0"/>
        <v>0</v>
      </c>
      <c r="J29" s="123">
        <f t="shared" si="1"/>
        <v>1.2926057441141982E-2</v>
      </c>
    </row>
    <row r="30" spans="1:10" x14ac:dyDescent="0.2">
      <c r="A30" s="106" t="s">
        <v>99</v>
      </c>
      <c r="B30" s="72">
        <f>B9</f>
        <v>53051.25</v>
      </c>
      <c r="C30" s="33">
        <v>0</v>
      </c>
      <c r="D30" s="21">
        <f>B30*C30</f>
        <v>0</v>
      </c>
      <c r="E30" s="72">
        <f t="shared" si="4"/>
        <v>53051.25</v>
      </c>
      <c r="F30" s="33">
        <v>0</v>
      </c>
      <c r="G30" s="21">
        <f>E30*F30</f>
        <v>0</v>
      </c>
      <c r="H30" s="21">
        <f>G30-D30</f>
        <v>0</v>
      </c>
      <c r="I30" s="22" t="str">
        <f t="shared" si="0"/>
        <v>N/A</v>
      </c>
      <c r="J30" s="123">
        <f t="shared" si="1"/>
        <v>0</v>
      </c>
    </row>
    <row r="31" spans="1:10" x14ac:dyDescent="0.2">
      <c r="A31" s="106" t="s">
        <v>44</v>
      </c>
      <c r="B31" s="72">
        <v>1</v>
      </c>
      <c r="C31" s="21">
        <v>0.25</v>
      </c>
      <c r="D31" s="21">
        <f>B31*C31</f>
        <v>0.25</v>
      </c>
      <c r="E31" s="72">
        <f t="shared" si="4"/>
        <v>1</v>
      </c>
      <c r="F31" s="21">
        <f>C31</f>
        <v>0.25</v>
      </c>
      <c r="G31" s="21">
        <f>E31*F31</f>
        <v>0.25</v>
      </c>
      <c r="H31" s="21">
        <f t="shared" si="3"/>
        <v>0</v>
      </c>
      <c r="I31" s="22">
        <f t="shared" si="0"/>
        <v>0</v>
      </c>
      <c r="J31" s="123">
        <f t="shared" si="1"/>
        <v>2.9006222512018325E-5</v>
      </c>
    </row>
    <row r="32" spans="1:10" x14ac:dyDescent="0.2">
      <c r="A32" s="109" t="s">
        <v>45</v>
      </c>
      <c r="B32" s="73"/>
      <c r="C32" s="34"/>
      <c r="D32" s="34">
        <f>SUM(D28:D31)</f>
        <v>302.64212499999996</v>
      </c>
      <c r="E32" s="72"/>
      <c r="F32" s="34"/>
      <c r="G32" s="34">
        <f>SUM(G28:G31)</f>
        <v>302.64212499999996</v>
      </c>
      <c r="H32" s="34">
        <f t="shared" si="3"/>
        <v>0</v>
      </c>
      <c r="I32" s="35">
        <f t="shared" si="0"/>
        <v>0</v>
      </c>
      <c r="J32" s="110">
        <f t="shared" si="1"/>
        <v>3.5114019277040248E-2</v>
      </c>
    </row>
    <row r="33" spans="1:10" ht="13.5" thickBot="1" x14ac:dyDescent="0.25">
      <c r="A33" s="111" t="s">
        <v>46</v>
      </c>
      <c r="B33" s="112">
        <f>B4</f>
        <v>50525</v>
      </c>
      <c r="C33" s="113">
        <v>7.0000000000000001E-3</v>
      </c>
      <c r="D33" s="114">
        <f>B33*C33</f>
        <v>353.67500000000001</v>
      </c>
      <c r="E33" s="115">
        <f t="shared" ref="E33" si="7">B33</f>
        <v>50525</v>
      </c>
      <c r="F33" s="113">
        <f>C33</f>
        <v>7.0000000000000001E-3</v>
      </c>
      <c r="G33" s="114">
        <f>E33*F33</f>
        <v>353.67500000000001</v>
      </c>
      <c r="H33" s="114">
        <f t="shared" si="3"/>
        <v>0</v>
      </c>
      <c r="I33" s="116">
        <f t="shared" si="0"/>
        <v>0</v>
      </c>
      <c r="J33" s="117">
        <f t="shared" ref="J33:J38" si="8">G33/$G$38</f>
        <v>4.1035102987752321E-2</v>
      </c>
    </row>
    <row r="34" spans="1:10" x14ac:dyDescent="0.2">
      <c r="A34" s="36" t="s">
        <v>116</v>
      </c>
      <c r="B34" s="37"/>
      <c r="C34" s="38"/>
      <c r="D34" s="38">
        <f>SUM(D15,D23,D26,D32,D33)</f>
        <v>7598.6727149999997</v>
      </c>
      <c r="E34" s="37"/>
      <c r="F34" s="38"/>
      <c r="G34" s="38">
        <f>SUM(G15,G23,G26,G32,G33)</f>
        <v>7627.2923149999997</v>
      </c>
      <c r="H34" s="38">
        <f t="shared" si="3"/>
        <v>28.619599999999991</v>
      </c>
      <c r="I34" s="39">
        <f t="shared" si="0"/>
        <v>3.7663946156680853E-3</v>
      </c>
      <c r="J34" s="40">
        <f t="shared" si="8"/>
        <v>0.88495575221238942</v>
      </c>
    </row>
    <row r="35" spans="1:10" x14ac:dyDescent="0.2">
      <c r="A35" s="45" t="s">
        <v>108</v>
      </c>
      <c r="B35" s="42"/>
      <c r="C35" s="25">
        <v>0.13</v>
      </c>
      <c r="D35" s="25">
        <f>D34*C35</f>
        <v>987.82745294999995</v>
      </c>
      <c r="E35" s="25"/>
      <c r="F35" s="25">
        <f>C35</f>
        <v>0.13</v>
      </c>
      <c r="G35" s="25">
        <f>G34*F35</f>
        <v>991.54800094999996</v>
      </c>
      <c r="H35" s="25">
        <f t="shared" si="3"/>
        <v>3.720548000000008</v>
      </c>
      <c r="I35" s="43">
        <f t="shared" si="0"/>
        <v>3.7663946156680948E-3</v>
      </c>
      <c r="J35" s="44">
        <f t="shared" si="8"/>
        <v>0.11504424778761062</v>
      </c>
    </row>
    <row r="36" spans="1:10" x14ac:dyDescent="0.2">
      <c r="A36" s="45" t="s">
        <v>109</v>
      </c>
      <c r="B36" s="23"/>
      <c r="C36" s="24"/>
      <c r="D36" s="24">
        <f>SUM(D34:D35)</f>
        <v>8586.5001679500001</v>
      </c>
      <c r="E36" s="24"/>
      <c r="F36" s="24"/>
      <c r="G36" s="24">
        <f>SUM(G34:G35)</f>
        <v>8618.8403159499994</v>
      </c>
      <c r="H36" s="24">
        <f t="shared" si="3"/>
        <v>32.340147999999317</v>
      </c>
      <c r="I36" s="26">
        <f t="shared" si="0"/>
        <v>3.7663946156680068E-3</v>
      </c>
      <c r="J36" s="46">
        <f t="shared" si="8"/>
        <v>1</v>
      </c>
    </row>
    <row r="37" spans="1:10" x14ac:dyDescent="0.2">
      <c r="A37" s="45" t="s">
        <v>110</v>
      </c>
      <c r="B37" s="42"/>
      <c r="C37" s="25">
        <v>0</v>
      </c>
      <c r="D37" s="25">
        <f>D34*C37</f>
        <v>0</v>
      </c>
      <c r="E37" s="25"/>
      <c r="F37" s="25">
        <f>C37</f>
        <v>0</v>
      </c>
      <c r="G37" s="25">
        <f>G34*F37</f>
        <v>0</v>
      </c>
      <c r="H37" s="25">
        <f t="shared" si="3"/>
        <v>0</v>
      </c>
      <c r="I37" s="43" t="str">
        <f t="shared" si="0"/>
        <v>N/A</v>
      </c>
      <c r="J37" s="44">
        <f t="shared" si="8"/>
        <v>0</v>
      </c>
    </row>
    <row r="38" spans="1:10" ht="13.5" thickBot="1" x14ac:dyDescent="0.25">
      <c r="A38" s="45" t="s">
        <v>111</v>
      </c>
      <c r="B38" s="48"/>
      <c r="C38" s="49"/>
      <c r="D38" s="49">
        <f>SUM(D36:D37)</f>
        <v>8586.5001679500001</v>
      </c>
      <c r="E38" s="49"/>
      <c r="F38" s="49"/>
      <c r="G38" s="49">
        <f>SUM(G36:G37)</f>
        <v>8618.8403159499994</v>
      </c>
      <c r="H38" s="49">
        <f t="shared" si="3"/>
        <v>32.340147999999317</v>
      </c>
      <c r="I38" s="50">
        <f t="shared" si="0"/>
        <v>3.7663946156680068E-3</v>
      </c>
      <c r="J38" s="51">
        <f t="shared" si="8"/>
        <v>1</v>
      </c>
    </row>
    <row r="39" spans="1:10" x14ac:dyDescent="0.2">
      <c r="A39" s="183"/>
      <c r="F39" s="68"/>
    </row>
    <row r="40" spans="1:10" x14ac:dyDescent="0.2">
      <c r="A40" s="184"/>
      <c r="F40" s="68"/>
    </row>
    <row r="41" spans="1:10" x14ac:dyDescent="0.2">
      <c r="A41" s="184"/>
    </row>
    <row r="42" spans="1:10" x14ac:dyDescent="0.2">
      <c r="A42" s="184"/>
    </row>
    <row r="43" spans="1:10" x14ac:dyDescent="0.2">
      <c r="A43" s="184"/>
    </row>
    <row r="44" spans="1:10" x14ac:dyDescent="0.2">
      <c r="A44" s="184"/>
    </row>
    <row r="45" spans="1:10" x14ac:dyDescent="0.2">
      <c r="A45" s="184"/>
    </row>
    <row r="46" spans="1:10" x14ac:dyDescent="0.2">
      <c r="A46" s="184"/>
    </row>
    <row r="47" spans="1:10" x14ac:dyDescent="0.2">
      <c r="A47" s="184"/>
    </row>
    <row r="48" spans="1:10" x14ac:dyDescent="0.2">
      <c r="A48" s="184"/>
    </row>
    <row r="49" spans="1:1" x14ac:dyDescent="0.2">
      <c r="A49" s="184"/>
    </row>
    <row r="50" spans="1:1" x14ac:dyDescent="0.2">
      <c r="A50" s="184"/>
    </row>
    <row r="51" spans="1:1" x14ac:dyDescent="0.2">
      <c r="A51" s="184"/>
    </row>
    <row r="52" spans="1:1" x14ac:dyDescent="0.2">
      <c r="A52" s="184"/>
    </row>
    <row r="53" spans="1:1" x14ac:dyDescent="0.2">
      <c r="A53" s="184"/>
    </row>
    <row r="54" spans="1:1" x14ac:dyDescent="0.2">
      <c r="A54" s="184"/>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scale="71"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tabColor theme="1" tint="0.499984740745262"/>
    <pageSetUpPr fitToPage="1"/>
  </sheetPr>
  <dimension ref="A1:J54"/>
  <sheetViews>
    <sheetView tabSelected="1" topLeftCell="A21" zoomScaleNormal="100" zoomScaleSheetLayoutView="100" workbookViewId="0">
      <selection activeCell="N13" sqref="N13"/>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205" t="s">
        <v>128</v>
      </c>
      <c r="B1" s="206"/>
      <c r="C1" s="206"/>
      <c r="D1" s="206"/>
      <c r="E1" s="206"/>
      <c r="F1" s="206"/>
      <c r="G1" s="206"/>
      <c r="H1" s="206"/>
      <c r="I1" s="206"/>
      <c r="J1" s="207"/>
    </row>
    <row r="3" spans="1:10" x14ac:dyDescent="0.2">
      <c r="A3" s="12" t="s">
        <v>13</v>
      </c>
      <c r="B3" s="12" t="s">
        <v>7</v>
      </c>
    </row>
    <row r="4" spans="1:10" x14ac:dyDescent="0.2">
      <c r="A4" s="14" t="s">
        <v>62</v>
      </c>
      <c r="B4" s="78">
        <v>175000</v>
      </c>
    </row>
    <row r="5" spans="1:10" x14ac:dyDescent="0.2">
      <c r="A5" s="14" t="s">
        <v>16</v>
      </c>
      <c r="B5" s="78">
        <v>500</v>
      </c>
    </row>
    <row r="6" spans="1:10" x14ac:dyDescent="0.2">
      <c r="A6" s="14" t="s">
        <v>20</v>
      </c>
      <c r="B6" s="79">
        <f>VLOOKUP($B$3,'Data for Bill Impacts'!$A$3:$Y$15,2,0)</f>
        <v>1.05</v>
      </c>
    </row>
    <row r="7" spans="1:10" x14ac:dyDescent="0.2">
      <c r="A7" s="80" t="s">
        <v>48</v>
      </c>
      <c r="B7" s="81">
        <f>B4/(B5*730)</f>
        <v>0.47945205479452052</v>
      </c>
    </row>
    <row r="8" spans="1:10" x14ac:dyDescent="0.2">
      <c r="A8" s="14" t="s">
        <v>15</v>
      </c>
      <c r="B8" s="78">
        <f>VLOOKUP($B$3,'Data for Bill Impacts'!$A$3:$Y$15,4,0)</f>
        <v>0</v>
      </c>
    </row>
    <row r="9" spans="1:10" x14ac:dyDescent="0.2">
      <c r="A9" s="14" t="s">
        <v>82</v>
      </c>
      <c r="B9" s="78">
        <f>B4*B6</f>
        <v>183750</v>
      </c>
    </row>
    <row r="10" spans="1:10" x14ac:dyDescent="0.2">
      <c r="A10" s="14" t="s">
        <v>21</v>
      </c>
      <c r="B10" s="15" t="s">
        <v>19</v>
      </c>
    </row>
    <row r="11" spans="1:10" ht="13.5" thickBot="1" x14ac:dyDescent="0.25"/>
    <row r="12" spans="1:10" s="19" customFormat="1" ht="26.25" thickBot="1" x14ac:dyDescent="0.25">
      <c r="A12" s="16"/>
      <c r="B12" s="17" t="s">
        <v>22</v>
      </c>
      <c r="C12" s="17" t="s">
        <v>23</v>
      </c>
      <c r="D12" s="17" t="s">
        <v>24</v>
      </c>
      <c r="E12" s="17" t="s">
        <v>22</v>
      </c>
      <c r="F12" s="17" t="s">
        <v>25</v>
      </c>
      <c r="G12" s="17" t="s">
        <v>26</v>
      </c>
      <c r="H12" s="17" t="s">
        <v>27</v>
      </c>
      <c r="I12" s="17" t="s">
        <v>28</v>
      </c>
      <c r="J12" s="121" t="s">
        <v>49</v>
      </c>
    </row>
    <row r="13" spans="1:10" x14ac:dyDescent="0.2">
      <c r="A13" s="100" t="s">
        <v>31</v>
      </c>
      <c r="B13" s="101">
        <f>B9</f>
        <v>183750</v>
      </c>
      <c r="C13" s="102">
        <v>9.0999999999999998E-2</v>
      </c>
      <c r="D13" s="103">
        <f>B13*C13</f>
        <v>16721.25</v>
      </c>
      <c r="E13" s="101">
        <f>B13</f>
        <v>183750</v>
      </c>
      <c r="F13" s="102">
        <f>C13</f>
        <v>9.0999999999999998E-2</v>
      </c>
      <c r="G13" s="103">
        <f>E13*F13</f>
        <v>16721.25</v>
      </c>
      <c r="H13" s="103">
        <f>G13-D13</f>
        <v>0</v>
      </c>
      <c r="I13" s="104">
        <f t="shared" ref="I13:I38" si="0">IF(ISERROR(H13/ABS(D13)),"N/A",(H13/ABS(D13)))</f>
        <v>0</v>
      </c>
      <c r="J13" s="122">
        <f t="shared" ref="J13:J29" si="1">G13/$G$38</f>
        <v>0.70331698304016343</v>
      </c>
    </row>
    <row r="14" spans="1:10" x14ac:dyDescent="0.2">
      <c r="A14" s="106" t="s">
        <v>32</v>
      </c>
      <c r="B14" s="72">
        <v>0</v>
      </c>
      <c r="C14" s="20">
        <v>0.106</v>
      </c>
      <c r="D14" s="21">
        <f>B14*C14</f>
        <v>0</v>
      </c>
      <c r="E14" s="72">
        <f t="shared" ref="E14" si="2">B14</f>
        <v>0</v>
      </c>
      <c r="F14" s="20">
        <f>C14</f>
        <v>0.106</v>
      </c>
      <c r="G14" s="21">
        <f>E14*F14</f>
        <v>0</v>
      </c>
      <c r="H14" s="21">
        <f t="shared" ref="H14:H38" si="3">G14-D14</f>
        <v>0</v>
      </c>
      <c r="I14" s="22" t="str">
        <f t="shared" si="0"/>
        <v>N/A</v>
      </c>
      <c r="J14" s="123">
        <f t="shared" si="1"/>
        <v>0</v>
      </c>
    </row>
    <row r="15" spans="1:10" s="1" customFormat="1" x14ac:dyDescent="0.2">
      <c r="A15" s="45" t="s">
        <v>33</v>
      </c>
      <c r="B15" s="23"/>
      <c r="C15" s="24"/>
      <c r="D15" s="24">
        <f>SUM(D13:D14)</f>
        <v>16721.25</v>
      </c>
      <c r="E15" s="75"/>
      <c r="F15" s="24"/>
      <c r="G15" s="24">
        <f>SUM(G13:G14)</f>
        <v>16721.25</v>
      </c>
      <c r="H15" s="24">
        <f t="shared" si="3"/>
        <v>0</v>
      </c>
      <c r="I15" s="26">
        <f t="shared" si="0"/>
        <v>0</v>
      </c>
      <c r="J15" s="46">
        <f t="shared" si="1"/>
        <v>0.70331698304016343</v>
      </c>
    </row>
    <row r="16" spans="1:10" s="1" customFormat="1" hidden="1" x14ac:dyDescent="0.2">
      <c r="A16" s="106" t="s">
        <v>38</v>
      </c>
      <c r="B16" s="72">
        <v>1</v>
      </c>
      <c r="C16" s="77">
        <f>VLOOKUP($B$3,'Data for Bill Impacts'!$A$3:$Y$15,7,0)</f>
        <v>106.68</v>
      </c>
      <c r="D16" s="21">
        <f>B16*C16</f>
        <v>106.68</v>
      </c>
      <c r="E16" s="72">
        <f t="shared" ref="E16:E31" si="4">B16</f>
        <v>1</v>
      </c>
      <c r="F16" s="77">
        <f>VLOOKUP($B$3,'Data for Bill Impacts'!$A$3:$Y$15,17,0)</f>
        <v>108.5</v>
      </c>
      <c r="G16" s="21">
        <f>E16*F16</f>
        <v>108.5</v>
      </c>
      <c r="H16" s="21">
        <f t="shared" si="3"/>
        <v>1.8199999999999932</v>
      </c>
      <c r="I16" s="22">
        <f t="shared" si="0"/>
        <v>1.7060367454068175E-2</v>
      </c>
      <c r="J16" s="123">
        <f t="shared" si="1"/>
        <v>4.5636476136567379E-3</v>
      </c>
    </row>
    <row r="17" spans="1:10" hidden="1" x14ac:dyDescent="0.2">
      <c r="A17" s="106" t="s">
        <v>83</v>
      </c>
      <c r="B17" s="72">
        <v>1</v>
      </c>
      <c r="C17" s="77">
        <f>VLOOKUP($B$3,'Data for Bill Impacts'!$A$3:$Y$15,8,0)</f>
        <v>0</v>
      </c>
      <c r="D17" s="21">
        <f>B17*C17</f>
        <v>0</v>
      </c>
      <c r="E17" s="72">
        <f t="shared" si="4"/>
        <v>1</v>
      </c>
      <c r="F17" s="77">
        <f>VLOOKUP($B$3,'Data for Bill Impacts'!$A$3:$Y$15,12,0)</f>
        <v>0</v>
      </c>
      <c r="G17" s="21">
        <f t="shared" ref="G17:G19" si="5">E17*F17</f>
        <v>0</v>
      </c>
      <c r="H17" s="21">
        <f t="shared" si="3"/>
        <v>0</v>
      </c>
      <c r="I17" s="22" t="str">
        <f t="shared" si="0"/>
        <v>N/A</v>
      </c>
      <c r="J17" s="123">
        <f t="shared" si="1"/>
        <v>0</v>
      </c>
    </row>
    <row r="18" spans="1:10" x14ac:dyDescent="0.2">
      <c r="A18" s="106" t="s">
        <v>84</v>
      </c>
      <c r="B18" s="72">
        <v>1</v>
      </c>
      <c r="C18" s="77">
        <f>VLOOKUP($B$3,'Data for Bill Impacts'!$A$3:$Y$15,11,0)</f>
        <v>0</v>
      </c>
      <c r="D18" s="21">
        <f t="shared" ref="D18:D19" si="6">B18*C18</f>
        <v>0</v>
      </c>
      <c r="E18" s="72">
        <f t="shared" si="4"/>
        <v>1</v>
      </c>
      <c r="F18" s="77">
        <f>VLOOKUP($B$3,'Data for Bill Impacts'!$A$3:$Y$15,20,0)</f>
        <v>0</v>
      </c>
      <c r="G18" s="21">
        <f t="shared" si="5"/>
        <v>0</v>
      </c>
      <c r="H18" s="21">
        <f t="shared" si="3"/>
        <v>0</v>
      </c>
      <c r="I18" s="22" t="str">
        <f t="shared" si="0"/>
        <v>N/A</v>
      </c>
      <c r="J18" s="123">
        <f t="shared" si="1"/>
        <v>0</v>
      </c>
    </row>
    <row r="19" spans="1:10" x14ac:dyDescent="0.2">
      <c r="A19" s="106" t="s">
        <v>85</v>
      </c>
      <c r="B19" s="72">
        <v>1</v>
      </c>
      <c r="C19" s="120">
        <f>VLOOKUP($B$3,'Data for Bill Impacts'!$A$3:$Y$15,13,0)</f>
        <v>1.7999999999999999E-2</v>
      </c>
      <c r="D19" s="21">
        <f t="shared" si="6"/>
        <v>1.7999999999999999E-2</v>
      </c>
      <c r="E19" s="72">
        <f t="shared" si="4"/>
        <v>1</v>
      </c>
      <c r="F19" s="120">
        <f>VLOOKUP($B$3,'Data for Bill Impacts'!$A$3:$Y$15,22,0)</f>
        <v>1.7999999999999999E-2</v>
      </c>
      <c r="G19" s="21">
        <f t="shared" si="5"/>
        <v>1.7999999999999999E-2</v>
      </c>
      <c r="H19" s="21">
        <f t="shared" si="3"/>
        <v>0</v>
      </c>
      <c r="I19" s="22">
        <f t="shared" si="0"/>
        <v>0</v>
      </c>
      <c r="J19" s="123">
        <f t="shared" si="1"/>
        <v>7.5710282991540345E-7</v>
      </c>
    </row>
    <row r="20" spans="1:10" s="1" customFormat="1" x14ac:dyDescent="0.2">
      <c r="A20" s="106" t="s">
        <v>86</v>
      </c>
      <c r="B20" s="72">
        <f>IF($B$10="kWh",$B$4,$B$5)</f>
        <v>500</v>
      </c>
      <c r="C20" s="77">
        <f>VLOOKUP($B$3,'Data for Bill Impacts'!$A$3:$Y$15,12,0)</f>
        <v>0</v>
      </c>
      <c r="D20" s="21">
        <f>B20*C20</f>
        <v>0</v>
      </c>
      <c r="E20" s="72">
        <f>B20</f>
        <v>500</v>
      </c>
      <c r="F20" s="77">
        <f>VLOOKUP($B$3,'Data for Bill Impacts'!$A$3:$Y$15,21,0)</f>
        <v>0</v>
      </c>
      <c r="G20" s="21">
        <f>E20*F20</f>
        <v>0</v>
      </c>
      <c r="H20" s="21">
        <f>G20-D20</f>
        <v>0</v>
      </c>
      <c r="I20" s="22" t="str">
        <f t="shared" si="0"/>
        <v>N/A</v>
      </c>
      <c r="J20" s="123">
        <f t="shared" si="1"/>
        <v>0</v>
      </c>
    </row>
    <row r="21" spans="1:10" x14ac:dyDescent="0.2">
      <c r="A21" s="106" t="s">
        <v>117</v>
      </c>
      <c r="B21" s="72">
        <f>B9</f>
        <v>183750</v>
      </c>
      <c r="C21" s="124">
        <f>VLOOKUP($B$3,'Data for Bill Impacts'!$A$3:$Y$15,20,0)</f>
        <v>0</v>
      </c>
      <c r="D21" s="21">
        <f>B21*C21</f>
        <v>0</v>
      </c>
      <c r="E21" s="72">
        <f t="shared" si="4"/>
        <v>183750</v>
      </c>
      <c r="F21" s="124">
        <f>VLOOKUP($B$3,'Data for Bill Impacts'!$A$3:$Y$15,21,0)</f>
        <v>0</v>
      </c>
      <c r="G21" s="21">
        <f>E21*F21</f>
        <v>0</v>
      </c>
      <c r="H21" s="21">
        <f t="shared" si="3"/>
        <v>0</v>
      </c>
      <c r="I21" s="22" t="str">
        <f t="shared" si="0"/>
        <v>N/A</v>
      </c>
      <c r="J21" s="123">
        <f t="shared" si="1"/>
        <v>0</v>
      </c>
    </row>
    <row r="22" spans="1:10" s="1" customFormat="1" x14ac:dyDescent="0.2">
      <c r="A22" s="106" t="s">
        <v>129</v>
      </c>
      <c r="B22" s="72">
        <f>IF($B$10="kWh",$B$4,$B$5)</f>
        <v>500</v>
      </c>
      <c r="C22" s="77">
        <f>VLOOKUP($B$3,'Data for Bill Impacts'!$A$3:$Y$15,14,0)</f>
        <v>1.1179999999999999E-2</v>
      </c>
      <c r="D22" s="21">
        <f>B22*C22</f>
        <v>5.59</v>
      </c>
      <c r="E22" s="72">
        <f t="shared" si="4"/>
        <v>500</v>
      </c>
      <c r="F22" s="77">
        <f>VLOOKUP($B$3,'Data for Bill Impacts'!$A$3:$Y$15,23,0)</f>
        <v>1.1179999999999999E-2</v>
      </c>
      <c r="G22" s="21">
        <f>E22*F22</f>
        <v>5.59</v>
      </c>
      <c r="H22" s="21">
        <f t="shared" si="3"/>
        <v>0</v>
      </c>
      <c r="I22" s="22">
        <f t="shared" si="0"/>
        <v>0</v>
      </c>
      <c r="J22" s="123">
        <f t="shared" si="1"/>
        <v>2.3512248995706143E-4</v>
      </c>
    </row>
    <row r="23" spans="1:10" x14ac:dyDescent="0.2">
      <c r="A23" s="109" t="s">
        <v>95</v>
      </c>
      <c r="B23" s="73"/>
      <c r="C23" s="153"/>
      <c r="D23" s="34">
        <f>SUM(D16:D22)</f>
        <v>112.28800000000001</v>
      </c>
      <c r="E23" s="72"/>
      <c r="F23" s="34"/>
      <c r="G23" s="34">
        <f>SUM(G16:G22)</f>
        <v>114.108</v>
      </c>
      <c r="H23" s="34">
        <f t="shared" si="3"/>
        <v>1.8199999999999932</v>
      </c>
      <c r="I23" s="35">
        <f t="shared" si="0"/>
        <v>1.6208321459105095E-2</v>
      </c>
      <c r="J23" s="110">
        <f t="shared" si="1"/>
        <v>4.799527206443715E-3</v>
      </c>
    </row>
    <row r="24" spans="1:10" x14ac:dyDescent="0.2">
      <c r="A24" s="106" t="s">
        <v>40</v>
      </c>
      <c r="B24" s="72">
        <f>B5</f>
        <v>500</v>
      </c>
      <c r="C24" s="124">
        <f>VLOOKUP($B$3,'Data for Bill Impacts'!$A$3:$Y$15,15,0)</f>
        <v>2.1349</v>
      </c>
      <c r="D24" s="21">
        <f>B24*C24</f>
        <v>1067.45</v>
      </c>
      <c r="E24" s="72">
        <f t="shared" si="4"/>
        <v>500</v>
      </c>
      <c r="F24" s="77">
        <f>VLOOKUP($B$3,'Data for Bill Impacts'!$A$3:$Y$15,24,0)</f>
        <v>2.1349</v>
      </c>
      <c r="G24" s="21">
        <f>E24*F24</f>
        <v>1067.45</v>
      </c>
      <c r="H24" s="21">
        <f t="shared" si="3"/>
        <v>0</v>
      </c>
      <c r="I24" s="22">
        <f t="shared" si="0"/>
        <v>0</v>
      </c>
      <c r="J24" s="123">
        <f t="shared" si="1"/>
        <v>4.4898300877399863E-2</v>
      </c>
    </row>
    <row r="25" spans="1:10" s="1" customFormat="1" x14ac:dyDescent="0.2">
      <c r="A25" s="106" t="s">
        <v>41</v>
      </c>
      <c r="B25" s="72">
        <f>B5</f>
        <v>500</v>
      </c>
      <c r="C25" s="77">
        <f>VLOOKUP($B$3,'Data for Bill Impacts'!$A$3:$Y$15,16,0)</f>
        <v>1.7284999999999999</v>
      </c>
      <c r="D25" s="21">
        <f>B25*C25</f>
        <v>864.25</v>
      </c>
      <c r="E25" s="72">
        <f t="shared" si="4"/>
        <v>500</v>
      </c>
      <c r="F25" s="77">
        <f>VLOOKUP($B$3,'Data for Bill Impacts'!$A$3:$Y$15,25,0)</f>
        <v>1.7284999999999999</v>
      </c>
      <c r="G25" s="21">
        <f>E25*F25</f>
        <v>864.25</v>
      </c>
      <c r="H25" s="21">
        <f t="shared" si="3"/>
        <v>0</v>
      </c>
      <c r="I25" s="22">
        <f t="shared" si="0"/>
        <v>0</v>
      </c>
      <c r="J25" s="123">
        <f t="shared" si="1"/>
        <v>3.6351451153021526E-2</v>
      </c>
    </row>
    <row r="26" spans="1:10" x14ac:dyDescent="0.2">
      <c r="A26" s="109" t="s">
        <v>76</v>
      </c>
      <c r="B26" s="73"/>
      <c r="C26" s="34"/>
      <c r="D26" s="34">
        <f>SUM(D24:D25)</f>
        <v>1931.7</v>
      </c>
      <c r="E26" s="72"/>
      <c r="F26" s="34"/>
      <c r="G26" s="34">
        <f>SUM(G24:G25)</f>
        <v>1931.7</v>
      </c>
      <c r="H26" s="34">
        <f t="shared" si="3"/>
        <v>0</v>
      </c>
      <c r="I26" s="35">
        <f t="shared" si="0"/>
        <v>0</v>
      </c>
      <c r="J26" s="110">
        <f t="shared" si="1"/>
        <v>8.1249752030421396E-2</v>
      </c>
    </row>
    <row r="27" spans="1:10" s="1" customFormat="1" x14ac:dyDescent="0.2">
      <c r="A27" s="109" t="s">
        <v>80</v>
      </c>
      <c r="B27" s="73"/>
      <c r="C27" s="34"/>
      <c r="D27" s="34">
        <f>D23+D26</f>
        <v>2043.9880000000001</v>
      </c>
      <c r="E27" s="72"/>
      <c r="F27" s="34"/>
      <c r="G27" s="34">
        <f>G23+G26</f>
        <v>2045.808</v>
      </c>
      <c r="H27" s="34">
        <f t="shared" si="3"/>
        <v>1.8199999999999363</v>
      </c>
      <c r="I27" s="35">
        <f t="shared" si="0"/>
        <v>8.9041618639636643E-4</v>
      </c>
      <c r="J27" s="110">
        <f t="shared" si="1"/>
        <v>8.6049279236865103E-2</v>
      </c>
    </row>
    <row r="28" spans="1:10" x14ac:dyDescent="0.2">
      <c r="A28" s="106" t="s">
        <v>42</v>
      </c>
      <c r="B28" s="72">
        <f>B9</f>
        <v>183750</v>
      </c>
      <c r="C28" s="33">
        <v>3.5999999999999999E-3</v>
      </c>
      <c r="D28" s="21">
        <f>B28*C28</f>
        <v>661.5</v>
      </c>
      <c r="E28" s="72">
        <f t="shared" si="4"/>
        <v>183750</v>
      </c>
      <c r="F28" s="33">
        <v>3.5999999999999999E-3</v>
      </c>
      <c r="G28" s="21">
        <f>E28*F28</f>
        <v>661.5</v>
      </c>
      <c r="H28" s="21">
        <f t="shared" si="3"/>
        <v>0</v>
      </c>
      <c r="I28" s="22">
        <f t="shared" si="0"/>
        <v>0</v>
      </c>
      <c r="J28" s="123">
        <f t="shared" si="1"/>
        <v>2.782352899939108E-2</v>
      </c>
    </row>
    <row r="29" spans="1:10" x14ac:dyDescent="0.2">
      <c r="A29" s="106" t="s">
        <v>43</v>
      </c>
      <c r="B29" s="72">
        <f>B9</f>
        <v>183750</v>
      </c>
      <c r="C29" s="33">
        <v>2.0999999999999999E-3</v>
      </c>
      <c r="D29" s="21">
        <f>B29*C29</f>
        <v>385.875</v>
      </c>
      <c r="E29" s="72">
        <f t="shared" si="4"/>
        <v>183750</v>
      </c>
      <c r="F29" s="33">
        <v>2.0999999999999999E-3</v>
      </c>
      <c r="G29" s="21">
        <f>E29*F29</f>
        <v>385.875</v>
      </c>
      <c r="H29" s="21">
        <f>G29-D29</f>
        <v>0</v>
      </c>
      <c r="I29" s="22">
        <f t="shared" si="0"/>
        <v>0</v>
      </c>
      <c r="J29" s="123">
        <f t="shared" si="1"/>
        <v>1.6230391916311464E-2</v>
      </c>
    </row>
    <row r="30" spans="1:10" x14ac:dyDescent="0.2">
      <c r="A30" s="106" t="s">
        <v>99</v>
      </c>
      <c r="B30" s="72">
        <f>B9</f>
        <v>183750</v>
      </c>
      <c r="C30" s="33">
        <v>0</v>
      </c>
      <c r="D30" s="21">
        <f>B30*C30</f>
        <v>0</v>
      </c>
      <c r="E30" s="72">
        <f t="shared" si="4"/>
        <v>183750</v>
      </c>
      <c r="F30" s="33">
        <v>0</v>
      </c>
      <c r="G30" s="21">
        <f>E30*F30</f>
        <v>0</v>
      </c>
      <c r="H30" s="21">
        <f>G30-D30</f>
        <v>0</v>
      </c>
      <c r="I30" s="22" t="str">
        <f t="shared" si="0"/>
        <v>N/A</v>
      </c>
      <c r="J30" s="123">
        <f t="shared" ref="J30" si="7">G30/$G$38</f>
        <v>0</v>
      </c>
    </row>
    <row r="31" spans="1:10" x14ac:dyDescent="0.2">
      <c r="A31" s="106" t="s">
        <v>44</v>
      </c>
      <c r="B31" s="72">
        <v>1</v>
      </c>
      <c r="C31" s="21">
        <v>0.25</v>
      </c>
      <c r="D31" s="21">
        <f>B31*C31</f>
        <v>0.25</v>
      </c>
      <c r="E31" s="72">
        <f t="shared" si="4"/>
        <v>1</v>
      </c>
      <c r="F31" s="21">
        <f>C31</f>
        <v>0.25</v>
      </c>
      <c r="G31" s="21">
        <f>E31*F31</f>
        <v>0.25</v>
      </c>
      <c r="H31" s="21">
        <f t="shared" si="3"/>
        <v>0</v>
      </c>
      <c r="I31" s="22">
        <f t="shared" si="0"/>
        <v>0</v>
      </c>
      <c r="J31" s="123">
        <f t="shared" ref="J31:J38" si="8">G31/$G$38</f>
        <v>1.0515317082158383E-5</v>
      </c>
    </row>
    <row r="32" spans="1:10" x14ac:dyDescent="0.2">
      <c r="A32" s="109" t="s">
        <v>45</v>
      </c>
      <c r="B32" s="73"/>
      <c r="C32" s="34"/>
      <c r="D32" s="34">
        <f>SUM(D28:D31)</f>
        <v>1047.625</v>
      </c>
      <c r="E32" s="72"/>
      <c r="F32" s="34"/>
      <c r="G32" s="34">
        <f>SUM(G28:G31)</f>
        <v>1047.625</v>
      </c>
      <c r="H32" s="34">
        <f t="shared" si="3"/>
        <v>0</v>
      </c>
      <c r="I32" s="35">
        <f t="shared" si="0"/>
        <v>0</v>
      </c>
      <c r="J32" s="110">
        <f t="shared" si="8"/>
        <v>4.40644362327847E-2</v>
      </c>
    </row>
    <row r="33" spans="1:10" ht="13.5" thickBot="1" x14ac:dyDescent="0.25">
      <c r="A33" s="111" t="s">
        <v>46</v>
      </c>
      <c r="B33" s="112">
        <f>B4</f>
        <v>175000</v>
      </c>
      <c r="C33" s="113">
        <v>7.0000000000000001E-3</v>
      </c>
      <c r="D33" s="114">
        <f>B33*C33</f>
        <v>1225</v>
      </c>
      <c r="E33" s="115">
        <f t="shared" ref="E33" si="9">B33</f>
        <v>175000</v>
      </c>
      <c r="F33" s="113">
        <f>C33</f>
        <v>7.0000000000000001E-3</v>
      </c>
      <c r="G33" s="114">
        <f>E33*F33</f>
        <v>1225</v>
      </c>
      <c r="H33" s="114">
        <f t="shared" si="3"/>
        <v>0</v>
      </c>
      <c r="I33" s="116">
        <f t="shared" si="0"/>
        <v>0</v>
      </c>
      <c r="J33" s="117">
        <f t="shared" si="8"/>
        <v>5.1525053702576075E-2</v>
      </c>
    </row>
    <row r="34" spans="1:10" x14ac:dyDescent="0.2">
      <c r="A34" s="36" t="s">
        <v>116</v>
      </c>
      <c r="B34" s="37"/>
      <c r="C34" s="38"/>
      <c r="D34" s="38">
        <f>SUM(D15,D23,D26,D32,D33)</f>
        <v>21037.863000000001</v>
      </c>
      <c r="E34" s="37"/>
      <c r="F34" s="38"/>
      <c r="G34" s="38">
        <f>SUM(G15,G23,G26,G32,G33)</f>
        <v>21039.683000000001</v>
      </c>
      <c r="H34" s="38">
        <f t="shared" si="3"/>
        <v>1.819999999999709</v>
      </c>
      <c r="I34" s="39">
        <f t="shared" si="0"/>
        <v>8.6510687896375641E-5</v>
      </c>
      <c r="J34" s="40">
        <f t="shared" si="8"/>
        <v>0.88495575221238931</v>
      </c>
    </row>
    <row r="35" spans="1:10" x14ac:dyDescent="0.2">
      <c r="A35" s="45" t="s">
        <v>108</v>
      </c>
      <c r="B35" s="42"/>
      <c r="C35" s="25">
        <v>0.13</v>
      </c>
      <c r="D35" s="25">
        <f>D34*C35</f>
        <v>2734.9221900000002</v>
      </c>
      <c r="E35" s="25"/>
      <c r="F35" s="25">
        <f>C35</f>
        <v>0.13</v>
      </c>
      <c r="G35" s="25">
        <f>G34*F35</f>
        <v>2735.1587900000004</v>
      </c>
      <c r="H35" s="25">
        <f t="shared" si="3"/>
        <v>0.23660000000018044</v>
      </c>
      <c r="I35" s="43">
        <f t="shared" si="0"/>
        <v>8.6510687896455452E-5</v>
      </c>
      <c r="J35" s="44">
        <f t="shared" si="8"/>
        <v>0.11504424778761063</v>
      </c>
    </row>
    <row r="36" spans="1:10" x14ac:dyDescent="0.2">
      <c r="A36" s="45" t="s">
        <v>109</v>
      </c>
      <c r="B36" s="23"/>
      <c r="C36" s="24"/>
      <c r="D36" s="24">
        <f>SUM(D34:D35)</f>
        <v>23772.785190000002</v>
      </c>
      <c r="E36" s="24"/>
      <c r="F36" s="24"/>
      <c r="G36" s="24">
        <f>SUM(G34:G35)</f>
        <v>23774.841790000002</v>
      </c>
      <c r="H36" s="24">
        <f t="shared" si="3"/>
        <v>2.0565999999998894</v>
      </c>
      <c r="I36" s="26">
        <f t="shared" si="0"/>
        <v>8.6510687896384816E-5</v>
      </c>
      <c r="J36" s="46">
        <f t="shared" si="8"/>
        <v>1</v>
      </c>
    </row>
    <row r="37" spans="1:10" x14ac:dyDescent="0.2">
      <c r="A37" s="45" t="s">
        <v>110</v>
      </c>
      <c r="B37" s="42"/>
      <c r="C37" s="25">
        <v>0</v>
      </c>
      <c r="D37" s="25">
        <f>D34*C37</f>
        <v>0</v>
      </c>
      <c r="E37" s="25"/>
      <c r="F37" s="25">
        <f>C37</f>
        <v>0</v>
      </c>
      <c r="G37" s="25">
        <f>G34*F37</f>
        <v>0</v>
      </c>
      <c r="H37" s="25">
        <f t="shared" si="3"/>
        <v>0</v>
      </c>
      <c r="I37" s="43" t="str">
        <f t="shared" si="0"/>
        <v>N/A</v>
      </c>
      <c r="J37" s="44">
        <f t="shared" si="8"/>
        <v>0</v>
      </c>
    </row>
    <row r="38" spans="1:10" ht="13.5" thickBot="1" x14ac:dyDescent="0.25">
      <c r="A38" s="45" t="s">
        <v>111</v>
      </c>
      <c r="B38" s="48"/>
      <c r="C38" s="49"/>
      <c r="D38" s="49">
        <f>SUM(D36:D37)</f>
        <v>23772.785190000002</v>
      </c>
      <c r="E38" s="49"/>
      <c r="F38" s="49"/>
      <c r="G38" s="49">
        <f>SUM(G36:G37)</f>
        <v>23774.841790000002</v>
      </c>
      <c r="H38" s="49">
        <f t="shared" si="3"/>
        <v>2.0565999999998894</v>
      </c>
      <c r="I38" s="50">
        <f t="shared" si="0"/>
        <v>8.6510687896384816E-5</v>
      </c>
      <c r="J38" s="51">
        <f t="shared" si="8"/>
        <v>1</v>
      </c>
    </row>
    <row r="39" spans="1:10" x14ac:dyDescent="0.2">
      <c r="A39" s="184"/>
      <c r="F39" s="68"/>
    </row>
    <row r="40" spans="1:10" x14ac:dyDescent="0.2">
      <c r="A40" s="184"/>
      <c r="F40" s="68"/>
    </row>
    <row r="41" spans="1:10" x14ac:dyDescent="0.2">
      <c r="A41" s="184"/>
    </row>
    <row r="42" spans="1:10" x14ac:dyDescent="0.2">
      <c r="A42" s="184"/>
    </row>
    <row r="43" spans="1:10" x14ac:dyDescent="0.2">
      <c r="A43" s="184"/>
    </row>
    <row r="44" spans="1:10" x14ac:dyDescent="0.2">
      <c r="A44" s="184"/>
    </row>
    <row r="45" spans="1:10" x14ac:dyDescent="0.2">
      <c r="A45" s="184"/>
    </row>
    <row r="46" spans="1:10" x14ac:dyDescent="0.2">
      <c r="A46" s="184"/>
    </row>
    <row r="47" spans="1:10" x14ac:dyDescent="0.2">
      <c r="A47" s="184"/>
    </row>
    <row r="48" spans="1:10" x14ac:dyDescent="0.2">
      <c r="A48" s="184"/>
    </row>
    <row r="49" spans="1:1" x14ac:dyDescent="0.2">
      <c r="A49" s="184"/>
    </row>
    <row r="50" spans="1:1" x14ac:dyDescent="0.2">
      <c r="A50" s="184"/>
    </row>
    <row r="51" spans="1:1" x14ac:dyDescent="0.2">
      <c r="A51" s="184"/>
    </row>
    <row r="52" spans="1:1" x14ac:dyDescent="0.2">
      <c r="A52" s="184"/>
    </row>
    <row r="53" spans="1:1" x14ac:dyDescent="0.2">
      <c r="A53" s="184"/>
    </row>
    <row r="54" spans="1:1" x14ac:dyDescent="0.2">
      <c r="A54" s="184"/>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scale="71"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FFCC"/>
    <pageSetUpPr fitToPage="1"/>
  </sheetPr>
  <dimension ref="A1:J68"/>
  <sheetViews>
    <sheetView tabSelected="1" view="pageLayout" zoomScaleNormal="120" zoomScaleSheetLayoutView="100" workbookViewId="0">
      <selection activeCell="N13" sqref="N13"/>
    </sheetView>
  </sheetViews>
  <sheetFormatPr defaultColWidth="8.85546875" defaultRowHeight="12.75" x14ac:dyDescent="0.2"/>
  <cols>
    <col min="1" max="1" width="12.85546875" style="159" customWidth="1"/>
    <col min="2" max="2" width="13.42578125" style="159" customWidth="1"/>
    <col min="3" max="5" width="13.7109375" style="159" customWidth="1"/>
    <col min="6" max="6" width="12.140625" style="159" customWidth="1"/>
    <col min="7" max="7" width="13" style="159" customWidth="1"/>
    <col min="8" max="8" width="11.85546875" style="159" bestFit="1" customWidth="1"/>
    <col min="9" max="9" width="12.28515625" style="159" bestFit="1" customWidth="1"/>
    <col min="10" max="10" width="19.42578125" style="159" customWidth="1"/>
    <col min="11" max="16384" width="8.85546875" style="159"/>
  </cols>
  <sheetData>
    <row r="1" spans="1:10" ht="39" thickBot="1" x14ac:dyDescent="0.25">
      <c r="A1" s="94" t="s">
        <v>13</v>
      </c>
      <c r="B1" s="88" t="s">
        <v>67</v>
      </c>
      <c r="C1" s="95" t="s">
        <v>62</v>
      </c>
      <c r="D1" s="96" t="s">
        <v>68</v>
      </c>
      <c r="E1" s="98" t="s">
        <v>125</v>
      </c>
      <c r="F1" s="86" t="s">
        <v>63</v>
      </c>
      <c r="G1" s="87" t="s">
        <v>65</v>
      </c>
      <c r="H1" s="85" t="s">
        <v>64</v>
      </c>
      <c r="I1" s="131" t="s">
        <v>66</v>
      </c>
      <c r="J1" s="98" t="s">
        <v>69</v>
      </c>
    </row>
    <row r="2" spans="1:10" x14ac:dyDescent="0.2">
      <c r="A2" s="194" t="s">
        <v>0</v>
      </c>
      <c r="B2" s="89" t="s">
        <v>60</v>
      </c>
      <c r="C2" s="97">
        <f>BI_UR_Low!$B$4</f>
        <v>350</v>
      </c>
      <c r="D2" s="82"/>
      <c r="E2" s="132">
        <f>BI_UR_Low!$D$51</f>
        <v>85.147690950000012</v>
      </c>
      <c r="F2" s="160">
        <f>BI_UR_Low!H$25</f>
        <v>0.69999999999999574</v>
      </c>
      <c r="G2" s="164">
        <f>BI_UR_Low!I$25</f>
        <v>1.9080068143100395E-2</v>
      </c>
      <c r="H2" s="162">
        <f>BI_UR_Low!H$51</f>
        <v>0.73499999999997101</v>
      </c>
      <c r="I2" s="165">
        <f>BI_UR_Low!I$51</f>
        <v>8.6320602684525401E-3</v>
      </c>
      <c r="J2" s="199" t="s">
        <v>50</v>
      </c>
    </row>
    <row r="3" spans="1:10" x14ac:dyDescent="0.2">
      <c r="A3" s="195"/>
      <c r="B3" s="90" t="s">
        <v>92</v>
      </c>
      <c r="C3" s="92">
        <f>BI_UR_Typical!$B$4</f>
        <v>750</v>
      </c>
      <c r="D3" s="83"/>
      <c r="E3" s="133">
        <f>BI_UR_Typical!$D$51</f>
        <v>137.19893775000003</v>
      </c>
      <c r="F3" s="166">
        <f>BI_UR_Typical!H$25</f>
        <v>0.69999999999999574</v>
      </c>
      <c r="G3" s="167">
        <f>BI_UR_Typical!I$25</f>
        <v>1.9073829343723911E-2</v>
      </c>
      <c r="H3" s="168">
        <f>BI_UR_Typical!H$51</f>
        <v>0.73499999999998522</v>
      </c>
      <c r="I3" s="169">
        <f>BI_UR_Typical!I$51</f>
        <v>5.3571843343224795E-3</v>
      </c>
      <c r="J3" s="200"/>
    </row>
    <row r="4" spans="1:10" x14ac:dyDescent="0.2">
      <c r="A4" s="196"/>
      <c r="B4" s="149" t="s">
        <v>106</v>
      </c>
      <c r="C4" s="150">
        <f>BI_UR_Avg!$B$4</f>
        <v>755</v>
      </c>
      <c r="D4" s="151"/>
      <c r="E4" s="152">
        <f>BI_UR_Avg!$D$51</f>
        <v>137.84957833499999</v>
      </c>
      <c r="F4" s="166">
        <f>BI_UR_Avg!H$25</f>
        <v>0.69999999999999574</v>
      </c>
      <c r="G4" s="167">
        <f>BI_UR_Avg!I$25</f>
        <v>1.9073751384549874E-2</v>
      </c>
      <c r="H4" s="168">
        <f>BI_UR_Avg!H$51</f>
        <v>0.73500000000001364</v>
      </c>
      <c r="I4" s="169">
        <f>BI_UR_Avg!I$51</f>
        <v>5.3318987905340383E-3</v>
      </c>
      <c r="J4" s="200"/>
    </row>
    <row r="5" spans="1:10" ht="13.5" thickBot="1" x14ac:dyDescent="0.25">
      <c r="A5" s="197"/>
      <c r="B5" s="91" t="s">
        <v>61</v>
      </c>
      <c r="C5" s="93">
        <f>BI_UR_High!$B$4</f>
        <v>1400</v>
      </c>
      <c r="D5" s="84"/>
      <c r="E5" s="134">
        <f>BI_UR_High!$D$51</f>
        <v>221.78221379999997</v>
      </c>
      <c r="F5" s="170">
        <f>BI_UR_High!H$25</f>
        <v>0.69999999999999574</v>
      </c>
      <c r="G5" s="161">
        <f>BI_UR_High!I$25</f>
        <v>1.9063699991829726E-2</v>
      </c>
      <c r="H5" s="171">
        <f>BI_UR_High!H$51</f>
        <v>0.73500000000004206</v>
      </c>
      <c r="I5" s="163">
        <f>BI_UR_High!I$51</f>
        <v>3.3140619683003731E-3</v>
      </c>
      <c r="J5" s="201"/>
    </row>
    <row r="6" spans="1:10" x14ac:dyDescent="0.2">
      <c r="A6" s="194" t="s">
        <v>1</v>
      </c>
      <c r="B6" s="89" t="s">
        <v>60</v>
      </c>
      <c r="C6" s="97">
        <f>BI_R1_Low!$B$4</f>
        <v>400</v>
      </c>
      <c r="D6" s="82"/>
      <c r="E6" s="132">
        <f>BI_R1_Low!$D$51</f>
        <v>113.46943440000001</v>
      </c>
      <c r="F6" s="160">
        <f>BI_R1_Low!H$25</f>
        <v>3.9499999999999957</v>
      </c>
      <c r="G6" s="164">
        <f>BI_R1_Low!I$25</f>
        <v>6.9344475264211156E-2</v>
      </c>
      <c r="H6" s="162">
        <f>BI_R1_Low!H$51</f>
        <v>4.147500000000008</v>
      </c>
      <c r="I6" s="165">
        <f>BI_R1_Low!I$51</f>
        <v>3.6551693607454937E-2</v>
      </c>
      <c r="J6" s="199" t="s">
        <v>50</v>
      </c>
    </row>
    <row r="7" spans="1:10" x14ac:dyDescent="0.2">
      <c r="A7" s="195"/>
      <c r="B7" s="90" t="s">
        <v>92</v>
      </c>
      <c r="C7" s="92">
        <f>BI_R1_Typical!$B$4</f>
        <v>750</v>
      </c>
      <c r="D7" s="83"/>
      <c r="E7" s="133">
        <f>BI_R1_Typical!$D$51</f>
        <v>163.73620199999999</v>
      </c>
      <c r="F7" s="166">
        <f>BI_R1_Typical!H$25</f>
        <v>2.2000000000000028</v>
      </c>
      <c r="G7" s="172">
        <f>BI_R1_Typical!I$25</f>
        <v>3.6048435989447687E-2</v>
      </c>
      <c r="H7" s="168">
        <f>BI_R1_Typical!H$51</f>
        <v>2.3100000000000307</v>
      </c>
      <c r="I7" s="169">
        <f>BI_R1_Typical!I$51</f>
        <v>1.4108059010676398E-2</v>
      </c>
      <c r="J7" s="200"/>
    </row>
    <row r="8" spans="1:10" x14ac:dyDescent="0.2">
      <c r="A8" s="196"/>
      <c r="B8" s="149" t="s">
        <v>106</v>
      </c>
      <c r="C8" s="150">
        <f>BI_R1_Avg!$B$4</f>
        <v>920</v>
      </c>
      <c r="D8" s="151"/>
      <c r="E8" s="133">
        <f>BI_R1_Avg!$D$51</f>
        <v>188.15148912000004</v>
      </c>
      <c r="F8" s="166">
        <f>BI_R1_Avg!H$25</f>
        <v>1.3500000000000014</v>
      </c>
      <c r="G8" s="172">
        <f>BI_R1_Avg!I$25</f>
        <v>2.1427074934449047E-2</v>
      </c>
      <c r="H8" s="168">
        <f>BI_R1_Avg!H$51</f>
        <v>1.4174999999999613</v>
      </c>
      <c r="I8" s="169">
        <f>BI_R1_Avg!I$51</f>
        <v>7.5338229138112341E-3</v>
      </c>
      <c r="J8" s="200"/>
    </row>
    <row r="9" spans="1:10" ht="13.5" thickBot="1" x14ac:dyDescent="0.25">
      <c r="A9" s="197"/>
      <c r="B9" s="91" t="s">
        <v>61</v>
      </c>
      <c r="C9" s="93">
        <f>BI_R1_High!$B$4</f>
        <v>1800</v>
      </c>
      <c r="D9" s="84"/>
      <c r="E9" s="134">
        <f>BI_R1_High!$D$51</f>
        <v>314.53650480000005</v>
      </c>
      <c r="F9" s="170">
        <f>BI_R1_High!H$25</f>
        <v>-3.0500000000000114</v>
      </c>
      <c r="G9" s="161">
        <f>BI_R1_High!I$25</f>
        <v>-4.1649597159634184E-2</v>
      </c>
      <c r="H9" s="171">
        <f>BI_R1_High!H$51</f>
        <v>-3.2025000000000432</v>
      </c>
      <c r="I9" s="163">
        <f>BI_R1_High!I$51</f>
        <v>-1.0181648079406148E-2</v>
      </c>
      <c r="J9" s="201"/>
    </row>
    <row r="10" spans="1:10" x14ac:dyDescent="0.2">
      <c r="A10" s="194" t="s">
        <v>2</v>
      </c>
      <c r="B10" s="89" t="s">
        <v>60</v>
      </c>
      <c r="C10" s="97">
        <f>BI_R2_Low!$B$4</f>
        <v>450</v>
      </c>
      <c r="D10" s="82"/>
      <c r="E10" s="132">
        <f>BI_R2_Low!$D$51</f>
        <v>128.9090232232991</v>
      </c>
      <c r="F10" s="160">
        <f>BI_R2_Low!H$25</f>
        <v>9.0800000000000125</v>
      </c>
      <c r="G10" s="164">
        <f>BI_R2_Low!I$25</f>
        <v>0.14123903086057224</v>
      </c>
      <c r="H10" s="162">
        <f>BI_R2_Low!H$51</f>
        <v>9.5340000000000487</v>
      </c>
      <c r="I10" s="165">
        <f>BI_R2_Low!I$51</f>
        <v>7.3959136153603777E-2</v>
      </c>
      <c r="J10" s="199" t="s">
        <v>50</v>
      </c>
    </row>
    <row r="11" spans="1:10" x14ac:dyDescent="0.2">
      <c r="A11" s="195"/>
      <c r="B11" s="90" t="s">
        <v>92</v>
      </c>
      <c r="C11" s="92">
        <f>BI_R2_Typical!$B$4</f>
        <v>750</v>
      </c>
      <c r="D11" s="83"/>
      <c r="E11" s="133">
        <f>BI_R2_Typical!$D$51</f>
        <v>175.45329722329913</v>
      </c>
      <c r="F11" s="166">
        <f>BI_R2_Typical!H$25</f>
        <v>6.5600000000000165</v>
      </c>
      <c r="G11" s="172">
        <f>BI_R2_Typical!I$25</f>
        <v>9.3286263937114505E-2</v>
      </c>
      <c r="H11" s="168">
        <f>BI_R2_Typical!H$51</f>
        <v>6.8880000000000052</v>
      </c>
      <c r="I11" s="169">
        <f>BI_R2_Typical!I$51</f>
        <v>3.9258310382355818E-2</v>
      </c>
      <c r="J11" s="200"/>
    </row>
    <row r="12" spans="1:10" x14ac:dyDescent="0.2">
      <c r="A12" s="196"/>
      <c r="B12" s="149" t="s">
        <v>106</v>
      </c>
      <c r="C12" s="150">
        <f>BI_R2_Avg!$B$4</f>
        <v>1152</v>
      </c>
      <c r="D12" s="151"/>
      <c r="E12" s="152">
        <f>BI_R2_Avg!$D$51</f>
        <v>237.82262438329917</v>
      </c>
      <c r="F12" s="173">
        <f>BI_R2_Avg!H$25</f>
        <v>3.1832000000000278</v>
      </c>
      <c r="G12" s="172">
        <f>BI_R2_Avg!I$25</f>
        <v>4.0599245315983995E-2</v>
      </c>
      <c r="H12" s="174">
        <f>BI_R2_Avg!H$51</f>
        <v>3.3423600000000135</v>
      </c>
      <c r="I12" s="169">
        <f>BI_R2_Avg!I$51</f>
        <v>1.4054003519081202E-2</v>
      </c>
      <c r="J12" s="200"/>
    </row>
    <row r="13" spans="1:10" ht="13.5" thickBot="1" x14ac:dyDescent="0.25">
      <c r="A13" s="197"/>
      <c r="B13" s="91" t="s">
        <v>61</v>
      </c>
      <c r="C13" s="93">
        <f>BI_R2_High!$B$4</f>
        <v>2300</v>
      </c>
      <c r="D13" s="84"/>
      <c r="E13" s="134">
        <f>BI_R2_High!$D$51</f>
        <v>415.93204622329915</v>
      </c>
      <c r="F13" s="170">
        <f>BI_R2_High!H$25</f>
        <v>-6.4599999999999937</v>
      </c>
      <c r="G13" s="161">
        <f>BI_R2_High!I$25</f>
        <v>-6.365053872103428E-2</v>
      </c>
      <c r="H13" s="171">
        <f>BI_R2_High!H$51</f>
        <v>-6.7830000000000155</v>
      </c>
      <c r="I13" s="163">
        <f>BI_R2_High!I$51</f>
        <v>-1.6307952372485536E-2</v>
      </c>
      <c r="J13" s="201"/>
    </row>
    <row r="14" spans="1:10" x14ac:dyDescent="0.2">
      <c r="A14" s="194" t="s">
        <v>3</v>
      </c>
      <c r="B14" s="89" t="s">
        <v>60</v>
      </c>
      <c r="C14" s="97">
        <f>BI_Seas_Low!$B$4</f>
        <v>50</v>
      </c>
      <c r="D14" s="82"/>
      <c r="E14" s="132">
        <f>BI_Seas_Low!$D$51</f>
        <v>67.484386200000003</v>
      </c>
      <c r="F14" s="160">
        <f>BI_Seas_Low!H$25</f>
        <v>5.4450000000000003</v>
      </c>
      <c r="G14" s="164">
        <f>BI_Seas_Low!I$25</f>
        <v>9.5604308778213812E-2</v>
      </c>
      <c r="H14" s="162">
        <f>BI_Seas_Low!H$51</f>
        <v>5.7172499999999928</v>
      </c>
      <c r="I14" s="165">
        <f>BI_Seas_Low!I$51</f>
        <v>8.4719596960637286E-2</v>
      </c>
      <c r="J14" s="199" t="s">
        <v>50</v>
      </c>
    </row>
    <row r="15" spans="1:10" x14ac:dyDescent="0.2">
      <c r="A15" s="196"/>
      <c r="B15" s="149" t="s">
        <v>106</v>
      </c>
      <c r="C15" s="150">
        <f>BI_Seas_Avg!$B$4</f>
        <v>352</v>
      </c>
      <c r="D15" s="151"/>
      <c r="E15" s="133">
        <f>BI_Seas_Avg!$D$51</f>
        <v>117.350542848</v>
      </c>
      <c r="F15" s="166">
        <f>BI_Seas_Avg!H$25</f>
        <v>1.4283999999999963</v>
      </c>
      <c r="G15" s="172">
        <f>BI_Seas_Avg!I$25</f>
        <v>2.1470039344703803E-2</v>
      </c>
      <c r="H15" s="168">
        <f>BI_Seas_Avg!H$51</f>
        <v>1.4998199999999855</v>
      </c>
      <c r="I15" s="169">
        <f>BI_Seas_Avg!I$51</f>
        <v>1.2780682249954729E-2</v>
      </c>
      <c r="J15" s="200"/>
    </row>
    <row r="16" spans="1:10" ht="13.5" thickBot="1" x14ac:dyDescent="0.25">
      <c r="A16" s="197"/>
      <c r="B16" s="91" t="s">
        <v>61</v>
      </c>
      <c r="C16" s="93">
        <f>BI_Seas_High!$B$4</f>
        <v>1000</v>
      </c>
      <c r="D16" s="84"/>
      <c r="E16" s="134">
        <f>BI_Seas_High!$D$51</f>
        <v>224.34812400000001</v>
      </c>
      <c r="F16" s="170">
        <f>BI_Seas_High!H$25</f>
        <v>-7.1900000000000119</v>
      </c>
      <c r="G16" s="161">
        <f>BI_Seas_High!I$25</f>
        <v>-8.2569650198672587E-2</v>
      </c>
      <c r="H16" s="171">
        <f>BI_Seas_High!H$51</f>
        <v>-7.5495000000000232</v>
      </c>
      <c r="I16" s="163">
        <f>BI_Seas_High!I$51</f>
        <v>-3.3650827407854869E-2</v>
      </c>
      <c r="J16" s="201"/>
    </row>
    <row r="17" spans="1:10" x14ac:dyDescent="0.2">
      <c r="A17" s="198" t="s">
        <v>4</v>
      </c>
      <c r="B17" s="89" t="s">
        <v>60</v>
      </c>
      <c r="C17" s="97">
        <f>BI_GSe_Low!$B$4</f>
        <v>1000</v>
      </c>
      <c r="D17" s="82"/>
      <c r="E17" s="132">
        <f>BI_GSe_Low!$D$51</f>
        <v>240.16767599999994</v>
      </c>
      <c r="F17" s="160">
        <f>BI_GSe_Low!H$25</f>
        <v>2.3600000000000136</v>
      </c>
      <c r="G17" s="164">
        <f>BI_GSe_Low!I$25</f>
        <v>2.4430136022028672E-2</v>
      </c>
      <c r="H17" s="162">
        <f>BI_GSe_Low!H$51</f>
        <v>2.4780000000000371</v>
      </c>
      <c r="I17" s="165">
        <f>BI_GSe_Low!I$51</f>
        <v>1.0317791474986158E-2</v>
      </c>
      <c r="J17" s="199" t="s">
        <v>50</v>
      </c>
    </row>
    <row r="18" spans="1:10" x14ac:dyDescent="0.2">
      <c r="A18" s="189"/>
      <c r="B18" s="90" t="s">
        <v>92</v>
      </c>
      <c r="C18" s="92">
        <f>BI_GSe_Typical!$B$4</f>
        <v>2000</v>
      </c>
      <c r="D18" s="83"/>
      <c r="E18" s="133">
        <f>BI_GSe_Typical!$D$51</f>
        <v>446.29225199999996</v>
      </c>
      <c r="F18" s="166">
        <f>BI_GSe_Typical!H$25</f>
        <v>4.160000000000025</v>
      </c>
      <c r="G18" s="172">
        <f>BI_GSe_Typical!I$25</f>
        <v>2.5707258592774937E-2</v>
      </c>
      <c r="H18" s="168">
        <f>BI_GSe_Typical!H$51</f>
        <v>4.3680000000000518</v>
      </c>
      <c r="I18" s="169">
        <f>BI_GSe_Typical!I$51</f>
        <v>9.78730860870973E-3</v>
      </c>
      <c r="J18" s="200"/>
    </row>
    <row r="19" spans="1:10" x14ac:dyDescent="0.2">
      <c r="A19" s="189"/>
      <c r="B19" s="149" t="s">
        <v>106</v>
      </c>
      <c r="C19" s="150">
        <f>BI_GSe_Avg!$B$4</f>
        <v>1982</v>
      </c>
      <c r="D19" s="151"/>
      <c r="E19" s="133">
        <f>BI_GSe_Avg!$D$51</f>
        <v>442.58200963200011</v>
      </c>
      <c r="F19" s="166">
        <f>BI_GSe_Avg!H$25</f>
        <v>4.1276000000000295</v>
      </c>
      <c r="G19" s="172">
        <f>BI_GSe_Avg!I$25</f>
        <v>2.5693435164226279E-2</v>
      </c>
      <c r="H19" s="168">
        <f>BI_GSe_Avg!H$51</f>
        <v>4.3339799999999968</v>
      </c>
      <c r="I19" s="169">
        <f>BI_GSe_Avg!I$51</f>
        <v>9.7924902180358212E-3</v>
      </c>
      <c r="J19" s="200"/>
    </row>
    <row r="20" spans="1:10" ht="13.5" thickBot="1" x14ac:dyDescent="0.25">
      <c r="A20" s="190"/>
      <c r="B20" s="91" t="s">
        <v>61</v>
      </c>
      <c r="C20" s="93">
        <f>BI_GSe_High!$B$4</f>
        <v>15000</v>
      </c>
      <c r="D20" s="84"/>
      <c r="E20" s="134">
        <f>BI_GSe_High!$D$51</f>
        <v>3125.9117400000005</v>
      </c>
      <c r="F20" s="170">
        <f>BI_GSe_High!H$25</f>
        <v>27.560000000000173</v>
      </c>
      <c r="G20" s="161">
        <f>BI_GSe_High!I$25</f>
        <v>2.7295722811736943E-2</v>
      </c>
      <c r="H20" s="171">
        <f>BI_GSe_High!H$51</f>
        <v>28.938000000000102</v>
      </c>
      <c r="I20" s="163">
        <f>BI_GSe_High!I$51</f>
        <v>9.2574590733646555E-3</v>
      </c>
      <c r="J20" s="201"/>
    </row>
    <row r="21" spans="1:10" x14ac:dyDescent="0.2">
      <c r="A21" s="198" t="s">
        <v>6</v>
      </c>
      <c r="B21" s="89" t="s">
        <v>60</v>
      </c>
      <c r="C21" s="97">
        <f>BI_UGe_Low!$B$4</f>
        <v>1000</v>
      </c>
      <c r="D21" s="82"/>
      <c r="E21" s="132">
        <f>BI_UGe_Low!$D$51</f>
        <v>195.05560199999999</v>
      </c>
      <c r="F21" s="160">
        <f>BI_UGe_Low!H$25</f>
        <v>1.3199999999999932</v>
      </c>
      <c r="G21" s="164">
        <f>BI_UGe_Low!I$25</f>
        <v>2.340923600766108E-2</v>
      </c>
      <c r="H21" s="162">
        <f>BI_UGe_Low!H$51</f>
        <v>1.3859999999999957</v>
      </c>
      <c r="I21" s="165">
        <f>BI_UGe_Low!I$51</f>
        <v>7.1056662089612563E-3</v>
      </c>
      <c r="J21" s="199" t="s">
        <v>50</v>
      </c>
    </row>
    <row r="22" spans="1:10" x14ac:dyDescent="0.2">
      <c r="A22" s="189"/>
      <c r="B22" s="90" t="s">
        <v>92</v>
      </c>
      <c r="C22" s="92">
        <f>BI_UGe_Typical!$B$4</f>
        <v>2000</v>
      </c>
      <c r="D22" s="83"/>
      <c r="E22" s="133">
        <f>BI_UGe_Typical!$D$51</f>
        <v>362.18330399999996</v>
      </c>
      <c r="F22" s="166">
        <f>BI_UGe_Typical!$H$25</f>
        <v>2.1200000000000045</v>
      </c>
      <c r="G22" s="172">
        <f>BI_UGe_Typical!$I$25</f>
        <v>2.4306909124263393E-2</v>
      </c>
      <c r="H22" s="168">
        <f>BI_UGe_Typical!$H$51</f>
        <v>2.2259999999999991</v>
      </c>
      <c r="I22" s="169">
        <f>BI_UGe_Typical!$I$51</f>
        <v>6.1460591236972076E-3</v>
      </c>
      <c r="J22" s="200"/>
    </row>
    <row r="23" spans="1:10" x14ac:dyDescent="0.2">
      <c r="A23" s="189"/>
      <c r="B23" s="149" t="s">
        <v>106</v>
      </c>
      <c r="C23" s="92">
        <f>BI_UGe_Avg!$B$4</f>
        <v>2759</v>
      </c>
      <c r="D23" s="83"/>
      <c r="E23" s="133">
        <f>BI_UGe_Avg!$D$51</f>
        <v>489.03322981799994</v>
      </c>
      <c r="F23" s="166">
        <f>BI_UGe_Avg!$H$25</f>
        <v>2.7272000000000105</v>
      </c>
      <c r="G23" s="172">
        <f>BI_UGe_Avg!$I$25</f>
        <v>2.4654222094294541E-2</v>
      </c>
      <c r="H23" s="168">
        <f>BI_UGe_Avg!$H$51</f>
        <v>2.8635600000001205</v>
      </c>
      <c r="I23" s="169">
        <f>BI_UGe_Avg!$I$51</f>
        <v>5.8555530082604638E-3</v>
      </c>
      <c r="J23" s="200"/>
    </row>
    <row r="24" spans="1:10" ht="13.5" thickBot="1" x14ac:dyDescent="0.25">
      <c r="A24" s="190"/>
      <c r="B24" s="91" t="s">
        <v>61</v>
      </c>
      <c r="C24" s="93">
        <f>BI_UGe_High!$B$4</f>
        <v>15000</v>
      </c>
      <c r="D24" s="84"/>
      <c r="E24" s="134">
        <f>BI_UGe_High!$D$51</f>
        <v>2534.8434300000008</v>
      </c>
      <c r="F24" s="170">
        <f>BI_UGe_High!H$25</f>
        <v>12.520000000000039</v>
      </c>
      <c r="G24" s="161">
        <f>BI_UGe_High!I$25</f>
        <v>2.5655317125948835E-2</v>
      </c>
      <c r="H24" s="171">
        <f>BI_UGe_High!H$51</f>
        <v>13.145999999999276</v>
      </c>
      <c r="I24" s="163">
        <f>BI_UGe_High!I$51</f>
        <v>5.1861191284699078E-3</v>
      </c>
      <c r="J24" s="201"/>
    </row>
    <row r="25" spans="1:10" x14ac:dyDescent="0.2">
      <c r="A25" s="198" t="s">
        <v>5</v>
      </c>
      <c r="B25" s="89" t="s">
        <v>60</v>
      </c>
      <c r="C25" s="97">
        <f>BI_GSd_Low!$B$4</f>
        <v>15000</v>
      </c>
      <c r="D25" s="82">
        <f>BI_GSd_Low!B$5</f>
        <v>60</v>
      </c>
      <c r="E25" s="132">
        <f>BI_GSd_Low!D$38</f>
        <v>3431.7524829999998</v>
      </c>
      <c r="F25" s="160">
        <f>BI_GSd_Low!H$23</f>
        <v>24.923999999999978</v>
      </c>
      <c r="G25" s="164">
        <f>BI_GSd_Low!I$23</f>
        <v>2.043348435179106E-2</v>
      </c>
      <c r="H25" s="162">
        <f>BI_GSd_Low!H$38</f>
        <v>28.164119999999912</v>
      </c>
      <c r="I25" s="165">
        <f>BI_GSd_Low!I$38</f>
        <v>8.2069205572131328E-3</v>
      </c>
      <c r="J25" s="202" t="s">
        <v>70</v>
      </c>
    </row>
    <row r="26" spans="1:10" x14ac:dyDescent="0.2">
      <c r="A26" s="189"/>
      <c r="B26" s="90" t="s">
        <v>106</v>
      </c>
      <c r="C26" s="92">
        <f>BI_GSd_Avg!$B$4</f>
        <v>36104</v>
      </c>
      <c r="D26" s="83">
        <f>BI_GSd_Avg!B$5</f>
        <v>128</v>
      </c>
      <c r="E26" s="133">
        <f>BI_GSd_Avg!D$38</f>
        <v>7691.2425596239991</v>
      </c>
      <c r="F26" s="166">
        <f>BI_GSd_Avg!H$23</f>
        <v>51.335199999999531</v>
      </c>
      <c r="G26" s="172">
        <f>BI_GSd_Avg!I$23</f>
        <v>2.0697715476227972E-2</v>
      </c>
      <c r="H26" s="168">
        <f>BI_GSd_Avg!H$38</f>
        <v>58.008775999999671</v>
      </c>
      <c r="I26" s="169">
        <f>BI_GSd_Avg!I$38</f>
        <v>7.542185225638696E-3</v>
      </c>
      <c r="J26" s="203"/>
    </row>
    <row r="27" spans="1:10" ht="13.5" thickBot="1" x14ac:dyDescent="0.25">
      <c r="A27" s="190"/>
      <c r="B27" s="91" t="s">
        <v>61</v>
      </c>
      <c r="C27" s="93">
        <f>BI_GSd_High!$B$4</f>
        <v>175000</v>
      </c>
      <c r="D27" s="84">
        <f>BI_GSd_High!B$5</f>
        <v>500</v>
      </c>
      <c r="E27" s="134">
        <f>BI_GSd_High!D$38</f>
        <v>23426.576354999997</v>
      </c>
      <c r="F27" s="170">
        <f>BI_GSd_High!H$23</f>
        <v>1.6199999999999903</v>
      </c>
      <c r="G27" s="161">
        <f>BI_GSd_High!I$23</f>
        <v>1.4705748858488851E-2</v>
      </c>
      <c r="H27" s="171">
        <f>BI_GSd_High!H$38</f>
        <v>1.8306000000011409</v>
      </c>
      <c r="I27" s="163">
        <f>BI_GSd_High!I$38</f>
        <v>7.8142020082692574E-5</v>
      </c>
      <c r="J27" s="204"/>
    </row>
    <row r="28" spans="1:10" ht="12.75" customHeight="1" x14ac:dyDescent="0.2">
      <c r="A28" s="198" t="s">
        <v>7</v>
      </c>
      <c r="B28" s="89" t="s">
        <v>60</v>
      </c>
      <c r="C28" s="97">
        <f>BI_UGd_Low!$B$4</f>
        <v>15000</v>
      </c>
      <c r="D28" s="82">
        <f>BI_UGd_Low!B$5</f>
        <v>60</v>
      </c>
      <c r="E28" s="132">
        <f>BI_UGd_Low!D$38</f>
        <v>2947.0555940000004</v>
      </c>
      <c r="F28" s="160">
        <f>BI_UGd_Low!H$23</f>
        <v>13.472000000000094</v>
      </c>
      <c r="G28" s="164">
        <f>BI_UGd_Low!I$23</f>
        <v>1.8012265240232295E-2</v>
      </c>
      <c r="H28" s="162">
        <f>BI_UGd_Low!H$38</f>
        <v>15.223359999999957</v>
      </c>
      <c r="I28" s="165">
        <f>BI_UGd_Low!I$38</f>
        <v>5.1656168383771434E-3</v>
      </c>
      <c r="J28" s="202" t="s">
        <v>70</v>
      </c>
    </row>
    <row r="29" spans="1:10" x14ac:dyDescent="0.2">
      <c r="A29" s="189"/>
      <c r="B29" s="90" t="s">
        <v>106</v>
      </c>
      <c r="C29" s="92">
        <f>BI_UGd_Avg!$B$4</f>
        <v>50525</v>
      </c>
      <c r="D29" s="83">
        <f>BI_UGd_Avg!B$5</f>
        <v>138</v>
      </c>
      <c r="E29" s="133">
        <f>BI_UGd_Avg!D$38</f>
        <v>8586.5001679500001</v>
      </c>
      <c r="F29" s="166">
        <f>BI_UGd_Avg!H$23</f>
        <v>28.619599999999991</v>
      </c>
      <c r="G29" s="172">
        <f>BI_UGd_Avg!I$23</f>
        <v>1.8096002773595778E-2</v>
      </c>
      <c r="H29" s="168">
        <f>BI_UGd_Avg!H$38</f>
        <v>32.340147999999317</v>
      </c>
      <c r="I29" s="169">
        <f>BI_UGd_Avg!I$38</f>
        <v>3.7663946156680068E-3</v>
      </c>
      <c r="J29" s="203"/>
    </row>
    <row r="30" spans="1:10" ht="13.5" thickBot="1" x14ac:dyDescent="0.25">
      <c r="A30" s="190"/>
      <c r="B30" s="91" t="s">
        <v>61</v>
      </c>
      <c r="C30" s="93">
        <f>BI_UGd_High!$B$4</f>
        <v>175000</v>
      </c>
      <c r="D30" s="84">
        <f>BI_UGd_High!B$5</f>
        <v>500</v>
      </c>
      <c r="E30" s="134">
        <f>BI_UGd_High!D$38</f>
        <v>23772.785190000002</v>
      </c>
      <c r="F30" s="170">
        <f>BI_UGd_High!H$23</f>
        <v>1.8199999999999932</v>
      </c>
      <c r="G30" s="161">
        <f>BI_UGd_High!I$23</f>
        <v>1.6208321459105095E-2</v>
      </c>
      <c r="H30" s="171">
        <f>BI_UGd_High!H$38</f>
        <v>2.0565999999998894</v>
      </c>
      <c r="I30" s="163">
        <f>BI_UGd_High!I$38</f>
        <v>8.6510687896384816E-5</v>
      </c>
      <c r="J30" s="204"/>
    </row>
    <row r="31" spans="1:10" x14ac:dyDescent="0.2">
      <c r="A31" s="189" t="s">
        <v>8</v>
      </c>
      <c r="B31" s="89" t="s">
        <v>60</v>
      </c>
      <c r="C31" s="97">
        <f>BI_StLgt_Low!B4</f>
        <v>100</v>
      </c>
      <c r="D31" s="82"/>
      <c r="E31" s="132">
        <f>BI_StLgt_Low!D39</f>
        <v>29.179785599999995</v>
      </c>
      <c r="F31" s="160">
        <f>BI_StLgt_Low!H$22</f>
        <v>0.39000000000000057</v>
      </c>
      <c r="G31" s="164">
        <f>BI_StLgt_Low!I$22</f>
        <v>2.5216604163972624E-2</v>
      </c>
      <c r="H31" s="162">
        <f>BI_StLgt_Low!H$39</f>
        <v>0.40950000000000486</v>
      </c>
      <c r="I31" s="165">
        <f>BI_StLgt_Low!I$39</f>
        <v>1.4033687759515441E-2</v>
      </c>
      <c r="J31" s="199" t="s">
        <v>98</v>
      </c>
    </row>
    <row r="32" spans="1:10" x14ac:dyDescent="0.2">
      <c r="A32" s="189"/>
      <c r="B32" s="90" t="s">
        <v>106</v>
      </c>
      <c r="C32" s="92">
        <f>BI_StLgt_Avg!B4</f>
        <v>517</v>
      </c>
      <c r="D32" s="83"/>
      <c r="E32" s="133">
        <f>BI_StLgt_Avg!D39</f>
        <v>128.37453829200001</v>
      </c>
      <c r="F32" s="166">
        <f>BI_StLgt_Avg!H24</f>
        <v>1.5575999999999937</v>
      </c>
      <c r="G32" s="172">
        <f>BI_StLgt_Avg!I24</f>
        <v>2.4198564696997233E-2</v>
      </c>
      <c r="H32" s="168">
        <f>BI_StLgt_Avg!H$39</f>
        <v>1.6354799999999727</v>
      </c>
      <c r="I32" s="169">
        <f>BI_StLgt_Avg!I$39</f>
        <v>1.273990950043317E-2</v>
      </c>
      <c r="J32" s="200"/>
    </row>
    <row r="33" spans="1:10" ht="13.5" thickBot="1" x14ac:dyDescent="0.25">
      <c r="A33" s="190"/>
      <c r="B33" s="91" t="s">
        <v>61</v>
      </c>
      <c r="C33" s="93">
        <f>BI_StLgt_High!B4</f>
        <v>2000</v>
      </c>
      <c r="D33" s="84"/>
      <c r="E33" s="134">
        <f>BI_StLgt_High!D39</f>
        <v>505.89256199999988</v>
      </c>
      <c r="F33" s="170">
        <f>BI_StLgt_High!H$22</f>
        <v>5.7100000000000364</v>
      </c>
      <c r="G33" s="161">
        <f>BI_StLgt_High!I$22</f>
        <v>2.6125907657956676E-2</v>
      </c>
      <c r="H33" s="171">
        <f>BI_StLgt_High!H$39</f>
        <v>5.9955000000001633</v>
      </c>
      <c r="I33" s="163">
        <f>BI_StLgt_High!I$39</f>
        <v>1.1851330599322321E-2</v>
      </c>
      <c r="J33" s="201"/>
    </row>
    <row r="34" spans="1:10" x14ac:dyDescent="0.2">
      <c r="A34" s="189" t="s">
        <v>9</v>
      </c>
      <c r="B34" s="89" t="s">
        <v>60</v>
      </c>
      <c r="C34" s="97">
        <f>BI_SenLgt_Low!B4</f>
        <v>20</v>
      </c>
      <c r="D34" s="82"/>
      <c r="E34" s="132">
        <f>BI_SenLgt_Low!D39</f>
        <v>9.6134371200000004</v>
      </c>
      <c r="F34" s="160">
        <f>BI_SenLgt_Low!H$22</f>
        <v>0.26400000000000023</v>
      </c>
      <c r="G34" s="164">
        <f>BI_SenLgt_Low!I$22</f>
        <v>4.0672952486596449E-2</v>
      </c>
      <c r="H34" s="162">
        <f>BI_SenLgt_Low!H$39</f>
        <v>0.27719999999999878</v>
      </c>
      <c r="I34" s="165">
        <f>BI_SenLgt_Low!I$39</f>
        <v>2.8834640154176073E-2</v>
      </c>
      <c r="J34" s="199" t="s">
        <v>98</v>
      </c>
    </row>
    <row r="35" spans="1:10" x14ac:dyDescent="0.2">
      <c r="A35" s="189"/>
      <c r="B35" s="90" t="s">
        <v>106</v>
      </c>
      <c r="C35" s="92">
        <f>BI_SenLgt_Avg!B4</f>
        <v>71</v>
      </c>
      <c r="D35" s="83"/>
      <c r="E35" s="133">
        <f>BI_SenLgt_Avg!D39</f>
        <v>23.481961775999999</v>
      </c>
      <c r="F35" s="166">
        <f>BI_SenLgt_Avg!H$22</f>
        <v>0.55469999999999686</v>
      </c>
      <c r="G35" s="172">
        <f>BI_SenLgt_Avg!I$22</f>
        <v>4.0964357242870328E-2</v>
      </c>
      <c r="H35" s="168">
        <f>BI_SenLgt_Avg!H$39</f>
        <v>0.58243499999999671</v>
      </c>
      <c r="I35" s="169">
        <f>BI_SenLgt_Avg!I$39</f>
        <v>2.4803506860115961E-2</v>
      </c>
      <c r="J35" s="200"/>
    </row>
    <row r="36" spans="1:10" ht="13.5" thickBot="1" x14ac:dyDescent="0.25">
      <c r="A36" s="190"/>
      <c r="B36" s="91" t="s">
        <v>61</v>
      </c>
      <c r="C36" s="93">
        <f>BI_SenLgt_High!B4</f>
        <v>200</v>
      </c>
      <c r="D36" s="84"/>
      <c r="E36" s="134">
        <f>BI_SenLgt_High!D39</f>
        <v>58.561171200000004</v>
      </c>
      <c r="F36" s="170">
        <f>BI_SenLgt_High!H$22</f>
        <v>1.2899999999999956</v>
      </c>
      <c r="G36" s="161">
        <f>BI_SenLgt_High!I$22</f>
        <v>4.1116848345763866E-2</v>
      </c>
      <c r="H36" s="171">
        <f>BI_SenLgt_High!H$39</f>
        <v>1.3544999999999945</v>
      </c>
      <c r="I36" s="163">
        <f>BI_SenLgt_High!I$39</f>
        <v>2.3129660357612426E-2</v>
      </c>
      <c r="J36" s="201"/>
    </row>
    <row r="37" spans="1:10" x14ac:dyDescent="0.2">
      <c r="A37" s="189" t="s">
        <v>12</v>
      </c>
      <c r="B37" s="89" t="s">
        <v>60</v>
      </c>
      <c r="C37" s="97">
        <f>BI_USL_Low!B4</f>
        <v>100</v>
      </c>
      <c r="D37" s="82"/>
      <c r="E37" s="132">
        <f>BI_USL_Low!D39</f>
        <v>55.48393200000001</v>
      </c>
      <c r="F37" s="160">
        <f>BI_USL_Low!H$22</f>
        <v>0.98999999999999488</v>
      </c>
      <c r="G37" s="164">
        <f>BI_USL_Low!I$22</f>
        <v>2.4502524502524374E-2</v>
      </c>
      <c r="H37" s="162">
        <f>BI_USL_Low!H$39</f>
        <v>1.0394999999999897</v>
      </c>
      <c r="I37" s="165">
        <f>BI_USL_Low!I$39</f>
        <v>1.8735153809935269E-2</v>
      </c>
      <c r="J37" s="199" t="s">
        <v>98</v>
      </c>
    </row>
    <row r="38" spans="1:10" x14ac:dyDescent="0.2">
      <c r="A38" s="189"/>
      <c r="B38" s="90" t="s">
        <v>106</v>
      </c>
      <c r="C38" s="92">
        <f>BI_USL_Avg!B4</f>
        <v>364</v>
      </c>
      <c r="D38" s="83"/>
      <c r="E38" s="133">
        <f>BI_USL_Avg!D39</f>
        <v>97.673328480000009</v>
      </c>
      <c r="F38" s="166">
        <f>BI_USL_Avg!H$22</f>
        <v>1.1483999999999952</v>
      </c>
      <c r="G38" s="172">
        <f>BI_USL_Avg!I$22</f>
        <v>2.3723116280453239E-2</v>
      </c>
      <c r="H38" s="168">
        <f>BI_USL_Avg!H$39</f>
        <v>1.2058199999999886</v>
      </c>
      <c r="I38" s="169">
        <f>BI_USL_Avg!I$39</f>
        <v>1.2345437784961912E-2</v>
      </c>
      <c r="J38" s="200"/>
    </row>
    <row r="39" spans="1:10" ht="13.5" thickBot="1" x14ac:dyDescent="0.25">
      <c r="A39" s="190"/>
      <c r="B39" s="91" t="s">
        <v>61</v>
      </c>
      <c r="C39" s="93">
        <f>BI_USL_High!B4</f>
        <v>1000</v>
      </c>
      <c r="D39" s="84"/>
      <c r="E39" s="134">
        <f>BI_USL_High!D39</f>
        <v>204.69791999999998</v>
      </c>
      <c r="F39" s="170">
        <f>BI_USL_High!H$22</f>
        <v>1.5300000000000011</v>
      </c>
      <c r="G39" s="161">
        <f>BI_USL_High!I$22</f>
        <v>2.2602375465343043E-2</v>
      </c>
      <c r="H39" s="171">
        <f>BI_USL_High!H$39</f>
        <v>1.6065000000000111</v>
      </c>
      <c r="I39" s="163">
        <f>BI_USL_High!I$39</f>
        <v>7.8481500935623158E-3</v>
      </c>
      <c r="J39" s="201"/>
    </row>
    <row r="40" spans="1:10" ht="12.75" customHeight="1" x14ac:dyDescent="0.2">
      <c r="A40" s="189" t="s">
        <v>47</v>
      </c>
      <c r="B40" s="89" t="s">
        <v>60</v>
      </c>
      <c r="C40" s="97">
        <f>BI_DGen_Low!B4</f>
        <v>300</v>
      </c>
      <c r="D40" s="82">
        <f>BI_DGen_Low!B5</f>
        <v>10</v>
      </c>
      <c r="E40" s="132">
        <f>BI_DGen_Low!D38</f>
        <v>402.49335529999996</v>
      </c>
      <c r="F40" s="160">
        <f>BI_DGen_Low!H$23</f>
        <v>6.7680000000000291</v>
      </c>
      <c r="G40" s="164">
        <f>BI_DGen_Low!I$23</f>
        <v>2.1753580276753975E-2</v>
      </c>
      <c r="H40" s="162">
        <f>BI_DGen_Low!H$38</f>
        <v>7.6478400000000875</v>
      </c>
      <c r="I40" s="165">
        <f>BI_DGen_Low!I$38</f>
        <v>1.9001158402477826E-2</v>
      </c>
      <c r="J40" s="202" t="s">
        <v>70</v>
      </c>
    </row>
    <row r="41" spans="1:10" x14ac:dyDescent="0.2">
      <c r="A41" s="189"/>
      <c r="B41" s="90" t="s">
        <v>106</v>
      </c>
      <c r="C41" s="92">
        <f>BI_DGen_Avg!B4</f>
        <v>1328</v>
      </c>
      <c r="D41" s="83">
        <f>BI_DGen_Avg!B5</f>
        <v>12</v>
      </c>
      <c r="E41" s="133">
        <f>BI_DGen_Avg!D38</f>
        <v>558.48432236799999</v>
      </c>
      <c r="F41" s="166">
        <f>BI_DGen_Avg!H$23</f>
        <v>8.1216000000000008</v>
      </c>
      <c r="G41" s="172">
        <f>BI_DGen_Avg!I$23</f>
        <v>2.4308071766756485E-2</v>
      </c>
      <c r="H41" s="168">
        <f>BI_DGen_Avg!H$38</f>
        <v>9.177408000000014</v>
      </c>
      <c r="I41" s="169">
        <f>BI_DGen_Avg!I$38</f>
        <v>1.6432704791223805E-2</v>
      </c>
      <c r="J41" s="203"/>
    </row>
    <row r="42" spans="1:10" ht="13.5" thickBot="1" x14ac:dyDescent="0.25">
      <c r="A42" s="190"/>
      <c r="B42" s="91" t="s">
        <v>61</v>
      </c>
      <c r="C42" s="93">
        <f>BI_DGen_High!B4</f>
        <v>5000</v>
      </c>
      <c r="D42" s="84">
        <f>BI_DGen_High!B5</f>
        <v>100</v>
      </c>
      <c r="E42" s="134">
        <f>BI_DGen_High!D38</f>
        <v>2275.0250449999999</v>
      </c>
      <c r="F42" s="170">
        <f>BI_DGen_High!H$23</f>
        <v>67.680000000000064</v>
      </c>
      <c r="G42" s="161">
        <f>BI_DGen_High!I$23</f>
        <v>5.0294536637058233E-2</v>
      </c>
      <c r="H42" s="171">
        <f>BI_DGen_High!H$38</f>
        <v>76.47840000000042</v>
      </c>
      <c r="I42" s="163">
        <f>BI_DGen_High!I$38</f>
        <v>3.3616509043750076E-2</v>
      </c>
      <c r="J42" s="204"/>
    </row>
    <row r="43" spans="1:10" x14ac:dyDescent="0.2">
      <c r="A43" s="189" t="s">
        <v>11</v>
      </c>
      <c r="B43" s="89" t="s">
        <v>60</v>
      </c>
      <c r="C43" s="97">
        <f>BI_ST_Low!B4</f>
        <v>200000</v>
      </c>
      <c r="D43" s="82">
        <f>BI_ST_Low!B5</f>
        <v>500</v>
      </c>
      <c r="E43" s="132">
        <f>BI_ST_Low!D38</f>
        <v>29857.477227035168</v>
      </c>
      <c r="F43" s="160">
        <f>BI_ST_Low!H$23</f>
        <v>50.620440171833707</v>
      </c>
      <c r="G43" s="164">
        <f>BI_ST_Low!I$23</f>
        <v>2.6218885121654715E-2</v>
      </c>
      <c r="H43" s="162">
        <f>BI_ST_Low!H$38</f>
        <v>57.201097394168755</v>
      </c>
      <c r="I43" s="165">
        <f>BI_ST_Low!I$38</f>
        <v>1.915804773431248E-3</v>
      </c>
      <c r="J43" s="202" t="s">
        <v>70</v>
      </c>
    </row>
    <row r="44" spans="1:10" x14ac:dyDescent="0.2">
      <c r="A44" s="189"/>
      <c r="B44" s="90" t="s">
        <v>106</v>
      </c>
      <c r="C44" s="92">
        <f>BI_ST_Avg!B4</f>
        <v>1601036</v>
      </c>
      <c r="D44" s="83">
        <f>BI_ST_Avg!B5</f>
        <v>2960</v>
      </c>
      <c r="E44" s="133">
        <f>BI_ST_Avg!D38</f>
        <v>220088.96762135223</v>
      </c>
      <c r="F44" s="166">
        <f>BI_ST_Avg!H$23</f>
        <v>152.76180581725384</v>
      </c>
      <c r="G44" s="172">
        <f>BI_ST_Avg!I$23</f>
        <v>2.9601257748866669E-2</v>
      </c>
      <c r="H44" s="168">
        <f>BI_ST_Avg!H$38</f>
        <v>172.62084057350876</v>
      </c>
      <c r="I44" s="169">
        <f>BI_ST_Avg!I$38</f>
        <v>7.8432300555151364E-4</v>
      </c>
      <c r="J44" s="203"/>
    </row>
    <row r="45" spans="1:10" ht="13.5" thickBot="1" x14ac:dyDescent="0.25">
      <c r="A45" s="190"/>
      <c r="B45" s="91" t="s">
        <v>61</v>
      </c>
      <c r="C45" s="93">
        <f>BI_ST_High!B4</f>
        <v>4000000</v>
      </c>
      <c r="D45" s="84">
        <f>BI_ST_High!B5</f>
        <v>10000</v>
      </c>
      <c r="E45" s="134">
        <f>BI_ST_High!D38</f>
        <v>569787.33921070339</v>
      </c>
      <c r="F45" s="170">
        <f>BI_ST_High!H$23</f>
        <v>445.06880343666853</v>
      </c>
      <c r="G45" s="161">
        <f>BI_ST_High!I$23</f>
        <v>3.0898686643129964E-2</v>
      </c>
      <c r="H45" s="171">
        <f>BI_ST_High!H$38</f>
        <v>502.9277478834847</v>
      </c>
      <c r="I45" s="163">
        <f>BI_ST_High!I$38</f>
        <v>8.8265869259251039E-4</v>
      </c>
      <c r="J45" s="204"/>
    </row>
    <row r="46" spans="1:10" x14ac:dyDescent="0.2">
      <c r="A46" s="189" t="s">
        <v>130</v>
      </c>
      <c r="B46" s="89" t="s">
        <v>60</v>
      </c>
      <c r="C46" s="155">
        <f>BI_AUR_Low!$B$4</f>
        <v>350</v>
      </c>
      <c r="D46" s="82"/>
      <c r="E46" s="132">
        <f>BI_AUR_Low!$D$51</f>
        <v>78.750592200000014</v>
      </c>
      <c r="F46" s="160">
        <f>BI_AUR_Low!H$25</f>
        <v>0.80999999999999872</v>
      </c>
      <c r="G46" s="164">
        <f>BI_AUR_Low!I$25</f>
        <v>2.6315789473684167E-2</v>
      </c>
      <c r="H46" s="162">
        <f>BI_AUR_Low!H$51</f>
        <v>0.85049999999998249</v>
      </c>
      <c r="I46" s="165">
        <f>BI_AUR_Low!I$51</f>
        <v>1.0799918784610516E-2</v>
      </c>
      <c r="J46" s="191" t="s">
        <v>50</v>
      </c>
    </row>
    <row r="47" spans="1:10" x14ac:dyDescent="0.2">
      <c r="A47" s="189"/>
      <c r="B47" s="90" t="s">
        <v>92</v>
      </c>
      <c r="C47" s="156">
        <f>BI_AUR_Typical!$B$4</f>
        <v>750</v>
      </c>
      <c r="D47" s="83"/>
      <c r="E47" s="133">
        <f>BI_AUR_Typical!$D$51</f>
        <v>130.56726900000004</v>
      </c>
      <c r="F47" s="166">
        <f>BI_AUR_Typical!H$25</f>
        <v>0.80999999999999872</v>
      </c>
      <c r="G47" s="172">
        <f>BI_AUR_Typical!I$25</f>
        <v>2.6315789473684167E-2</v>
      </c>
      <c r="H47" s="168">
        <f>BI_AUR_Typical!H$51</f>
        <v>0.85050000000001091</v>
      </c>
      <c r="I47" s="169">
        <f>BI_AUR_Typical!I$51</f>
        <v>6.5138836594645375E-3</v>
      </c>
      <c r="J47" s="192"/>
    </row>
    <row r="48" spans="1:10" x14ac:dyDescent="0.2">
      <c r="A48" s="189"/>
      <c r="B48" s="149" t="s">
        <v>106</v>
      </c>
      <c r="C48" s="156">
        <f>BI_AUR_Avg!$B$4</f>
        <v>505</v>
      </c>
      <c r="D48" s="151"/>
      <c r="E48" s="152">
        <f>BI_AUR_Avg!$D$51</f>
        <v>98.829554460000026</v>
      </c>
      <c r="F48" s="173">
        <f>BI_AUR_Avg!H25</f>
        <v>0.80999999999999872</v>
      </c>
      <c r="G48" s="172">
        <f>BI_AUR_Avg!I25</f>
        <v>2.6315789473684167E-2</v>
      </c>
      <c r="H48" s="174">
        <f>BI_AUR_Avg!H$51</f>
        <v>0.85049999999996828</v>
      </c>
      <c r="I48" s="169">
        <f>BI_AUR_Avg!I$51</f>
        <v>8.6057253282892932E-3</v>
      </c>
      <c r="J48" s="192"/>
    </row>
    <row r="49" spans="1:10" ht="13.5" thickBot="1" x14ac:dyDescent="0.25">
      <c r="A49" s="190"/>
      <c r="B49" s="91" t="s">
        <v>61</v>
      </c>
      <c r="C49" s="157">
        <f>BI_AUR_High!$B$4</f>
        <v>1400</v>
      </c>
      <c r="D49" s="84"/>
      <c r="E49" s="134">
        <f>BI_AUR_High!$D$51</f>
        <v>214.76936880000002</v>
      </c>
      <c r="F49" s="170">
        <f>BI_AUR_High!H$25</f>
        <v>0.80999999999999872</v>
      </c>
      <c r="G49" s="161">
        <f>BI_AUR_High!I$25</f>
        <v>2.6315789473684167E-2</v>
      </c>
      <c r="H49" s="171">
        <f>BI_AUR_High!H$51</f>
        <v>0.85049999999998249</v>
      </c>
      <c r="I49" s="163">
        <f>BI_AUR_High!I$51</f>
        <v>3.9600619248082568E-3</v>
      </c>
      <c r="J49" s="193"/>
    </row>
    <row r="50" spans="1:10" x14ac:dyDescent="0.2">
      <c r="A50" s="189" t="s">
        <v>131</v>
      </c>
      <c r="B50" s="89" t="s">
        <v>60</v>
      </c>
      <c r="C50" s="155">
        <f>BI_AUGe_Low!$B$4</f>
        <v>1000</v>
      </c>
      <c r="D50" s="82"/>
      <c r="E50" s="132">
        <f>BI_AUGe_Low!$D$51</f>
        <v>184.36418699999999</v>
      </c>
      <c r="F50" s="160">
        <f>BI_AUGe_Low!H$25</f>
        <v>9.7100000000000009</v>
      </c>
      <c r="G50" s="164">
        <f>BI_AUGe_Low!I$25</f>
        <v>0.20373478808224929</v>
      </c>
      <c r="H50" s="162">
        <f>BI_AUGe_Low!H$51</f>
        <v>10.195499999999981</v>
      </c>
      <c r="I50" s="165">
        <f>BI_AUGe_Low!I$51</f>
        <v>5.5300870336601665E-2</v>
      </c>
      <c r="J50" s="191" t="s">
        <v>50</v>
      </c>
    </row>
    <row r="51" spans="1:10" x14ac:dyDescent="0.2">
      <c r="A51" s="189"/>
      <c r="B51" s="90" t="s">
        <v>92</v>
      </c>
      <c r="C51" s="156">
        <f>BI_AUGe_Typical!$B$4</f>
        <v>2000</v>
      </c>
      <c r="D51" s="83"/>
      <c r="E51" s="133">
        <f>BI_AUGe_Typical!$D$51</f>
        <v>335.86337400000002</v>
      </c>
      <c r="F51" s="166">
        <f>BI_AUGe_Typical!$H$25</f>
        <v>13.310000000000002</v>
      </c>
      <c r="G51" s="172">
        <f>BI_AUGe_Typical!$I$25</f>
        <v>0.20458038733476794</v>
      </c>
      <c r="H51" s="168">
        <f>BI_AUGe_Typical!$H$51</f>
        <v>13.975499999999954</v>
      </c>
      <c r="I51" s="169">
        <f>BI_AUGe_Typical!$I$51</f>
        <v>4.1610669938663671E-2</v>
      </c>
      <c r="J51" s="192"/>
    </row>
    <row r="52" spans="1:10" x14ac:dyDescent="0.2">
      <c r="A52" s="189"/>
      <c r="B52" s="149" t="s">
        <v>106</v>
      </c>
      <c r="C52" s="156">
        <f>BI_AUGe_Avg!$B$4</f>
        <v>2695</v>
      </c>
      <c r="D52" s="151"/>
      <c r="E52" s="152">
        <f>BI_AUGe_Avg!$D$51</f>
        <v>441.15530896499996</v>
      </c>
      <c r="F52" s="173">
        <f>BI_AUGe_Avg!$H$25</f>
        <v>15.812000000000012</v>
      </c>
      <c r="G52" s="172">
        <f>BI_AUGe_Avg!$I$25</f>
        <v>0.2049434241053493</v>
      </c>
      <c r="H52" s="174">
        <f>BI_AUGe_Avg!$H$51</f>
        <v>16.602599999999995</v>
      </c>
      <c r="I52" s="169">
        <f>BI_AUGe_Avg!$I$51</f>
        <v>3.7634365182981848E-2</v>
      </c>
      <c r="J52" s="192"/>
    </row>
    <row r="53" spans="1:10" ht="13.5" thickBot="1" x14ac:dyDescent="0.25">
      <c r="A53" s="190"/>
      <c r="B53" s="91" t="s">
        <v>61</v>
      </c>
      <c r="C53" s="157">
        <f>BI_AUGe_High!$B$4</f>
        <v>15000</v>
      </c>
      <c r="D53" s="84"/>
      <c r="E53" s="134">
        <f>BI_AUGe_High!$D$51</f>
        <v>2305.3528050000004</v>
      </c>
      <c r="F53" s="170">
        <f>BI_AUGe_High!H$25</f>
        <v>60.110000000000014</v>
      </c>
      <c r="G53" s="161">
        <f>BI_AUGe_High!I$25</f>
        <v>0.20637918011398756</v>
      </c>
      <c r="H53" s="171">
        <f>BI_AUGe_High!H$51</f>
        <v>63.115499999999429</v>
      </c>
      <c r="I53" s="163">
        <f>BI_AUGe_High!I$51</f>
        <v>2.7377805194550003E-2</v>
      </c>
      <c r="J53" s="193"/>
    </row>
    <row r="54" spans="1:10" x14ac:dyDescent="0.2">
      <c r="A54" s="189" t="s">
        <v>132</v>
      </c>
      <c r="B54" s="89" t="s">
        <v>60</v>
      </c>
      <c r="C54" s="155">
        <f>BI_AUGd_Low!$B$4</f>
        <v>15000</v>
      </c>
      <c r="D54" s="82">
        <f>BI_AUGd_Low!B$5</f>
        <v>60</v>
      </c>
      <c r="E54" s="132">
        <f>BI_AUGd_Low!D$38</f>
        <v>2567.9456224999994</v>
      </c>
      <c r="F54" s="160">
        <f>BI_AUGd_Low!H$23</f>
        <v>154.15200000000004</v>
      </c>
      <c r="G54" s="164">
        <f>BI_AUGd_Low!I$23</f>
        <v>0.3446462586859122</v>
      </c>
      <c r="H54" s="162">
        <f>BI_AUGd_Low!H$38</f>
        <v>174.19176000000016</v>
      </c>
      <c r="I54" s="165">
        <f>BI_AUGd_Low!I$38</f>
        <v>6.7833118611918819E-2</v>
      </c>
      <c r="J54" s="191" t="s">
        <v>70</v>
      </c>
    </row>
    <row r="55" spans="1:10" x14ac:dyDescent="0.2">
      <c r="A55" s="189"/>
      <c r="B55" s="90" t="s">
        <v>106</v>
      </c>
      <c r="C55" s="156">
        <f>BI_AUGd_Avg!$B$4</f>
        <v>61239</v>
      </c>
      <c r="D55" s="83">
        <f>BI_AUGd_Avg!B$5</f>
        <v>177</v>
      </c>
      <c r="E55" s="133">
        <f>BI_AUGd_Avg!D$38</f>
        <v>9194.1563237584996</v>
      </c>
      <c r="F55" s="166">
        <f>BI_AUGd_Avg!H$23</f>
        <v>306.86040000000014</v>
      </c>
      <c r="G55" s="172">
        <f>BI_AUGd_Avg!I$23</f>
        <v>0.33562581456364343</v>
      </c>
      <c r="H55" s="168">
        <f>BI_AUGd_Avg!H$38</f>
        <v>346.75225199999841</v>
      </c>
      <c r="I55" s="169">
        <f>BI_AUGd_Avg!I$38</f>
        <v>3.7714417700725887E-2</v>
      </c>
      <c r="J55" s="192"/>
    </row>
    <row r="56" spans="1:10" ht="13.5" thickBot="1" x14ac:dyDescent="0.25">
      <c r="A56" s="190"/>
      <c r="B56" s="91" t="s">
        <v>61</v>
      </c>
      <c r="C56" s="157">
        <f>BI_AUGd_High!$B$4</f>
        <v>175000</v>
      </c>
      <c r="D56" s="84">
        <f>BI_AUGd_High!B$5</f>
        <v>500</v>
      </c>
      <c r="E56" s="134">
        <f>BI_AUGd_High!D$38</f>
        <v>23533.5226625</v>
      </c>
      <c r="F56" s="170">
        <f>BI_AUGd_High!H$23</f>
        <v>75.84</v>
      </c>
      <c r="G56" s="161">
        <f>BI_AUGd_High!I$23</f>
        <v>0.3650014438348253</v>
      </c>
      <c r="H56" s="171">
        <f>BI_AUGd_High!H$38</f>
        <v>85.699200000002747</v>
      </c>
      <c r="I56" s="163">
        <f>BI_AUGd_High!I$38</f>
        <v>3.641579768105095E-3</v>
      </c>
      <c r="J56" s="193"/>
    </row>
    <row r="57" spans="1:10" x14ac:dyDescent="0.2">
      <c r="A57" s="189" t="s">
        <v>119</v>
      </c>
      <c r="B57" s="89" t="s">
        <v>60</v>
      </c>
      <c r="C57" s="155">
        <f>BI_AR_Low!$B$4</f>
        <v>400</v>
      </c>
      <c r="D57" s="82"/>
      <c r="E57" s="132">
        <f>BI_AR_Low!$D$51</f>
        <v>95.656488480000007</v>
      </c>
      <c r="F57" s="160">
        <f>BI_AR_Low!H$25</f>
        <v>1.0600000000000023</v>
      </c>
      <c r="G57" s="164">
        <f>BI_AR_Low!I$25</f>
        <v>2.6218154835518235E-2</v>
      </c>
      <c r="H57" s="162">
        <f>BI_AR_Low!H$51</f>
        <v>1.1129999999999995</v>
      </c>
      <c r="I57" s="165">
        <f>BI_AR_Low!I$51</f>
        <v>1.1635384255535442E-2</v>
      </c>
      <c r="J57" s="191" t="s">
        <v>50</v>
      </c>
    </row>
    <row r="58" spans="1:10" x14ac:dyDescent="0.2">
      <c r="A58" s="189"/>
      <c r="B58" s="90" t="s">
        <v>92</v>
      </c>
      <c r="C58" s="156">
        <f>BI_AR_Typical!$B$4</f>
        <v>750</v>
      </c>
      <c r="D58" s="83"/>
      <c r="E58" s="133">
        <f>BI_AR_Typical!$D$51</f>
        <v>141.25535340000002</v>
      </c>
      <c r="F58" s="166">
        <f>BI_AR_Typical!H$25</f>
        <v>1.0600000000000023</v>
      </c>
      <c r="G58" s="172">
        <f>BI_AR_Typical!I$25</f>
        <v>2.6218154835518235E-2</v>
      </c>
      <c r="H58" s="168">
        <f>BI_AR_Typical!H$51</f>
        <v>1.1129999999999995</v>
      </c>
      <c r="I58" s="169">
        <f>BI_AR_Typical!I$51</f>
        <v>7.8793473890384907E-3</v>
      </c>
      <c r="J58" s="192"/>
    </row>
    <row r="59" spans="1:10" x14ac:dyDescent="0.2">
      <c r="A59" s="189"/>
      <c r="B59" s="149" t="s">
        <v>106</v>
      </c>
      <c r="C59" s="158">
        <f>BI_AR_Avg!$B$4</f>
        <v>634</v>
      </c>
      <c r="D59" s="151"/>
      <c r="E59" s="152">
        <f>BI_AR_Avg!$D$51</f>
        <v>126.1425867408</v>
      </c>
      <c r="F59" s="173">
        <f>BI_AR_Avg!H$25</f>
        <v>1.0600000000000023</v>
      </c>
      <c r="G59" s="172">
        <f>BI_AR_Avg!I$25</f>
        <v>2.6218154835518235E-2</v>
      </c>
      <c r="H59" s="174">
        <f>BI_AR_Avg!H$51</f>
        <v>1.1129999999999995</v>
      </c>
      <c r="I59" s="169">
        <f>BI_AR_Avg!I$51</f>
        <v>8.8233484722095596E-3</v>
      </c>
      <c r="J59" s="192"/>
    </row>
    <row r="60" spans="1:10" ht="13.5" thickBot="1" x14ac:dyDescent="0.25">
      <c r="A60" s="190"/>
      <c r="B60" s="91" t="s">
        <v>61</v>
      </c>
      <c r="C60" s="157">
        <f>BI_AR_High!$B$4</f>
        <v>1800</v>
      </c>
      <c r="D60" s="84"/>
      <c r="E60" s="134">
        <f>BI_AR_High!$D$51</f>
        <v>278.05194815999999</v>
      </c>
      <c r="F60" s="170">
        <f>BI_AR_High!H$25</f>
        <v>1.0600000000000023</v>
      </c>
      <c r="G60" s="161">
        <f>BI_AR_High!I$25</f>
        <v>2.6218154835518235E-2</v>
      </c>
      <c r="H60" s="171">
        <f>BI_AR_High!H$51</f>
        <v>1.1129999999999995</v>
      </c>
      <c r="I60" s="163">
        <f>BI_AR_High!I$51</f>
        <v>4.0028491343622732E-3</v>
      </c>
      <c r="J60" s="193"/>
    </row>
    <row r="61" spans="1:10" x14ac:dyDescent="0.2">
      <c r="A61" s="189" t="s">
        <v>120</v>
      </c>
      <c r="B61" s="89" t="s">
        <v>60</v>
      </c>
      <c r="C61" s="155">
        <f>BI_AGSe_Low!$B$4</f>
        <v>1000</v>
      </c>
      <c r="D61" s="82"/>
      <c r="E61" s="132">
        <f>BI_AGSe_Low!$D$51</f>
        <v>197.62235219999999</v>
      </c>
      <c r="F61" s="160">
        <f>BI_AGSe_Low!H$25</f>
        <v>3.6400000000000006</v>
      </c>
      <c r="G61" s="164">
        <f>BI_AGSe_Low!I$25</f>
        <v>6.0951105157401216E-2</v>
      </c>
      <c r="H61" s="162">
        <f>BI_AGSe_Low!H$51</f>
        <v>3.8219999999999743</v>
      </c>
      <c r="I61" s="165">
        <f>BI_AGSe_Low!I$51</f>
        <v>1.9339917562219838E-2</v>
      </c>
      <c r="J61" s="191" t="s">
        <v>50</v>
      </c>
    </row>
    <row r="62" spans="1:10" x14ac:dyDescent="0.2">
      <c r="A62" s="189"/>
      <c r="B62" s="90" t="s">
        <v>92</v>
      </c>
      <c r="C62" s="156">
        <f>BI_AGSe_Typical!$B$4</f>
        <v>2000</v>
      </c>
      <c r="D62" s="83"/>
      <c r="E62" s="133">
        <f>BI_AGSe_Typical!$D$51</f>
        <v>351.1867044</v>
      </c>
      <c r="F62" s="166">
        <f>BI_AGSe_Typical!H$25</f>
        <v>4.9399999999999977</v>
      </c>
      <c r="G62" s="172">
        <f>BI_AGSe_Typical!I$25</f>
        <v>6.2913907284768172E-2</v>
      </c>
      <c r="H62" s="168">
        <f>BI_AGSe_Typical!H$51</f>
        <v>5.1870000000000118</v>
      </c>
      <c r="I62" s="169">
        <f>BI_AGSe_Typical!I$51</f>
        <v>1.4769921341019914E-2</v>
      </c>
      <c r="J62" s="192"/>
    </row>
    <row r="63" spans="1:10" x14ac:dyDescent="0.2">
      <c r="A63" s="189"/>
      <c r="B63" s="149" t="s">
        <v>106</v>
      </c>
      <c r="C63" s="156">
        <f>BI_AGSe_Avg!$B$4</f>
        <v>1988</v>
      </c>
      <c r="D63" s="83"/>
      <c r="E63" s="152">
        <f>BI_AGSe_Avg!$D$51</f>
        <v>349.34393217360008</v>
      </c>
      <c r="F63" s="173">
        <f>BI_AGSe_Avg!H$25</f>
        <v>4.9243999999999915</v>
      </c>
      <c r="G63" s="172">
        <f>BI_AGSe_Avg!I$25</f>
        <v>6.2895941472186925E-2</v>
      </c>
      <c r="H63" s="174">
        <f>BI_AGSe_Avg!H$51</f>
        <v>5.1706199999999285</v>
      </c>
      <c r="I63" s="169">
        <f>BI_AGSe_Avg!I$51</f>
        <v>1.4800944066291908E-2</v>
      </c>
      <c r="J63" s="192"/>
    </row>
    <row r="64" spans="1:10" ht="13.5" thickBot="1" x14ac:dyDescent="0.25">
      <c r="A64" s="190"/>
      <c r="B64" s="91" t="s">
        <v>61</v>
      </c>
      <c r="C64" s="157">
        <f>BI_AGSe_High!$B$4</f>
        <v>15000</v>
      </c>
      <c r="D64" s="84"/>
      <c r="E64" s="134">
        <f>BI_AGSe_High!$D$51</f>
        <v>2347.5232830000009</v>
      </c>
      <c r="F64" s="170">
        <f>BI_AGSe_High!H$25</f>
        <v>21.839999999999975</v>
      </c>
      <c r="G64" s="161">
        <f>BI_AGSe_High!I$25</f>
        <v>6.7632850241545819E-2</v>
      </c>
      <c r="H64" s="171">
        <f>BI_AGSe_High!H$51</f>
        <v>22.931999999999334</v>
      </c>
      <c r="I64" s="163">
        <f>BI_AGSe_High!I$51</f>
        <v>9.7685932088790815E-3</v>
      </c>
      <c r="J64" s="193"/>
    </row>
    <row r="65" spans="1:10" x14ac:dyDescent="0.2">
      <c r="A65" s="189" t="s">
        <v>121</v>
      </c>
      <c r="B65" s="89" t="s">
        <v>60</v>
      </c>
      <c r="C65" s="155">
        <f>BI_AGSd_Low!$B$4</f>
        <v>15000</v>
      </c>
      <c r="D65" s="82">
        <f>BI_AGSd_Low!B$5</f>
        <v>60</v>
      </c>
      <c r="E65" s="132">
        <f>BI_AGSd_Low!D$38</f>
        <v>2666.8984794999997</v>
      </c>
      <c r="F65" s="160">
        <f>BI_AGSd_Low!H$23</f>
        <v>115.81000000000006</v>
      </c>
      <c r="G65" s="164">
        <f>BI_AGSd_Low!I$23</f>
        <v>0.22221156244603502</v>
      </c>
      <c r="H65" s="162">
        <f>BI_AGSd_Low!H$38</f>
        <v>130.86529999999993</v>
      </c>
      <c r="I65" s="165">
        <f>BI_AGSd_Low!I$38</f>
        <v>4.9070221834816546E-2</v>
      </c>
      <c r="J65" s="191" t="s">
        <v>70</v>
      </c>
    </row>
    <row r="66" spans="1:10" x14ac:dyDescent="0.2">
      <c r="A66" s="189"/>
      <c r="B66" s="90" t="s">
        <v>106</v>
      </c>
      <c r="C66" s="156">
        <f>BI_AGSd_Avg!$B$4</f>
        <v>53895</v>
      </c>
      <c r="D66" s="83">
        <f>BI_AGSd_Avg!B$5</f>
        <v>152</v>
      </c>
      <c r="E66" s="133">
        <f>BI_AGSd_Avg!D$38</f>
        <v>8358.7591576835021</v>
      </c>
      <c r="F66" s="166">
        <f>BI_AGSd_Avg!H$23</f>
        <v>222.57600000000002</v>
      </c>
      <c r="G66" s="172">
        <f>BI_AGSd_Avg!I$23</f>
        <v>0.22167202149633797</v>
      </c>
      <c r="H66" s="168">
        <f>BI_AGSd_Avg!H$38</f>
        <v>251.510879999998</v>
      </c>
      <c r="I66" s="169">
        <f>BI_AGSd_Avg!I$38</f>
        <v>3.0089499560327117E-2</v>
      </c>
      <c r="J66" s="192"/>
    </row>
    <row r="67" spans="1:10" ht="13.5" thickBot="1" x14ac:dyDescent="0.25">
      <c r="A67" s="190"/>
      <c r="B67" s="91" t="s">
        <v>61</v>
      </c>
      <c r="C67" s="157">
        <f>BI_AGSd_High!$B$4</f>
        <v>175000</v>
      </c>
      <c r="D67" s="84">
        <f>BI_AGSd_High!B$5</f>
        <v>500</v>
      </c>
      <c r="E67" s="134">
        <f>BI_AGSd_High!D$38</f>
        <v>23714.0859275</v>
      </c>
      <c r="F67" s="170">
        <f>BI_AGSd_High!H$23</f>
        <v>46.180000000000007</v>
      </c>
      <c r="G67" s="161">
        <f>BI_AGSd_High!I$23</f>
        <v>0.22392474421762115</v>
      </c>
      <c r="H67" s="171">
        <f>BI_AGSd_High!H$38</f>
        <v>52.183400000001711</v>
      </c>
      <c r="I67" s="163">
        <f>BI_AGSd_High!I$38</f>
        <v>2.2005233581230857E-3</v>
      </c>
      <c r="J67" s="193"/>
    </row>
    <row r="68" spans="1:10" x14ac:dyDescent="0.2">
      <c r="F68" s="182"/>
      <c r="G68" s="182"/>
      <c r="I68" s="182"/>
    </row>
  </sheetData>
  <mergeCells count="38">
    <mergeCell ref="J43:J45"/>
    <mergeCell ref="A40:A42"/>
    <mergeCell ref="A37:A39"/>
    <mergeCell ref="A21:A24"/>
    <mergeCell ref="A25:A27"/>
    <mergeCell ref="A28:A30"/>
    <mergeCell ref="A31:A33"/>
    <mergeCell ref="A34:A36"/>
    <mergeCell ref="J31:J33"/>
    <mergeCell ref="J28:J30"/>
    <mergeCell ref="J25:J27"/>
    <mergeCell ref="J40:J42"/>
    <mergeCell ref="J37:J39"/>
    <mergeCell ref="J34:J36"/>
    <mergeCell ref="A43:A45"/>
    <mergeCell ref="J2:J5"/>
    <mergeCell ref="J21:J24"/>
    <mergeCell ref="J17:J20"/>
    <mergeCell ref="J14:J16"/>
    <mergeCell ref="J10:J13"/>
    <mergeCell ref="J6:J9"/>
    <mergeCell ref="A2:A5"/>
    <mergeCell ref="A6:A9"/>
    <mergeCell ref="A10:A13"/>
    <mergeCell ref="A14:A16"/>
    <mergeCell ref="A17:A20"/>
    <mergeCell ref="A46:A49"/>
    <mergeCell ref="J46:J49"/>
    <mergeCell ref="A50:A53"/>
    <mergeCell ref="J50:J53"/>
    <mergeCell ref="A54:A56"/>
    <mergeCell ref="J54:J56"/>
    <mergeCell ref="A57:A60"/>
    <mergeCell ref="J57:J60"/>
    <mergeCell ref="A61:A64"/>
    <mergeCell ref="J61:J64"/>
    <mergeCell ref="A65:A67"/>
    <mergeCell ref="J65:J67"/>
  </mergeCells>
  <pageMargins left="0.7" right="0.7" top="0.75" bottom="0.75" header="0.3" footer="0.3"/>
  <pageSetup paperSize="17" scale="79" orientation="landscape" r:id="rId1"/>
  <headerFooter>
    <oddHeader>&amp;RUpdated: 2017-06-07
EB-2017-0049
Exhibit H1-4-1
Attachment 5
Page &amp;P of &amp;N</oddHeader>
    <oddFooter>&amp;F</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1" tint="0.499984740745262"/>
    <pageSetUpPr fitToPage="1"/>
  </sheetPr>
  <dimension ref="A1:J54"/>
  <sheetViews>
    <sheetView tabSelected="1" topLeftCell="A4" zoomScaleNormal="100" zoomScaleSheetLayoutView="100" workbookViewId="0">
      <selection activeCell="N13" sqref="N13"/>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205" t="s">
        <v>124</v>
      </c>
      <c r="B1" s="206"/>
      <c r="C1" s="206"/>
      <c r="D1" s="206"/>
      <c r="E1" s="206"/>
      <c r="F1" s="206"/>
      <c r="G1" s="206"/>
      <c r="H1" s="206"/>
      <c r="I1" s="206"/>
      <c r="J1" s="207"/>
    </row>
    <row r="3" spans="1:10" x14ac:dyDescent="0.2">
      <c r="A3" s="12" t="s">
        <v>13</v>
      </c>
      <c r="B3" s="12" t="s">
        <v>5</v>
      </c>
    </row>
    <row r="4" spans="1:10" x14ac:dyDescent="0.2">
      <c r="A4" s="14" t="s">
        <v>62</v>
      </c>
      <c r="B4" s="78">
        <v>15000</v>
      </c>
    </row>
    <row r="5" spans="1:10" x14ac:dyDescent="0.2">
      <c r="A5" s="14" t="s">
        <v>16</v>
      </c>
      <c r="B5" s="78">
        <v>60</v>
      </c>
    </row>
    <row r="6" spans="1:10" x14ac:dyDescent="0.2">
      <c r="A6" s="14" t="s">
        <v>20</v>
      </c>
      <c r="B6" s="79">
        <f>VLOOKUP($B$3,'Data for Bill Impacts'!$A$3:$Y$15,2,0)</f>
        <v>1.0609999999999999</v>
      </c>
    </row>
    <row r="7" spans="1:10" x14ac:dyDescent="0.2">
      <c r="A7" s="80" t="s">
        <v>48</v>
      </c>
      <c r="B7" s="81">
        <f>B4/(B5*730)</f>
        <v>0.34246575342465752</v>
      </c>
    </row>
    <row r="8" spans="1:10" x14ac:dyDescent="0.2">
      <c r="A8" s="14" t="s">
        <v>15</v>
      </c>
      <c r="B8" s="78">
        <f>VLOOKUP($B$3,'Data for Bill Impacts'!$A$3:$Y$15,4,0)</f>
        <v>0</v>
      </c>
    </row>
    <row r="9" spans="1:10" x14ac:dyDescent="0.2">
      <c r="A9" s="14" t="s">
        <v>82</v>
      </c>
      <c r="B9" s="78">
        <f>B4*B6</f>
        <v>15915</v>
      </c>
    </row>
    <row r="10" spans="1:10" x14ac:dyDescent="0.2">
      <c r="A10" s="14" t="s">
        <v>21</v>
      </c>
      <c r="B10" s="15" t="s">
        <v>19</v>
      </c>
    </row>
    <row r="11" spans="1:10" ht="13.5" thickBot="1" x14ac:dyDescent="0.25"/>
    <row r="12" spans="1:10" s="19" customFormat="1" ht="26.25" thickBot="1" x14ac:dyDescent="0.25">
      <c r="A12" s="16"/>
      <c r="B12" s="17" t="s">
        <v>22</v>
      </c>
      <c r="C12" s="17" t="s">
        <v>23</v>
      </c>
      <c r="D12" s="17" t="s">
        <v>24</v>
      </c>
      <c r="E12" s="17" t="s">
        <v>22</v>
      </c>
      <c r="F12" s="17" t="s">
        <v>25</v>
      </c>
      <c r="G12" s="17" t="s">
        <v>26</v>
      </c>
      <c r="H12" s="17" t="s">
        <v>27</v>
      </c>
      <c r="I12" s="17" t="s">
        <v>28</v>
      </c>
      <c r="J12" s="121" t="s">
        <v>49</v>
      </c>
    </row>
    <row r="13" spans="1:10" x14ac:dyDescent="0.2">
      <c r="A13" s="100" t="s">
        <v>31</v>
      </c>
      <c r="B13" s="101">
        <f>B9</f>
        <v>15915</v>
      </c>
      <c r="C13" s="102">
        <v>9.0999999999999998E-2</v>
      </c>
      <c r="D13" s="103">
        <f>B13*C13</f>
        <v>1448.2649999999999</v>
      </c>
      <c r="E13" s="101">
        <f>B13</f>
        <v>15915</v>
      </c>
      <c r="F13" s="102">
        <f>C13</f>
        <v>9.0999999999999998E-2</v>
      </c>
      <c r="G13" s="103">
        <f>E13*F13</f>
        <v>1448.2649999999999</v>
      </c>
      <c r="H13" s="103">
        <f>G13-D13</f>
        <v>0</v>
      </c>
      <c r="I13" s="104">
        <f t="shared" ref="I13:I38" si="0">IF(ISERROR(H13/ABS(D13)),"N/A",(H13/ABS(D13)))</f>
        <v>0</v>
      </c>
      <c r="J13" s="122">
        <f t="shared" ref="J13:J29" si="1">G13/$G$38</f>
        <v>0.41858378862202883</v>
      </c>
    </row>
    <row r="14" spans="1:10" x14ac:dyDescent="0.2">
      <c r="A14" s="106" t="s">
        <v>32</v>
      </c>
      <c r="B14" s="72">
        <v>0</v>
      </c>
      <c r="C14" s="20">
        <v>0.106</v>
      </c>
      <c r="D14" s="21">
        <f>B14*C14</f>
        <v>0</v>
      </c>
      <c r="E14" s="72">
        <f t="shared" ref="E14" si="2">B14</f>
        <v>0</v>
      </c>
      <c r="F14" s="20">
        <f>C14</f>
        <v>0.106</v>
      </c>
      <c r="G14" s="21">
        <f>E14*F14</f>
        <v>0</v>
      </c>
      <c r="H14" s="21">
        <f t="shared" ref="H14:H38" si="3">G14-D14</f>
        <v>0</v>
      </c>
      <c r="I14" s="22" t="str">
        <f t="shared" si="0"/>
        <v>N/A</v>
      </c>
      <c r="J14" s="123">
        <f t="shared" si="1"/>
        <v>0</v>
      </c>
    </row>
    <row r="15" spans="1:10" s="1" customFormat="1" x14ac:dyDescent="0.2">
      <c r="A15" s="45" t="s">
        <v>33</v>
      </c>
      <c r="B15" s="23"/>
      <c r="C15" s="24"/>
      <c r="D15" s="24">
        <f>SUM(D13:D14)</f>
        <v>1448.2649999999999</v>
      </c>
      <c r="E15" s="75"/>
      <c r="F15" s="24"/>
      <c r="G15" s="24">
        <f>SUM(G13:G14)</f>
        <v>1448.2649999999999</v>
      </c>
      <c r="H15" s="24">
        <f t="shared" si="3"/>
        <v>0</v>
      </c>
      <c r="I15" s="26">
        <f t="shared" si="0"/>
        <v>0</v>
      </c>
      <c r="J15" s="46">
        <f t="shared" si="1"/>
        <v>0.41858378862202883</v>
      </c>
    </row>
    <row r="16" spans="1:10" s="1" customFormat="1" x14ac:dyDescent="0.2">
      <c r="A16" s="106" t="s">
        <v>38</v>
      </c>
      <c r="B16" s="72">
        <v>1</v>
      </c>
      <c r="C16" s="77">
        <f>VLOOKUP($B$3,'Data for Bill Impacts'!$A$3:$Y$15,7,0)</f>
        <v>107.59</v>
      </c>
      <c r="D16" s="21">
        <f>B16*C16</f>
        <v>107.59</v>
      </c>
      <c r="E16" s="72">
        <f t="shared" ref="E16:E33" si="4">B16</f>
        <v>1</v>
      </c>
      <c r="F16" s="77">
        <f>VLOOKUP($B$3,'Data for Bill Impacts'!$A$3:$Y$15,17,0)</f>
        <v>109.21</v>
      </c>
      <c r="G16" s="21">
        <f>E16*F16</f>
        <v>109.21</v>
      </c>
      <c r="H16" s="21">
        <f t="shared" si="3"/>
        <v>1.6199999999999903</v>
      </c>
      <c r="I16" s="22">
        <f t="shared" si="0"/>
        <v>1.5057161446230972E-2</v>
      </c>
      <c r="J16" s="123">
        <f t="shared" si="1"/>
        <v>3.156434461608322E-2</v>
      </c>
    </row>
    <row r="17" spans="1:10" hidden="1" x14ac:dyDescent="0.2">
      <c r="A17" s="106" t="s">
        <v>83</v>
      </c>
      <c r="B17" s="72">
        <v>1</v>
      </c>
      <c r="C17" s="77">
        <f>VLOOKUP($B$3,'Data for Bill Impacts'!$A$3:$Y$15,8,0)</f>
        <v>0</v>
      </c>
      <c r="D17" s="21">
        <f>B17*C17</f>
        <v>0</v>
      </c>
      <c r="E17" s="72">
        <f t="shared" si="4"/>
        <v>1</v>
      </c>
      <c r="F17" s="77">
        <v>0</v>
      </c>
      <c r="G17" s="21">
        <f t="shared" ref="G17:G19" si="5">E17*F17</f>
        <v>0</v>
      </c>
      <c r="H17" s="21">
        <f t="shared" si="3"/>
        <v>0</v>
      </c>
      <c r="I17" s="22" t="str">
        <f t="shared" si="0"/>
        <v>N/A</v>
      </c>
      <c r="J17" s="123">
        <f t="shared" si="1"/>
        <v>0</v>
      </c>
    </row>
    <row r="18" spans="1:10" hidden="1" x14ac:dyDescent="0.2">
      <c r="A18" s="106" t="s">
        <v>84</v>
      </c>
      <c r="B18" s="72">
        <v>1</v>
      </c>
      <c r="C18" s="77">
        <f>VLOOKUP($B$3,'Data for Bill Impacts'!$A$3:$Y$15,11,0)</f>
        <v>0</v>
      </c>
      <c r="D18" s="21">
        <f t="shared" ref="D18:D19" si="6">B18*C18</f>
        <v>0</v>
      </c>
      <c r="E18" s="72">
        <f t="shared" si="4"/>
        <v>1</v>
      </c>
      <c r="F18" s="77">
        <f>VLOOKUP($B$3,'Data for Bill Impacts'!$A$3:$Y$15,12,0)</f>
        <v>0</v>
      </c>
      <c r="G18" s="21">
        <f t="shared" si="5"/>
        <v>0</v>
      </c>
      <c r="H18" s="21">
        <f t="shared" ref="H18" si="7">G18-D18</f>
        <v>0</v>
      </c>
      <c r="I18" s="22" t="str">
        <f t="shared" si="0"/>
        <v>N/A</v>
      </c>
      <c r="J18" s="123">
        <f t="shared" si="1"/>
        <v>0</v>
      </c>
    </row>
    <row r="19" spans="1:10" x14ac:dyDescent="0.2">
      <c r="A19" s="106" t="s">
        <v>85</v>
      </c>
      <c r="B19" s="72">
        <v>1</v>
      </c>
      <c r="C19" s="120">
        <f>VLOOKUP($B$3,'Data for Bill Impacts'!$A$3:$Y$15,13,0)</f>
        <v>-8.9999999999999993E-3</v>
      </c>
      <c r="D19" s="21">
        <f t="shared" si="6"/>
        <v>-8.9999999999999993E-3</v>
      </c>
      <c r="E19" s="72">
        <f t="shared" si="4"/>
        <v>1</v>
      </c>
      <c r="F19" s="120">
        <f>VLOOKUP($B$3,'Data for Bill Impacts'!$A$3:$Y$15,22,0)</f>
        <v>-8.9999999999999993E-3</v>
      </c>
      <c r="G19" s="21">
        <f t="shared" si="5"/>
        <v>-8.9999999999999993E-3</v>
      </c>
      <c r="H19" s="21">
        <f t="shared" ref="H19" si="8">G19-D19</f>
        <v>0</v>
      </c>
      <c r="I19" s="22">
        <f t="shared" si="0"/>
        <v>0</v>
      </c>
      <c r="J19" s="123">
        <f t="shared" si="1"/>
        <v>-2.6012187670062174E-6</v>
      </c>
    </row>
    <row r="20" spans="1:10" x14ac:dyDescent="0.2">
      <c r="A20" s="106" t="s">
        <v>39</v>
      </c>
      <c r="B20" s="72">
        <f>IF($B$10="kWh",$B$4,$B$5)</f>
        <v>60</v>
      </c>
      <c r="C20" s="77">
        <f>VLOOKUP($B$3,'Data for Bill Impacts'!$A$3:$Y$15,10,0)</f>
        <v>18.531200000000002</v>
      </c>
      <c r="D20" s="21">
        <f>B20*C20</f>
        <v>1111.8720000000001</v>
      </c>
      <c r="E20" s="72">
        <f t="shared" si="4"/>
        <v>60</v>
      </c>
      <c r="F20" s="77">
        <f>VLOOKUP($B$3,'Data for Bill Impacts'!$A$3:$Y$15,19,0)</f>
        <v>18.919599999999999</v>
      </c>
      <c r="G20" s="21">
        <f>E20*F20</f>
        <v>1135.1759999999999</v>
      </c>
      <c r="H20" s="21">
        <f t="shared" si="3"/>
        <v>23.30399999999986</v>
      </c>
      <c r="I20" s="22">
        <f t="shared" si="0"/>
        <v>2.0959247107580601E-2</v>
      </c>
      <c r="J20" s="123">
        <f t="shared" si="1"/>
        <v>0.32809345722833888</v>
      </c>
    </row>
    <row r="21" spans="1:10" s="1" customFormat="1" x14ac:dyDescent="0.2">
      <c r="A21" s="106" t="s">
        <v>129</v>
      </c>
      <c r="B21" s="72">
        <f>IF($B$10="kWh",$B$4,$B$5)</f>
        <v>60</v>
      </c>
      <c r="C21" s="77">
        <f>VLOOKUP($B$3,'Data for Bill Impacts'!$A$3:$Y$15,14,0)</f>
        <v>5.1599999999999997E-3</v>
      </c>
      <c r="D21" s="21">
        <f>B21*C21</f>
        <v>0.30959999999999999</v>
      </c>
      <c r="E21" s="72">
        <f>B21</f>
        <v>60</v>
      </c>
      <c r="F21" s="124">
        <f>VLOOKUP($B$3,'Data for Bill Impacts'!$A$3:$Y$15,23,0)</f>
        <v>5.1599999999999997E-3</v>
      </c>
      <c r="G21" s="21">
        <f>E21*F21</f>
        <v>0.30959999999999999</v>
      </c>
      <c r="H21" s="21">
        <f>G21-D21</f>
        <v>0</v>
      </c>
      <c r="I21" s="22">
        <f t="shared" si="0"/>
        <v>0</v>
      </c>
      <c r="J21" s="123">
        <f t="shared" si="1"/>
        <v>8.9481925585013886E-5</v>
      </c>
    </row>
    <row r="22" spans="1:10" s="1" customFormat="1" x14ac:dyDescent="0.2">
      <c r="A22" s="106" t="s">
        <v>117</v>
      </c>
      <c r="B22" s="72">
        <f>B9</f>
        <v>15915</v>
      </c>
      <c r="C22" s="124">
        <f>VLOOKUP($B$3,'Data for Bill Impacts'!$A$3:$Y$15,20,0)</f>
        <v>0</v>
      </c>
      <c r="D22" s="21">
        <f>B22*C22</f>
        <v>0</v>
      </c>
      <c r="E22" s="72">
        <f t="shared" si="4"/>
        <v>15915</v>
      </c>
      <c r="F22" s="124">
        <f>VLOOKUP($B$3,'Data for Bill Impacts'!$A$3:$Y$15,21,0)</f>
        <v>0</v>
      </c>
      <c r="G22" s="21">
        <f>E22*F22</f>
        <v>0</v>
      </c>
      <c r="H22" s="21">
        <f t="shared" si="3"/>
        <v>0</v>
      </c>
      <c r="I22" s="22" t="str">
        <f t="shared" si="0"/>
        <v>N/A</v>
      </c>
      <c r="J22" s="123">
        <f t="shared" si="1"/>
        <v>0</v>
      </c>
    </row>
    <row r="23" spans="1:10" x14ac:dyDescent="0.2">
      <c r="A23" s="109" t="s">
        <v>79</v>
      </c>
      <c r="B23" s="73"/>
      <c r="C23" s="34"/>
      <c r="D23" s="34">
        <f>SUM(D16:D22)</f>
        <v>1219.7626</v>
      </c>
      <c r="E23" s="72"/>
      <c r="F23" s="34"/>
      <c r="G23" s="34">
        <f>SUM(G16:G22)</f>
        <v>1244.6866</v>
      </c>
      <c r="H23" s="34">
        <f t="shared" si="3"/>
        <v>24.923999999999978</v>
      </c>
      <c r="I23" s="35">
        <f t="shared" si="0"/>
        <v>2.043348435179106E-2</v>
      </c>
      <c r="J23" s="110">
        <f t="shared" si="1"/>
        <v>0.35974468255124015</v>
      </c>
    </row>
    <row r="24" spans="1:10" x14ac:dyDescent="0.2">
      <c r="A24" s="106" t="s">
        <v>40</v>
      </c>
      <c r="B24" s="72">
        <f>B5</f>
        <v>60</v>
      </c>
      <c r="C24" s="124">
        <f>VLOOKUP($B$3,'Data for Bill Impacts'!$A$3:$Y$15,15,0)</f>
        <v>1.5908</v>
      </c>
      <c r="D24" s="21">
        <f>B24*C24</f>
        <v>95.447999999999993</v>
      </c>
      <c r="E24" s="72">
        <f t="shared" si="4"/>
        <v>60</v>
      </c>
      <c r="F24" s="77">
        <f>VLOOKUP($B$3,'Data for Bill Impacts'!$A$3:$Y$15,24,0)</f>
        <v>1.5908</v>
      </c>
      <c r="G24" s="21">
        <f>E24*F24</f>
        <v>95.447999999999993</v>
      </c>
      <c r="H24" s="21">
        <f t="shared" si="3"/>
        <v>0</v>
      </c>
      <c r="I24" s="22">
        <f t="shared" si="0"/>
        <v>0</v>
      </c>
      <c r="J24" s="123">
        <f t="shared" si="1"/>
        <v>2.758679209702327E-2</v>
      </c>
    </row>
    <row r="25" spans="1:10" s="1" customFormat="1" x14ac:dyDescent="0.2">
      <c r="A25" s="106" t="s">
        <v>41</v>
      </c>
      <c r="B25" s="72">
        <f>B5</f>
        <v>60</v>
      </c>
      <c r="C25" s="124">
        <f>VLOOKUP($B$3,'Data for Bill Impacts'!$A$3:$Y$15,16,0)</f>
        <v>1.2918000000000001</v>
      </c>
      <c r="D25" s="21">
        <f>B25*C25</f>
        <v>77.50800000000001</v>
      </c>
      <c r="E25" s="72">
        <f t="shared" si="4"/>
        <v>60</v>
      </c>
      <c r="F25" s="124">
        <f>VLOOKUP($B$3,'Data for Bill Impacts'!$A$3:$Y$15,25,0)</f>
        <v>1.2918000000000001</v>
      </c>
      <c r="G25" s="21">
        <f>E25*F25</f>
        <v>77.50800000000001</v>
      </c>
      <c r="H25" s="21">
        <f t="shared" si="3"/>
        <v>0</v>
      </c>
      <c r="I25" s="22">
        <f t="shared" si="0"/>
        <v>0</v>
      </c>
      <c r="J25" s="123">
        <f t="shared" si="1"/>
        <v>2.240169602145755E-2</v>
      </c>
    </row>
    <row r="26" spans="1:10" x14ac:dyDescent="0.2">
      <c r="A26" s="109" t="s">
        <v>76</v>
      </c>
      <c r="B26" s="73"/>
      <c r="C26" s="34"/>
      <c r="D26" s="34">
        <f>SUM(D24:D25)</f>
        <v>172.95600000000002</v>
      </c>
      <c r="E26" s="72"/>
      <c r="F26" s="34"/>
      <c r="G26" s="34">
        <f>SUM(G24:G25)</f>
        <v>172.95600000000002</v>
      </c>
      <c r="H26" s="34">
        <f t="shared" si="3"/>
        <v>0</v>
      </c>
      <c r="I26" s="35">
        <f t="shared" si="0"/>
        <v>0</v>
      </c>
      <c r="J26" s="110">
        <f t="shared" si="1"/>
        <v>4.9988488118480827E-2</v>
      </c>
    </row>
    <row r="27" spans="1:10" s="1" customFormat="1" x14ac:dyDescent="0.2">
      <c r="A27" s="109" t="s">
        <v>80</v>
      </c>
      <c r="B27" s="73"/>
      <c r="C27" s="34"/>
      <c r="D27" s="34">
        <f>D23+D26</f>
        <v>1392.7186000000002</v>
      </c>
      <c r="E27" s="72"/>
      <c r="F27" s="34"/>
      <c r="G27" s="34">
        <f>G23+G26</f>
        <v>1417.6426000000001</v>
      </c>
      <c r="H27" s="34">
        <f t="shared" si="3"/>
        <v>24.923999999999978</v>
      </c>
      <c r="I27" s="35">
        <f t="shared" si="0"/>
        <v>1.7895933895045256E-2</v>
      </c>
      <c r="J27" s="110">
        <f t="shared" si="1"/>
        <v>0.40973317066972098</v>
      </c>
    </row>
    <row r="28" spans="1:10" x14ac:dyDescent="0.2">
      <c r="A28" s="106" t="s">
        <v>42</v>
      </c>
      <c r="B28" s="72">
        <f>B9</f>
        <v>15915</v>
      </c>
      <c r="C28" s="33">
        <v>3.5999999999999999E-3</v>
      </c>
      <c r="D28" s="21">
        <f>B28*C28</f>
        <v>57.293999999999997</v>
      </c>
      <c r="E28" s="72">
        <f t="shared" si="4"/>
        <v>15915</v>
      </c>
      <c r="F28" s="33">
        <v>3.5999999999999999E-3</v>
      </c>
      <c r="G28" s="21">
        <f>E28*F28</f>
        <v>57.293999999999997</v>
      </c>
      <c r="H28" s="21">
        <f t="shared" si="3"/>
        <v>0</v>
      </c>
      <c r="I28" s="22">
        <f t="shared" si="0"/>
        <v>0</v>
      </c>
      <c r="J28" s="123">
        <f t="shared" si="1"/>
        <v>1.6559358670761581E-2</v>
      </c>
    </row>
    <row r="29" spans="1:10" x14ac:dyDescent="0.2">
      <c r="A29" s="106" t="s">
        <v>43</v>
      </c>
      <c r="B29" s="72">
        <f>B9</f>
        <v>15915</v>
      </c>
      <c r="C29" s="33">
        <v>2.0999999999999999E-3</v>
      </c>
      <c r="D29" s="21">
        <f>B29*C29</f>
        <v>33.421499999999995</v>
      </c>
      <c r="E29" s="72">
        <f t="shared" si="4"/>
        <v>15915</v>
      </c>
      <c r="F29" s="33">
        <v>2.0999999999999999E-3</v>
      </c>
      <c r="G29" s="21">
        <f>E29*F29</f>
        <v>33.421499999999995</v>
      </c>
      <c r="H29" s="21">
        <f>G29-D29</f>
        <v>0</v>
      </c>
      <c r="I29" s="22">
        <f t="shared" si="0"/>
        <v>0</v>
      </c>
      <c r="J29" s="123">
        <f t="shared" si="1"/>
        <v>9.659625891277588E-3</v>
      </c>
    </row>
    <row r="30" spans="1:10" x14ac:dyDescent="0.2">
      <c r="A30" s="106" t="s">
        <v>99</v>
      </c>
      <c r="B30" s="72">
        <f>B9</f>
        <v>15915</v>
      </c>
      <c r="C30" s="33">
        <v>0</v>
      </c>
      <c r="D30" s="21">
        <f>B30*C30</f>
        <v>0</v>
      </c>
      <c r="E30" s="72">
        <f t="shared" si="4"/>
        <v>15915</v>
      </c>
      <c r="F30" s="33">
        <v>0</v>
      </c>
      <c r="G30" s="21">
        <f>E30*F30</f>
        <v>0</v>
      </c>
      <c r="H30" s="21">
        <f>G30-D30</f>
        <v>0</v>
      </c>
      <c r="I30" s="22" t="str">
        <f t="shared" si="0"/>
        <v>N/A</v>
      </c>
      <c r="J30" s="123">
        <f t="shared" ref="J30" si="9">G30/$G$38</f>
        <v>0</v>
      </c>
    </row>
    <row r="31" spans="1:10" x14ac:dyDescent="0.2">
      <c r="A31" s="106" t="s">
        <v>44</v>
      </c>
      <c r="B31" s="72">
        <v>1</v>
      </c>
      <c r="C31" s="21">
        <v>0.25</v>
      </c>
      <c r="D31" s="21">
        <f>B31*C31</f>
        <v>0.25</v>
      </c>
      <c r="E31" s="72">
        <f t="shared" si="4"/>
        <v>1</v>
      </c>
      <c r="F31" s="21">
        <f>C31</f>
        <v>0.25</v>
      </c>
      <c r="G31" s="21">
        <f>E31*F31</f>
        <v>0.25</v>
      </c>
      <c r="H31" s="21">
        <f t="shared" si="3"/>
        <v>0</v>
      </c>
      <c r="I31" s="22">
        <f t="shared" si="0"/>
        <v>0</v>
      </c>
      <c r="J31" s="123">
        <f t="shared" ref="J31:J38" si="10">G31/$G$38</f>
        <v>7.2256076861283825E-5</v>
      </c>
    </row>
    <row r="32" spans="1:10" x14ac:dyDescent="0.2">
      <c r="A32" s="109" t="s">
        <v>45</v>
      </c>
      <c r="B32" s="73"/>
      <c r="C32" s="34"/>
      <c r="D32" s="34">
        <f>SUM(D28:D31)</f>
        <v>90.965499999999992</v>
      </c>
      <c r="E32" s="72"/>
      <c r="F32" s="34"/>
      <c r="G32" s="34">
        <f>SUM(G28:G31)</f>
        <v>90.965499999999992</v>
      </c>
      <c r="H32" s="34">
        <f t="shared" si="3"/>
        <v>0</v>
      </c>
      <c r="I32" s="35">
        <f t="shared" si="0"/>
        <v>0</v>
      </c>
      <c r="J32" s="110">
        <f t="shared" si="10"/>
        <v>2.629124063890045E-2</v>
      </c>
    </row>
    <row r="33" spans="1:10" ht="13.5" thickBot="1" x14ac:dyDescent="0.25">
      <c r="A33" s="111" t="s">
        <v>46</v>
      </c>
      <c r="B33" s="112">
        <f>B4</f>
        <v>15000</v>
      </c>
      <c r="C33" s="113">
        <v>7.0000000000000001E-3</v>
      </c>
      <c r="D33" s="114">
        <f>B33*C33</f>
        <v>105</v>
      </c>
      <c r="E33" s="115">
        <f t="shared" si="4"/>
        <v>15000</v>
      </c>
      <c r="F33" s="113">
        <f>C33</f>
        <v>7.0000000000000001E-3</v>
      </c>
      <c r="G33" s="114">
        <f>E33*F33</f>
        <v>105</v>
      </c>
      <c r="H33" s="114">
        <f t="shared" si="3"/>
        <v>0</v>
      </c>
      <c r="I33" s="116">
        <f t="shared" si="0"/>
        <v>0</v>
      </c>
      <c r="J33" s="117">
        <f t="shared" si="10"/>
        <v>3.0347552281739205E-2</v>
      </c>
    </row>
    <row r="34" spans="1:10" x14ac:dyDescent="0.2">
      <c r="A34" s="36" t="s">
        <v>116</v>
      </c>
      <c r="B34" s="37"/>
      <c r="C34" s="38"/>
      <c r="D34" s="38">
        <f>SUM(D15,D23,D26,D32,D33)</f>
        <v>3036.9490999999998</v>
      </c>
      <c r="E34" s="37"/>
      <c r="F34" s="38"/>
      <c r="G34" s="38">
        <f>SUM(G15,G23,G26,G32,G33)</f>
        <v>3061.8730999999998</v>
      </c>
      <c r="H34" s="38">
        <f t="shared" si="3"/>
        <v>24.923999999999978</v>
      </c>
      <c r="I34" s="39">
        <f t="shared" si="0"/>
        <v>8.2069205572131518E-3</v>
      </c>
      <c r="J34" s="40">
        <f t="shared" si="10"/>
        <v>0.88495575221238942</v>
      </c>
    </row>
    <row r="35" spans="1:10" x14ac:dyDescent="0.2">
      <c r="A35" s="45" t="s">
        <v>108</v>
      </c>
      <c r="B35" s="42"/>
      <c r="C35" s="25">
        <v>0.13</v>
      </c>
      <c r="D35" s="25">
        <f>D34*C35</f>
        <v>394.803383</v>
      </c>
      <c r="E35" s="25"/>
      <c r="F35" s="25">
        <f>C35</f>
        <v>0.13</v>
      </c>
      <c r="G35" s="25">
        <f>G34*F35</f>
        <v>398.04350299999999</v>
      </c>
      <c r="H35" s="25">
        <f t="shared" si="3"/>
        <v>3.2401199999999903</v>
      </c>
      <c r="I35" s="43">
        <f t="shared" si="0"/>
        <v>8.2069205572131345E-3</v>
      </c>
      <c r="J35" s="44">
        <f t="shared" si="10"/>
        <v>0.11504424778761063</v>
      </c>
    </row>
    <row r="36" spans="1:10" x14ac:dyDescent="0.2">
      <c r="A36" s="45" t="s">
        <v>109</v>
      </c>
      <c r="B36" s="23"/>
      <c r="C36" s="24"/>
      <c r="D36" s="24">
        <f>SUM(D34:D35)</f>
        <v>3431.7524829999998</v>
      </c>
      <c r="E36" s="24"/>
      <c r="F36" s="24"/>
      <c r="G36" s="24">
        <f>SUM(G34:G35)</f>
        <v>3459.9166029999997</v>
      </c>
      <c r="H36" s="24">
        <f t="shared" si="3"/>
        <v>28.164119999999912</v>
      </c>
      <c r="I36" s="26">
        <f t="shared" si="0"/>
        <v>8.2069205572131328E-3</v>
      </c>
      <c r="J36" s="46">
        <f t="shared" si="10"/>
        <v>1</v>
      </c>
    </row>
    <row r="37" spans="1:10" x14ac:dyDescent="0.2">
      <c r="A37" s="45" t="s">
        <v>110</v>
      </c>
      <c r="B37" s="42"/>
      <c r="C37" s="25">
        <v>0</v>
      </c>
      <c r="D37" s="25">
        <f>D34*C37</f>
        <v>0</v>
      </c>
      <c r="E37" s="25"/>
      <c r="F37" s="25">
        <f>C37</f>
        <v>0</v>
      </c>
      <c r="G37" s="25">
        <f>G34*F37</f>
        <v>0</v>
      </c>
      <c r="H37" s="25">
        <f t="shared" si="3"/>
        <v>0</v>
      </c>
      <c r="I37" s="43" t="str">
        <f t="shared" si="0"/>
        <v>N/A</v>
      </c>
      <c r="J37" s="44">
        <f t="shared" si="10"/>
        <v>0</v>
      </c>
    </row>
    <row r="38" spans="1:10" ht="13.5" thickBot="1" x14ac:dyDescent="0.25">
      <c r="A38" s="45" t="s">
        <v>111</v>
      </c>
      <c r="B38" s="48"/>
      <c r="C38" s="49"/>
      <c r="D38" s="49">
        <f>SUM(D36:D37)</f>
        <v>3431.7524829999998</v>
      </c>
      <c r="E38" s="49"/>
      <c r="F38" s="49"/>
      <c r="G38" s="49">
        <f>SUM(G36:G37)</f>
        <v>3459.9166029999997</v>
      </c>
      <c r="H38" s="49">
        <f t="shared" si="3"/>
        <v>28.164119999999912</v>
      </c>
      <c r="I38" s="50">
        <f t="shared" si="0"/>
        <v>8.2069205572131328E-3</v>
      </c>
      <c r="J38" s="51">
        <f t="shared" si="10"/>
        <v>1</v>
      </c>
    </row>
    <row r="39" spans="1:10" x14ac:dyDescent="0.2">
      <c r="A39" s="184"/>
      <c r="F39" s="68"/>
    </row>
    <row r="40" spans="1:10" x14ac:dyDescent="0.2">
      <c r="A40" s="184"/>
      <c r="F40" s="68"/>
    </row>
    <row r="41" spans="1:10" x14ac:dyDescent="0.2">
      <c r="A41" s="184"/>
    </row>
    <row r="42" spans="1:10" x14ac:dyDescent="0.2">
      <c r="A42" s="184"/>
    </row>
    <row r="43" spans="1:10" x14ac:dyDescent="0.2">
      <c r="A43" s="184"/>
    </row>
    <row r="44" spans="1:10" x14ac:dyDescent="0.2">
      <c r="A44" s="184"/>
    </row>
    <row r="45" spans="1:10" x14ac:dyDescent="0.2">
      <c r="A45" s="184"/>
    </row>
    <row r="46" spans="1:10" x14ac:dyDescent="0.2">
      <c r="A46" s="184"/>
    </row>
    <row r="47" spans="1:10" x14ac:dyDescent="0.2">
      <c r="A47" s="184"/>
    </row>
    <row r="48" spans="1:10" x14ac:dyDescent="0.2">
      <c r="A48" s="184"/>
    </row>
    <row r="49" spans="1:1" x14ac:dyDescent="0.2">
      <c r="A49" s="184"/>
    </row>
    <row r="50" spans="1:1" x14ac:dyDescent="0.2">
      <c r="A50" s="184"/>
    </row>
    <row r="51" spans="1:1" x14ac:dyDescent="0.2">
      <c r="A51" s="184"/>
    </row>
    <row r="52" spans="1:1" x14ac:dyDescent="0.2">
      <c r="A52" s="184"/>
    </row>
    <row r="53" spans="1:1" x14ac:dyDescent="0.2">
      <c r="A53" s="184"/>
    </row>
    <row r="54" spans="1:1" x14ac:dyDescent="0.2">
      <c r="A54" s="184"/>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scale="71"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theme="1" tint="0.499984740745262"/>
    <pageSetUpPr fitToPage="1"/>
  </sheetPr>
  <dimension ref="A1:J54"/>
  <sheetViews>
    <sheetView tabSelected="1" zoomScaleNormal="100" workbookViewId="0">
      <selection activeCell="N13" sqref="N13"/>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205" t="s">
        <v>127</v>
      </c>
      <c r="B1" s="206"/>
      <c r="C1" s="206"/>
      <c r="D1" s="206"/>
      <c r="E1" s="206"/>
      <c r="F1" s="206"/>
      <c r="G1" s="206"/>
      <c r="H1" s="206"/>
      <c r="I1" s="206"/>
      <c r="J1" s="207"/>
    </row>
    <row r="3" spans="1:10" x14ac:dyDescent="0.2">
      <c r="A3" s="12" t="s">
        <v>13</v>
      </c>
      <c r="B3" s="12" t="s">
        <v>5</v>
      </c>
    </row>
    <row r="4" spans="1:10" x14ac:dyDescent="0.2">
      <c r="A4" s="14" t="s">
        <v>62</v>
      </c>
      <c r="B4" s="78">
        <f>'Data for Bill Impacts_HONI Avg '!C12</f>
        <v>36104</v>
      </c>
    </row>
    <row r="5" spans="1:10" x14ac:dyDescent="0.2">
      <c r="A5" s="14" t="s">
        <v>16</v>
      </c>
      <c r="B5" s="78">
        <v>128</v>
      </c>
    </row>
    <row r="6" spans="1:10" x14ac:dyDescent="0.2">
      <c r="A6" s="14" t="s">
        <v>20</v>
      </c>
      <c r="B6" s="79">
        <f>VLOOKUP($B$3,'Data for Bill Impacts'!$A$3:$Y$15,2,0)</f>
        <v>1.0609999999999999</v>
      </c>
    </row>
    <row r="7" spans="1:10" x14ac:dyDescent="0.2">
      <c r="A7" s="80" t="s">
        <v>48</v>
      </c>
      <c r="B7" s="81">
        <f>B4/(B5*730)</f>
        <v>0.38638698630136986</v>
      </c>
    </row>
    <row r="8" spans="1:10" x14ac:dyDescent="0.2">
      <c r="A8" s="14" t="s">
        <v>15</v>
      </c>
      <c r="B8" s="78">
        <f>VLOOKUP($B$3,'Data for Bill Impacts'!$A$3:$Y$15,4,0)</f>
        <v>0</v>
      </c>
    </row>
    <row r="9" spans="1:10" x14ac:dyDescent="0.2">
      <c r="A9" s="14" t="s">
        <v>82</v>
      </c>
      <c r="B9" s="78">
        <f>B4*B6</f>
        <v>38306.343999999997</v>
      </c>
    </row>
    <row r="10" spans="1:10" x14ac:dyDescent="0.2">
      <c r="A10" s="14" t="s">
        <v>21</v>
      </c>
      <c r="B10" s="15" t="s">
        <v>19</v>
      </c>
    </row>
    <row r="11" spans="1:10" ht="13.5" thickBot="1" x14ac:dyDescent="0.25"/>
    <row r="12" spans="1:10" s="19" customFormat="1" ht="26.25" thickBot="1" x14ac:dyDescent="0.25">
      <c r="A12" s="16"/>
      <c r="B12" s="17" t="s">
        <v>22</v>
      </c>
      <c r="C12" s="17" t="s">
        <v>23</v>
      </c>
      <c r="D12" s="17" t="s">
        <v>24</v>
      </c>
      <c r="E12" s="17" t="s">
        <v>22</v>
      </c>
      <c r="F12" s="17" t="s">
        <v>25</v>
      </c>
      <c r="G12" s="17" t="s">
        <v>26</v>
      </c>
      <c r="H12" s="17" t="s">
        <v>27</v>
      </c>
      <c r="I12" s="17" t="s">
        <v>28</v>
      </c>
      <c r="J12" s="121" t="s">
        <v>49</v>
      </c>
    </row>
    <row r="13" spans="1:10" x14ac:dyDescent="0.2">
      <c r="A13" s="100" t="s">
        <v>31</v>
      </c>
      <c r="B13" s="101">
        <f>B9</f>
        <v>38306.343999999997</v>
      </c>
      <c r="C13" s="102">
        <v>9.0999999999999998E-2</v>
      </c>
      <c r="D13" s="103">
        <f>B13*C13</f>
        <v>3485.8773039999996</v>
      </c>
      <c r="E13" s="101">
        <f>B13</f>
        <v>38306.343999999997</v>
      </c>
      <c r="F13" s="102">
        <f>C13</f>
        <v>9.0999999999999998E-2</v>
      </c>
      <c r="G13" s="103">
        <f>E13*F13</f>
        <v>3485.8773039999996</v>
      </c>
      <c r="H13" s="103">
        <f>G13-D13</f>
        <v>0</v>
      </c>
      <c r="I13" s="104">
        <f t="shared" ref="I13:I38" si="0">IF(ISERROR(H13/ABS(D13)),"N/A",(H13/ABS(D13)))</f>
        <v>0</v>
      </c>
      <c r="J13" s="122">
        <f t="shared" ref="J13:J38" si="1">G13/$G$38</f>
        <v>0.44983407467700925</v>
      </c>
    </row>
    <row r="14" spans="1:10" x14ac:dyDescent="0.2">
      <c r="A14" s="106" t="s">
        <v>32</v>
      </c>
      <c r="B14" s="72">
        <v>0</v>
      </c>
      <c r="C14" s="20">
        <v>0.106</v>
      </c>
      <c r="D14" s="21">
        <f>B14*C14</f>
        <v>0</v>
      </c>
      <c r="E14" s="72">
        <f t="shared" ref="E14" si="2">B14</f>
        <v>0</v>
      </c>
      <c r="F14" s="20">
        <f>C14</f>
        <v>0.106</v>
      </c>
      <c r="G14" s="21">
        <f>E14*F14</f>
        <v>0</v>
      </c>
      <c r="H14" s="21">
        <f t="shared" ref="H14:H38" si="3">G14-D14</f>
        <v>0</v>
      </c>
      <c r="I14" s="22" t="str">
        <f t="shared" si="0"/>
        <v>N/A</v>
      </c>
      <c r="J14" s="123">
        <f t="shared" si="1"/>
        <v>0</v>
      </c>
    </row>
    <row r="15" spans="1:10" s="1" customFormat="1" x14ac:dyDescent="0.2">
      <c r="A15" s="45" t="s">
        <v>33</v>
      </c>
      <c r="B15" s="23"/>
      <c r="C15" s="24"/>
      <c r="D15" s="24">
        <f>SUM(D13:D14)</f>
        <v>3485.8773039999996</v>
      </c>
      <c r="E15" s="75"/>
      <c r="F15" s="24"/>
      <c r="G15" s="24">
        <f>SUM(G13:G14)</f>
        <v>3485.8773039999996</v>
      </c>
      <c r="H15" s="24">
        <f t="shared" si="3"/>
        <v>0</v>
      </c>
      <c r="I15" s="26">
        <f t="shared" si="0"/>
        <v>0</v>
      </c>
      <c r="J15" s="46">
        <f t="shared" si="1"/>
        <v>0.44983407467700925</v>
      </c>
    </row>
    <row r="16" spans="1:10" s="1" customFormat="1" x14ac:dyDescent="0.2">
      <c r="A16" s="106" t="s">
        <v>38</v>
      </c>
      <c r="B16" s="72">
        <v>1</v>
      </c>
      <c r="C16" s="77">
        <f>VLOOKUP($B$3,'Data for Bill Impacts'!$A$3:$Y$15,7,0)</f>
        <v>107.59</v>
      </c>
      <c r="D16" s="21">
        <f>B16*C16</f>
        <v>107.59</v>
      </c>
      <c r="E16" s="72">
        <f t="shared" ref="E16:E33" si="4">B16</f>
        <v>1</v>
      </c>
      <c r="F16" s="77">
        <f>VLOOKUP($B$3,'Data for Bill Impacts'!$A$3:$Y$15,17,0)</f>
        <v>109.21</v>
      </c>
      <c r="G16" s="21">
        <f>E16*F16</f>
        <v>109.21</v>
      </c>
      <c r="H16" s="21">
        <f t="shared" si="3"/>
        <v>1.6199999999999903</v>
      </c>
      <c r="I16" s="22">
        <f t="shared" si="0"/>
        <v>1.5057161446230972E-2</v>
      </c>
      <c r="J16" s="123">
        <f t="shared" si="1"/>
        <v>1.4092974310686233E-2</v>
      </c>
    </row>
    <row r="17" spans="1:10" hidden="1" x14ac:dyDescent="0.2">
      <c r="A17" s="106" t="s">
        <v>83</v>
      </c>
      <c r="B17" s="72">
        <v>1</v>
      </c>
      <c r="C17" s="77">
        <f>VLOOKUP($B$3,'Data for Bill Impacts'!$A$3:$Y$15,8,0)</f>
        <v>0</v>
      </c>
      <c r="D17" s="21">
        <f>B17*C17</f>
        <v>0</v>
      </c>
      <c r="E17" s="72">
        <f t="shared" si="4"/>
        <v>1</v>
      </c>
      <c r="F17" s="77">
        <v>0</v>
      </c>
      <c r="G17" s="21">
        <f t="shared" ref="G17:G19" si="5">E17*F17</f>
        <v>0</v>
      </c>
      <c r="H17" s="21">
        <f t="shared" si="3"/>
        <v>0</v>
      </c>
      <c r="I17" s="22" t="str">
        <f t="shared" si="0"/>
        <v>N/A</v>
      </c>
      <c r="J17" s="123">
        <f t="shared" si="1"/>
        <v>0</v>
      </c>
    </row>
    <row r="18" spans="1:10" hidden="1" x14ac:dyDescent="0.2">
      <c r="A18" s="106" t="s">
        <v>84</v>
      </c>
      <c r="B18" s="72">
        <v>1</v>
      </c>
      <c r="C18" s="77">
        <f>VLOOKUP($B$3,'Data for Bill Impacts'!$A$3:$Y$15,11,0)</f>
        <v>0</v>
      </c>
      <c r="D18" s="21">
        <f t="shared" ref="D18:D19" si="6">B18*C18</f>
        <v>0</v>
      </c>
      <c r="E18" s="72">
        <f t="shared" si="4"/>
        <v>1</v>
      </c>
      <c r="F18" s="77">
        <f>VLOOKUP($B$3,'Data for Bill Impacts'!$A$3:$Y$15,12,0)</f>
        <v>0</v>
      </c>
      <c r="G18" s="21">
        <f t="shared" si="5"/>
        <v>0</v>
      </c>
      <c r="H18" s="21">
        <f t="shared" si="3"/>
        <v>0</v>
      </c>
      <c r="I18" s="22" t="str">
        <f t="shared" si="0"/>
        <v>N/A</v>
      </c>
      <c r="J18" s="123">
        <f t="shared" si="1"/>
        <v>0</v>
      </c>
    </row>
    <row r="19" spans="1:10" x14ac:dyDescent="0.2">
      <c r="A19" s="106" t="s">
        <v>85</v>
      </c>
      <c r="B19" s="72">
        <v>1</v>
      </c>
      <c r="C19" s="120">
        <f>VLOOKUP($B$3,'Data for Bill Impacts'!$A$3:$Y$15,13,0)</f>
        <v>-8.9999999999999993E-3</v>
      </c>
      <c r="D19" s="21">
        <f t="shared" si="6"/>
        <v>-8.9999999999999993E-3</v>
      </c>
      <c r="E19" s="72">
        <f t="shared" si="4"/>
        <v>1</v>
      </c>
      <c r="F19" s="120">
        <f>VLOOKUP($B$3,'Data for Bill Impacts'!$A$3:$Y$15,22,0)</f>
        <v>-8.9999999999999993E-3</v>
      </c>
      <c r="G19" s="21">
        <f t="shared" si="5"/>
        <v>-8.9999999999999993E-3</v>
      </c>
      <c r="H19" s="21">
        <f t="shared" si="3"/>
        <v>0</v>
      </c>
      <c r="I19" s="22">
        <f t="shared" si="0"/>
        <v>0</v>
      </c>
      <c r="J19" s="123">
        <f t="shared" si="1"/>
        <v>-1.1614025162180761E-6</v>
      </c>
    </row>
    <row r="20" spans="1:10" x14ac:dyDescent="0.2">
      <c r="A20" s="106" t="s">
        <v>39</v>
      </c>
      <c r="B20" s="72">
        <f>IF($B$10="kWh",$B$4,$B$5)</f>
        <v>128</v>
      </c>
      <c r="C20" s="77">
        <f>VLOOKUP($B$3,'Data for Bill Impacts'!$A$3:$Y$15,10,0)</f>
        <v>18.531200000000002</v>
      </c>
      <c r="D20" s="21">
        <f>B20*C20</f>
        <v>2371.9936000000002</v>
      </c>
      <c r="E20" s="72">
        <f t="shared" si="4"/>
        <v>128</v>
      </c>
      <c r="F20" s="77">
        <f>VLOOKUP($B$3,'Data for Bill Impacts'!$A$3:$Y$15,19,0)</f>
        <v>18.919599999999999</v>
      </c>
      <c r="G20" s="21">
        <f>E20*F20</f>
        <v>2421.7087999999999</v>
      </c>
      <c r="H20" s="21">
        <f t="shared" si="3"/>
        <v>49.715199999999641</v>
      </c>
      <c r="I20" s="22">
        <f t="shared" si="0"/>
        <v>2.0959247107580577E-2</v>
      </c>
      <c r="J20" s="123">
        <f t="shared" si="1"/>
        <v>0.31250874376305088</v>
      </c>
    </row>
    <row r="21" spans="1:10" s="1" customFormat="1" x14ac:dyDescent="0.2">
      <c r="A21" s="106" t="s">
        <v>129</v>
      </c>
      <c r="B21" s="72">
        <f>IF($B$10="kWh",$B$4,$B$5)</f>
        <v>128</v>
      </c>
      <c r="C21" s="77">
        <f>VLOOKUP($B$3,'Data for Bill Impacts'!$A$3:$Y$15,14,0)</f>
        <v>5.1599999999999997E-3</v>
      </c>
      <c r="D21" s="21">
        <f>B21*C21</f>
        <v>0.66047999999999996</v>
      </c>
      <c r="E21" s="72">
        <f>B21</f>
        <v>128</v>
      </c>
      <c r="F21" s="77">
        <f>VLOOKUP($B$3,'Data for Bill Impacts'!$A$3:$Y$15,23,0)</f>
        <v>5.1599999999999997E-3</v>
      </c>
      <c r="G21" s="21">
        <f>E21*F21</f>
        <v>0.66047999999999996</v>
      </c>
      <c r="H21" s="21">
        <f>G21-D21</f>
        <v>0</v>
      </c>
      <c r="I21" s="22">
        <f t="shared" si="0"/>
        <v>0</v>
      </c>
      <c r="J21" s="123">
        <f t="shared" si="1"/>
        <v>8.5231459323523875E-5</v>
      </c>
    </row>
    <row r="22" spans="1:10" s="1" customFormat="1" x14ac:dyDescent="0.2">
      <c r="A22" s="106" t="s">
        <v>117</v>
      </c>
      <c r="B22" s="72">
        <f>B9</f>
        <v>38306.343999999997</v>
      </c>
      <c r="C22" s="124">
        <f>VLOOKUP($B$3,'Data for Bill Impacts'!$A$3:$Y$15,20,0)</f>
        <v>0</v>
      </c>
      <c r="D22" s="21">
        <f>B22*C22</f>
        <v>0</v>
      </c>
      <c r="E22" s="72">
        <f t="shared" si="4"/>
        <v>38306.343999999997</v>
      </c>
      <c r="F22" s="124">
        <f>VLOOKUP($B$3,'Data for Bill Impacts'!$A$3:$Y$15,21,0)</f>
        <v>0</v>
      </c>
      <c r="G22" s="21">
        <f>E22*F22</f>
        <v>0</v>
      </c>
      <c r="H22" s="21">
        <f t="shared" si="3"/>
        <v>0</v>
      </c>
      <c r="I22" s="22" t="str">
        <f t="shared" si="0"/>
        <v>N/A</v>
      </c>
      <c r="J22" s="123">
        <f t="shared" si="1"/>
        <v>0</v>
      </c>
    </row>
    <row r="23" spans="1:10" x14ac:dyDescent="0.2">
      <c r="A23" s="109" t="s">
        <v>95</v>
      </c>
      <c r="B23" s="73"/>
      <c r="C23" s="34"/>
      <c r="D23" s="34">
        <f>SUM(D16:D22)</f>
        <v>2480.2350800000004</v>
      </c>
      <c r="E23" s="72"/>
      <c r="F23" s="34"/>
      <c r="G23" s="34">
        <f>SUM(G16:G22)</f>
        <v>2531.5702799999999</v>
      </c>
      <c r="H23" s="34">
        <f t="shared" si="3"/>
        <v>51.335199999999531</v>
      </c>
      <c r="I23" s="35">
        <f t="shared" si="0"/>
        <v>2.0697715476227972E-2</v>
      </c>
      <c r="J23" s="110">
        <f t="shared" si="1"/>
        <v>0.32668578813054439</v>
      </c>
    </row>
    <row r="24" spans="1:10" x14ac:dyDescent="0.2">
      <c r="A24" s="106" t="s">
        <v>40</v>
      </c>
      <c r="B24" s="72">
        <f>B5</f>
        <v>128</v>
      </c>
      <c r="C24" s="124">
        <f>VLOOKUP($B$3,'Data for Bill Impacts'!$A$3:$Y$15,15,0)</f>
        <v>1.5908</v>
      </c>
      <c r="D24" s="21">
        <f>B24*C24</f>
        <v>203.6224</v>
      </c>
      <c r="E24" s="72">
        <f t="shared" si="4"/>
        <v>128</v>
      </c>
      <c r="F24" s="77">
        <f>VLOOKUP($B$3,'Data for Bill Impacts'!$A$3:$Y$15,24,0)</f>
        <v>1.5908</v>
      </c>
      <c r="G24" s="21">
        <f>E24*F24</f>
        <v>203.6224</v>
      </c>
      <c r="H24" s="21">
        <f t="shared" si="3"/>
        <v>0</v>
      </c>
      <c r="I24" s="22">
        <f t="shared" si="0"/>
        <v>0</v>
      </c>
      <c r="J24" s="123">
        <f t="shared" si="1"/>
        <v>2.627639641315151E-2</v>
      </c>
    </row>
    <row r="25" spans="1:10" s="1" customFormat="1" x14ac:dyDescent="0.2">
      <c r="A25" s="106" t="s">
        <v>41</v>
      </c>
      <c r="B25" s="72">
        <f>B5</f>
        <v>128</v>
      </c>
      <c r="C25" s="124">
        <f>VLOOKUP($B$3,'Data for Bill Impacts'!$A$3:$Y$15,16,0)</f>
        <v>1.2918000000000001</v>
      </c>
      <c r="D25" s="21">
        <f>B25*C25</f>
        <v>165.35040000000001</v>
      </c>
      <c r="E25" s="72">
        <f t="shared" si="4"/>
        <v>128</v>
      </c>
      <c r="F25" s="77">
        <f>VLOOKUP($B$3,'Data for Bill Impacts'!$A$3:$Y$15,25,0)</f>
        <v>1.2918000000000001</v>
      </c>
      <c r="G25" s="21">
        <f>E25*F25</f>
        <v>165.35040000000001</v>
      </c>
      <c r="H25" s="21">
        <f t="shared" si="3"/>
        <v>0</v>
      </c>
      <c r="I25" s="22">
        <f t="shared" si="0"/>
        <v>0</v>
      </c>
      <c r="J25" s="123">
        <f t="shared" si="1"/>
        <v>2.1337596735296154E-2</v>
      </c>
    </row>
    <row r="26" spans="1:10" x14ac:dyDescent="0.2">
      <c r="A26" s="109" t="s">
        <v>76</v>
      </c>
      <c r="B26" s="73"/>
      <c r="C26" s="34"/>
      <c r="D26" s="34">
        <f>SUM(D24:D25)</f>
        <v>368.97280000000001</v>
      </c>
      <c r="E26" s="72"/>
      <c r="F26" s="34"/>
      <c r="G26" s="34">
        <f>SUM(G24:G25)</f>
        <v>368.97280000000001</v>
      </c>
      <c r="H26" s="34">
        <f t="shared" si="3"/>
        <v>0</v>
      </c>
      <c r="I26" s="35">
        <f t="shared" si="0"/>
        <v>0</v>
      </c>
      <c r="J26" s="110">
        <f t="shared" si="1"/>
        <v>4.7613993148447664E-2</v>
      </c>
    </row>
    <row r="27" spans="1:10" s="1" customFormat="1" x14ac:dyDescent="0.2">
      <c r="A27" s="109" t="s">
        <v>80</v>
      </c>
      <c r="B27" s="73"/>
      <c r="C27" s="34"/>
      <c r="D27" s="34">
        <f>D23+D26</f>
        <v>2849.2078800000004</v>
      </c>
      <c r="E27" s="72"/>
      <c r="F27" s="34"/>
      <c r="G27" s="34">
        <f>G23+G26</f>
        <v>2900.5430799999999</v>
      </c>
      <c r="H27" s="34">
        <f t="shared" si="3"/>
        <v>51.335199999999531</v>
      </c>
      <c r="I27" s="35">
        <f t="shared" si="0"/>
        <v>1.8017358564935432E-2</v>
      </c>
      <c r="J27" s="110">
        <f t="shared" si="1"/>
        <v>0.37429978127899205</v>
      </c>
    </row>
    <row r="28" spans="1:10" x14ac:dyDescent="0.2">
      <c r="A28" s="106" t="s">
        <v>42</v>
      </c>
      <c r="B28" s="72">
        <f>B9</f>
        <v>38306.343999999997</v>
      </c>
      <c r="C28" s="33">
        <v>3.5999999999999999E-3</v>
      </c>
      <c r="D28" s="21">
        <f>B28*C28</f>
        <v>137.90283839999998</v>
      </c>
      <c r="E28" s="72">
        <f t="shared" si="4"/>
        <v>38306.343999999997</v>
      </c>
      <c r="F28" s="33">
        <v>3.5999999999999999E-3</v>
      </c>
      <c r="G28" s="21">
        <f>E28*F28</f>
        <v>137.90283839999998</v>
      </c>
      <c r="H28" s="21">
        <f t="shared" si="3"/>
        <v>0</v>
      </c>
      <c r="I28" s="22">
        <f t="shared" si="0"/>
        <v>0</v>
      </c>
      <c r="J28" s="123">
        <f t="shared" si="1"/>
        <v>1.7795633723486078E-2</v>
      </c>
    </row>
    <row r="29" spans="1:10" x14ac:dyDescent="0.2">
      <c r="A29" s="106" t="s">
        <v>43</v>
      </c>
      <c r="B29" s="72">
        <f>B9</f>
        <v>38306.343999999997</v>
      </c>
      <c r="C29" s="33">
        <v>2.0999999999999999E-3</v>
      </c>
      <c r="D29" s="21">
        <f>B29*C29</f>
        <v>80.443322399999985</v>
      </c>
      <c r="E29" s="72">
        <f t="shared" si="4"/>
        <v>38306.343999999997</v>
      </c>
      <c r="F29" s="33">
        <v>2.0999999999999999E-3</v>
      </c>
      <c r="G29" s="21">
        <f>E29*F29</f>
        <v>80.443322399999985</v>
      </c>
      <c r="H29" s="21">
        <f>G29-D29</f>
        <v>0</v>
      </c>
      <c r="I29" s="22">
        <f t="shared" si="0"/>
        <v>0</v>
      </c>
      <c r="J29" s="123">
        <f t="shared" si="1"/>
        <v>1.0380786338700213E-2</v>
      </c>
    </row>
    <row r="30" spans="1:10" x14ac:dyDescent="0.2">
      <c r="A30" s="106" t="s">
        <v>99</v>
      </c>
      <c r="B30" s="72">
        <f>B9</f>
        <v>38306.343999999997</v>
      </c>
      <c r="C30" s="33">
        <v>0</v>
      </c>
      <c r="D30" s="21">
        <f>B30*C30</f>
        <v>0</v>
      </c>
      <c r="E30" s="72">
        <f t="shared" si="4"/>
        <v>38306.343999999997</v>
      </c>
      <c r="F30" s="33">
        <v>0</v>
      </c>
      <c r="G30" s="21">
        <f>E30*F30</f>
        <v>0</v>
      </c>
      <c r="H30" s="21">
        <f>G30-D30</f>
        <v>0</v>
      </c>
      <c r="I30" s="22" t="str">
        <f t="shared" si="0"/>
        <v>N/A</v>
      </c>
      <c r="J30" s="123">
        <f t="shared" si="1"/>
        <v>0</v>
      </c>
    </row>
    <row r="31" spans="1:10" x14ac:dyDescent="0.2">
      <c r="A31" s="106" t="s">
        <v>44</v>
      </c>
      <c r="B31" s="72">
        <v>1</v>
      </c>
      <c r="C31" s="21">
        <v>0.25</v>
      </c>
      <c r="D31" s="21">
        <f>B31*C31</f>
        <v>0.25</v>
      </c>
      <c r="E31" s="72">
        <f t="shared" si="4"/>
        <v>1</v>
      </c>
      <c r="F31" s="21">
        <f>C31</f>
        <v>0.25</v>
      </c>
      <c r="G31" s="21">
        <f>E31*F31</f>
        <v>0.25</v>
      </c>
      <c r="H31" s="21">
        <f t="shared" si="3"/>
        <v>0</v>
      </c>
      <c r="I31" s="22">
        <f t="shared" si="0"/>
        <v>0</v>
      </c>
      <c r="J31" s="123">
        <f t="shared" si="1"/>
        <v>3.2261181006057671E-5</v>
      </c>
    </row>
    <row r="32" spans="1:10" x14ac:dyDescent="0.2">
      <c r="A32" s="109" t="s">
        <v>45</v>
      </c>
      <c r="B32" s="73"/>
      <c r="C32" s="34"/>
      <c r="D32" s="34">
        <f>SUM(D28:D31)</f>
        <v>218.59616079999995</v>
      </c>
      <c r="E32" s="72"/>
      <c r="F32" s="34"/>
      <c r="G32" s="34">
        <f>SUM(G28:G31)</f>
        <v>218.59616079999995</v>
      </c>
      <c r="H32" s="34">
        <f t="shared" si="3"/>
        <v>0</v>
      </c>
      <c r="I32" s="35">
        <f t="shared" si="0"/>
        <v>0</v>
      </c>
      <c r="J32" s="110">
        <f t="shared" si="1"/>
        <v>2.8208681243192348E-2</v>
      </c>
    </row>
    <row r="33" spans="1:10" ht="13.5" thickBot="1" x14ac:dyDescent="0.25">
      <c r="A33" s="111" t="s">
        <v>46</v>
      </c>
      <c r="B33" s="112">
        <f>B4</f>
        <v>36104</v>
      </c>
      <c r="C33" s="113">
        <v>7.0000000000000001E-3</v>
      </c>
      <c r="D33" s="114">
        <f>B33*C33</f>
        <v>252.72800000000001</v>
      </c>
      <c r="E33" s="115">
        <f t="shared" si="4"/>
        <v>36104</v>
      </c>
      <c r="F33" s="113">
        <f>C33</f>
        <v>7.0000000000000001E-3</v>
      </c>
      <c r="G33" s="114">
        <f>E33*F33</f>
        <v>252.72800000000001</v>
      </c>
      <c r="H33" s="114">
        <f t="shared" si="3"/>
        <v>0</v>
      </c>
      <c r="I33" s="116">
        <f t="shared" si="0"/>
        <v>0</v>
      </c>
      <c r="J33" s="117">
        <f t="shared" si="1"/>
        <v>3.2613215013195772E-2</v>
      </c>
    </row>
    <row r="34" spans="1:10" x14ac:dyDescent="0.2">
      <c r="A34" s="36" t="s">
        <v>116</v>
      </c>
      <c r="B34" s="37"/>
      <c r="C34" s="38"/>
      <c r="D34" s="38">
        <f>SUM(D15,D23,D26,D32,D33)</f>
        <v>6806.4093447999994</v>
      </c>
      <c r="E34" s="37"/>
      <c r="F34" s="38"/>
      <c r="G34" s="38">
        <f>SUM(G15,G23,G26,G32,G33)</f>
        <v>6857.7445447999989</v>
      </c>
      <c r="H34" s="38">
        <f t="shared" si="3"/>
        <v>51.335199999999531</v>
      </c>
      <c r="I34" s="39">
        <f t="shared" si="0"/>
        <v>7.5421852256386691E-3</v>
      </c>
      <c r="J34" s="40">
        <f t="shared" si="1"/>
        <v>0.88495575221238942</v>
      </c>
    </row>
    <row r="35" spans="1:10" x14ac:dyDescent="0.2">
      <c r="A35" s="45" t="s">
        <v>108</v>
      </c>
      <c r="B35" s="42"/>
      <c r="C35" s="25">
        <v>0.13</v>
      </c>
      <c r="D35" s="25">
        <f>D34*C35</f>
        <v>884.83321482399992</v>
      </c>
      <c r="E35" s="25"/>
      <c r="F35" s="25">
        <f>C35</f>
        <v>0.13</v>
      </c>
      <c r="G35" s="25">
        <f>G34*F35</f>
        <v>891.50679082399995</v>
      </c>
      <c r="H35" s="25">
        <f t="shared" si="3"/>
        <v>6.6735760000000255</v>
      </c>
      <c r="I35" s="43">
        <f t="shared" si="0"/>
        <v>7.5421852256387671E-3</v>
      </c>
      <c r="J35" s="44">
        <f t="shared" si="1"/>
        <v>0.11504424778761063</v>
      </c>
    </row>
    <row r="36" spans="1:10" x14ac:dyDescent="0.2">
      <c r="A36" s="45" t="s">
        <v>109</v>
      </c>
      <c r="B36" s="23"/>
      <c r="C36" s="24"/>
      <c r="D36" s="24">
        <f>SUM(D34:D35)</f>
        <v>7691.2425596239991</v>
      </c>
      <c r="E36" s="24"/>
      <c r="F36" s="24"/>
      <c r="G36" s="24">
        <f>SUM(G34:G35)</f>
        <v>7749.2513356239988</v>
      </c>
      <c r="H36" s="24">
        <f t="shared" si="3"/>
        <v>58.008775999999671</v>
      </c>
      <c r="I36" s="26">
        <f t="shared" si="0"/>
        <v>7.542185225638696E-3</v>
      </c>
      <c r="J36" s="46">
        <f t="shared" si="1"/>
        <v>1</v>
      </c>
    </row>
    <row r="37" spans="1:10" x14ac:dyDescent="0.2">
      <c r="A37" s="45" t="s">
        <v>110</v>
      </c>
      <c r="B37" s="42"/>
      <c r="C37" s="25">
        <v>0</v>
      </c>
      <c r="D37" s="25">
        <f>D34*C37</f>
        <v>0</v>
      </c>
      <c r="E37" s="25"/>
      <c r="F37" s="25">
        <v>0</v>
      </c>
      <c r="G37" s="25">
        <f>G34*F37</f>
        <v>0</v>
      </c>
      <c r="H37" s="25">
        <f t="shared" si="3"/>
        <v>0</v>
      </c>
      <c r="I37" s="43" t="str">
        <f t="shared" si="0"/>
        <v>N/A</v>
      </c>
      <c r="J37" s="44">
        <f t="shared" si="1"/>
        <v>0</v>
      </c>
    </row>
    <row r="38" spans="1:10" ht="13.5" thickBot="1" x14ac:dyDescent="0.25">
      <c r="A38" s="47" t="s">
        <v>111</v>
      </c>
      <c r="B38" s="48"/>
      <c r="C38" s="49"/>
      <c r="D38" s="49">
        <f>SUM(D36:D37)</f>
        <v>7691.2425596239991</v>
      </c>
      <c r="E38" s="49"/>
      <c r="F38" s="49"/>
      <c r="G38" s="49">
        <f>SUM(G36:G37)</f>
        <v>7749.2513356239988</v>
      </c>
      <c r="H38" s="49">
        <f t="shared" si="3"/>
        <v>58.008775999999671</v>
      </c>
      <c r="I38" s="50">
        <f t="shared" si="0"/>
        <v>7.542185225638696E-3</v>
      </c>
      <c r="J38" s="51">
        <f t="shared" si="1"/>
        <v>1</v>
      </c>
    </row>
    <row r="39" spans="1:10" x14ac:dyDescent="0.2">
      <c r="A39" s="184"/>
      <c r="F39" s="68"/>
    </row>
    <row r="40" spans="1:10" x14ac:dyDescent="0.2">
      <c r="A40" s="184"/>
      <c r="F40" s="68"/>
    </row>
    <row r="41" spans="1:10" x14ac:dyDescent="0.2">
      <c r="A41" s="184"/>
    </row>
    <row r="42" spans="1:10" x14ac:dyDescent="0.2">
      <c r="A42" s="184"/>
    </row>
    <row r="43" spans="1:10" x14ac:dyDescent="0.2">
      <c r="A43" s="184"/>
    </row>
    <row r="44" spans="1:10" x14ac:dyDescent="0.2">
      <c r="A44" s="184"/>
    </row>
    <row r="45" spans="1:10" x14ac:dyDescent="0.2">
      <c r="A45" s="184"/>
    </row>
    <row r="46" spans="1:10" x14ac:dyDescent="0.2">
      <c r="A46" s="184"/>
    </row>
    <row r="47" spans="1:10" x14ac:dyDescent="0.2">
      <c r="A47" s="184"/>
    </row>
    <row r="48" spans="1:10" x14ac:dyDescent="0.2">
      <c r="A48" s="184"/>
    </row>
    <row r="49" spans="1:1" x14ac:dyDescent="0.2">
      <c r="A49" s="184"/>
    </row>
    <row r="50" spans="1:1" x14ac:dyDescent="0.2">
      <c r="A50" s="184"/>
    </row>
    <row r="51" spans="1:1" x14ac:dyDescent="0.2">
      <c r="A51" s="184"/>
    </row>
    <row r="52" spans="1:1" x14ac:dyDescent="0.2">
      <c r="A52" s="184"/>
    </row>
    <row r="53" spans="1:1" x14ac:dyDescent="0.2">
      <c r="A53" s="184"/>
    </row>
    <row r="54" spans="1:1" x14ac:dyDescent="0.2">
      <c r="A54" s="184"/>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scale="71"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tabColor theme="1" tint="0.499984740745262"/>
    <pageSetUpPr fitToPage="1"/>
  </sheetPr>
  <dimension ref="A1:J54"/>
  <sheetViews>
    <sheetView tabSelected="1" topLeftCell="A30" zoomScaleNormal="100" zoomScaleSheetLayoutView="100" workbookViewId="0">
      <selection activeCell="N13" sqref="N13"/>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205" t="s">
        <v>128</v>
      </c>
      <c r="B1" s="206"/>
      <c r="C1" s="206"/>
      <c r="D1" s="206"/>
      <c r="E1" s="206"/>
      <c r="F1" s="206"/>
      <c r="G1" s="206"/>
      <c r="H1" s="206"/>
      <c r="I1" s="206"/>
      <c r="J1" s="207"/>
    </row>
    <row r="3" spans="1:10" x14ac:dyDescent="0.2">
      <c r="A3" s="12" t="s">
        <v>13</v>
      </c>
      <c r="B3" s="12" t="s">
        <v>5</v>
      </c>
    </row>
    <row r="4" spans="1:10" x14ac:dyDescent="0.2">
      <c r="A4" s="14" t="s">
        <v>62</v>
      </c>
      <c r="B4" s="78">
        <v>175000</v>
      </c>
    </row>
    <row r="5" spans="1:10" x14ac:dyDescent="0.2">
      <c r="A5" s="14" t="s">
        <v>16</v>
      </c>
      <c r="B5" s="78">
        <v>500</v>
      </c>
    </row>
    <row r="6" spans="1:10" x14ac:dyDescent="0.2">
      <c r="A6" s="14" t="s">
        <v>20</v>
      </c>
      <c r="B6" s="79">
        <f>VLOOKUP($B$3,'Data for Bill Impacts'!$A$3:$Y$15,2,0)</f>
        <v>1.0609999999999999</v>
      </c>
    </row>
    <row r="7" spans="1:10" x14ac:dyDescent="0.2">
      <c r="A7" s="80" t="s">
        <v>48</v>
      </c>
      <c r="B7" s="81">
        <f>B4/(B5*730)</f>
        <v>0.47945205479452052</v>
      </c>
    </row>
    <row r="8" spans="1:10" x14ac:dyDescent="0.2">
      <c r="A8" s="14" t="s">
        <v>15</v>
      </c>
      <c r="B8" s="78">
        <f>VLOOKUP($B$3,'Data for Bill Impacts'!$A$3:$Y$15,4,0)</f>
        <v>0</v>
      </c>
    </row>
    <row r="9" spans="1:10" x14ac:dyDescent="0.2">
      <c r="A9" s="14" t="s">
        <v>82</v>
      </c>
      <c r="B9" s="78">
        <f>B4*B6</f>
        <v>185675</v>
      </c>
    </row>
    <row r="10" spans="1:10" x14ac:dyDescent="0.2">
      <c r="A10" s="14" t="s">
        <v>21</v>
      </c>
      <c r="B10" s="15" t="s">
        <v>19</v>
      </c>
    </row>
    <row r="11" spans="1:10" ht="13.5" thickBot="1" x14ac:dyDescent="0.25"/>
    <row r="12" spans="1:10" s="19" customFormat="1" ht="26.25" thickBot="1" x14ac:dyDescent="0.25">
      <c r="A12" s="16"/>
      <c r="B12" s="17" t="s">
        <v>22</v>
      </c>
      <c r="C12" s="17" t="s">
        <v>23</v>
      </c>
      <c r="D12" s="17" t="s">
        <v>24</v>
      </c>
      <c r="E12" s="17" t="s">
        <v>22</v>
      </c>
      <c r="F12" s="17" t="s">
        <v>25</v>
      </c>
      <c r="G12" s="17" t="s">
        <v>26</v>
      </c>
      <c r="H12" s="17" t="s">
        <v>27</v>
      </c>
      <c r="I12" s="17" t="s">
        <v>28</v>
      </c>
      <c r="J12" s="121" t="s">
        <v>49</v>
      </c>
    </row>
    <row r="13" spans="1:10" x14ac:dyDescent="0.2">
      <c r="A13" s="100" t="s">
        <v>31</v>
      </c>
      <c r="B13" s="101">
        <f>B9</f>
        <v>185675</v>
      </c>
      <c r="C13" s="102">
        <v>9.0999999999999998E-2</v>
      </c>
      <c r="D13" s="103">
        <f>B13*C13</f>
        <v>16896.424999999999</v>
      </c>
      <c r="E13" s="101">
        <f>B13</f>
        <v>185675</v>
      </c>
      <c r="F13" s="102">
        <f>C13</f>
        <v>9.0999999999999998E-2</v>
      </c>
      <c r="G13" s="103">
        <f>E13*F13</f>
        <v>16896.424999999999</v>
      </c>
      <c r="H13" s="103">
        <f>G13-D13</f>
        <v>0</v>
      </c>
      <c r="I13" s="104">
        <f t="shared" ref="I13:I38" si="0">IF(ISERROR(H13/ABS(D13)),"N/A",(H13/ABS(D13)))</f>
        <v>0</v>
      </c>
      <c r="J13" s="122">
        <f t="shared" ref="J13:J29" si="1">G13/$G$38</f>
        <v>0.72119393488655581</v>
      </c>
    </row>
    <row r="14" spans="1:10" x14ac:dyDescent="0.2">
      <c r="A14" s="106" t="s">
        <v>32</v>
      </c>
      <c r="B14" s="72">
        <v>0</v>
      </c>
      <c r="C14" s="20">
        <v>0.106</v>
      </c>
      <c r="D14" s="21">
        <f>B14*C14</f>
        <v>0</v>
      </c>
      <c r="E14" s="72">
        <f t="shared" ref="E14" si="2">B14</f>
        <v>0</v>
      </c>
      <c r="F14" s="20">
        <f>C14</f>
        <v>0.106</v>
      </c>
      <c r="G14" s="21">
        <f>E14*F14</f>
        <v>0</v>
      </c>
      <c r="H14" s="21">
        <f t="shared" ref="H14:H38" si="3">G14-D14</f>
        <v>0</v>
      </c>
      <c r="I14" s="22" t="str">
        <f t="shared" si="0"/>
        <v>N/A</v>
      </c>
      <c r="J14" s="123">
        <f t="shared" si="1"/>
        <v>0</v>
      </c>
    </row>
    <row r="15" spans="1:10" s="1" customFormat="1" x14ac:dyDescent="0.2">
      <c r="A15" s="45" t="s">
        <v>33</v>
      </c>
      <c r="B15" s="23"/>
      <c r="C15" s="24"/>
      <c r="D15" s="24">
        <f>SUM(D13:D14)</f>
        <v>16896.424999999999</v>
      </c>
      <c r="E15" s="75"/>
      <c r="F15" s="24"/>
      <c r="G15" s="24">
        <f>SUM(G13:G14)</f>
        <v>16896.424999999999</v>
      </c>
      <c r="H15" s="24">
        <f t="shared" si="3"/>
        <v>0</v>
      </c>
      <c r="I15" s="26">
        <f t="shared" si="0"/>
        <v>0</v>
      </c>
      <c r="J15" s="46">
        <f t="shared" si="1"/>
        <v>0.72119393488655581</v>
      </c>
    </row>
    <row r="16" spans="1:10" s="1" customFormat="1" hidden="1" x14ac:dyDescent="0.2">
      <c r="A16" s="106" t="s">
        <v>38</v>
      </c>
      <c r="B16" s="72">
        <v>1</v>
      </c>
      <c r="C16" s="77">
        <f>VLOOKUP($B$3,'Data for Bill Impacts'!$A$3:$Y$15,7,0)</f>
        <v>107.59</v>
      </c>
      <c r="D16" s="21">
        <f>B16*C16</f>
        <v>107.59</v>
      </c>
      <c r="E16" s="72">
        <f t="shared" ref="E16:E31" si="4">B16</f>
        <v>1</v>
      </c>
      <c r="F16" s="77">
        <f>VLOOKUP($B$3,'Data for Bill Impacts'!$A$3:$Y$15,17,0)</f>
        <v>109.21</v>
      </c>
      <c r="G16" s="21">
        <f>E16*F16</f>
        <v>109.21</v>
      </c>
      <c r="H16" s="21">
        <f t="shared" si="3"/>
        <v>1.6199999999999903</v>
      </c>
      <c r="I16" s="22">
        <f t="shared" si="0"/>
        <v>1.5057161446230972E-2</v>
      </c>
      <c r="J16" s="123">
        <f t="shared" si="1"/>
        <v>4.6614351632940547E-3</v>
      </c>
    </row>
    <row r="17" spans="1:10" hidden="1" x14ac:dyDescent="0.2">
      <c r="A17" s="106" t="s">
        <v>83</v>
      </c>
      <c r="B17" s="72">
        <v>1</v>
      </c>
      <c r="C17" s="77">
        <f>VLOOKUP($B$3,'Data for Bill Impacts'!$A$3:$Y$15,8,0)</f>
        <v>0</v>
      </c>
      <c r="D17" s="21">
        <f>B17*C17</f>
        <v>0</v>
      </c>
      <c r="E17" s="72">
        <f t="shared" si="4"/>
        <v>1</v>
      </c>
      <c r="F17" s="77">
        <f>VLOOKUP($B$3,'Data for Bill Impacts'!$A$3:$Y$15,12,0)</f>
        <v>0</v>
      </c>
      <c r="G17" s="21">
        <f t="shared" ref="G17:G19" si="5">E17*F17</f>
        <v>0</v>
      </c>
      <c r="H17" s="21">
        <f t="shared" si="3"/>
        <v>0</v>
      </c>
      <c r="I17" s="22" t="str">
        <f t="shared" si="0"/>
        <v>N/A</v>
      </c>
      <c r="J17" s="123">
        <f t="shared" si="1"/>
        <v>0</v>
      </c>
    </row>
    <row r="18" spans="1:10" x14ac:dyDescent="0.2">
      <c r="A18" s="106" t="s">
        <v>84</v>
      </c>
      <c r="B18" s="72">
        <v>1</v>
      </c>
      <c r="C18" s="77">
        <f>VLOOKUP($B$3,'Data for Bill Impacts'!$A$3:$Y$15,11,0)</f>
        <v>0</v>
      </c>
      <c r="D18" s="21">
        <f t="shared" ref="D18:D19" si="6">B18*C18</f>
        <v>0</v>
      </c>
      <c r="E18" s="72">
        <f t="shared" si="4"/>
        <v>1</v>
      </c>
      <c r="F18" s="77">
        <f>VLOOKUP($B$3,'Data for Bill Impacts'!$A$3:$Y$15,20,0)</f>
        <v>0</v>
      </c>
      <c r="G18" s="21">
        <f t="shared" si="5"/>
        <v>0</v>
      </c>
      <c r="H18" s="21">
        <f t="shared" si="3"/>
        <v>0</v>
      </c>
      <c r="I18" s="22" t="str">
        <f t="shared" si="0"/>
        <v>N/A</v>
      </c>
      <c r="J18" s="123">
        <f t="shared" si="1"/>
        <v>0</v>
      </c>
    </row>
    <row r="19" spans="1:10" x14ac:dyDescent="0.2">
      <c r="A19" s="106" t="s">
        <v>85</v>
      </c>
      <c r="B19" s="72">
        <v>1</v>
      </c>
      <c r="C19" s="120">
        <f>VLOOKUP($B$3,'Data for Bill Impacts'!$A$3:$Y$15,13,0)</f>
        <v>-8.9999999999999993E-3</v>
      </c>
      <c r="D19" s="21">
        <f t="shared" si="6"/>
        <v>-8.9999999999999993E-3</v>
      </c>
      <c r="E19" s="72">
        <f t="shared" si="4"/>
        <v>1</v>
      </c>
      <c r="F19" s="120">
        <f>VLOOKUP($B$3,'Data for Bill Impacts'!$A$3:$Y$15,22,0)</f>
        <v>-8.9999999999999993E-3</v>
      </c>
      <c r="G19" s="21">
        <f t="shared" si="5"/>
        <v>-8.9999999999999993E-3</v>
      </c>
      <c r="H19" s="21">
        <f t="shared" si="3"/>
        <v>0</v>
      </c>
      <c r="I19" s="22">
        <f t="shared" si="0"/>
        <v>0</v>
      </c>
      <c r="J19" s="123">
        <f t="shared" si="1"/>
        <v>-3.8414903827164634E-7</v>
      </c>
    </row>
    <row r="20" spans="1:10" s="1" customFormat="1" hidden="1" x14ac:dyDescent="0.2">
      <c r="A20" s="106" t="s">
        <v>86</v>
      </c>
      <c r="B20" s="72">
        <f>IF($B$10="kWh",$B$4,$B$5)</f>
        <v>500</v>
      </c>
      <c r="C20" s="77">
        <f>VLOOKUP($B$3,'Data for Bill Impacts'!$A$3:$Y$15,12,0)</f>
        <v>0</v>
      </c>
      <c r="D20" s="21">
        <f>B20*C20</f>
        <v>0</v>
      </c>
      <c r="E20" s="72">
        <f>B20</f>
        <v>500</v>
      </c>
      <c r="F20" s="77">
        <f>VLOOKUP($B$3,'Data for Bill Impacts'!$A$3:$Y$15,12,0)</f>
        <v>0</v>
      </c>
      <c r="G20" s="21">
        <f>E20*F20</f>
        <v>0</v>
      </c>
      <c r="H20" s="21">
        <f>G20-D20</f>
        <v>0</v>
      </c>
      <c r="I20" s="22" t="str">
        <f t="shared" si="0"/>
        <v>N/A</v>
      </c>
      <c r="J20" s="123">
        <f t="shared" si="1"/>
        <v>0</v>
      </c>
    </row>
    <row r="21" spans="1:10" s="1" customFormat="1" x14ac:dyDescent="0.2">
      <c r="A21" s="106" t="s">
        <v>129</v>
      </c>
      <c r="B21" s="72">
        <f>IF($B$10="kWh",$B$4,$B$5)</f>
        <v>500</v>
      </c>
      <c r="C21" s="77">
        <f>VLOOKUP($B$3,'Data for Bill Impacts'!$A$3:$Y$15,14,0)</f>
        <v>5.1599999999999997E-3</v>
      </c>
      <c r="D21" s="21">
        <f>B21*C21</f>
        <v>2.5799999999999996</v>
      </c>
      <c r="E21" s="72">
        <f>B21</f>
        <v>500</v>
      </c>
      <c r="F21" s="77">
        <f>VLOOKUP($B$3,'Data for Bill Impacts'!$A$3:$Y$15,23,0)</f>
        <v>5.1599999999999997E-3</v>
      </c>
      <c r="G21" s="21">
        <f>E21*F21</f>
        <v>2.5799999999999996</v>
      </c>
      <c r="H21" s="21">
        <f>G21-D21</f>
        <v>0</v>
      </c>
      <c r="I21" s="22">
        <f t="shared" si="0"/>
        <v>0</v>
      </c>
      <c r="J21" s="123">
        <f t="shared" si="1"/>
        <v>1.101227243045386E-4</v>
      </c>
    </row>
    <row r="22" spans="1:10" x14ac:dyDescent="0.2">
      <c r="A22" s="106" t="s">
        <v>117</v>
      </c>
      <c r="B22" s="72">
        <f>B9</f>
        <v>185675</v>
      </c>
      <c r="C22" s="124">
        <f>VLOOKUP($B$3,'Data for Bill Impacts'!$A$3:$Y$15,20,0)</f>
        <v>0</v>
      </c>
      <c r="D22" s="21">
        <f>B22*C22</f>
        <v>0</v>
      </c>
      <c r="E22" s="72">
        <f t="shared" si="4"/>
        <v>185675</v>
      </c>
      <c r="F22" s="124">
        <f>VLOOKUP($B$3,'Data for Bill Impacts'!$A$3:$Y$15,21,0)</f>
        <v>0</v>
      </c>
      <c r="G22" s="21">
        <f>E22*F22</f>
        <v>0</v>
      </c>
      <c r="H22" s="21">
        <f t="shared" si="3"/>
        <v>0</v>
      </c>
      <c r="I22" s="22" t="str">
        <f t="shared" si="0"/>
        <v>N/A</v>
      </c>
      <c r="J22" s="123">
        <f t="shared" si="1"/>
        <v>0</v>
      </c>
    </row>
    <row r="23" spans="1:10" x14ac:dyDescent="0.2">
      <c r="A23" s="109" t="s">
        <v>79</v>
      </c>
      <c r="B23" s="73"/>
      <c r="C23" s="153"/>
      <c r="D23" s="34">
        <f>SUM(D16:D22)</f>
        <v>110.161</v>
      </c>
      <c r="E23" s="72"/>
      <c r="F23" s="34"/>
      <c r="G23" s="34">
        <f>SUM(G16:G22)</f>
        <v>111.78099999999999</v>
      </c>
      <c r="H23" s="34">
        <f t="shared" si="3"/>
        <v>1.6199999999999903</v>
      </c>
      <c r="I23" s="35">
        <f t="shared" si="0"/>
        <v>1.4705748858488851E-2</v>
      </c>
      <c r="J23" s="110">
        <f t="shared" si="1"/>
        <v>4.7711737385603224E-3</v>
      </c>
    </row>
    <row r="24" spans="1:10" x14ac:dyDescent="0.2">
      <c r="A24" s="106" t="s">
        <v>40</v>
      </c>
      <c r="B24" s="72">
        <f>B5</f>
        <v>500</v>
      </c>
      <c r="C24" s="124">
        <f>VLOOKUP($B$3,'Data for Bill Impacts'!$A$3:$Y$15,15,0)</f>
        <v>1.5908</v>
      </c>
      <c r="D24" s="21">
        <f>B24*C24</f>
        <v>795.4</v>
      </c>
      <c r="E24" s="72">
        <f t="shared" si="4"/>
        <v>500</v>
      </c>
      <c r="F24" s="77">
        <f>VLOOKUP($B$3,'Data for Bill Impacts'!$A$3:$Y$15,24,0)</f>
        <v>1.5908</v>
      </c>
      <c r="G24" s="21">
        <f>E24*F24</f>
        <v>795.4</v>
      </c>
      <c r="H24" s="21">
        <f t="shared" si="3"/>
        <v>0</v>
      </c>
      <c r="I24" s="22">
        <f t="shared" si="0"/>
        <v>0</v>
      </c>
      <c r="J24" s="123">
        <f t="shared" si="1"/>
        <v>3.395023833791861E-2</v>
      </c>
    </row>
    <row r="25" spans="1:10" s="1" customFormat="1" x14ac:dyDescent="0.2">
      <c r="A25" s="106" t="s">
        <v>41</v>
      </c>
      <c r="B25" s="72">
        <f>B5</f>
        <v>500</v>
      </c>
      <c r="C25" s="77">
        <f>VLOOKUP($B$3,'Data for Bill Impacts'!$A$3:$Y$15,16,0)</f>
        <v>1.2918000000000001</v>
      </c>
      <c r="D25" s="21">
        <f>B25*C25</f>
        <v>645.9</v>
      </c>
      <c r="E25" s="72">
        <f t="shared" si="4"/>
        <v>500</v>
      </c>
      <c r="F25" s="77">
        <f>VLOOKUP($B$3,'Data for Bill Impacts'!$A$3:$Y$15,25,0)</f>
        <v>1.2918000000000001</v>
      </c>
      <c r="G25" s="21">
        <f>E25*F25</f>
        <v>645.9</v>
      </c>
      <c r="H25" s="21">
        <f t="shared" si="3"/>
        <v>0</v>
      </c>
      <c r="I25" s="22">
        <f t="shared" si="0"/>
        <v>0</v>
      </c>
      <c r="J25" s="123">
        <f t="shared" si="1"/>
        <v>2.7569095979961818E-2</v>
      </c>
    </row>
    <row r="26" spans="1:10" x14ac:dyDescent="0.2">
      <c r="A26" s="109" t="s">
        <v>76</v>
      </c>
      <c r="B26" s="73"/>
      <c r="C26" s="34"/>
      <c r="D26" s="34">
        <f>SUM(D24:D25)</f>
        <v>1441.3</v>
      </c>
      <c r="E26" s="72"/>
      <c r="F26" s="34"/>
      <c r="G26" s="34">
        <f>SUM(G24:G25)</f>
        <v>1441.3</v>
      </c>
      <c r="H26" s="34">
        <f t="shared" si="3"/>
        <v>0</v>
      </c>
      <c r="I26" s="35">
        <f t="shared" si="0"/>
        <v>0</v>
      </c>
      <c r="J26" s="110">
        <f t="shared" si="1"/>
        <v>6.1519334317880432E-2</v>
      </c>
    </row>
    <row r="27" spans="1:10" s="1" customFormat="1" x14ac:dyDescent="0.2">
      <c r="A27" s="109" t="s">
        <v>80</v>
      </c>
      <c r="B27" s="73"/>
      <c r="C27" s="34"/>
      <c r="D27" s="34">
        <f>D23+D26</f>
        <v>1551.461</v>
      </c>
      <c r="E27" s="72"/>
      <c r="F27" s="34"/>
      <c r="G27" s="34">
        <f>G23+G26</f>
        <v>1553.0809999999999</v>
      </c>
      <c r="H27" s="34">
        <f t="shared" si="3"/>
        <v>1.6199999999998909</v>
      </c>
      <c r="I27" s="35">
        <f t="shared" si="0"/>
        <v>1.0441770692269357E-3</v>
      </c>
      <c r="J27" s="110">
        <f t="shared" si="1"/>
        <v>6.6290508056440753E-2</v>
      </c>
    </row>
    <row r="28" spans="1:10" x14ac:dyDescent="0.2">
      <c r="A28" s="106" t="s">
        <v>42</v>
      </c>
      <c r="B28" s="72">
        <f>B9</f>
        <v>185675</v>
      </c>
      <c r="C28" s="33">
        <v>3.5999999999999999E-3</v>
      </c>
      <c r="D28" s="21">
        <f>B28*C28</f>
        <v>668.43</v>
      </c>
      <c r="E28" s="72">
        <f t="shared" si="4"/>
        <v>185675</v>
      </c>
      <c r="F28" s="33">
        <v>3.5999999999999999E-3</v>
      </c>
      <c r="G28" s="21">
        <f>E28*F28</f>
        <v>668.43</v>
      </c>
      <c r="H28" s="21">
        <f t="shared" si="3"/>
        <v>0</v>
      </c>
      <c r="I28" s="22">
        <f t="shared" si="0"/>
        <v>0</v>
      </c>
      <c r="J28" s="123">
        <f t="shared" si="1"/>
        <v>2.8530749072435174E-2</v>
      </c>
    </row>
    <row r="29" spans="1:10" x14ac:dyDescent="0.2">
      <c r="A29" s="106" t="s">
        <v>43</v>
      </c>
      <c r="B29" s="72">
        <f>B9</f>
        <v>185675</v>
      </c>
      <c r="C29" s="33">
        <v>2.0999999999999999E-3</v>
      </c>
      <c r="D29" s="21">
        <f>B29*C29</f>
        <v>389.91749999999996</v>
      </c>
      <c r="E29" s="72">
        <f t="shared" si="4"/>
        <v>185675</v>
      </c>
      <c r="F29" s="33">
        <v>2.0999999999999999E-3</v>
      </c>
      <c r="G29" s="21">
        <f>E29*F29</f>
        <v>389.91749999999996</v>
      </c>
      <c r="H29" s="21">
        <f>G29-D29</f>
        <v>0</v>
      </c>
      <c r="I29" s="22">
        <f t="shared" si="0"/>
        <v>0</v>
      </c>
      <c r="J29" s="123">
        <f t="shared" si="1"/>
        <v>1.6642936958920516E-2</v>
      </c>
    </row>
    <row r="30" spans="1:10" x14ac:dyDescent="0.2">
      <c r="A30" s="106" t="s">
        <v>99</v>
      </c>
      <c r="B30" s="72">
        <f>B9</f>
        <v>185675</v>
      </c>
      <c r="C30" s="33">
        <v>0</v>
      </c>
      <c r="D30" s="21">
        <f>B30*C30</f>
        <v>0</v>
      </c>
      <c r="E30" s="72">
        <f t="shared" si="4"/>
        <v>185675</v>
      </c>
      <c r="F30" s="33">
        <v>0</v>
      </c>
      <c r="G30" s="21">
        <f>E30*F30</f>
        <v>0</v>
      </c>
      <c r="H30" s="21">
        <f>G30-D30</f>
        <v>0</v>
      </c>
      <c r="I30" s="22" t="str">
        <f t="shared" si="0"/>
        <v>N/A</v>
      </c>
      <c r="J30" s="123">
        <f t="shared" ref="J30" si="7">G30/$G$38</f>
        <v>0</v>
      </c>
    </row>
    <row r="31" spans="1:10" x14ac:dyDescent="0.2">
      <c r="A31" s="106" t="s">
        <v>44</v>
      </c>
      <c r="B31" s="72">
        <v>1</v>
      </c>
      <c r="C31" s="21">
        <v>0.25</v>
      </c>
      <c r="D31" s="21">
        <f>B31*C31</f>
        <v>0.25</v>
      </c>
      <c r="E31" s="72">
        <f t="shared" si="4"/>
        <v>1</v>
      </c>
      <c r="F31" s="21">
        <f>C31</f>
        <v>0.25</v>
      </c>
      <c r="G31" s="21">
        <f>E31*F31</f>
        <v>0.25</v>
      </c>
      <c r="H31" s="21">
        <f t="shared" si="3"/>
        <v>0</v>
      </c>
      <c r="I31" s="22">
        <f t="shared" si="0"/>
        <v>0</v>
      </c>
      <c r="J31" s="123">
        <f>G31/$G$38</f>
        <v>1.0670806618656843E-5</v>
      </c>
    </row>
    <row r="32" spans="1:10" x14ac:dyDescent="0.2">
      <c r="A32" s="109" t="s">
        <v>45</v>
      </c>
      <c r="B32" s="73"/>
      <c r="C32" s="34"/>
      <c r="D32" s="34">
        <f>SUM(D28:D31)</f>
        <v>1058.5974999999999</v>
      </c>
      <c r="E32" s="72"/>
      <c r="F32" s="34"/>
      <c r="G32" s="34">
        <f>SUM(G28:G31)</f>
        <v>1058.5974999999999</v>
      </c>
      <c r="H32" s="34">
        <f t="shared" si="3"/>
        <v>0</v>
      </c>
      <c r="I32" s="35">
        <f t="shared" si="0"/>
        <v>0</v>
      </c>
      <c r="J32" s="110">
        <f>G32/$G$38</f>
        <v>4.5184356837974345E-2</v>
      </c>
    </row>
    <row r="33" spans="1:10" ht="13.5" thickBot="1" x14ac:dyDescent="0.25">
      <c r="A33" s="111" t="s">
        <v>46</v>
      </c>
      <c r="B33" s="112">
        <f>B4</f>
        <v>175000</v>
      </c>
      <c r="C33" s="113">
        <v>7.0000000000000001E-3</v>
      </c>
      <c r="D33" s="114">
        <f>B33*C33</f>
        <v>1225</v>
      </c>
      <c r="E33" s="115">
        <f t="shared" ref="E33" si="8">B33</f>
        <v>175000</v>
      </c>
      <c r="F33" s="113">
        <f>C33</f>
        <v>7.0000000000000001E-3</v>
      </c>
      <c r="G33" s="114">
        <f>E33*F33</f>
        <v>1225</v>
      </c>
      <c r="H33" s="114">
        <f t="shared" si="3"/>
        <v>0</v>
      </c>
      <c r="I33" s="116">
        <f t="shared" si="0"/>
        <v>0</v>
      </c>
      <c r="J33" s="117">
        <f t="shared" ref="J33:J38" si="9">G33/$G$38</f>
        <v>5.228695243141853E-2</v>
      </c>
    </row>
    <row r="34" spans="1:10" x14ac:dyDescent="0.2">
      <c r="A34" s="36" t="s">
        <v>116</v>
      </c>
      <c r="B34" s="37"/>
      <c r="C34" s="38"/>
      <c r="D34" s="38">
        <f>SUM(D15,D23,D26,D32,D33)</f>
        <v>20731.483499999998</v>
      </c>
      <c r="E34" s="37"/>
      <c r="F34" s="38"/>
      <c r="G34" s="38">
        <f>SUM(G15,G23,G26,G32,G33)</f>
        <v>20733.103499999997</v>
      </c>
      <c r="H34" s="38">
        <f t="shared" si="3"/>
        <v>1.6199999999989814</v>
      </c>
      <c r="I34" s="39">
        <f t="shared" si="0"/>
        <v>7.8142020082594738E-5</v>
      </c>
      <c r="J34" s="40">
        <f t="shared" si="9"/>
        <v>0.88495575221238931</v>
      </c>
    </row>
    <row r="35" spans="1:10" x14ac:dyDescent="0.2">
      <c r="A35" s="45" t="s">
        <v>108</v>
      </c>
      <c r="B35" s="42"/>
      <c r="C35" s="25">
        <v>0.13</v>
      </c>
      <c r="D35" s="25">
        <f>D34*C35</f>
        <v>2695.0928549999999</v>
      </c>
      <c r="E35" s="25"/>
      <c r="F35" s="25">
        <f>C35</f>
        <v>0.13</v>
      </c>
      <c r="G35" s="25">
        <f>G34*F35</f>
        <v>2695.3034549999998</v>
      </c>
      <c r="H35" s="25">
        <f t="shared" si="3"/>
        <v>0.21059999999988577</v>
      </c>
      <c r="I35" s="43">
        <f t="shared" si="0"/>
        <v>7.8142020082601487E-5</v>
      </c>
      <c r="J35" s="44">
        <f t="shared" si="9"/>
        <v>0.11504424778761062</v>
      </c>
    </row>
    <row r="36" spans="1:10" x14ac:dyDescent="0.2">
      <c r="A36" s="45" t="s">
        <v>109</v>
      </c>
      <c r="B36" s="23"/>
      <c r="C36" s="24"/>
      <c r="D36" s="24">
        <f>SUM(D34:D35)</f>
        <v>23426.576354999997</v>
      </c>
      <c r="E36" s="24"/>
      <c r="F36" s="24"/>
      <c r="G36" s="24">
        <f>SUM(G34:G35)</f>
        <v>23428.406954999999</v>
      </c>
      <c r="H36" s="24">
        <f t="shared" si="3"/>
        <v>1.8306000000011409</v>
      </c>
      <c r="I36" s="26">
        <f t="shared" si="0"/>
        <v>7.8142020082692574E-5</v>
      </c>
      <c r="J36" s="46">
        <f t="shared" si="9"/>
        <v>1</v>
      </c>
    </row>
    <row r="37" spans="1:10" x14ac:dyDescent="0.2">
      <c r="A37" s="45" t="s">
        <v>110</v>
      </c>
      <c r="B37" s="42"/>
      <c r="C37" s="25">
        <v>0</v>
      </c>
      <c r="D37" s="25">
        <f>D34*C37</f>
        <v>0</v>
      </c>
      <c r="E37" s="25"/>
      <c r="F37" s="25">
        <f>C37</f>
        <v>0</v>
      </c>
      <c r="G37" s="25">
        <f>G34*F37</f>
        <v>0</v>
      </c>
      <c r="H37" s="25">
        <f t="shared" si="3"/>
        <v>0</v>
      </c>
      <c r="I37" s="43" t="str">
        <f t="shared" si="0"/>
        <v>N/A</v>
      </c>
      <c r="J37" s="44">
        <f t="shared" si="9"/>
        <v>0</v>
      </c>
    </row>
    <row r="38" spans="1:10" ht="13.5" thickBot="1" x14ac:dyDescent="0.25">
      <c r="A38" s="45" t="s">
        <v>111</v>
      </c>
      <c r="B38" s="48"/>
      <c r="C38" s="49"/>
      <c r="D38" s="49">
        <f>SUM(D36:D37)</f>
        <v>23426.576354999997</v>
      </c>
      <c r="E38" s="49"/>
      <c r="F38" s="49"/>
      <c r="G38" s="49">
        <f>SUM(G36:G37)</f>
        <v>23428.406954999999</v>
      </c>
      <c r="H38" s="49">
        <f t="shared" si="3"/>
        <v>1.8306000000011409</v>
      </c>
      <c r="I38" s="50">
        <f t="shared" si="0"/>
        <v>7.8142020082692574E-5</v>
      </c>
      <c r="J38" s="51">
        <f t="shared" si="9"/>
        <v>1</v>
      </c>
    </row>
    <row r="39" spans="1:10" x14ac:dyDescent="0.2">
      <c r="A39" s="184"/>
      <c r="F39" s="68"/>
    </row>
    <row r="40" spans="1:10" x14ac:dyDescent="0.2">
      <c r="A40" s="184"/>
      <c r="F40" s="68"/>
    </row>
    <row r="41" spans="1:10" x14ac:dyDescent="0.2">
      <c r="A41" s="184"/>
    </row>
    <row r="42" spans="1:10" x14ac:dyDescent="0.2">
      <c r="A42" s="184"/>
    </row>
    <row r="43" spans="1:10" x14ac:dyDescent="0.2">
      <c r="A43" s="184"/>
    </row>
    <row r="44" spans="1:10" x14ac:dyDescent="0.2">
      <c r="A44" s="184"/>
    </row>
    <row r="45" spans="1:10" x14ac:dyDescent="0.2">
      <c r="A45" s="184"/>
    </row>
    <row r="46" spans="1:10" x14ac:dyDescent="0.2">
      <c r="A46" s="184"/>
    </row>
    <row r="47" spans="1:10" x14ac:dyDescent="0.2">
      <c r="A47" s="184"/>
    </row>
    <row r="48" spans="1:10" x14ac:dyDescent="0.2">
      <c r="A48" s="184"/>
    </row>
    <row r="49" spans="1:1" x14ac:dyDescent="0.2">
      <c r="A49" s="184"/>
    </row>
    <row r="50" spans="1:1" x14ac:dyDescent="0.2">
      <c r="A50" s="184"/>
    </row>
    <row r="51" spans="1:1" x14ac:dyDescent="0.2">
      <c r="A51" s="184"/>
    </row>
    <row r="52" spans="1:1" x14ac:dyDescent="0.2">
      <c r="A52" s="184"/>
    </row>
    <row r="53" spans="1:1" x14ac:dyDescent="0.2">
      <c r="A53" s="184"/>
    </row>
    <row r="54" spans="1:1" x14ac:dyDescent="0.2">
      <c r="A54" s="184"/>
    </row>
  </sheetData>
  <mergeCells count="1">
    <mergeCell ref="A1:J1"/>
  </mergeCells>
  <dataValidations disablePrompts="1"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scale="71"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Impacts'!$A$12:$A$15</xm:f>
          </x14:formula1>
          <xm:sqref>B3</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tabColor theme="1" tint="0.499984740745262"/>
    <pageSetUpPr fitToPage="1"/>
  </sheetPr>
  <dimension ref="A1:J54"/>
  <sheetViews>
    <sheetView tabSelected="1" topLeftCell="A10" zoomScaleNormal="100" zoomScaleSheetLayoutView="100" workbookViewId="0">
      <selection activeCell="N13" sqref="N13"/>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205" t="s">
        <v>124</v>
      </c>
      <c r="B1" s="206"/>
      <c r="C1" s="206"/>
      <c r="D1" s="206"/>
      <c r="E1" s="206"/>
      <c r="F1" s="206"/>
      <c r="G1" s="206"/>
      <c r="H1" s="206"/>
      <c r="I1" s="206"/>
      <c r="J1" s="207"/>
    </row>
    <row r="3" spans="1:10" x14ac:dyDescent="0.2">
      <c r="A3" s="12" t="s">
        <v>13</v>
      </c>
      <c r="B3" s="12" t="s">
        <v>47</v>
      </c>
    </row>
    <row r="4" spans="1:10" x14ac:dyDescent="0.2">
      <c r="A4" s="14" t="s">
        <v>62</v>
      </c>
      <c r="B4" s="78">
        <v>300</v>
      </c>
    </row>
    <row r="5" spans="1:10" x14ac:dyDescent="0.2">
      <c r="A5" s="14" t="s">
        <v>16</v>
      </c>
      <c r="B5" s="78">
        <v>10</v>
      </c>
    </row>
    <row r="6" spans="1:10" x14ac:dyDescent="0.2">
      <c r="A6" s="14" t="s">
        <v>20</v>
      </c>
      <c r="B6" s="79">
        <f>VLOOKUP($B$3,'Data for Bill Impacts'!$A$3:$Y$15,2,0)</f>
        <v>1.0609999999999999</v>
      </c>
    </row>
    <row r="7" spans="1:10" x14ac:dyDescent="0.2">
      <c r="A7" s="80" t="s">
        <v>48</v>
      </c>
      <c r="B7" s="81">
        <f>B4/(B5*730)</f>
        <v>4.1095890410958902E-2</v>
      </c>
    </row>
    <row r="8" spans="1:10" x14ac:dyDescent="0.2">
      <c r="A8" s="14" t="s">
        <v>15</v>
      </c>
      <c r="B8" s="78">
        <f>VLOOKUP($B$3,'Data for Bill Impacts'!$A$3:$Y$15,4,0)</f>
        <v>0</v>
      </c>
    </row>
    <row r="9" spans="1:10" x14ac:dyDescent="0.2">
      <c r="A9" s="14" t="s">
        <v>82</v>
      </c>
      <c r="B9" s="78">
        <f>B4*B6</f>
        <v>318.29999999999995</v>
      </c>
    </row>
    <row r="10" spans="1:10" x14ac:dyDescent="0.2">
      <c r="A10" s="14" t="s">
        <v>21</v>
      </c>
      <c r="B10" s="15" t="s">
        <v>19</v>
      </c>
    </row>
    <row r="11" spans="1:10" ht="13.5" thickBot="1" x14ac:dyDescent="0.25"/>
    <row r="12" spans="1:10" s="19" customFormat="1" ht="26.25" thickBot="1" x14ac:dyDescent="0.25">
      <c r="A12" s="16"/>
      <c r="B12" s="17" t="s">
        <v>22</v>
      </c>
      <c r="C12" s="17" t="s">
        <v>23</v>
      </c>
      <c r="D12" s="17" t="s">
        <v>24</v>
      </c>
      <c r="E12" s="17" t="s">
        <v>22</v>
      </c>
      <c r="F12" s="17" t="s">
        <v>25</v>
      </c>
      <c r="G12" s="17" t="s">
        <v>26</v>
      </c>
      <c r="H12" s="17" t="s">
        <v>27</v>
      </c>
      <c r="I12" s="17" t="s">
        <v>28</v>
      </c>
      <c r="J12" s="121" t="s">
        <v>49</v>
      </c>
    </row>
    <row r="13" spans="1:10" x14ac:dyDescent="0.2">
      <c r="A13" s="100" t="s">
        <v>31</v>
      </c>
      <c r="B13" s="101">
        <f>B9</f>
        <v>318.29999999999995</v>
      </c>
      <c r="C13" s="102">
        <v>9.0999999999999998E-2</v>
      </c>
      <c r="D13" s="103">
        <f>B13*C13</f>
        <v>28.965299999999996</v>
      </c>
      <c r="E13" s="101">
        <f>B13</f>
        <v>318.29999999999995</v>
      </c>
      <c r="F13" s="102">
        <f>C13</f>
        <v>9.0999999999999998E-2</v>
      </c>
      <c r="G13" s="103">
        <f>E13*F13</f>
        <v>28.965299999999996</v>
      </c>
      <c r="H13" s="103">
        <f>G13-D13</f>
        <v>0</v>
      </c>
      <c r="I13" s="104">
        <f t="shared" ref="I13:I38" si="0">IF(ISERROR(H13/ABS(D13)),"N/A",(H13/ABS(D13)))</f>
        <v>0</v>
      </c>
      <c r="J13" s="122">
        <f t="shared" ref="J13:J29" si="1">G13/$G$38</f>
        <v>7.0622752193456609E-2</v>
      </c>
    </row>
    <row r="14" spans="1:10" x14ac:dyDescent="0.2">
      <c r="A14" s="106" t="s">
        <v>32</v>
      </c>
      <c r="B14" s="72">
        <v>0</v>
      </c>
      <c r="C14" s="20">
        <v>0.106</v>
      </c>
      <c r="D14" s="21">
        <f>B14*C14</f>
        <v>0</v>
      </c>
      <c r="E14" s="72">
        <f t="shared" ref="E14" si="2">B14</f>
        <v>0</v>
      </c>
      <c r="F14" s="20">
        <f>C14</f>
        <v>0.106</v>
      </c>
      <c r="G14" s="21">
        <f>E14*F14</f>
        <v>0</v>
      </c>
      <c r="H14" s="21">
        <f t="shared" ref="H14:H38" si="3">G14-D14</f>
        <v>0</v>
      </c>
      <c r="I14" s="22" t="str">
        <f t="shared" si="0"/>
        <v>N/A</v>
      </c>
      <c r="J14" s="123">
        <f t="shared" si="1"/>
        <v>0</v>
      </c>
    </row>
    <row r="15" spans="1:10" s="1" customFormat="1" x14ac:dyDescent="0.2">
      <c r="A15" s="45" t="s">
        <v>33</v>
      </c>
      <c r="B15" s="23"/>
      <c r="C15" s="24"/>
      <c r="D15" s="24">
        <f>SUM(D13:D14)</f>
        <v>28.965299999999996</v>
      </c>
      <c r="E15" s="75"/>
      <c r="F15" s="24"/>
      <c r="G15" s="24">
        <f>SUM(G13:G14)</f>
        <v>28.965299999999996</v>
      </c>
      <c r="H15" s="24">
        <f t="shared" si="3"/>
        <v>0</v>
      </c>
      <c r="I15" s="26">
        <f t="shared" si="0"/>
        <v>0</v>
      </c>
      <c r="J15" s="46">
        <f t="shared" si="1"/>
        <v>7.0622752193456609E-2</v>
      </c>
    </row>
    <row r="16" spans="1:10" s="1" customFormat="1" x14ac:dyDescent="0.2">
      <c r="A16" s="106" t="s">
        <v>38</v>
      </c>
      <c r="B16" s="72">
        <v>1</v>
      </c>
      <c r="C16" s="77">
        <f>VLOOKUP($B$3,'Data for Bill Impacts'!$A$3:$Y$15,7,0)</f>
        <v>196.16</v>
      </c>
      <c r="D16" s="21">
        <f>B16*C16</f>
        <v>196.16</v>
      </c>
      <c r="E16" s="72">
        <f t="shared" ref="E16:E33" si="4">B16</f>
        <v>1</v>
      </c>
      <c r="F16" s="77">
        <f>VLOOKUP($B$3,'Data for Bill Impacts'!$A$3:$Y$15,17,0)</f>
        <v>196.16</v>
      </c>
      <c r="G16" s="21">
        <f>E16*F16</f>
        <v>196.16</v>
      </c>
      <c r="H16" s="21">
        <f t="shared" si="3"/>
        <v>0</v>
      </c>
      <c r="I16" s="22">
        <f t="shared" si="0"/>
        <v>0</v>
      </c>
      <c r="J16" s="123">
        <f t="shared" si="1"/>
        <v>0.47827431686426347</v>
      </c>
    </row>
    <row r="17" spans="1:10" hidden="1" x14ac:dyDescent="0.2">
      <c r="A17" s="106" t="s">
        <v>83</v>
      </c>
      <c r="B17" s="72">
        <v>1</v>
      </c>
      <c r="C17" s="77">
        <f>VLOOKUP($B$3,'Data for Bill Impacts'!$A$3:$Y$15,8,0)</f>
        <v>0</v>
      </c>
      <c r="D17" s="21">
        <f>B17*C17</f>
        <v>0</v>
      </c>
      <c r="E17" s="72">
        <f t="shared" si="4"/>
        <v>1</v>
      </c>
      <c r="F17" s="77">
        <v>0</v>
      </c>
      <c r="G17" s="21">
        <f t="shared" ref="G17:G19" si="5">E17*F17</f>
        <v>0</v>
      </c>
      <c r="H17" s="21">
        <f t="shared" si="3"/>
        <v>0</v>
      </c>
      <c r="I17" s="22" t="str">
        <f t="shared" si="0"/>
        <v>N/A</v>
      </c>
      <c r="J17" s="123">
        <f t="shared" si="1"/>
        <v>0</v>
      </c>
    </row>
    <row r="18" spans="1:10" hidden="1" x14ac:dyDescent="0.2">
      <c r="A18" s="106" t="s">
        <v>84</v>
      </c>
      <c r="B18" s="72">
        <v>1</v>
      </c>
      <c r="C18" s="77">
        <f>VLOOKUP($B$3,'Data for Bill Impacts'!$A$3:$Y$15,11,0)</f>
        <v>0</v>
      </c>
      <c r="D18" s="21">
        <f t="shared" ref="D18:D19" si="6">B18*C18</f>
        <v>0</v>
      </c>
      <c r="E18" s="72">
        <f t="shared" si="4"/>
        <v>1</v>
      </c>
      <c r="F18" s="77">
        <f>VLOOKUP($B$3,'Data for Bill Impacts'!$A$3:$Y$15,12,0)</f>
        <v>0</v>
      </c>
      <c r="G18" s="21">
        <f t="shared" si="5"/>
        <v>0</v>
      </c>
      <c r="H18" s="21">
        <f t="shared" si="3"/>
        <v>0</v>
      </c>
      <c r="I18" s="22" t="str">
        <f t="shared" si="0"/>
        <v>N/A</v>
      </c>
      <c r="J18" s="123">
        <f t="shared" si="1"/>
        <v>0</v>
      </c>
    </row>
    <row r="19" spans="1:10" x14ac:dyDescent="0.2">
      <c r="A19" s="106" t="s">
        <v>85</v>
      </c>
      <c r="B19" s="72">
        <v>1</v>
      </c>
      <c r="C19" s="120">
        <f>VLOOKUP($B$3,'Data for Bill Impacts'!$A$3:$Y$15,13,0)</f>
        <v>1.0999999999999999E-2</v>
      </c>
      <c r="D19" s="21">
        <f t="shared" si="6"/>
        <v>1.0999999999999999E-2</v>
      </c>
      <c r="E19" s="72">
        <f t="shared" si="4"/>
        <v>1</v>
      </c>
      <c r="F19" s="120">
        <f>VLOOKUP($B$3,'Data for Bill Impacts'!$A$3:$Y$15,22,0)</f>
        <v>1.0999999999999999E-2</v>
      </c>
      <c r="G19" s="21">
        <f t="shared" si="5"/>
        <v>1.0999999999999999E-2</v>
      </c>
      <c r="H19" s="21">
        <f t="shared" si="3"/>
        <v>0</v>
      </c>
      <c r="I19" s="22">
        <f t="shared" si="0"/>
        <v>0</v>
      </c>
      <c r="J19" s="123">
        <f t="shared" si="1"/>
        <v>2.6820032042755396E-5</v>
      </c>
    </row>
    <row r="20" spans="1:10" x14ac:dyDescent="0.2">
      <c r="A20" s="106" t="s">
        <v>39</v>
      </c>
      <c r="B20" s="72">
        <f>IF($B$10="kWh",$B$4,$B$5)</f>
        <v>10</v>
      </c>
      <c r="C20" s="77">
        <f>VLOOKUP($B$3,'Data for Bill Impacts'!$A$3:$Y$15,10,0)</f>
        <v>11.4922</v>
      </c>
      <c r="D20" s="21">
        <f>B20*C20</f>
        <v>114.922</v>
      </c>
      <c r="E20" s="72">
        <f t="shared" si="4"/>
        <v>10</v>
      </c>
      <c r="F20" s="77">
        <f>VLOOKUP($B$3,'Data for Bill Impacts'!$A$3:$Y$15,19,0)</f>
        <v>12.169</v>
      </c>
      <c r="G20" s="21">
        <f>E20*F20</f>
        <v>121.69</v>
      </c>
      <c r="H20" s="21">
        <f t="shared" si="3"/>
        <v>6.7680000000000007</v>
      </c>
      <c r="I20" s="22">
        <f t="shared" si="0"/>
        <v>5.8892118132298436E-2</v>
      </c>
      <c r="J20" s="123">
        <f t="shared" si="1"/>
        <v>0.29670269993480947</v>
      </c>
    </row>
    <row r="21" spans="1:10" s="1" customFormat="1" x14ac:dyDescent="0.2">
      <c r="A21" s="106" t="s">
        <v>129</v>
      </c>
      <c r="B21" s="72">
        <f>IF($B$10="kWh",$B$4,$B$5)</f>
        <v>10</v>
      </c>
      <c r="C21" s="77">
        <f>VLOOKUP($B$3,'Data for Bill Impacts'!$A$3:$Y$15,14,0)</f>
        <v>2.82E-3</v>
      </c>
      <c r="D21" s="21">
        <f>B21*C21</f>
        <v>2.8199999999999999E-2</v>
      </c>
      <c r="E21" s="72">
        <f>B21</f>
        <v>10</v>
      </c>
      <c r="F21" s="77">
        <f>VLOOKUP($B$3,'Data for Bill Impacts'!$A$3:$Y$15,23,0)</f>
        <v>2.82E-3</v>
      </c>
      <c r="G21" s="21">
        <f>E21*F21</f>
        <v>2.8199999999999999E-2</v>
      </c>
      <c r="H21" s="21">
        <f>G21-D21</f>
        <v>0</v>
      </c>
      <c r="I21" s="22">
        <f t="shared" si="0"/>
        <v>0</v>
      </c>
      <c r="J21" s="123">
        <f t="shared" si="1"/>
        <v>6.87568094187002E-5</v>
      </c>
    </row>
    <row r="22" spans="1:10" s="1" customFormat="1" x14ac:dyDescent="0.2">
      <c r="A22" s="106" t="s">
        <v>117</v>
      </c>
      <c r="B22" s="72">
        <f>B9</f>
        <v>318.29999999999995</v>
      </c>
      <c r="C22" s="124">
        <f>VLOOKUP($B$3,'Data for Bill Impacts'!$A$3:$Y$15,20,0)</f>
        <v>0</v>
      </c>
      <c r="D22" s="21">
        <f>B22*C22</f>
        <v>0</v>
      </c>
      <c r="E22" s="72">
        <f t="shared" si="4"/>
        <v>318.29999999999995</v>
      </c>
      <c r="F22" s="124">
        <f>VLOOKUP($B$3,'Data for Bill Impacts'!$A$3:$Y$15,21,0)</f>
        <v>0</v>
      </c>
      <c r="G22" s="21">
        <f>E22*F22</f>
        <v>0</v>
      </c>
      <c r="H22" s="21">
        <f t="shared" si="3"/>
        <v>0</v>
      </c>
      <c r="I22" s="22" t="str">
        <f t="shared" si="0"/>
        <v>N/A</v>
      </c>
      <c r="J22" s="123">
        <f t="shared" si="1"/>
        <v>0</v>
      </c>
    </row>
    <row r="23" spans="1:10" x14ac:dyDescent="0.2">
      <c r="A23" s="109" t="s">
        <v>95</v>
      </c>
      <c r="B23" s="73"/>
      <c r="C23" s="34"/>
      <c r="D23" s="34">
        <f>SUM(D16:D22)</f>
        <v>311.12119999999999</v>
      </c>
      <c r="E23" s="72"/>
      <c r="F23" s="34"/>
      <c r="G23" s="34">
        <f>SUM(G16:G22)</f>
        <v>317.88920000000002</v>
      </c>
      <c r="H23" s="34">
        <f t="shared" si="3"/>
        <v>6.7680000000000291</v>
      </c>
      <c r="I23" s="35">
        <f t="shared" si="0"/>
        <v>2.1753580276753975E-2</v>
      </c>
      <c r="J23" s="110">
        <f t="shared" si="1"/>
        <v>0.77507259364053449</v>
      </c>
    </row>
    <row r="24" spans="1:10" x14ac:dyDescent="0.2">
      <c r="A24" s="106" t="s">
        <v>40</v>
      </c>
      <c r="B24" s="72">
        <f>B5</f>
        <v>10</v>
      </c>
      <c r="C24" s="124">
        <f>VLOOKUP($B$3,'Data for Bill Impacts'!$A$3:$Y$15,15,0)</f>
        <v>0.63949999999999996</v>
      </c>
      <c r="D24" s="21">
        <f>B24*C24</f>
        <v>6.3949999999999996</v>
      </c>
      <c r="E24" s="72">
        <f t="shared" si="4"/>
        <v>10</v>
      </c>
      <c r="F24" s="77">
        <f>VLOOKUP($B$3,'Data for Bill Impacts'!$A$3:$Y$15,24,0)</f>
        <v>0.63949999999999996</v>
      </c>
      <c r="G24" s="21">
        <f>E24*F24</f>
        <v>6.3949999999999996</v>
      </c>
      <c r="H24" s="21">
        <f t="shared" si="3"/>
        <v>0</v>
      </c>
      <c r="I24" s="22">
        <f t="shared" si="0"/>
        <v>0</v>
      </c>
      <c r="J24" s="123">
        <f t="shared" si="1"/>
        <v>1.5592191355765523E-2</v>
      </c>
    </row>
    <row r="25" spans="1:10" s="1" customFormat="1" x14ac:dyDescent="0.2">
      <c r="A25" s="106" t="s">
        <v>41</v>
      </c>
      <c r="B25" s="72">
        <f>B5</f>
        <v>10</v>
      </c>
      <c r="C25" s="124">
        <f>VLOOKUP($B$3,'Data for Bill Impacts'!$A$3:$Y$15,16,0)</f>
        <v>0.55430000000000001</v>
      </c>
      <c r="D25" s="21">
        <f>B25*C25</f>
        <v>5.5430000000000001</v>
      </c>
      <c r="E25" s="72">
        <f t="shared" si="4"/>
        <v>10</v>
      </c>
      <c r="F25" s="77">
        <f>VLOOKUP($B$3,'Data for Bill Impacts'!$A$3:$Y$15,25,0)</f>
        <v>0.55430000000000001</v>
      </c>
      <c r="G25" s="21">
        <f>E25*F25</f>
        <v>5.5430000000000001</v>
      </c>
      <c r="H25" s="21">
        <f t="shared" si="3"/>
        <v>0</v>
      </c>
      <c r="I25" s="22">
        <f t="shared" si="0"/>
        <v>0</v>
      </c>
      <c r="J25" s="123">
        <f t="shared" si="1"/>
        <v>1.3514857964817561E-2</v>
      </c>
    </row>
    <row r="26" spans="1:10" x14ac:dyDescent="0.2">
      <c r="A26" s="109" t="s">
        <v>76</v>
      </c>
      <c r="B26" s="73"/>
      <c r="C26" s="34"/>
      <c r="D26" s="34">
        <f>SUM(D24:D25)</f>
        <v>11.937999999999999</v>
      </c>
      <c r="E26" s="72"/>
      <c r="F26" s="34"/>
      <c r="G26" s="34">
        <f>SUM(G24:G25)</f>
        <v>11.937999999999999</v>
      </c>
      <c r="H26" s="34">
        <f t="shared" si="3"/>
        <v>0</v>
      </c>
      <c r="I26" s="35">
        <f t="shared" si="0"/>
        <v>0</v>
      </c>
      <c r="J26" s="110">
        <f t="shared" si="1"/>
        <v>2.910704932058308E-2</v>
      </c>
    </row>
    <row r="27" spans="1:10" s="1" customFormat="1" x14ac:dyDescent="0.2">
      <c r="A27" s="109" t="s">
        <v>80</v>
      </c>
      <c r="B27" s="73"/>
      <c r="C27" s="34"/>
      <c r="D27" s="34">
        <f>D23+D26</f>
        <v>323.05919999999998</v>
      </c>
      <c r="E27" s="72"/>
      <c r="F27" s="34"/>
      <c r="G27" s="34">
        <f>G23+G26</f>
        <v>329.8272</v>
      </c>
      <c r="H27" s="34">
        <f t="shared" si="3"/>
        <v>6.7680000000000291</v>
      </c>
      <c r="I27" s="35">
        <f t="shared" si="0"/>
        <v>2.0949720670391154E-2</v>
      </c>
      <c r="J27" s="110">
        <f t="shared" si="1"/>
        <v>0.80417964296111755</v>
      </c>
    </row>
    <row r="28" spans="1:10" x14ac:dyDescent="0.2">
      <c r="A28" s="106" t="s">
        <v>42</v>
      </c>
      <c r="B28" s="72">
        <f>B9</f>
        <v>318.29999999999995</v>
      </c>
      <c r="C28" s="33">
        <v>3.5999999999999999E-3</v>
      </c>
      <c r="D28" s="21">
        <f>B28*C28</f>
        <v>1.1458799999999998</v>
      </c>
      <c r="E28" s="72">
        <f t="shared" si="4"/>
        <v>318.29999999999995</v>
      </c>
      <c r="F28" s="33">
        <v>3.5999999999999999E-3</v>
      </c>
      <c r="G28" s="21">
        <f>E28*F28</f>
        <v>1.1458799999999998</v>
      </c>
      <c r="H28" s="21">
        <f t="shared" si="3"/>
        <v>0</v>
      </c>
      <c r="I28" s="22">
        <f t="shared" si="0"/>
        <v>0</v>
      </c>
      <c r="J28" s="123">
        <f t="shared" si="1"/>
        <v>2.7938671197411408E-3</v>
      </c>
    </row>
    <row r="29" spans="1:10" x14ac:dyDescent="0.2">
      <c r="A29" s="106" t="s">
        <v>43</v>
      </c>
      <c r="B29" s="72">
        <f>B9</f>
        <v>318.29999999999995</v>
      </c>
      <c r="C29" s="33">
        <v>2.0999999999999999E-3</v>
      </c>
      <c r="D29" s="21">
        <f>B29*C29</f>
        <v>0.66842999999999986</v>
      </c>
      <c r="E29" s="72">
        <f t="shared" si="4"/>
        <v>318.29999999999995</v>
      </c>
      <c r="F29" s="33">
        <v>2.0999999999999999E-3</v>
      </c>
      <c r="G29" s="21">
        <f>E29*F29</f>
        <v>0.66842999999999986</v>
      </c>
      <c r="H29" s="21">
        <f>G29-D29</f>
        <v>0</v>
      </c>
      <c r="I29" s="22">
        <f t="shared" si="0"/>
        <v>0</v>
      </c>
      <c r="J29" s="123">
        <f t="shared" si="1"/>
        <v>1.6297558198489987E-3</v>
      </c>
    </row>
    <row r="30" spans="1:10" x14ac:dyDescent="0.2">
      <c r="A30" s="106" t="s">
        <v>99</v>
      </c>
      <c r="B30" s="72">
        <f>B9</f>
        <v>318.29999999999995</v>
      </c>
      <c r="C30" s="33">
        <v>0</v>
      </c>
      <c r="D30" s="21">
        <f>B30*C30</f>
        <v>0</v>
      </c>
      <c r="E30" s="72">
        <f t="shared" si="4"/>
        <v>318.29999999999995</v>
      </c>
      <c r="F30" s="33">
        <v>0</v>
      </c>
      <c r="G30" s="21">
        <f>E30*F30</f>
        <v>0</v>
      </c>
      <c r="H30" s="21">
        <f>G30-D30</f>
        <v>0</v>
      </c>
      <c r="I30" s="22" t="str">
        <f t="shared" si="0"/>
        <v>N/A</v>
      </c>
      <c r="J30" s="123">
        <f t="shared" ref="J30" si="7">G30/$G$38</f>
        <v>0</v>
      </c>
    </row>
    <row r="31" spans="1:10" x14ac:dyDescent="0.2">
      <c r="A31" s="106" t="s">
        <v>44</v>
      </c>
      <c r="B31" s="72">
        <v>1</v>
      </c>
      <c r="C31" s="21">
        <v>0.25</v>
      </c>
      <c r="D31" s="21">
        <f>B31*C31</f>
        <v>0.25</v>
      </c>
      <c r="E31" s="72">
        <f t="shared" si="4"/>
        <v>1</v>
      </c>
      <c r="F31" s="21">
        <f>C31</f>
        <v>0.25</v>
      </c>
      <c r="G31" s="21">
        <f>E31*F31</f>
        <v>0.25</v>
      </c>
      <c r="H31" s="21">
        <f t="shared" si="3"/>
        <v>0</v>
      </c>
      <c r="I31" s="22">
        <f t="shared" si="0"/>
        <v>0</v>
      </c>
      <c r="J31" s="123">
        <f t="shared" ref="J31:J38" si="8">G31/$G$38</f>
        <v>6.095461827898954E-4</v>
      </c>
    </row>
    <row r="32" spans="1:10" x14ac:dyDescent="0.2">
      <c r="A32" s="109" t="s">
        <v>45</v>
      </c>
      <c r="B32" s="73"/>
      <c r="C32" s="34"/>
      <c r="D32" s="34">
        <f>SUM(D28:D31)</f>
        <v>2.0643099999999999</v>
      </c>
      <c r="E32" s="72"/>
      <c r="F32" s="34"/>
      <c r="G32" s="34">
        <f>SUM(G28:G31)</f>
        <v>2.0643099999999999</v>
      </c>
      <c r="H32" s="34">
        <f t="shared" si="3"/>
        <v>0</v>
      </c>
      <c r="I32" s="35">
        <f t="shared" si="0"/>
        <v>0</v>
      </c>
      <c r="J32" s="110">
        <f t="shared" si="8"/>
        <v>5.0331691223800355E-3</v>
      </c>
    </row>
    <row r="33" spans="1:10" ht="13.5" thickBot="1" x14ac:dyDescent="0.25">
      <c r="A33" s="111" t="s">
        <v>46</v>
      </c>
      <c r="B33" s="112">
        <f>B4</f>
        <v>300</v>
      </c>
      <c r="C33" s="113">
        <v>7.0000000000000001E-3</v>
      </c>
      <c r="D33" s="114">
        <f>B33*C33</f>
        <v>2.1</v>
      </c>
      <c r="E33" s="115">
        <f t="shared" si="4"/>
        <v>300</v>
      </c>
      <c r="F33" s="113">
        <f>C33</f>
        <v>7.0000000000000001E-3</v>
      </c>
      <c r="G33" s="114">
        <f>E33*F33</f>
        <v>2.1</v>
      </c>
      <c r="H33" s="114">
        <f t="shared" si="3"/>
        <v>0</v>
      </c>
      <c r="I33" s="116">
        <f t="shared" si="0"/>
        <v>0</v>
      </c>
      <c r="J33" s="117">
        <f t="shared" si="8"/>
        <v>5.1201879354351209E-3</v>
      </c>
    </row>
    <row r="34" spans="1:10" x14ac:dyDescent="0.2">
      <c r="A34" s="36" t="s">
        <v>116</v>
      </c>
      <c r="B34" s="37"/>
      <c r="C34" s="38"/>
      <c r="D34" s="38">
        <f>SUM(D15,D23,D26,D32,D33)</f>
        <v>356.18880999999999</v>
      </c>
      <c r="E34" s="37"/>
      <c r="F34" s="38"/>
      <c r="G34" s="38">
        <f>SUM(G15,G23,G26,G32,G33)</f>
        <v>362.95681000000002</v>
      </c>
      <c r="H34" s="38">
        <f t="shared" si="3"/>
        <v>6.7680000000000291</v>
      </c>
      <c r="I34" s="39">
        <f t="shared" si="0"/>
        <v>1.9001158402477691E-2</v>
      </c>
      <c r="J34" s="40">
        <f t="shared" si="8"/>
        <v>0.88495575221238931</v>
      </c>
    </row>
    <row r="35" spans="1:10" x14ac:dyDescent="0.2">
      <c r="A35" s="45" t="s">
        <v>108</v>
      </c>
      <c r="B35" s="42"/>
      <c r="C35" s="25">
        <v>0.13</v>
      </c>
      <c r="D35" s="25">
        <f>D34*C35</f>
        <v>46.304545300000001</v>
      </c>
      <c r="E35" s="25"/>
      <c r="F35" s="25">
        <f>C35</f>
        <v>0.13</v>
      </c>
      <c r="G35" s="25">
        <f>G34*F35</f>
        <v>47.184385300000002</v>
      </c>
      <c r="H35" s="25">
        <f t="shared" si="3"/>
        <v>0.87984000000000151</v>
      </c>
      <c r="I35" s="43">
        <f t="shared" si="0"/>
        <v>1.9001158402477639E-2</v>
      </c>
      <c r="J35" s="44">
        <f t="shared" si="8"/>
        <v>0.11504424778761062</v>
      </c>
    </row>
    <row r="36" spans="1:10" x14ac:dyDescent="0.2">
      <c r="A36" s="45" t="s">
        <v>109</v>
      </c>
      <c r="B36" s="23"/>
      <c r="C36" s="24"/>
      <c r="D36" s="24">
        <f>SUM(D34:D35)</f>
        <v>402.49335529999996</v>
      </c>
      <c r="E36" s="24"/>
      <c r="F36" s="24"/>
      <c r="G36" s="24">
        <f>SUM(G34:G35)</f>
        <v>410.14119530000005</v>
      </c>
      <c r="H36" s="24">
        <f t="shared" si="3"/>
        <v>7.6478400000000875</v>
      </c>
      <c r="I36" s="26">
        <f t="shared" si="0"/>
        <v>1.9001158402477826E-2</v>
      </c>
      <c r="J36" s="46">
        <f t="shared" si="8"/>
        <v>1</v>
      </c>
    </row>
    <row r="37" spans="1:10" x14ac:dyDescent="0.2">
      <c r="A37" s="45" t="s">
        <v>110</v>
      </c>
      <c r="B37" s="42"/>
      <c r="C37" s="25">
        <v>0</v>
      </c>
      <c r="D37" s="25">
        <f>D34*C37</f>
        <v>0</v>
      </c>
      <c r="E37" s="25"/>
      <c r="F37" s="25">
        <v>0</v>
      </c>
      <c r="G37" s="25">
        <f>G34*F37</f>
        <v>0</v>
      </c>
      <c r="H37" s="25">
        <f t="shared" si="3"/>
        <v>0</v>
      </c>
      <c r="I37" s="43" t="str">
        <f t="shared" si="0"/>
        <v>N/A</v>
      </c>
      <c r="J37" s="44">
        <f t="shared" si="8"/>
        <v>0</v>
      </c>
    </row>
    <row r="38" spans="1:10" ht="13.5" thickBot="1" x14ac:dyDescent="0.25">
      <c r="A38" s="45" t="s">
        <v>111</v>
      </c>
      <c r="B38" s="48"/>
      <c r="C38" s="49"/>
      <c r="D38" s="49">
        <f>SUM(D36:D37)</f>
        <v>402.49335529999996</v>
      </c>
      <c r="E38" s="49"/>
      <c r="F38" s="49"/>
      <c r="G38" s="49">
        <f>SUM(G36:G37)</f>
        <v>410.14119530000005</v>
      </c>
      <c r="H38" s="49">
        <f t="shared" si="3"/>
        <v>7.6478400000000875</v>
      </c>
      <c r="I38" s="50">
        <f t="shared" si="0"/>
        <v>1.9001158402477826E-2</v>
      </c>
      <c r="J38" s="51">
        <f t="shared" si="8"/>
        <v>1</v>
      </c>
    </row>
    <row r="39" spans="1:10" x14ac:dyDescent="0.2">
      <c r="A39" s="184"/>
      <c r="F39" s="68"/>
    </row>
    <row r="40" spans="1:10" x14ac:dyDescent="0.2">
      <c r="A40" s="184"/>
      <c r="F40" s="68"/>
    </row>
    <row r="41" spans="1:10" x14ac:dyDescent="0.2">
      <c r="A41" s="184"/>
    </row>
    <row r="42" spans="1:10" x14ac:dyDescent="0.2">
      <c r="A42" s="184"/>
    </row>
    <row r="43" spans="1:10" x14ac:dyDescent="0.2">
      <c r="A43" s="184"/>
    </row>
    <row r="44" spans="1:10" x14ac:dyDescent="0.2">
      <c r="A44" s="184"/>
    </row>
    <row r="45" spans="1:10" x14ac:dyDescent="0.2">
      <c r="A45" s="184"/>
    </row>
    <row r="46" spans="1:10" x14ac:dyDescent="0.2">
      <c r="A46" s="184"/>
    </row>
    <row r="47" spans="1:10" x14ac:dyDescent="0.2">
      <c r="A47" s="184"/>
    </row>
    <row r="48" spans="1:10" x14ac:dyDescent="0.2">
      <c r="A48" s="184"/>
    </row>
    <row r="49" spans="1:1" x14ac:dyDescent="0.2">
      <c r="A49" s="184"/>
    </row>
    <row r="50" spans="1:1" x14ac:dyDescent="0.2">
      <c r="A50" s="184"/>
    </row>
    <row r="51" spans="1:1" x14ac:dyDescent="0.2">
      <c r="A51" s="184"/>
    </row>
    <row r="52" spans="1:1" x14ac:dyDescent="0.2">
      <c r="A52" s="184"/>
    </row>
    <row r="53" spans="1:1" x14ac:dyDescent="0.2">
      <c r="A53" s="184"/>
    </row>
    <row r="54" spans="1:1" x14ac:dyDescent="0.2">
      <c r="A54" s="184"/>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scale="71"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3">
    <tabColor theme="1" tint="0.499984740745262"/>
    <pageSetUpPr fitToPage="1"/>
  </sheetPr>
  <dimension ref="A1:J54"/>
  <sheetViews>
    <sheetView tabSelected="1" topLeftCell="A10" zoomScaleNormal="100" workbookViewId="0">
      <selection activeCell="N13" sqref="N13"/>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205" t="s">
        <v>127</v>
      </c>
      <c r="B1" s="206"/>
      <c r="C1" s="206"/>
      <c r="D1" s="206"/>
      <c r="E1" s="206"/>
      <c r="F1" s="206"/>
      <c r="G1" s="206"/>
      <c r="H1" s="206"/>
      <c r="I1" s="206"/>
      <c r="J1" s="207"/>
    </row>
    <row r="3" spans="1:10" x14ac:dyDescent="0.2">
      <c r="A3" s="12" t="s">
        <v>13</v>
      </c>
      <c r="B3" s="12" t="s">
        <v>47</v>
      </c>
    </row>
    <row r="4" spans="1:10" x14ac:dyDescent="0.2">
      <c r="A4" s="14" t="s">
        <v>62</v>
      </c>
      <c r="B4" s="78">
        <f>'Data for Bill Impacts_HONI Avg '!C14</f>
        <v>1328</v>
      </c>
    </row>
    <row r="5" spans="1:10" x14ac:dyDescent="0.2">
      <c r="A5" s="14" t="s">
        <v>16</v>
      </c>
      <c r="B5" s="78">
        <v>12</v>
      </c>
    </row>
    <row r="6" spans="1:10" x14ac:dyDescent="0.2">
      <c r="A6" s="14" t="s">
        <v>20</v>
      </c>
      <c r="B6" s="79">
        <f>VLOOKUP($B$3,'Data for Bill Impacts'!$A$3:$Y$15,2,0)</f>
        <v>1.0609999999999999</v>
      </c>
    </row>
    <row r="7" spans="1:10" x14ac:dyDescent="0.2">
      <c r="A7" s="80" t="s">
        <v>48</v>
      </c>
      <c r="B7" s="81">
        <f>B4/(B5*730)</f>
        <v>0.15159817351598173</v>
      </c>
    </row>
    <row r="8" spans="1:10" x14ac:dyDescent="0.2">
      <c r="A8" s="14" t="s">
        <v>15</v>
      </c>
      <c r="B8" s="78">
        <f>VLOOKUP($B$3,'Data for Bill Impacts'!$A$3:$Y$15,4,0)</f>
        <v>0</v>
      </c>
    </row>
    <row r="9" spans="1:10" x14ac:dyDescent="0.2">
      <c r="A9" s="14" t="s">
        <v>82</v>
      </c>
      <c r="B9" s="78">
        <f>B4*B6</f>
        <v>1409.0079999999998</v>
      </c>
    </row>
    <row r="10" spans="1:10" x14ac:dyDescent="0.2">
      <c r="A10" s="14" t="s">
        <v>21</v>
      </c>
      <c r="B10" s="15" t="s">
        <v>19</v>
      </c>
    </row>
    <row r="11" spans="1:10" ht="13.5" thickBot="1" x14ac:dyDescent="0.25"/>
    <row r="12" spans="1:10" s="19" customFormat="1" ht="26.25" thickBot="1" x14ac:dyDescent="0.25">
      <c r="A12" s="16"/>
      <c r="B12" s="17" t="s">
        <v>22</v>
      </c>
      <c r="C12" s="17" t="s">
        <v>23</v>
      </c>
      <c r="D12" s="17" t="s">
        <v>24</v>
      </c>
      <c r="E12" s="17" t="s">
        <v>22</v>
      </c>
      <c r="F12" s="17" t="s">
        <v>25</v>
      </c>
      <c r="G12" s="17" t="s">
        <v>26</v>
      </c>
      <c r="H12" s="17" t="s">
        <v>27</v>
      </c>
      <c r="I12" s="17" t="s">
        <v>28</v>
      </c>
      <c r="J12" s="121" t="s">
        <v>49</v>
      </c>
    </row>
    <row r="13" spans="1:10" x14ac:dyDescent="0.2">
      <c r="A13" s="100" t="s">
        <v>31</v>
      </c>
      <c r="B13" s="101">
        <f>B9</f>
        <v>1409.0079999999998</v>
      </c>
      <c r="C13" s="102">
        <v>9.0999999999999998E-2</v>
      </c>
      <c r="D13" s="103">
        <f>B13*C13</f>
        <v>128.21972799999998</v>
      </c>
      <c r="E13" s="101">
        <f>B13</f>
        <v>1409.0079999999998</v>
      </c>
      <c r="F13" s="102">
        <f>C13</f>
        <v>9.0999999999999998E-2</v>
      </c>
      <c r="G13" s="103">
        <f>E13*F13</f>
        <v>128.21972799999998</v>
      </c>
      <c r="H13" s="103">
        <f>G13-D13</f>
        <v>0</v>
      </c>
      <c r="I13" s="104">
        <f t="shared" ref="I13:I38" si="0">IF(ISERROR(H13/ABS(D13)),"N/A",(H13/ABS(D13)))</f>
        <v>0</v>
      </c>
      <c r="J13" s="122">
        <f t="shared" ref="J13:J38" si="1">G13/$G$38</f>
        <v>0.22587347559413337</v>
      </c>
    </row>
    <row r="14" spans="1:10" x14ac:dyDescent="0.2">
      <c r="A14" s="106" t="s">
        <v>32</v>
      </c>
      <c r="B14" s="72">
        <v>0</v>
      </c>
      <c r="C14" s="20">
        <v>0.106</v>
      </c>
      <c r="D14" s="21">
        <f>B14*C14</f>
        <v>0</v>
      </c>
      <c r="E14" s="72">
        <f t="shared" ref="E14" si="2">B14</f>
        <v>0</v>
      </c>
      <c r="F14" s="20">
        <f>C14</f>
        <v>0.106</v>
      </c>
      <c r="G14" s="21">
        <f>E14*F14</f>
        <v>0</v>
      </c>
      <c r="H14" s="21">
        <f t="shared" ref="H14:H38" si="3">G14-D14</f>
        <v>0</v>
      </c>
      <c r="I14" s="22" t="str">
        <f t="shared" si="0"/>
        <v>N/A</v>
      </c>
      <c r="J14" s="123">
        <f t="shared" si="1"/>
        <v>0</v>
      </c>
    </row>
    <row r="15" spans="1:10" s="1" customFormat="1" x14ac:dyDescent="0.2">
      <c r="A15" s="45" t="s">
        <v>33</v>
      </c>
      <c r="B15" s="23"/>
      <c r="C15" s="24"/>
      <c r="D15" s="24">
        <f>SUM(D13:D14)</f>
        <v>128.21972799999998</v>
      </c>
      <c r="E15" s="75"/>
      <c r="F15" s="24"/>
      <c r="G15" s="24">
        <f>SUM(G13:G14)</f>
        <v>128.21972799999998</v>
      </c>
      <c r="H15" s="24">
        <f t="shared" si="3"/>
        <v>0</v>
      </c>
      <c r="I15" s="26">
        <f t="shared" si="0"/>
        <v>0</v>
      </c>
      <c r="J15" s="46">
        <f t="shared" si="1"/>
        <v>0.22587347559413337</v>
      </c>
    </row>
    <row r="16" spans="1:10" s="1" customFormat="1" x14ac:dyDescent="0.2">
      <c r="A16" s="106" t="s">
        <v>38</v>
      </c>
      <c r="B16" s="72">
        <v>1</v>
      </c>
      <c r="C16" s="77">
        <f>VLOOKUP($B$3,'Data for Bill Impacts'!$A$3:$Y$15,7,0)</f>
        <v>196.16</v>
      </c>
      <c r="D16" s="21">
        <f>B16*C16</f>
        <v>196.16</v>
      </c>
      <c r="E16" s="72">
        <f t="shared" ref="E16:E33" si="4">B16</f>
        <v>1</v>
      </c>
      <c r="F16" s="21">
        <f>VLOOKUP($B$3,'Data for Bill Impacts'!$A$3:$Y$15,17,0)</f>
        <v>196.16</v>
      </c>
      <c r="G16" s="21">
        <f>E16*F16</f>
        <v>196.16</v>
      </c>
      <c r="H16" s="21">
        <f t="shared" si="3"/>
        <v>0</v>
      </c>
      <c r="I16" s="22">
        <f t="shared" si="0"/>
        <v>0</v>
      </c>
      <c r="J16" s="123">
        <f t="shared" si="1"/>
        <v>0.34555790800418179</v>
      </c>
    </row>
    <row r="17" spans="1:10" hidden="1" x14ac:dyDescent="0.2">
      <c r="A17" s="106" t="s">
        <v>83</v>
      </c>
      <c r="B17" s="72">
        <v>1</v>
      </c>
      <c r="C17" s="77">
        <f>VLOOKUP($B$3,'Data for Bill Impacts'!$A$3:$Y$15,8,0)</f>
        <v>0</v>
      </c>
      <c r="D17" s="21">
        <f>B17*C17</f>
        <v>0</v>
      </c>
      <c r="E17" s="72">
        <f t="shared" si="4"/>
        <v>1</v>
      </c>
      <c r="F17" s="77">
        <v>0</v>
      </c>
      <c r="G17" s="21">
        <f t="shared" ref="G17:G19" si="5">E17*F17</f>
        <v>0</v>
      </c>
      <c r="H17" s="21">
        <f t="shared" si="3"/>
        <v>0</v>
      </c>
      <c r="I17" s="22" t="str">
        <f t="shared" si="0"/>
        <v>N/A</v>
      </c>
      <c r="J17" s="123">
        <f t="shared" si="1"/>
        <v>0</v>
      </c>
    </row>
    <row r="18" spans="1:10" hidden="1" x14ac:dyDescent="0.2">
      <c r="A18" s="106" t="s">
        <v>96</v>
      </c>
      <c r="B18" s="72">
        <v>1</v>
      </c>
      <c r="C18" s="77">
        <f>VLOOKUP($B$3,'Data for Bill Impacts'!$A$3:$Y$15,11,0)</f>
        <v>0</v>
      </c>
      <c r="D18" s="21">
        <f t="shared" ref="D18:D19" si="6">B18*C18</f>
        <v>0</v>
      </c>
      <c r="E18" s="72">
        <f t="shared" si="4"/>
        <v>1</v>
      </c>
      <c r="F18" s="77">
        <f>VLOOKUP($B$3,'Data for Bill Impacts'!$A$3:$Y$15,12,0)</f>
        <v>0</v>
      </c>
      <c r="G18" s="21">
        <f t="shared" si="5"/>
        <v>0</v>
      </c>
      <c r="H18" s="21">
        <f t="shared" si="3"/>
        <v>0</v>
      </c>
      <c r="I18" s="22" t="str">
        <f t="shared" si="0"/>
        <v>N/A</v>
      </c>
      <c r="J18" s="123">
        <f t="shared" si="1"/>
        <v>0</v>
      </c>
    </row>
    <row r="19" spans="1:10" x14ac:dyDescent="0.2">
      <c r="A19" s="106" t="s">
        <v>85</v>
      </c>
      <c r="B19" s="72">
        <v>1</v>
      </c>
      <c r="C19" s="120">
        <f>VLOOKUP($B$3,'Data for Bill Impacts'!$A$3:$Y$15,13,0)</f>
        <v>1.0999999999999999E-2</v>
      </c>
      <c r="D19" s="21">
        <f t="shared" si="6"/>
        <v>1.0999999999999999E-2</v>
      </c>
      <c r="E19" s="72">
        <f t="shared" si="4"/>
        <v>1</v>
      </c>
      <c r="F19" s="120">
        <f>VLOOKUP($B$3,'Data for Bill Impacts'!$A$3:$Y$15,22,0)</f>
        <v>1.0999999999999999E-2</v>
      </c>
      <c r="G19" s="21">
        <f t="shared" si="5"/>
        <v>1.0999999999999999E-2</v>
      </c>
      <c r="H19" s="21">
        <f t="shared" si="3"/>
        <v>0</v>
      </c>
      <c r="I19" s="22">
        <f t="shared" si="0"/>
        <v>0</v>
      </c>
      <c r="J19" s="123">
        <f t="shared" si="1"/>
        <v>1.9377737500234501E-5</v>
      </c>
    </row>
    <row r="20" spans="1:10" x14ac:dyDescent="0.2">
      <c r="A20" s="106" t="s">
        <v>39</v>
      </c>
      <c r="B20" s="72">
        <f>IF($B$10="kWh",$B$4,$B$5)</f>
        <v>12</v>
      </c>
      <c r="C20" s="77">
        <f>VLOOKUP($B$3,'Data for Bill Impacts'!$A$3:$Y$15,10,0)</f>
        <v>11.4922</v>
      </c>
      <c r="D20" s="21">
        <f>B20*C20</f>
        <v>137.90640000000002</v>
      </c>
      <c r="E20" s="72">
        <f t="shared" si="4"/>
        <v>12</v>
      </c>
      <c r="F20" s="77">
        <f>VLOOKUP($B$3,'Data for Bill Impacts'!$A$3:$Y$15,19,0)</f>
        <v>12.169</v>
      </c>
      <c r="G20" s="21">
        <f>E20*F20</f>
        <v>146.02800000000002</v>
      </c>
      <c r="H20" s="21">
        <f t="shared" si="3"/>
        <v>8.1216000000000008</v>
      </c>
      <c r="I20" s="22">
        <f t="shared" si="0"/>
        <v>5.8892118132298429E-2</v>
      </c>
      <c r="J20" s="123">
        <f t="shared" si="1"/>
        <v>0.2572447501531131</v>
      </c>
    </row>
    <row r="21" spans="1:10" s="1" customFormat="1" x14ac:dyDescent="0.2">
      <c r="A21" s="106" t="s">
        <v>129</v>
      </c>
      <c r="B21" s="72">
        <f>IF($B$10="kWh",$B$4,$B$5)</f>
        <v>12</v>
      </c>
      <c r="C21" s="77">
        <f>VLOOKUP($B$3,'Data for Bill Impacts'!$A$3:$Y$15,14,0)</f>
        <v>2.82E-3</v>
      </c>
      <c r="D21" s="21">
        <f>B21*C21</f>
        <v>3.3840000000000002E-2</v>
      </c>
      <c r="E21" s="72">
        <f>B21</f>
        <v>12</v>
      </c>
      <c r="F21" s="77">
        <f>VLOOKUP($B$3,'Data for Bill Impacts'!$A$3:$Y$15,23,0)</f>
        <v>2.82E-3</v>
      </c>
      <c r="G21" s="21">
        <f>E21*F21</f>
        <v>3.3840000000000002E-2</v>
      </c>
      <c r="H21" s="21">
        <f>G21-D21</f>
        <v>0</v>
      </c>
      <c r="I21" s="22">
        <f t="shared" si="0"/>
        <v>0</v>
      </c>
      <c r="J21" s="123">
        <f t="shared" si="1"/>
        <v>5.9612967000721418E-5</v>
      </c>
    </row>
    <row r="22" spans="1:10" s="1" customFormat="1" x14ac:dyDescent="0.2">
      <c r="A22" s="106" t="s">
        <v>117</v>
      </c>
      <c r="B22" s="72">
        <f>B9</f>
        <v>1409.0079999999998</v>
      </c>
      <c r="C22" s="124">
        <f>VLOOKUP($B$3,'Data for Bill Impacts'!$A$3:$Y$15,20,0)</f>
        <v>0</v>
      </c>
      <c r="D22" s="21">
        <f>B22*C22</f>
        <v>0</v>
      </c>
      <c r="E22" s="72">
        <f t="shared" si="4"/>
        <v>1409.0079999999998</v>
      </c>
      <c r="F22" s="124">
        <f>VLOOKUP($B$3,'Data for Bill Impacts'!$A$3:$Y$15,21,0)</f>
        <v>0</v>
      </c>
      <c r="G22" s="21">
        <f>E22*F22</f>
        <v>0</v>
      </c>
      <c r="H22" s="21">
        <f t="shared" si="3"/>
        <v>0</v>
      </c>
      <c r="I22" s="22" t="str">
        <f t="shared" si="0"/>
        <v>N/A</v>
      </c>
      <c r="J22" s="123">
        <f t="shared" si="1"/>
        <v>0</v>
      </c>
    </row>
    <row r="23" spans="1:10" x14ac:dyDescent="0.2">
      <c r="A23" s="109" t="s">
        <v>79</v>
      </c>
      <c r="B23" s="73"/>
      <c r="C23" s="34"/>
      <c r="D23" s="34">
        <f>SUM(D16:D22)</f>
        <v>334.11124000000001</v>
      </c>
      <c r="E23" s="72"/>
      <c r="F23" s="34"/>
      <c r="G23" s="34">
        <f>SUM(G16:G22)</f>
        <v>342.23284000000001</v>
      </c>
      <c r="H23" s="34">
        <f t="shared" si="3"/>
        <v>8.1216000000000008</v>
      </c>
      <c r="I23" s="35">
        <f t="shared" si="0"/>
        <v>2.4308071766756485E-2</v>
      </c>
      <c r="J23" s="110">
        <f t="shared" si="1"/>
        <v>0.60288164886179585</v>
      </c>
    </row>
    <row r="24" spans="1:10" x14ac:dyDescent="0.2">
      <c r="A24" s="106" t="s">
        <v>40</v>
      </c>
      <c r="B24" s="72">
        <f>B5</f>
        <v>12</v>
      </c>
      <c r="C24" s="124">
        <f>VLOOKUP($B$3,'Data for Bill Impacts'!$A$3:$Y$15,15,0)</f>
        <v>0.63949999999999996</v>
      </c>
      <c r="D24" s="21">
        <f>B24*C24</f>
        <v>7.6739999999999995</v>
      </c>
      <c r="E24" s="72">
        <f t="shared" si="4"/>
        <v>12</v>
      </c>
      <c r="F24" s="77">
        <f>VLOOKUP($B$3,'Data for Bill Impacts'!$A$3:$Y$15,24,0)</f>
        <v>0.63949999999999996</v>
      </c>
      <c r="G24" s="21">
        <f>E24*F24</f>
        <v>7.6739999999999995</v>
      </c>
      <c r="H24" s="21">
        <f t="shared" si="3"/>
        <v>0</v>
      </c>
      <c r="I24" s="22">
        <f t="shared" si="0"/>
        <v>0</v>
      </c>
      <c r="J24" s="123">
        <f t="shared" si="1"/>
        <v>1.3518614325163596E-2</v>
      </c>
    </row>
    <row r="25" spans="1:10" s="1" customFormat="1" x14ac:dyDescent="0.2">
      <c r="A25" s="106" t="s">
        <v>41</v>
      </c>
      <c r="B25" s="72">
        <f>B5</f>
        <v>12</v>
      </c>
      <c r="C25" s="124">
        <f>VLOOKUP($B$3,'Data for Bill Impacts'!$A$3:$Y$15,16,0)</f>
        <v>0.55430000000000001</v>
      </c>
      <c r="D25" s="21">
        <f>B25*C25</f>
        <v>6.6516000000000002</v>
      </c>
      <c r="E25" s="72">
        <f t="shared" si="4"/>
        <v>12</v>
      </c>
      <c r="F25" s="77">
        <f>VLOOKUP($B$3,'Data for Bill Impacts'!$A$3:$Y$15,25,0)</f>
        <v>0.55430000000000001</v>
      </c>
      <c r="G25" s="21">
        <f>E25*F25</f>
        <v>6.6516000000000002</v>
      </c>
      <c r="H25" s="21">
        <f t="shared" si="3"/>
        <v>0</v>
      </c>
      <c r="I25" s="22">
        <f t="shared" si="0"/>
        <v>0</v>
      </c>
      <c r="J25" s="123">
        <f t="shared" si="1"/>
        <v>1.1717541705141801E-2</v>
      </c>
    </row>
    <row r="26" spans="1:10" x14ac:dyDescent="0.2">
      <c r="A26" s="109" t="s">
        <v>76</v>
      </c>
      <c r="B26" s="73"/>
      <c r="C26" s="34"/>
      <c r="D26" s="34">
        <f>SUM(D24:D25)</f>
        <v>14.3256</v>
      </c>
      <c r="E26" s="72"/>
      <c r="F26" s="34"/>
      <c r="G26" s="34">
        <f>SUM(G24:G25)</f>
        <v>14.3256</v>
      </c>
      <c r="H26" s="34">
        <f t="shared" si="3"/>
        <v>0</v>
      </c>
      <c r="I26" s="35">
        <f t="shared" si="0"/>
        <v>0</v>
      </c>
      <c r="J26" s="110">
        <f t="shared" si="1"/>
        <v>2.5236156030305396E-2</v>
      </c>
    </row>
    <row r="27" spans="1:10" s="1" customFormat="1" x14ac:dyDescent="0.2">
      <c r="A27" s="109" t="s">
        <v>80</v>
      </c>
      <c r="B27" s="73"/>
      <c r="C27" s="34"/>
      <c r="D27" s="34">
        <f>D23+D26</f>
        <v>348.43684000000002</v>
      </c>
      <c r="E27" s="72"/>
      <c r="F27" s="34"/>
      <c r="G27" s="34">
        <f>G23+G26</f>
        <v>356.55844000000002</v>
      </c>
      <c r="H27" s="34">
        <f t="shared" si="3"/>
        <v>8.1216000000000008</v>
      </c>
      <c r="I27" s="35">
        <f t="shared" si="0"/>
        <v>2.3308671953287143E-2</v>
      </c>
      <c r="J27" s="110">
        <f t="shared" si="1"/>
        <v>0.62811780489210123</v>
      </c>
    </row>
    <row r="28" spans="1:10" x14ac:dyDescent="0.2">
      <c r="A28" s="106" t="s">
        <v>42</v>
      </c>
      <c r="B28" s="72">
        <f>B9</f>
        <v>1409.0079999999998</v>
      </c>
      <c r="C28" s="33">
        <v>3.5999999999999999E-3</v>
      </c>
      <c r="D28" s="21">
        <f>B28*C28</f>
        <v>5.0724287999999991</v>
      </c>
      <c r="E28" s="72">
        <f t="shared" si="4"/>
        <v>1409.0079999999998</v>
      </c>
      <c r="F28" s="33">
        <v>3.5999999999999999E-3</v>
      </c>
      <c r="G28" s="21">
        <f>E28*F28</f>
        <v>5.0724287999999991</v>
      </c>
      <c r="H28" s="21">
        <f t="shared" si="3"/>
        <v>0</v>
      </c>
      <c r="I28" s="22">
        <f t="shared" si="0"/>
        <v>0</v>
      </c>
      <c r="J28" s="123">
        <f t="shared" si="1"/>
        <v>8.9356539795481336E-3</v>
      </c>
    </row>
    <row r="29" spans="1:10" x14ac:dyDescent="0.2">
      <c r="A29" s="106" t="s">
        <v>43</v>
      </c>
      <c r="B29" s="72">
        <f>B9</f>
        <v>1409.0079999999998</v>
      </c>
      <c r="C29" s="33">
        <v>2.0999999999999999E-3</v>
      </c>
      <c r="D29" s="21">
        <f>B29*C29</f>
        <v>2.9589167999999995</v>
      </c>
      <c r="E29" s="72">
        <f t="shared" si="4"/>
        <v>1409.0079999999998</v>
      </c>
      <c r="F29" s="33">
        <v>2.0999999999999999E-3</v>
      </c>
      <c r="G29" s="21">
        <f>E29*F29</f>
        <v>2.9589167999999995</v>
      </c>
      <c r="H29" s="21">
        <f>G29-D29</f>
        <v>0</v>
      </c>
      <c r="I29" s="22">
        <f t="shared" si="0"/>
        <v>0</v>
      </c>
      <c r="J29" s="123">
        <f t="shared" si="1"/>
        <v>5.2124648214030784E-3</v>
      </c>
    </row>
    <row r="30" spans="1:10" x14ac:dyDescent="0.2">
      <c r="A30" s="106" t="s">
        <v>99</v>
      </c>
      <c r="B30" s="72">
        <f>B9</f>
        <v>1409.0079999999998</v>
      </c>
      <c r="C30" s="33">
        <v>0</v>
      </c>
      <c r="D30" s="21">
        <f>B30*C30</f>
        <v>0</v>
      </c>
      <c r="E30" s="72">
        <f t="shared" si="4"/>
        <v>1409.0079999999998</v>
      </c>
      <c r="F30" s="33">
        <v>0</v>
      </c>
      <c r="G30" s="21">
        <f>E30*F30</f>
        <v>0</v>
      </c>
      <c r="H30" s="21">
        <f>G30-D30</f>
        <v>0</v>
      </c>
      <c r="I30" s="22" t="str">
        <f t="shared" si="0"/>
        <v>N/A</v>
      </c>
      <c r="J30" s="123">
        <f t="shared" si="1"/>
        <v>0</v>
      </c>
    </row>
    <row r="31" spans="1:10" x14ac:dyDescent="0.2">
      <c r="A31" s="106" t="s">
        <v>44</v>
      </c>
      <c r="B31" s="72">
        <v>1</v>
      </c>
      <c r="C31" s="21">
        <v>0.25</v>
      </c>
      <c r="D31" s="21">
        <f>B31*C31</f>
        <v>0.25</v>
      </c>
      <c r="E31" s="72">
        <f t="shared" si="4"/>
        <v>1</v>
      </c>
      <c r="F31" s="21">
        <f>C31</f>
        <v>0.25</v>
      </c>
      <c r="G31" s="21">
        <f>E31*F31</f>
        <v>0.25</v>
      </c>
      <c r="H31" s="21">
        <f t="shared" si="3"/>
        <v>0</v>
      </c>
      <c r="I31" s="22">
        <f t="shared" si="0"/>
        <v>0</v>
      </c>
      <c r="J31" s="123">
        <f t="shared" si="1"/>
        <v>4.4040312500532957E-4</v>
      </c>
    </row>
    <row r="32" spans="1:10" x14ac:dyDescent="0.2">
      <c r="A32" s="109" t="s">
        <v>45</v>
      </c>
      <c r="B32" s="73"/>
      <c r="C32" s="34"/>
      <c r="D32" s="34">
        <f>SUM(D28:D31)</f>
        <v>8.2813455999999981</v>
      </c>
      <c r="E32" s="72"/>
      <c r="F32" s="34"/>
      <c r="G32" s="34">
        <f>SUM(G28:G31)</f>
        <v>8.2813455999999981</v>
      </c>
      <c r="H32" s="34">
        <f t="shared" si="3"/>
        <v>0</v>
      </c>
      <c r="I32" s="35">
        <f t="shared" si="0"/>
        <v>0</v>
      </c>
      <c r="J32" s="110">
        <f t="shared" si="1"/>
        <v>1.4588521925956541E-2</v>
      </c>
    </row>
    <row r="33" spans="1:10" ht="13.5" thickBot="1" x14ac:dyDescent="0.25">
      <c r="A33" s="111" t="s">
        <v>46</v>
      </c>
      <c r="B33" s="112">
        <f>B4</f>
        <v>1328</v>
      </c>
      <c r="C33" s="113">
        <v>7.0000000000000001E-3</v>
      </c>
      <c r="D33" s="114">
        <f>B33*C33</f>
        <v>9.2959999999999994</v>
      </c>
      <c r="E33" s="115">
        <f t="shared" si="4"/>
        <v>1328</v>
      </c>
      <c r="F33" s="113">
        <f>C33</f>
        <v>7.0000000000000001E-3</v>
      </c>
      <c r="G33" s="114">
        <f>E33*F33</f>
        <v>9.2959999999999994</v>
      </c>
      <c r="H33" s="114">
        <f t="shared" si="3"/>
        <v>0</v>
      </c>
      <c r="I33" s="116">
        <f t="shared" si="0"/>
        <v>0</v>
      </c>
      <c r="J33" s="117">
        <f t="shared" si="1"/>
        <v>1.6375949800198172E-2</v>
      </c>
    </row>
    <row r="34" spans="1:10" x14ac:dyDescent="0.2">
      <c r="A34" s="36" t="s">
        <v>116</v>
      </c>
      <c r="B34" s="37"/>
      <c r="C34" s="38"/>
      <c r="D34" s="38">
        <f>SUM(D15,D23,D26,D32,D33)</f>
        <v>494.23391359999999</v>
      </c>
      <c r="E34" s="37"/>
      <c r="F34" s="38"/>
      <c r="G34" s="38">
        <f>SUM(G15,G23,G26,G32,G33)</f>
        <v>502.35551359999999</v>
      </c>
      <c r="H34" s="38">
        <f t="shared" si="3"/>
        <v>8.1216000000000008</v>
      </c>
      <c r="I34" s="39">
        <f t="shared" si="0"/>
        <v>1.6432704791223784E-2</v>
      </c>
      <c r="J34" s="40">
        <f t="shared" si="1"/>
        <v>0.88495575221238931</v>
      </c>
    </row>
    <row r="35" spans="1:10" x14ac:dyDescent="0.2">
      <c r="A35" s="45" t="s">
        <v>108</v>
      </c>
      <c r="B35" s="42"/>
      <c r="C35" s="25">
        <v>0.13</v>
      </c>
      <c r="D35" s="25">
        <f>D34*C35</f>
        <v>64.250408768</v>
      </c>
      <c r="E35" s="25"/>
      <c r="F35" s="25">
        <f>C35</f>
        <v>0.13</v>
      </c>
      <c r="G35" s="25">
        <f>G34*F35</f>
        <v>65.306216767999999</v>
      </c>
      <c r="H35" s="25">
        <f t="shared" si="3"/>
        <v>1.055807999999999</v>
      </c>
      <c r="I35" s="43">
        <f t="shared" si="0"/>
        <v>1.6432704791223763E-2</v>
      </c>
      <c r="J35" s="44">
        <f t="shared" si="1"/>
        <v>0.11504424778761062</v>
      </c>
    </row>
    <row r="36" spans="1:10" x14ac:dyDescent="0.2">
      <c r="A36" s="45" t="s">
        <v>109</v>
      </c>
      <c r="B36" s="23"/>
      <c r="C36" s="24"/>
      <c r="D36" s="24">
        <f>SUM(D34:D35)</f>
        <v>558.48432236799999</v>
      </c>
      <c r="E36" s="24"/>
      <c r="F36" s="24"/>
      <c r="G36" s="24">
        <f>SUM(G34:G35)</f>
        <v>567.66173036800001</v>
      </c>
      <c r="H36" s="24">
        <f t="shared" si="3"/>
        <v>9.177408000000014</v>
      </c>
      <c r="I36" s="26">
        <f t="shared" si="0"/>
        <v>1.6432704791223805E-2</v>
      </c>
      <c r="J36" s="46">
        <f t="shared" si="1"/>
        <v>1</v>
      </c>
    </row>
    <row r="37" spans="1:10" x14ac:dyDescent="0.2">
      <c r="A37" s="45" t="s">
        <v>110</v>
      </c>
      <c r="B37" s="42"/>
      <c r="C37" s="25">
        <v>0</v>
      </c>
      <c r="D37" s="25">
        <f>D34*C37</f>
        <v>0</v>
      </c>
      <c r="E37" s="25"/>
      <c r="F37" s="25">
        <f>C37</f>
        <v>0</v>
      </c>
      <c r="G37" s="25">
        <f>G34*F37</f>
        <v>0</v>
      </c>
      <c r="H37" s="25">
        <f t="shared" si="3"/>
        <v>0</v>
      </c>
      <c r="I37" s="43" t="str">
        <f t="shared" si="0"/>
        <v>N/A</v>
      </c>
      <c r="J37" s="44">
        <f t="shared" si="1"/>
        <v>0</v>
      </c>
    </row>
    <row r="38" spans="1:10" ht="13.5" thickBot="1" x14ac:dyDescent="0.25">
      <c r="A38" s="45" t="s">
        <v>111</v>
      </c>
      <c r="B38" s="48"/>
      <c r="C38" s="49"/>
      <c r="D38" s="49">
        <f>SUM(D36:D37)</f>
        <v>558.48432236799999</v>
      </c>
      <c r="E38" s="49"/>
      <c r="F38" s="49"/>
      <c r="G38" s="49">
        <f>SUM(G36:G37)</f>
        <v>567.66173036800001</v>
      </c>
      <c r="H38" s="49">
        <f t="shared" si="3"/>
        <v>9.177408000000014</v>
      </c>
      <c r="I38" s="50">
        <f t="shared" si="0"/>
        <v>1.6432704791223805E-2</v>
      </c>
      <c r="J38" s="51">
        <f t="shared" si="1"/>
        <v>1</v>
      </c>
    </row>
    <row r="39" spans="1:10" x14ac:dyDescent="0.2">
      <c r="A39" s="184"/>
      <c r="F39" s="68"/>
      <c r="G39" s="127"/>
    </row>
    <row r="40" spans="1:10" x14ac:dyDescent="0.2">
      <c r="A40" s="184"/>
      <c r="F40" s="130"/>
    </row>
    <row r="41" spans="1:10" x14ac:dyDescent="0.2">
      <c r="A41" s="184"/>
      <c r="F41" s="128"/>
    </row>
    <row r="42" spans="1:10" x14ac:dyDescent="0.2">
      <c r="A42" s="184"/>
      <c r="F42" s="129"/>
      <c r="G42" s="127"/>
      <c r="H42" s="127"/>
    </row>
    <row r="43" spans="1:10" x14ac:dyDescent="0.2">
      <c r="A43" s="184"/>
      <c r="F43" s="128"/>
      <c r="G43" s="127"/>
    </row>
    <row r="44" spans="1:10" x14ac:dyDescent="0.2">
      <c r="A44" s="184"/>
    </row>
    <row r="45" spans="1:10" x14ac:dyDescent="0.2">
      <c r="A45" s="184"/>
    </row>
    <row r="46" spans="1:10" x14ac:dyDescent="0.2">
      <c r="A46" s="184"/>
    </row>
    <row r="47" spans="1:10" x14ac:dyDescent="0.2">
      <c r="A47" s="184"/>
    </row>
    <row r="48" spans="1:10" x14ac:dyDescent="0.2">
      <c r="A48" s="184"/>
    </row>
    <row r="49" spans="1:1" x14ac:dyDescent="0.2">
      <c r="A49" s="184"/>
    </row>
    <row r="50" spans="1:1" x14ac:dyDescent="0.2">
      <c r="A50" s="184"/>
    </row>
    <row r="51" spans="1:1" x14ac:dyDescent="0.2">
      <c r="A51" s="184"/>
    </row>
    <row r="52" spans="1:1" x14ac:dyDescent="0.2">
      <c r="A52" s="184"/>
    </row>
    <row r="53" spans="1:1" x14ac:dyDescent="0.2">
      <c r="A53" s="184"/>
    </row>
    <row r="54" spans="1:1" x14ac:dyDescent="0.2">
      <c r="A54" s="184"/>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scale="71"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tabColor theme="1" tint="0.499984740745262"/>
    <pageSetUpPr fitToPage="1"/>
  </sheetPr>
  <dimension ref="A1:J54"/>
  <sheetViews>
    <sheetView tabSelected="1" topLeftCell="A22" zoomScaleNormal="100" zoomScaleSheetLayoutView="100" workbookViewId="0">
      <selection activeCell="N13" sqref="N13"/>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205" t="s">
        <v>128</v>
      </c>
      <c r="B1" s="206"/>
      <c r="C1" s="206"/>
      <c r="D1" s="206"/>
      <c r="E1" s="206"/>
      <c r="F1" s="206"/>
      <c r="G1" s="206"/>
      <c r="H1" s="206"/>
      <c r="I1" s="206"/>
      <c r="J1" s="207"/>
    </row>
    <row r="3" spans="1:10" x14ac:dyDescent="0.2">
      <c r="A3" s="12" t="s">
        <v>13</v>
      </c>
      <c r="B3" s="12" t="s">
        <v>47</v>
      </c>
    </row>
    <row r="4" spans="1:10" x14ac:dyDescent="0.2">
      <c r="A4" s="14" t="s">
        <v>62</v>
      </c>
      <c r="B4" s="78">
        <v>5000</v>
      </c>
    </row>
    <row r="5" spans="1:10" x14ac:dyDescent="0.2">
      <c r="A5" s="14" t="s">
        <v>16</v>
      </c>
      <c r="B5" s="78">
        <v>100</v>
      </c>
    </row>
    <row r="6" spans="1:10" x14ac:dyDescent="0.2">
      <c r="A6" s="14" t="s">
        <v>20</v>
      </c>
      <c r="B6" s="79">
        <f>VLOOKUP($B$3,'Data for Bill Impacts'!$A$3:$Y$15,2,0)</f>
        <v>1.0609999999999999</v>
      </c>
    </row>
    <row r="7" spans="1:10" x14ac:dyDescent="0.2">
      <c r="A7" s="80" t="s">
        <v>48</v>
      </c>
      <c r="B7" s="81">
        <f>B4/(B5*730)</f>
        <v>6.8493150684931503E-2</v>
      </c>
    </row>
    <row r="8" spans="1:10" x14ac:dyDescent="0.2">
      <c r="A8" s="14" t="s">
        <v>15</v>
      </c>
      <c r="B8" s="78">
        <f>VLOOKUP($B$3,'Data for Bill Impacts'!$A$3:$Y$15,4,0)</f>
        <v>0</v>
      </c>
    </row>
    <row r="9" spans="1:10" x14ac:dyDescent="0.2">
      <c r="A9" s="14" t="s">
        <v>82</v>
      </c>
      <c r="B9" s="78">
        <f>B4*B6</f>
        <v>5305</v>
      </c>
    </row>
    <row r="10" spans="1:10" x14ac:dyDescent="0.2">
      <c r="A10" s="14" t="s">
        <v>21</v>
      </c>
      <c r="B10" s="15" t="s">
        <v>19</v>
      </c>
    </row>
    <row r="11" spans="1:10" ht="13.5" thickBot="1" x14ac:dyDescent="0.25"/>
    <row r="12" spans="1:10" s="19" customFormat="1" ht="26.25" thickBot="1" x14ac:dyDescent="0.25">
      <c r="A12" s="16"/>
      <c r="B12" s="17" t="s">
        <v>22</v>
      </c>
      <c r="C12" s="17" t="s">
        <v>23</v>
      </c>
      <c r="D12" s="17" t="s">
        <v>24</v>
      </c>
      <c r="E12" s="17" t="s">
        <v>22</v>
      </c>
      <c r="F12" s="17" t="s">
        <v>25</v>
      </c>
      <c r="G12" s="17" t="s">
        <v>26</v>
      </c>
      <c r="H12" s="17" t="s">
        <v>27</v>
      </c>
      <c r="I12" s="17" t="s">
        <v>28</v>
      </c>
      <c r="J12" s="121" t="s">
        <v>49</v>
      </c>
    </row>
    <row r="13" spans="1:10" x14ac:dyDescent="0.2">
      <c r="A13" s="100" t="s">
        <v>31</v>
      </c>
      <c r="B13" s="101">
        <f>B9</f>
        <v>5305</v>
      </c>
      <c r="C13" s="102">
        <v>9.0999999999999998E-2</v>
      </c>
      <c r="D13" s="103">
        <f>B13*C13</f>
        <v>482.755</v>
      </c>
      <c r="E13" s="101">
        <f>B13</f>
        <v>5305</v>
      </c>
      <c r="F13" s="102">
        <f>C13</f>
        <v>9.0999999999999998E-2</v>
      </c>
      <c r="G13" s="103">
        <f>E13*F13</f>
        <v>482.755</v>
      </c>
      <c r="H13" s="103">
        <f>G13-D13</f>
        <v>0</v>
      </c>
      <c r="I13" s="104">
        <f t="shared" ref="I13:I38" si="0">IF(ISERROR(H13/ABS(D13)),"N/A",(H13/ABS(D13)))</f>
        <v>0</v>
      </c>
      <c r="J13" s="122">
        <f t="shared" ref="J13:J29" si="1">G13/$G$38</f>
        <v>0.20529631841555729</v>
      </c>
    </row>
    <row r="14" spans="1:10" x14ac:dyDescent="0.2">
      <c r="A14" s="106" t="s">
        <v>32</v>
      </c>
      <c r="B14" s="72">
        <v>0</v>
      </c>
      <c r="C14" s="20">
        <v>0.106</v>
      </c>
      <c r="D14" s="21">
        <f>B14*C14</f>
        <v>0</v>
      </c>
      <c r="E14" s="72">
        <f t="shared" ref="E14" si="2">B14</f>
        <v>0</v>
      </c>
      <c r="F14" s="20">
        <f>C14</f>
        <v>0.106</v>
      </c>
      <c r="G14" s="21">
        <f>E14*F14</f>
        <v>0</v>
      </c>
      <c r="H14" s="21">
        <f t="shared" ref="H14:H38" si="3">G14-D14</f>
        <v>0</v>
      </c>
      <c r="I14" s="22" t="str">
        <f t="shared" si="0"/>
        <v>N/A</v>
      </c>
      <c r="J14" s="123">
        <f t="shared" si="1"/>
        <v>0</v>
      </c>
    </row>
    <row r="15" spans="1:10" s="1" customFormat="1" x14ac:dyDescent="0.2">
      <c r="A15" s="45" t="s">
        <v>33</v>
      </c>
      <c r="B15" s="23"/>
      <c r="C15" s="24"/>
      <c r="D15" s="24">
        <f>SUM(D13:D14)</f>
        <v>482.755</v>
      </c>
      <c r="E15" s="75"/>
      <c r="F15" s="24"/>
      <c r="G15" s="24">
        <f>SUM(G13:G14)</f>
        <v>482.755</v>
      </c>
      <c r="H15" s="24">
        <f t="shared" si="3"/>
        <v>0</v>
      </c>
      <c r="I15" s="26">
        <f t="shared" si="0"/>
        <v>0</v>
      </c>
      <c r="J15" s="46">
        <f t="shared" si="1"/>
        <v>0.20529631841555729</v>
      </c>
    </row>
    <row r="16" spans="1:10" s="1" customFormat="1" x14ac:dyDescent="0.2">
      <c r="A16" s="106" t="s">
        <v>38</v>
      </c>
      <c r="B16" s="72">
        <v>1</v>
      </c>
      <c r="C16" s="77">
        <f>VLOOKUP($B$3,'Data for Bill Impacts'!$A$3:$Y$15,7,0)</f>
        <v>196.16</v>
      </c>
      <c r="D16" s="21">
        <f>B16*C16</f>
        <v>196.16</v>
      </c>
      <c r="E16" s="72">
        <f t="shared" ref="E16:E33" si="4">B16</f>
        <v>1</v>
      </c>
      <c r="F16" s="77">
        <f>VLOOKUP($B$3,'Data for Bill Impacts'!$A$3:$Y$15,17,0)</f>
        <v>196.16</v>
      </c>
      <c r="G16" s="21">
        <f>E16*F16</f>
        <v>196.16</v>
      </c>
      <c r="H16" s="21">
        <f t="shared" si="3"/>
        <v>0</v>
      </c>
      <c r="I16" s="22">
        <f t="shared" si="0"/>
        <v>0</v>
      </c>
      <c r="J16" s="123">
        <f t="shared" si="1"/>
        <v>8.3418971984538168E-2</v>
      </c>
    </row>
    <row r="17" spans="1:10" hidden="1" x14ac:dyDescent="0.2">
      <c r="A17" s="106" t="s">
        <v>83</v>
      </c>
      <c r="B17" s="72">
        <v>1</v>
      </c>
      <c r="C17" s="77">
        <f>VLOOKUP($B$3,'Data for Bill Impacts'!$A$3:$Y$15,8,0)</f>
        <v>0</v>
      </c>
      <c r="D17" s="21">
        <f>B17*C17</f>
        <v>0</v>
      </c>
      <c r="E17" s="72">
        <f t="shared" si="4"/>
        <v>1</v>
      </c>
      <c r="F17" s="77">
        <v>0</v>
      </c>
      <c r="G17" s="21">
        <f t="shared" ref="G17:G19" si="5">E17*F17</f>
        <v>0</v>
      </c>
      <c r="H17" s="21">
        <f t="shared" si="3"/>
        <v>0</v>
      </c>
      <c r="I17" s="22" t="str">
        <f t="shared" si="0"/>
        <v>N/A</v>
      </c>
      <c r="J17" s="123">
        <f t="shared" si="1"/>
        <v>0</v>
      </c>
    </row>
    <row r="18" spans="1:10" hidden="1" x14ac:dyDescent="0.2">
      <c r="A18" s="106" t="s">
        <v>84</v>
      </c>
      <c r="B18" s="72">
        <v>1</v>
      </c>
      <c r="C18" s="77">
        <f>VLOOKUP($B$3,'Data for Bill Impacts'!$A$3:$Y$15,11,0)</f>
        <v>0</v>
      </c>
      <c r="D18" s="21">
        <f t="shared" ref="D18:D19" si="6">B18*C18</f>
        <v>0</v>
      </c>
      <c r="E18" s="72">
        <f t="shared" si="4"/>
        <v>1</v>
      </c>
      <c r="F18" s="77">
        <f>VLOOKUP($B$3,'Data for Bill Impacts'!$A$3:$Y$15,12,0)</f>
        <v>0</v>
      </c>
      <c r="G18" s="21">
        <f t="shared" si="5"/>
        <v>0</v>
      </c>
      <c r="H18" s="21">
        <f t="shared" si="3"/>
        <v>0</v>
      </c>
      <c r="I18" s="22" t="str">
        <f t="shared" si="0"/>
        <v>N/A</v>
      </c>
      <c r="J18" s="123">
        <f t="shared" si="1"/>
        <v>0</v>
      </c>
    </row>
    <row r="19" spans="1:10" x14ac:dyDescent="0.2">
      <c r="A19" s="106" t="s">
        <v>85</v>
      </c>
      <c r="B19" s="72">
        <v>1</v>
      </c>
      <c r="C19" s="120">
        <f>VLOOKUP($B$3,'Data for Bill Impacts'!$A$3:$Y$15,13,0)</f>
        <v>1.0999999999999999E-2</v>
      </c>
      <c r="D19" s="21">
        <f t="shared" si="6"/>
        <v>1.0999999999999999E-2</v>
      </c>
      <c r="E19" s="72">
        <f t="shared" si="4"/>
        <v>1</v>
      </c>
      <c r="F19" s="120">
        <f>VLOOKUP($B$3,'Data for Bill Impacts'!$A$3:$Y$15,22,0)</f>
        <v>1.0999999999999999E-2</v>
      </c>
      <c r="G19" s="21">
        <f t="shared" si="5"/>
        <v>1.0999999999999999E-2</v>
      </c>
      <c r="H19" s="21">
        <f t="shared" si="3"/>
        <v>0</v>
      </c>
      <c r="I19" s="22">
        <f t="shared" si="0"/>
        <v>0</v>
      </c>
      <c r="J19" s="123">
        <f t="shared" si="1"/>
        <v>4.6778583392634572E-6</v>
      </c>
    </row>
    <row r="20" spans="1:10" x14ac:dyDescent="0.2">
      <c r="A20" s="106" t="s">
        <v>39</v>
      </c>
      <c r="B20" s="72">
        <f>IF($B$10="kWh",$B$4,$B$5)</f>
        <v>100</v>
      </c>
      <c r="C20" s="77">
        <f>VLOOKUP($B$3,'Data for Bill Impacts'!$A$3:$Y$15,10,0)</f>
        <v>11.4922</v>
      </c>
      <c r="D20" s="21">
        <f>B20*C20</f>
        <v>1149.22</v>
      </c>
      <c r="E20" s="72">
        <f t="shared" si="4"/>
        <v>100</v>
      </c>
      <c r="F20" s="77">
        <f>VLOOKUP($B$3,'Data for Bill Impacts'!$A$3:$Y$15,19,0)</f>
        <v>12.169</v>
      </c>
      <c r="G20" s="21">
        <f>E20*F20</f>
        <v>1216.9000000000001</v>
      </c>
      <c r="H20" s="21">
        <f t="shared" si="3"/>
        <v>67.680000000000064</v>
      </c>
      <c r="I20" s="22">
        <f t="shared" si="0"/>
        <v>5.8892118132298485E-2</v>
      </c>
      <c r="J20" s="123">
        <f t="shared" si="1"/>
        <v>0.51749871027724559</v>
      </c>
    </row>
    <row r="21" spans="1:10" s="1" customFormat="1" x14ac:dyDescent="0.2">
      <c r="A21" s="106" t="s">
        <v>129</v>
      </c>
      <c r="B21" s="72">
        <f>IF($B$10="kWh",$B$4,$B$5)</f>
        <v>100</v>
      </c>
      <c r="C21" s="77">
        <f>VLOOKUP($B$3,'Data for Bill Impacts'!$A$3:$Y$15,14,0)</f>
        <v>2.82E-3</v>
      </c>
      <c r="D21" s="21">
        <f>B21*C21</f>
        <v>0.28200000000000003</v>
      </c>
      <c r="E21" s="72">
        <f>B21</f>
        <v>100</v>
      </c>
      <c r="F21" s="77">
        <f>VLOOKUP($B$3,'Data for Bill Impacts'!$A$3:$Y$15,23,0)</f>
        <v>2.82E-3</v>
      </c>
      <c r="G21" s="21">
        <f>E21*F21</f>
        <v>0.28200000000000003</v>
      </c>
      <c r="H21" s="21">
        <f>G21-D21</f>
        <v>0</v>
      </c>
      <c r="I21" s="22">
        <f t="shared" si="0"/>
        <v>0</v>
      </c>
      <c r="J21" s="123">
        <f t="shared" si="1"/>
        <v>1.1992327742475411E-4</v>
      </c>
    </row>
    <row r="22" spans="1:10" s="1" customFormat="1" x14ac:dyDescent="0.2">
      <c r="A22" s="106" t="s">
        <v>117</v>
      </c>
      <c r="B22" s="72">
        <f>B9</f>
        <v>5305</v>
      </c>
      <c r="C22" s="124">
        <f>VLOOKUP($B$3,'Data for Bill Impacts'!$A$3:$Y$15,20,0)</f>
        <v>0</v>
      </c>
      <c r="D22" s="21">
        <f>B22*C22</f>
        <v>0</v>
      </c>
      <c r="E22" s="72">
        <f t="shared" si="4"/>
        <v>5305</v>
      </c>
      <c r="F22" s="124">
        <f>VLOOKUP($B$3,'Data for Bill Impacts'!$A$3:$Y$15,21,0)</f>
        <v>0</v>
      </c>
      <c r="G22" s="21">
        <f>E22*F22</f>
        <v>0</v>
      </c>
      <c r="H22" s="21">
        <f t="shared" si="3"/>
        <v>0</v>
      </c>
      <c r="I22" s="22" t="str">
        <f t="shared" si="0"/>
        <v>N/A</v>
      </c>
      <c r="J22" s="123">
        <f t="shared" si="1"/>
        <v>0</v>
      </c>
    </row>
    <row r="23" spans="1:10" x14ac:dyDescent="0.2">
      <c r="A23" s="109" t="s">
        <v>95</v>
      </c>
      <c r="B23" s="73"/>
      <c r="C23" s="34"/>
      <c r="D23" s="34">
        <f>SUM(D16:D22)</f>
        <v>1345.673</v>
      </c>
      <c r="E23" s="72"/>
      <c r="F23" s="34"/>
      <c r="G23" s="34">
        <f>SUM(G16:G22)</f>
        <v>1413.3530000000001</v>
      </c>
      <c r="H23" s="34">
        <f t="shared" si="3"/>
        <v>67.680000000000064</v>
      </c>
      <c r="I23" s="35">
        <f t="shared" si="0"/>
        <v>5.0294536637058233E-2</v>
      </c>
      <c r="J23" s="110">
        <f t="shared" si="1"/>
        <v>0.60104228339754773</v>
      </c>
    </row>
    <row r="24" spans="1:10" x14ac:dyDescent="0.2">
      <c r="A24" s="106" t="s">
        <v>40</v>
      </c>
      <c r="B24" s="72">
        <f>B5</f>
        <v>100</v>
      </c>
      <c r="C24" s="124">
        <f>VLOOKUP($B$3,'Data for Bill Impacts'!$A$3:$Y$15,15,0)</f>
        <v>0.63949999999999996</v>
      </c>
      <c r="D24" s="21">
        <f>B24*C24</f>
        <v>63.949999999999996</v>
      </c>
      <c r="E24" s="72">
        <f t="shared" si="4"/>
        <v>100</v>
      </c>
      <c r="F24" s="77">
        <f>VLOOKUP($B$3,'Data for Bill Impacts'!$A$3:$Y$15,24,0)</f>
        <v>0.63949999999999996</v>
      </c>
      <c r="G24" s="21">
        <f>E24*F24</f>
        <v>63.949999999999996</v>
      </c>
      <c r="H24" s="21">
        <f t="shared" si="3"/>
        <v>0</v>
      </c>
      <c r="I24" s="22">
        <f t="shared" si="0"/>
        <v>0</v>
      </c>
      <c r="J24" s="123">
        <f t="shared" si="1"/>
        <v>2.7195367345081642E-2</v>
      </c>
    </row>
    <row r="25" spans="1:10" s="1" customFormat="1" x14ac:dyDescent="0.2">
      <c r="A25" s="106" t="s">
        <v>41</v>
      </c>
      <c r="B25" s="72">
        <f>B5</f>
        <v>100</v>
      </c>
      <c r="C25" s="124">
        <f>VLOOKUP($B$3,'Data for Bill Impacts'!$A$3:$Y$15,16,0)</f>
        <v>0.55430000000000001</v>
      </c>
      <c r="D25" s="21">
        <f>B25*C25</f>
        <v>55.43</v>
      </c>
      <c r="E25" s="72">
        <f t="shared" si="4"/>
        <v>100</v>
      </c>
      <c r="F25" s="77">
        <f>VLOOKUP($B$3,'Data for Bill Impacts'!$A$3:$Y$15,25,0)</f>
        <v>0.55430000000000001</v>
      </c>
      <c r="G25" s="21">
        <f>E25*F25</f>
        <v>55.43</v>
      </c>
      <c r="H25" s="21">
        <f t="shared" si="3"/>
        <v>0</v>
      </c>
      <c r="I25" s="22">
        <f t="shared" si="0"/>
        <v>0</v>
      </c>
      <c r="J25" s="123">
        <f t="shared" si="1"/>
        <v>2.3572153431397586E-2</v>
      </c>
    </row>
    <row r="26" spans="1:10" x14ac:dyDescent="0.2">
      <c r="A26" s="109" t="s">
        <v>76</v>
      </c>
      <c r="B26" s="73"/>
      <c r="C26" s="34"/>
      <c r="D26" s="34">
        <f>SUM(D24:D25)</f>
        <v>119.38</v>
      </c>
      <c r="E26" s="72"/>
      <c r="F26" s="34"/>
      <c r="G26" s="34">
        <f>SUM(G24:G25)</f>
        <v>119.38</v>
      </c>
      <c r="H26" s="34">
        <f t="shared" si="3"/>
        <v>0</v>
      </c>
      <c r="I26" s="35">
        <f t="shared" si="0"/>
        <v>0</v>
      </c>
      <c r="J26" s="110">
        <f t="shared" si="1"/>
        <v>5.0767520776479232E-2</v>
      </c>
    </row>
    <row r="27" spans="1:10" s="1" customFormat="1" x14ac:dyDescent="0.2">
      <c r="A27" s="109" t="s">
        <v>80</v>
      </c>
      <c r="B27" s="73"/>
      <c r="C27" s="34"/>
      <c r="D27" s="34">
        <f>D23+D26</f>
        <v>1465.0529999999999</v>
      </c>
      <c r="E27" s="72"/>
      <c r="F27" s="34"/>
      <c r="G27" s="34">
        <f>G23+G26</f>
        <v>1532.7330000000002</v>
      </c>
      <c r="H27" s="34">
        <f t="shared" si="3"/>
        <v>67.680000000000291</v>
      </c>
      <c r="I27" s="35">
        <f t="shared" si="0"/>
        <v>4.6196280953658533E-2</v>
      </c>
      <c r="J27" s="110">
        <f t="shared" si="1"/>
        <v>0.65180980417402701</v>
      </c>
    </row>
    <row r="28" spans="1:10" x14ac:dyDescent="0.2">
      <c r="A28" s="106" t="s">
        <v>42</v>
      </c>
      <c r="B28" s="72">
        <f>B9</f>
        <v>5305</v>
      </c>
      <c r="C28" s="33">
        <v>3.5999999999999999E-3</v>
      </c>
      <c r="D28" s="21">
        <f>B28*C28</f>
        <v>19.097999999999999</v>
      </c>
      <c r="E28" s="72">
        <f t="shared" si="4"/>
        <v>5305</v>
      </c>
      <c r="F28" s="33">
        <v>3.5999999999999999E-3</v>
      </c>
      <c r="G28" s="21">
        <f>E28*F28</f>
        <v>19.097999999999999</v>
      </c>
      <c r="H28" s="21">
        <f t="shared" si="3"/>
        <v>0</v>
      </c>
      <c r="I28" s="22">
        <f t="shared" si="0"/>
        <v>0</v>
      </c>
      <c r="J28" s="123">
        <f t="shared" si="1"/>
        <v>8.1216125966594097E-3</v>
      </c>
    </row>
    <row r="29" spans="1:10" x14ac:dyDescent="0.2">
      <c r="A29" s="106" t="s">
        <v>43</v>
      </c>
      <c r="B29" s="72">
        <f>B9</f>
        <v>5305</v>
      </c>
      <c r="C29" s="33">
        <v>2.0999999999999999E-3</v>
      </c>
      <c r="D29" s="21">
        <f>B29*C29</f>
        <v>11.140499999999999</v>
      </c>
      <c r="E29" s="72">
        <f t="shared" si="4"/>
        <v>5305</v>
      </c>
      <c r="F29" s="33">
        <v>2.0999999999999999E-3</v>
      </c>
      <c r="G29" s="21">
        <f>E29*F29</f>
        <v>11.140499999999999</v>
      </c>
      <c r="H29" s="21">
        <f>G29-D29</f>
        <v>0</v>
      </c>
      <c r="I29" s="22">
        <f t="shared" si="0"/>
        <v>0</v>
      </c>
      <c r="J29" s="123">
        <f t="shared" si="1"/>
        <v>4.7376073480513217E-3</v>
      </c>
    </row>
    <row r="30" spans="1:10" x14ac:dyDescent="0.2">
      <c r="A30" s="106" t="s">
        <v>99</v>
      </c>
      <c r="B30" s="72">
        <f>B9</f>
        <v>5305</v>
      </c>
      <c r="C30" s="33">
        <v>0</v>
      </c>
      <c r="D30" s="21">
        <f>B30*C30</f>
        <v>0</v>
      </c>
      <c r="E30" s="72">
        <f t="shared" si="4"/>
        <v>5305</v>
      </c>
      <c r="F30" s="33">
        <v>0</v>
      </c>
      <c r="G30" s="21">
        <f>E30*F30</f>
        <v>0</v>
      </c>
      <c r="H30" s="21">
        <f>G30-D30</f>
        <v>0</v>
      </c>
      <c r="I30" s="22" t="str">
        <f t="shared" si="0"/>
        <v>N/A</v>
      </c>
      <c r="J30" s="123">
        <f t="shared" ref="J30" si="7">G30/$G$38</f>
        <v>0</v>
      </c>
    </row>
    <row r="31" spans="1:10" x14ac:dyDescent="0.2">
      <c r="A31" s="106" t="s">
        <v>44</v>
      </c>
      <c r="B31" s="72">
        <v>1</v>
      </c>
      <c r="C31" s="21">
        <v>0.25</v>
      </c>
      <c r="D31" s="21">
        <f>B31*C31</f>
        <v>0.25</v>
      </c>
      <c r="E31" s="72">
        <f t="shared" si="4"/>
        <v>1</v>
      </c>
      <c r="F31" s="21">
        <f>C31</f>
        <v>0.25</v>
      </c>
      <c r="G31" s="21">
        <f>E31*F31</f>
        <v>0.25</v>
      </c>
      <c r="H31" s="21">
        <f t="shared" si="3"/>
        <v>0</v>
      </c>
      <c r="I31" s="22">
        <f t="shared" si="0"/>
        <v>0</v>
      </c>
      <c r="J31" s="123">
        <f t="shared" ref="J31:J38" si="8">G31/$G$38</f>
        <v>1.0631496225598767E-4</v>
      </c>
    </row>
    <row r="32" spans="1:10" x14ac:dyDescent="0.2">
      <c r="A32" s="109" t="s">
        <v>45</v>
      </c>
      <c r="B32" s="73"/>
      <c r="C32" s="34"/>
      <c r="D32" s="34">
        <f>SUM(D28:D31)</f>
        <v>30.488499999999998</v>
      </c>
      <c r="E32" s="72"/>
      <c r="F32" s="34"/>
      <c r="G32" s="34">
        <f>SUM(G28:G31)</f>
        <v>30.488499999999998</v>
      </c>
      <c r="H32" s="34">
        <f t="shared" si="3"/>
        <v>0</v>
      </c>
      <c r="I32" s="35">
        <f t="shared" si="0"/>
        <v>0</v>
      </c>
      <c r="J32" s="110">
        <f t="shared" si="8"/>
        <v>1.296553490696672E-2</v>
      </c>
    </row>
    <row r="33" spans="1:10" ht="13.5" thickBot="1" x14ac:dyDescent="0.25">
      <c r="A33" s="111" t="s">
        <v>46</v>
      </c>
      <c r="B33" s="112">
        <f>B4</f>
        <v>5000</v>
      </c>
      <c r="C33" s="113">
        <v>7.0000000000000001E-3</v>
      </c>
      <c r="D33" s="114">
        <f>B33*C33</f>
        <v>35</v>
      </c>
      <c r="E33" s="115">
        <f t="shared" si="4"/>
        <v>5000</v>
      </c>
      <c r="F33" s="113">
        <f>C33</f>
        <v>7.0000000000000001E-3</v>
      </c>
      <c r="G33" s="114">
        <f>E33*F33</f>
        <v>35</v>
      </c>
      <c r="H33" s="114">
        <f t="shared" si="3"/>
        <v>0</v>
      </c>
      <c r="I33" s="116">
        <f t="shared" si="0"/>
        <v>0</v>
      </c>
      <c r="J33" s="117">
        <f t="shared" si="8"/>
        <v>1.4884094715838273E-2</v>
      </c>
    </row>
    <row r="34" spans="1:10" x14ac:dyDescent="0.2">
      <c r="A34" s="36" t="s">
        <v>116</v>
      </c>
      <c r="B34" s="37"/>
      <c r="C34" s="38"/>
      <c r="D34" s="38">
        <f>SUM(D15,D23,D26,D32,D33)</f>
        <v>2013.2964999999999</v>
      </c>
      <c r="E34" s="37"/>
      <c r="F34" s="38"/>
      <c r="G34" s="38">
        <f>SUM(G15,G23,G26,G32,G33)</f>
        <v>2080.9765000000002</v>
      </c>
      <c r="H34" s="38">
        <f t="shared" si="3"/>
        <v>67.680000000000291</v>
      </c>
      <c r="I34" s="39">
        <f t="shared" si="0"/>
        <v>3.3616509043750034E-2</v>
      </c>
      <c r="J34" s="40">
        <f t="shared" si="8"/>
        <v>0.88495575221238931</v>
      </c>
    </row>
    <row r="35" spans="1:10" x14ac:dyDescent="0.2">
      <c r="A35" s="45" t="s">
        <v>108</v>
      </c>
      <c r="B35" s="42"/>
      <c r="C35" s="25">
        <v>0.13</v>
      </c>
      <c r="D35" s="25">
        <f>D34*C35</f>
        <v>261.728545</v>
      </c>
      <c r="E35" s="25"/>
      <c r="F35" s="25">
        <f>C35</f>
        <v>0.13</v>
      </c>
      <c r="G35" s="25">
        <f>G34*F35</f>
        <v>270.52694500000001</v>
      </c>
      <c r="H35" s="25">
        <f t="shared" si="3"/>
        <v>8.7984000000000151</v>
      </c>
      <c r="I35" s="43">
        <f t="shared" si="0"/>
        <v>3.3616509043749951E-2</v>
      </c>
      <c r="J35" s="44">
        <f t="shared" si="8"/>
        <v>0.1150442477876106</v>
      </c>
    </row>
    <row r="36" spans="1:10" x14ac:dyDescent="0.2">
      <c r="A36" s="45" t="s">
        <v>109</v>
      </c>
      <c r="B36" s="23"/>
      <c r="C36" s="24"/>
      <c r="D36" s="24">
        <f>SUM(D34:D35)</f>
        <v>2275.0250449999999</v>
      </c>
      <c r="E36" s="24"/>
      <c r="F36" s="24"/>
      <c r="G36" s="24">
        <f>SUM(G34:G35)</f>
        <v>2351.5034450000003</v>
      </c>
      <c r="H36" s="24">
        <f t="shared" si="3"/>
        <v>76.47840000000042</v>
      </c>
      <c r="I36" s="26">
        <f t="shared" si="0"/>
        <v>3.3616509043750076E-2</v>
      </c>
      <c r="J36" s="46">
        <f t="shared" si="8"/>
        <v>1</v>
      </c>
    </row>
    <row r="37" spans="1:10" x14ac:dyDescent="0.2">
      <c r="A37" s="45" t="s">
        <v>110</v>
      </c>
      <c r="B37" s="42"/>
      <c r="C37" s="25">
        <v>0</v>
      </c>
      <c r="D37" s="25">
        <f>D34*C37</f>
        <v>0</v>
      </c>
      <c r="E37" s="25"/>
      <c r="F37" s="25">
        <f>C37</f>
        <v>0</v>
      </c>
      <c r="G37" s="25">
        <f>G34*F37</f>
        <v>0</v>
      </c>
      <c r="H37" s="25">
        <f t="shared" si="3"/>
        <v>0</v>
      </c>
      <c r="I37" s="43" t="str">
        <f t="shared" si="0"/>
        <v>N/A</v>
      </c>
      <c r="J37" s="44">
        <f t="shared" si="8"/>
        <v>0</v>
      </c>
    </row>
    <row r="38" spans="1:10" ht="13.5" thickBot="1" x14ac:dyDescent="0.25">
      <c r="A38" s="45" t="s">
        <v>111</v>
      </c>
      <c r="B38" s="48"/>
      <c r="C38" s="49"/>
      <c r="D38" s="49">
        <f>SUM(D36:D37)</f>
        <v>2275.0250449999999</v>
      </c>
      <c r="E38" s="49"/>
      <c r="F38" s="49"/>
      <c r="G38" s="49">
        <f>SUM(G36:G37)</f>
        <v>2351.5034450000003</v>
      </c>
      <c r="H38" s="49">
        <f t="shared" si="3"/>
        <v>76.47840000000042</v>
      </c>
      <c r="I38" s="50">
        <f t="shared" si="0"/>
        <v>3.3616509043750076E-2</v>
      </c>
      <c r="J38" s="51">
        <f t="shared" si="8"/>
        <v>1</v>
      </c>
    </row>
    <row r="39" spans="1:10" x14ac:dyDescent="0.2">
      <c r="A39" s="184"/>
      <c r="F39" s="68"/>
    </row>
    <row r="40" spans="1:10" x14ac:dyDescent="0.2">
      <c r="A40" s="184"/>
      <c r="F40" s="68"/>
    </row>
    <row r="41" spans="1:10" x14ac:dyDescent="0.2">
      <c r="A41" s="184"/>
    </row>
    <row r="42" spans="1:10" x14ac:dyDescent="0.2">
      <c r="A42" s="184"/>
    </row>
    <row r="43" spans="1:10" x14ac:dyDescent="0.2">
      <c r="A43" s="184"/>
    </row>
    <row r="44" spans="1:10" x14ac:dyDescent="0.2">
      <c r="A44" s="184"/>
    </row>
    <row r="45" spans="1:10" x14ac:dyDescent="0.2">
      <c r="A45" s="184"/>
    </row>
    <row r="46" spans="1:10" x14ac:dyDescent="0.2">
      <c r="A46" s="184"/>
    </row>
    <row r="47" spans="1:10" x14ac:dyDescent="0.2">
      <c r="A47" s="184"/>
    </row>
    <row r="48" spans="1:10" x14ac:dyDescent="0.2">
      <c r="A48" s="184"/>
    </row>
    <row r="49" spans="1:1" x14ac:dyDescent="0.2">
      <c r="A49" s="184"/>
    </row>
    <row r="50" spans="1:1" x14ac:dyDescent="0.2">
      <c r="A50" s="184"/>
    </row>
    <row r="51" spans="1:1" x14ac:dyDescent="0.2">
      <c r="A51" s="184"/>
    </row>
    <row r="52" spans="1:1" x14ac:dyDescent="0.2">
      <c r="A52" s="184"/>
    </row>
    <row r="53" spans="1:1" x14ac:dyDescent="0.2">
      <c r="A53" s="184"/>
    </row>
    <row r="54" spans="1:1" x14ac:dyDescent="0.2">
      <c r="A54" s="184"/>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scale="71"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tabColor theme="1" tint="0.499984740745262"/>
    <pageSetUpPr fitToPage="1"/>
  </sheetPr>
  <dimension ref="A1:J54"/>
  <sheetViews>
    <sheetView tabSelected="1" topLeftCell="A7" zoomScaleNormal="100" zoomScaleSheetLayoutView="100" workbookViewId="0">
      <selection activeCell="N13" sqref="N13"/>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205" t="s">
        <v>124</v>
      </c>
      <c r="B1" s="206"/>
      <c r="C1" s="206"/>
      <c r="D1" s="206"/>
      <c r="E1" s="206"/>
      <c r="F1" s="206"/>
      <c r="G1" s="206"/>
      <c r="H1" s="206"/>
      <c r="I1" s="206"/>
      <c r="J1" s="207"/>
    </row>
    <row r="3" spans="1:10" x14ac:dyDescent="0.2">
      <c r="A3" s="12" t="s">
        <v>13</v>
      </c>
      <c r="B3" s="12" t="s">
        <v>11</v>
      </c>
    </row>
    <row r="4" spans="1:10" x14ac:dyDescent="0.2">
      <c r="A4" s="14" t="s">
        <v>62</v>
      </c>
      <c r="B4" s="78">
        <v>200000</v>
      </c>
    </row>
    <row r="5" spans="1:10" x14ac:dyDescent="0.2">
      <c r="A5" s="14" t="s">
        <v>16</v>
      </c>
      <c r="B5" s="78">
        <v>500</v>
      </c>
    </row>
    <row r="6" spans="1:10" x14ac:dyDescent="0.2">
      <c r="A6" s="14" t="s">
        <v>20</v>
      </c>
      <c r="B6" s="79">
        <f>VLOOKUP($B$3,'Data for Bill Impacts'!$A$3:$Y$15,2,0)</f>
        <v>1.034</v>
      </c>
    </row>
    <row r="7" spans="1:10" x14ac:dyDescent="0.2">
      <c r="A7" s="80" t="s">
        <v>48</v>
      </c>
      <c r="B7" s="81">
        <f>B4/(B5*730)</f>
        <v>0.54794520547945202</v>
      </c>
    </row>
    <row r="8" spans="1:10" x14ac:dyDescent="0.2">
      <c r="A8" s="14" t="s">
        <v>15</v>
      </c>
      <c r="B8" s="78">
        <f>VLOOKUP($B$3,'Data for Bill Impacts'!$A$3:$Y$15,4,0)</f>
        <v>0</v>
      </c>
    </row>
    <row r="9" spans="1:10" x14ac:dyDescent="0.2">
      <c r="A9" s="14" t="s">
        <v>82</v>
      </c>
      <c r="B9" s="78">
        <f>B4*B6</f>
        <v>206800</v>
      </c>
    </row>
    <row r="10" spans="1:10" x14ac:dyDescent="0.2">
      <c r="A10" s="14" t="s">
        <v>21</v>
      </c>
      <c r="B10" s="15" t="s">
        <v>19</v>
      </c>
    </row>
    <row r="11" spans="1:10" ht="13.5" thickBot="1" x14ac:dyDescent="0.25"/>
    <row r="12" spans="1:10" s="19" customFormat="1" ht="26.25" thickBot="1" x14ac:dyDescent="0.25">
      <c r="A12" s="16"/>
      <c r="B12" s="17" t="s">
        <v>22</v>
      </c>
      <c r="C12" s="17" t="s">
        <v>23</v>
      </c>
      <c r="D12" s="17" t="s">
        <v>24</v>
      </c>
      <c r="E12" s="17" t="s">
        <v>22</v>
      </c>
      <c r="F12" s="17" t="s">
        <v>25</v>
      </c>
      <c r="G12" s="17" t="s">
        <v>26</v>
      </c>
      <c r="H12" s="17" t="s">
        <v>27</v>
      </c>
      <c r="I12" s="17" t="s">
        <v>28</v>
      </c>
      <c r="J12" s="121" t="s">
        <v>49</v>
      </c>
    </row>
    <row r="13" spans="1:10" x14ac:dyDescent="0.2">
      <c r="A13" s="100" t="s">
        <v>31</v>
      </c>
      <c r="B13" s="101">
        <f>B9</f>
        <v>206800</v>
      </c>
      <c r="C13" s="102">
        <v>9.0999999999999998E-2</v>
      </c>
      <c r="D13" s="103">
        <f>B13*C13</f>
        <v>18818.8</v>
      </c>
      <c r="E13" s="101">
        <f>B13</f>
        <v>206800</v>
      </c>
      <c r="F13" s="102">
        <f>C13</f>
        <v>9.0999999999999998E-2</v>
      </c>
      <c r="G13" s="103">
        <f>E13*F13</f>
        <v>18818.8</v>
      </c>
      <c r="H13" s="103">
        <f>G13-D13</f>
        <v>0</v>
      </c>
      <c r="I13" s="104">
        <f t="shared" ref="I13:I38" si="0">IF(ISERROR(H13/ABS(D13)),"N/A",(H13/ABS(D13)))</f>
        <v>0</v>
      </c>
      <c r="J13" s="122">
        <f t="shared" ref="J13:J29" si="1">G13/$G$38</f>
        <v>0.6290824790394598</v>
      </c>
    </row>
    <row r="14" spans="1:10" x14ac:dyDescent="0.2">
      <c r="A14" s="106" t="s">
        <v>32</v>
      </c>
      <c r="B14" s="72">
        <v>0</v>
      </c>
      <c r="C14" s="20">
        <v>0.106</v>
      </c>
      <c r="D14" s="21">
        <f>B14*C14</f>
        <v>0</v>
      </c>
      <c r="E14" s="72">
        <f t="shared" ref="E14" si="2">B14</f>
        <v>0</v>
      </c>
      <c r="F14" s="20">
        <f>C14</f>
        <v>0.106</v>
      </c>
      <c r="G14" s="21">
        <f>E14*F14</f>
        <v>0</v>
      </c>
      <c r="H14" s="21">
        <f t="shared" ref="H14:H38" si="3">G14-D14</f>
        <v>0</v>
      </c>
      <c r="I14" s="22" t="str">
        <f t="shared" si="0"/>
        <v>N/A</v>
      </c>
      <c r="J14" s="123">
        <f t="shared" si="1"/>
        <v>0</v>
      </c>
    </row>
    <row r="15" spans="1:10" s="1" customFormat="1" x14ac:dyDescent="0.2">
      <c r="A15" s="45" t="s">
        <v>33</v>
      </c>
      <c r="B15" s="23"/>
      <c r="C15" s="24"/>
      <c r="D15" s="24">
        <f>SUM(D13:D14)</f>
        <v>18818.8</v>
      </c>
      <c r="E15" s="75"/>
      <c r="F15" s="24"/>
      <c r="G15" s="24">
        <f>SUM(G13:G14)</f>
        <v>18818.8</v>
      </c>
      <c r="H15" s="24">
        <f t="shared" si="3"/>
        <v>0</v>
      </c>
      <c r="I15" s="26">
        <f t="shared" si="0"/>
        <v>0</v>
      </c>
      <c r="J15" s="46">
        <f t="shared" si="1"/>
        <v>0.6290824790394598</v>
      </c>
    </row>
    <row r="16" spans="1:10" s="1" customFormat="1" x14ac:dyDescent="0.2">
      <c r="A16" s="106" t="s">
        <v>38</v>
      </c>
      <c r="B16" s="72">
        <v>1</v>
      </c>
      <c r="C16" s="77">
        <f>VLOOKUP($B$3,'Data for Bill Impacts'!$A$3:$Y$15,7,0)</f>
        <v>1270.3699999999999</v>
      </c>
      <c r="D16" s="21">
        <f>B16*C16</f>
        <v>1270.3699999999999</v>
      </c>
      <c r="E16" s="72">
        <f t="shared" ref="E16:E33" si="4">B16</f>
        <v>1</v>
      </c>
      <c r="F16" s="77">
        <f>VLOOKUP($B$3,'Data for Bill Impacts'!$A$3:$Y$15,17,0)</f>
        <v>1300.23</v>
      </c>
      <c r="G16" s="21">
        <f>E16*F16</f>
        <v>1300.23</v>
      </c>
      <c r="H16" s="21">
        <f t="shared" si="3"/>
        <v>29.860000000000127</v>
      </c>
      <c r="I16" s="22">
        <f t="shared" si="0"/>
        <v>2.3504963120980604E-2</v>
      </c>
      <c r="J16" s="123">
        <f t="shared" si="1"/>
        <v>4.3464615794921932E-2</v>
      </c>
    </row>
    <row r="17" spans="1:10" hidden="1" x14ac:dyDescent="0.2">
      <c r="A17" s="106" t="s">
        <v>83</v>
      </c>
      <c r="B17" s="72">
        <v>1</v>
      </c>
      <c r="C17" s="77">
        <f>VLOOKUP($B$3,'Data for Bill Impacts'!$A$3:$Y$15,8,0)</f>
        <v>0</v>
      </c>
      <c r="D17" s="21">
        <f>B17*C17</f>
        <v>0</v>
      </c>
      <c r="E17" s="72">
        <f t="shared" si="4"/>
        <v>1</v>
      </c>
      <c r="F17" s="77">
        <v>0</v>
      </c>
      <c r="G17" s="21">
        <f t="shared" ref="G17:G19" si="5">E17*F17</f>
        <v>0</v>
      </c>
      <c r="H17" s="21">
        <f t="shared" si="3"/>
        <v>0</v>
      </c>
      <c r="I17" s="22" t="str">
        <f t="shared" si="0"/>
        <v>N/A</v>
      </c>
      <c r="J17" s="123">
        <f t="shared" si="1"/>
        <v>0</v>
      </c>
    </row>
    <row r="18" spans="1:10" hidden="1" x14ac:dyDescent="0.2">
      <c r="A18" s="106" t="s">
        <v>84</v>
      </c>
      <c r="B18" s="72">
        <v>1</v>
      </c>
      <c r="C18" s="77">
        <f>VLOOKUP($B$3,'Data for Bill Impacts'!$A$3:$Y$15,11,0)</f>
        <v>0</v>
      </c>
      <c r="D18" s="21">
        <f t="shared" ref="D18:D19" si="6">B18*C18</f>
        <v>0</v>
      </c>
      <c r="E18" s="72">
        <f t="shared" si="4"/>
        <v>1</v>
      </c>
      <c r="F18" s="77">
        <f>VLOOKUP($B$3,'Data for Bill Impacts'!$A$3:$Y$15,12,0)</f>
        <v>0</v>
      </c>
      <c r="G18" s="21">
        <f t="shared" si="5"/>
        <v>0</v>
      </c>
      <c r="H18" s="21">
        <f t="shared" si="3"/>
        <v>0</v>
      </c>
      <c r="I18" s="22" t="str">
        <f t="shared" si="0"/>
        <v>N/A</v>
      </c>
      <c r="J18" s="123">
        <f t="shared" si="1"/>
        <v>0</v>
      </c>
    </row>
    <row r="19" spans="1:10" x14ac:dyDescent="0.2">
      <c r="A19" s="106" t="s">
        <v>85</v>
      </c>
      <c r="B19" s="72">
        <v>1</v>
      </c>
      <c r="C19" s="120">
        <f>VLOOKUP($B$3,'Data for Bill Impacts'!$A$3:$Y$15,13,0)</f>
        <v>3.819</v>
      </c>
      <c r="D19" s="21">
        <f t="shared" si="6"/>
        <v>3.819</v>
      </c>
      <c r="E19" s="72">
        <f t="shared" si="4"/>
        <v>1</v>
      </c>
      <c r="F19" s="120">
        <f>VLOOKUP($B$3,'Data for Bill Impacts'!$A$3:$Y$15,22,0)</f>
        <v>3.819</v>
      </c>
      <c r="G19" s="21">
        <f t="shared" si="5"/>
        <v>3.819</v>
      </c>
      <c r="H19" s="21">
        <f t="shared" si="3"/>
        <v>0</v>
      </c>
      <c r="I19" s="22">
        <f t="shared" si="0"/>
        <v>0</v>
      </c>
      <c r="J19" s="123">
        <f t="shared" si="1"/>
        <v>1.2766308093245567E-4</v>
      </c>
    </row>
    <row r="20" spans="1:10" x14ac:dyDescent="0.2">
      <c r="A20" s="106" t="s">
        <v>39</v>
      </c>
      <c r="B20" s="72">
        <f>IF($B$10="kWh",$B$4,$B$5)</f>
        <v>500</v>
      </c>
      <c r="C20" s="124">
        <f>VLOOKUP($B$3,'Data for Bill Impacts'!$A$3:$Y$15,10,0)</f>
        <v>1.4496644372303882</v>
      </c>
      <c r="D20" s="21">
        <f>B20*C20</f>
        <v>724.83221861519405</v>
      </c>
      <c r="E20" s="72">
        <f t="shared" si="4"/>
        <v>500</v>
      </c>
      <c r="F20" s="124">
        <f>VLOOKUP($B$3,'Data for Bill Impacts'!$A$3:$Y$15,19,0)</f>
        <v>1.491185317574055</v>
      </c>
      <c r="G20" s="21">
        <f>E20*F20</f>
        <v>745.59265878702752</v>
      </c>
      <c r="H20" s="21">
        <f t="shared" si="3"/>
        <v>20.760440171833466</v>
      </c>
      <c r="I20" s="22">
        <f t="shared" si="0"/>
        <v>2.864171823307839E-2</v>
      </c>
      <c r="J20" s="123">
        <f t="shared" si="1"/>
        <v>2.4923973799783478E-2</v>
      </c>
    </row>
    <row r="21" spans="1:10" s="1" customFormat="1" x14ac:dyDescent="0.2">
      <c r="A21" s="106" t="s">
        <v>129</v>
      </c>
      <c r="B21" s="72">
        <f>IF($B$10="kWh",$B$4,$B$5)</f>
        <v>500</v>
      </c>
      <c r="C21" s="124">
        <f>VLOOKUP($B$3,'Data for Bill Impacts'!$A$3:$Y$15,14,0)</f>
        <v>-0.13666999999999996</v>
      </c>
      <c r="D21" s="21">
        <f>B21*C21</f>
        <v>-68.33499999999998</v>
      </c>
      <c r="E21" s="72">
        <f>B21</f>
        <v>500</v>
      </c>
      <c r="F21" s="124">
        <f>VLOOKUP($B$3,'Data for Bill Impacts'!$A$3:$Y$15,23,0)</f>
        <v>-0.13666999999999996</v>
      </c>
      <c r="G21" s="21">
        <f>E21*F21</f>
        <v>-68.33499999999998</v>
      </c>
      <c r="H21" s="21">
        <f>G21-D21</f>
        <v>0</v>
      </c>
      <c r="I21" s="22">
        <f t="shared" si="0"/>
        <v>0</v>
      </c>
      <c r="J21" s="123">
        <f t="shared" si="1"/>
        <v>-2.2843300957107503E-3</v>
      </c>
    </row>
    <row r="22" spans="1:10" s="1" customFormat="1" x14ac:dyDescent="0.2">
      <c r="A22" s="106" t="s">
        <v>117</v>
      </c>
      <c r="B22" s="72">
        <f>B9</f>
        <v>206800</v>
      </c>
      <c r="C22" s="124">
        <f>VLOOKUP($B$3,'Data for Bill Impacts'!$A$3:$Y$15,20,0)</f>
        <v>0</v>
      </c>
      <c r="D22" s="21">
        <f>B22*C22</f>
        <v>0</v>
      </c>
      <c r="E22" s="72">
        <f t="shared" si="4"/>
        <v>206800</v>
      </c>
      <c r="F22" s="124">
        <f>VLOOKUP($B$3,'Data for Bill Impacts'!$A$3:$Y$15,21,0)</f>
        <v>0</v>
      </c>
      <c r="G22" s="21">
        <f>E22*F22</f>
        <v>0</v>
      </c>
      <c r="H22" s="21">
        <f t="shared" si="3"/>
        <v>0</v>
      </c>
      <c r="I22" s="22" t="str">
        <f t="shared" si="0"/>
        <v>N/A</v>
      </c>
      <c r="J22" s="123">
        <f t="shared" si="1"/>
        <v>0</v>
      </c>
    </row>
    <row r="23" spans="1:10" x14ac:dyDescent="0.2">
      <c r="A23" s="109" t="s">
        <v>95</v>
      </c>
      <c r="B23" s="73"/>
      <c r="C23" s="34"/>
      <c r="D23" s="34">
        <f>SUM(D16:D22)</f>
        <v>1930.6862186151939</v>
      </c>
      <c r="E23" s="72"/>
      <c r="F23" s="34"/>
      <c r="G23" s="34">
        <f>SUM(G16:G22)</f>
        <v>1981.3066587870276</v>
      </c>
      <c r="H23" s="34">
        <f t="shared" si="3"/>
        <v>50.620440171833707</v>
      </c>
      <c r="I23" s="35">
        <f t="shared" si="0"/>
        <v>2.6218885121654715E-2</v>
      </c>
      <c r="J23" s="110">
        <f t="shared" si="1"/>
        <v>6.6231922579927119E-2</v>
      </c>
    </row>
    <row r="24" spans="1:10" x14ac:dyDescent="0.2">
      <c r="A24" s="106" t="s">
        <v>40</v>
      </c>
      <c r="B24" s="72">
        <f>B5</f>
        <v>500</v>
      </c>
      <c r="C24" s="124">
        <f>VLOOKUP($B$3,'Data for Bill Impacts'!$A$3:$Y$15,15,0)</f>
        <v>3.5367000000000002</v>
      </c>
      <c r="D24" s="21">
        <f>B24*C24</f>
        <v>1768.3500000000001</v>
      </c>
      <c r="E24" s="72">
        <f t="shared" si="4"/>
        <v>500</v>
      </c>
      <c r="F24" s="77">
        <f>VLOOKUP($B$3,'Data for Bill Impacts'!$A$3:$Y$15,24,0)</f>
        <v>3.5367000000000002</v>
      </c>
      <c r="G24" s="21">
        <f>E24*F24</f>
        <v>1768.3500000000001</v>
      </c>
      <c r="H24" s="21">
        <f t="shared" si="3"/>
        <v>0</v>
      </c>
      <c r="I24" s="22">
        <f t="shared" si="0"/>
        <v>0</v>
      </c>
      <c r="J24" s="123">
        <f t="shared" si="1"/>
        <v>5.9113121017781621E-2</v>
      </c>
    </row>
    <row r="25" spans="1:10" s="1" customFormat="1" x14ac:dyDescent="0.2">
      <c r="A25" s="106" t="s">
        <v>41</v>
      </c>
      <c r="B25" s="72">
        <f>B5</f>
        <v>500</v>
      </c>
      <c r="C25" s="124">
        <f>VLOOKUP($B$3,'Data for Bill Impacts'!$A$3:$Y$15,16,0)</f>
        <v>2.6514000000000002</v>
      </c>
      <c r="D25" s="21">
        <f>B25*C25</f>
        <v>1325.7</v>
      </c>
      <c r="E25" s="72">
        <f t="shared" si="4"/>
        <v>500</v>
      </c>
      <c r="F25" s="77">
        <f>VLOOKUP($B$3,'Data for Bill Impacts'!$A$3:$Y$15,25,0)</f>
        <v>2.6514000000000002</v>
      </c>
      <c r="G25" s="21">
        <f>E25*F25</f>
        <v>1325.7</v>
      </c>
      <c r="H25" s="21">
        <f t="shared" si="3"/>
        <v>0</v>
      </c>
      <c r="I25" s="22">
        <f t="shared" si="0"/>
        <v>0</v>
      </c>
      <c r="J25" s="123">
        <f t="shared" si="1"/>
        <v>4.4316037285194163E-2</v>
      </c>
    </row>
    <row r="26" spans="1:10" x14ac:dyDescent="0.2">
      <c r="A26" s="109" t="s">
        <v>76</v>
      </c>
      <c r="B26" s="73"/>
      <c r="C26" s="34"/>
      <c r="D26" s="34">
        <f>SUM(D24:D25)</f>
        <v>3094.05</v>
      </c>
      <c r="E26" s="72"/>
      <c r="F26" s="34"/>
      <c r="G26" s="34">
        <f>SUM(G24:G25)</f>
        <v>3094.05</v>
      </c>
      <c r="H26" s="34">
        <f t="shared" si="3"/>
        <v>0</v>
      </c>
      <c r="I26" s="35">
        <f t="shared" si="0"/>
        <v>0</v>
      </c>
      <c r="J26" s="110">
        <f t="shared" si="1"/>
        <v>0.10342915830297578</v>
      </c>
    </row>
    <row r="27" spans="1:10" s="1" customFormat="1" x14ac:dyDescent="0.2">
      <c r="A27" s="109" t="s">
        <v>80</v>
      </c>
      <c r="B27" s="73"/>
      <c r="C27" s="34"/>
      <c r="D27" s="34">
        <f>D23+D26</f>
        <v>5024.736218615194</v>
      </c>
      <c r="E27" s="72"/>
      <c r="F27" s="34"/>
      <c r="G27" s="34">
        <f>G23+G26</f>
        <v>5075.3566587870282</v>
      </c>
      <c r="H27" s="34">
        <f t="shared" si="3"/>
        <v>50.620440171834161</v>
      </c>
      <c r="I27" s="35">
        <f t="shared" si="0"/>
        <v>1.0074248272834716E-2</v>
      </c>
      <c r="J27" s="110">
        <f t="shared" si="1"/>
        <v>0.16966108088290291</v>
      </c>
    </row>
    <row r="28" spans="1:10" x14ac:dyDescent="0.2">
      <c r="A28" s="106" t="s">
        <v>42</v>
      </c>
      <c r="B28" s="72">
        <f>B9</f>
        <v>206800</v>
      </c>
      <c r="C28" s="33">
        <v>3.5999999999999999E-3</v>
      </c>
      <c r="D28" s="21">
        <f>B28*C28</f>
        <v>744.48</v>
      </c>
      <c r="E28" s="72">
        <f t="shared" si="4"/>
        <v>206800</v>
      </c>
      <c r="F28" s="33">
        <v>3.5999999999999999E-3</v>
      </c>
      <c r="G28" s="21">
        <f>E28*F28</f>
        <v>744.48</v>
      </c>
      <c r="H28" s="21">
        <f t="shared" si="3"/>
        <v>0</v>
      </c>
      <c r="I28" s="22">
        <f t="shared" si="0"/>
        <v>0</v>
      </c>
      <c r="J28" s="123">
        <f t="shared" si="1"/>
        <v>2.4886779390572034E-2</v>
      </c>
    </row>
    <row r="29" spans="1:10" x14ac:dyDescent="0.2">
      <c r="A29" s="106" t="s">
        <v>43</v>
      </c>
      <c r="B29" s="72">
        <f>B9</f>
        <v>206800</v>
      </c>
      <c r="C29" s="33">
        <v>2.0999999999999999E-3</v>
      </c>
      <c r="D29" s="21">
        <f>B29*C29</f>
        <v>434.28</v>
      </c>
      <c r="E29" s="72">
        <f t="shared" si="4"/>
        <v>206800</v>
      </c>
      <c r="F29" s="33">
        <v>2.0999999999999999E-3</v>
      </c>
      <c r="G29" s="21">
        <f>E29*F29</f>
        <v>434.28</v>
      </c>
      <c r="H29" s="21">
        <f>G29-D29</f>
        <v>0</v>
      </c>
      <c r="I29" s="22">
        <f t="shared" si="0"/>
        <v>0</v>
      </c>
      <c r="J29" s="123">
        <f t="shared" si="1"/>
        <v>1.4517287977833686E-2</v>
      </c>
    </row>
    <row r="30" spans="1:10" x14ac:dyDescent="0.2">
      <c r="A30" s="106" t="s">
        <v>99</v>
      </c>
      <c r="B30" s="72">
        <f>B9</f>
        <v>206800</v>
      </c>
      <c r="C30" s="33">
        <v>0</v>
      </c>
      <c r="D30" s="21">
        <f>B30*C30</f>
        <v>0</v>
      </c>
      <c r="E30" s="72">
        <f t="shared" si="4"/>
        <v>206800</v>
      </c>
      <c r="F30" s="33">
        <v>0</v>
      </c>
      <c r="G30" s="21">
        <f>E30*F30</f>
        <v>0</v>
      </c>
      <c r="H30" s="21">
        <f>G30-D30</f>
        <v>0</v>
      </c>
      <c r="I30" s="22" t="str">
        <f t="shared" si="0"/>
        <v>N/A</v>
      </c>
      <c r="J30" s="123">
        <f t="shared" ref="J30" si="7">G30/$G$38</f>
        <v>0</v>
      </c>
    </row>
    <row r="31" spans="1:10" x14ac:dyDescent="0.2">
      <c r="A31" s="106" t="s">
        <v>44</v>
      </c>
      <c r="B31" s="72">
        <v>1</v>
      </c>
      <c r="C31" s="21">
        <v>0.25</v>
      </c>
      <c r="D31" s="21">
        <f>B31*C31</f>
        <v>0.25</v>
      </c>
      <c r="E31" s="72">
        <f t="shared" si="4"/>
        <v>1</v>
      </c>
      <c r="F31" s="21">
        <f>C31</f>
        <v>0.25</v>
      </c>
      <c r="G31" s="21">
        <f>E31*F31</f>
        <v>0.25</v>
      </c>
      <c r="H31" s="21">
        <f t="shared" si="3"/>
        <v>0</v>
      </c>
      <c r="I31" s="22">
        <f t="shared" si="0"/>
        <v>0</v>
      </c>
      <c r="J31" s="123">
        <f t="shared" ref="J31:J38" si="8">G31/$G$38</f>
        <v>8.3571013964686883E-6</v>
      </c>
    </row>
    <row r="32" spans="1:10" x14ac:dyDescent="0.2">
      <c r="A32" s="109" t="s">
        <v>45</v>
      </c>
      <c r="B32" s="73"/>
      <c r="C32" s="34"/>
      <c r="D32" s="34">
        <f>SUM(D28:D31)</f>
        <v>1179.01</v>
      </c>
      <c r="E32" s="72"/>
      <c r="F32" s="34"/>
      <c r="G32" s="34">
        <f>SUM(G28:G31)</f>
        <v>1179.01</v>
      </c>
      <c r="H32" s="34">
        <f t="shared" si="3"/>
        <v>0</v>
      </c>
      <c r="I32" s="35">
        <f t="shared" si="0"/>
        <v>0</v>
      </c>
      <c r="J32" s="110">
        <f t="shared" si="8"/>
        <v>3.9412424469802192E-2</v>
      </c>
    </row>
    <row r="33" spans="1:10" ht="13.5" thickBot="1" x14ac:dyDescent="0.25">
      <c r="A33" s="111" t="s">
        <v>46</v>
      </c>
      <c r="B33" s="112">
        <f>B4</f>
        <v>200000</v>
      </c>
      <c r="C33" s="113">
        <v>7.0000000000000001E-3</v>
      </c>
      <c r="D33" s="114">
        <f>B33*C33</f>
        <v>1400</v>
      </c>
      <c r="E33" s="115">
        <f t="shared" si="4"/>
        <v>200000</v>
      </c>
      <c r="F33" s="113">
        <f>C33</f>
        <v>7.0000000000000001E-3</v>
      </c>
      <c r="G33" s="114">
        <f>E33*F33</f>
        <v>1400</v>
      </c>
      <c r="H33" s="114">
        <f t="shared" si="3"/>
        <v>0</v>
      </c>
      <c r="I33" s="116">
        <f t="shared" si="0"/>
        <v>0</v>
      </c>
      <c r="J33" s="117">
        <f t="shared" si="8"/>
        <v>4.6799767820224651E-2</v>
      </c>
    </row>
    <row r="34" spans="1:10" x14ac:dyDescent="0.2">
      <c r="A34" s="36" t="s">
        <v>116</v>
      </c>
      <c r="B34" s="37"/>
      <c r="C34" s="38"/>
      <c r="D34" s="38">
        <f>SUM(D15,D23,D26,D32,D33)</f>
        <v>26422.546218615193</v>
      </c>
      <c r="E34" s="37"/>
      <c r="F34" s="38"/>
      <c r="G34" s="38">
        <f>SUM(G15,G23,G26,G32,G33)</f>
        <v>26473.166658787024</v>
      </c>
      <c r="H34" s="38">
        <f t="shared" si="3"/>
        <v>50.620440171831433</v>
      </c>
      <c r="I34" s="39">
        <f t="shared" si="0"/>
        <v>1.9158047734312736E-3</v>
      </c>
      <c r="J34" s="40">
        <f t="shared" si="8"/>
        <v>0.88495575221238942</v>
      </c>
    </row>
    <row r="35" spans="1:10" x14ac:dyDescent="0.2">
      <c r="A35" s="45" t="s">
        <v>108</v>
      </c>
      <c r="B35" s="42"/>
      <c r="C35" s="25">
        <v>0.13</v>
      </c>
      <c r="D35" s="25">
        <f>D34*C35</f>
        <v>3434.9310084199751</v>
      </c>
      <c r="E35" s="25"/>
      <c r="F35" s="25">
        <f>C35</f>
        <v>0.13</v>
      </c>
      <c r="G35" s="25">
        <f>G34*F35</f>
        <v>3441.5116656423133</v>
      </c>
      <c r="H35" s="25">
        <f t="shared" si="3"/>
        <v>6.5806572223382318</v>
      </c>
      <c r="I35" s="43">
        <f t="shared" si="0"/>
        <v>1.9158047734313159E-3</v>
      </c>
      <c r="J35" s="44">
        <f t="shared" si="8"/>
        <v>0.11504424778761063</v>
      </c>
    </row>
    <row r="36" spans="1:10" x14ac:dyDescent="0.2">
      <c r="A36" s="45" t="s">
        <v>109</v>
      </c>
      <c r="B36" s="23"/>
      <c r="C36" s="24"/>
      <c r="D36" s="24">
        <f>SUM(D34:D35)</f>
        <v>29857.477227035168</v>
      </c>
      <c r="E36" s="24"/>
      <c r="F36" s="24"/>
      <c r="G36" s="24">
        <f>SUM(G34:G35)</f>
        <v>29914.678324429336</v>
      </c>
      <c r="H36" s="24">
        <f t="shared" si="3"/>
        <v>57.201097394168755</v>
      </c>
      <c r="I36" s="26">
        <f t="shared" si="0"/>
        <v>1.915804773431248E-3</v>
      </c>
      <c r="J36" s="46">
        <f t="shared" si="8"/>
        <v>1</v>
      </c>
    </row>
    <row r="37" spans="1:10" x14ac:dyDescent="0.2">
      <c r="A37" s="45" t="s">
        <v>110</v>
      </c>
      <c r="B37" s="42"/>
      <c r="C37" s="25">
        <v>0</v>
      </c>
      <c r="D37" s="25">
        <f>D34*C37</f>
        <v>0</v>
      </c>
      <c r="E37" s="25"/>
      <c r="F37" s="25">
        <f>C37</f>
        <v>0</v>
      </c>
      <c r="G37" s="25">
        <f>G34*F37</f>
        <v>0</v>
      </c>
      <c r="H37" s="25">
        <f t="shared" si="3"/>
        <v>0</v>
      </c>
      <c r="I37" s="43" t="str">
        <f t="shared" si="0"/>
        <v>N/A</v>
      </c>
      <c r="J37" s="44">
        <f t="shared" si="8"/>
        <v>0</v>
      </c>
    </row>
    <row r="38" spans="1:10" ht="13.5" thickBot="1" x14ac:dyDescent="0.25">
      <c r="A38" s="45" t="s">
        <v>111</v>
      </c>
      <c r="B38" s="48"/>
      <c r="C38" s="49"/>
      <c r="D38" s="49">
        <f>SUM(D36:D37)</f>
        <v>29857.477227035168</v>
      </c>
      <c r="E38" s="49"/>
      <c r="F38" s="49"/>
      <c r="G38" s="49">
        <f>SUM(G36:G37)</f>
        <v>29914.678324429336</v>
      </c>
      <c r="H38" s="49">
        <f t="shared" si="3"/>
        <v>57.201097394168755</v>
      </c>
      <c r="I38" s="50">
        <f t="shared" si="0"/>
        <v>1.915804773431248E-3</v>
      </c>
      <c r="J38" s="51">
        <f t="shared" si="8"/>
        <v>1</v>
      </c>
    </row>
    <row r="39" spans="1:10" x14ac:dyDescent="0.2">
      <c r="A39" s="184"/>
      <c r="F39" s="68"/>
    </row>
    <row r="40" spans="1:10" x14ac:dyDescent="0.2">
      <c r="A40" s="184"/>
      <c r="F40" s="68"/>
    </row>
    <row r="41" spans="1:10" x14ac:dyDescent="0.2">
      <c r="A41" s="184"/>
    </row>
    <row r="42" spans="1:10" x14ac:dyDescent="0.2">
      <c r="A42" s="184"/>
    </row>
    <row r="43" spans="1:10" x14ac:dyDescent="0.2">
      <c r="A43" s="184"/>
    </row>
    <row r="44" spans="1:10" x14ac:dyDescent="0.2">
      <c r="A44" s="184"/>
    </row>
    <row r="45" spans="1:10" x14ac:dyDescent="0.2">
      <c r="A45" s="184"/>
    </row>
    <row r="46" spans="1:10" x14ac:dyDescent="0.2">
      <c r="A46" s="184"/>
    </row>
    <row r="47" spans="1:10" x14ac:dyDescent="0.2">
      <c r="A47" s="184"/>
    </row>
    <row r="48" spans="1:10" x14ac:dyDescent="0.2">
      <c r="A48" s="184"/>
    </row>
    <row r="49" spans="1:1" x14ac:dyDescent="0.2">
      <c r="A49" s="184"/>
    </row>
    <row r="50" spans="1:1" x14ac:dyDescent="0.2">
      <c r="A50" s="184"/>
    </row>
    <row r="51" spans="1:1" x14ac:dyDescent="0.2">
      <c r="A51" s="184"/>
    </row>
    <row r="52" spans="1:1" x14ac:dyDescent="0.2">
      <c r="A52" s="184"/>
    </row>
    <row r="53" spans="1:1" x14ac:dyDescent="0.2">
      <c r="A53" s="184"/>
    </row>
    <row r="54" spans="1:1" x14ac:dyDescent="0.2">
      <c r="A54" s="184"/>
    </row>
  </sheetData>
  <mergeCells count="1">
    <mergeCell ref="A1:J1"/>
  </mergeCells>
  <dataValidations disablePrompts="1"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scale="71"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Impacts'!$A$12:$A$15</xm:f>
          </x14:formula1>
          <xm:sqref>B3</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tabColor theme="1" tint="0.499984740745262"/>
    <pageSetUpPr fitToPage="1"/>
  </sheetPr>
  <dimension ref="A1:J54"/>
  <sheetViews>
    <sheetView tabSelected="1" zoomScaleNormal="100" workbookViewId="0">
      <selection activeCell="N13" sqref="N13"/>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205" t="s">
        <v>127</v>
      </c>
      <c r="B1" s="206"/>
      <c r="C1" s="206"/>
      <c r="D1" s="206"/>
      <c r="E1" s="206"/>
      <c r="F1" s="206"/>
      <c r="G1" s="206"/>
      <c r="H1" s="206"/>
      <c r="I1" s="206"/>
      <c r="J1" s="207"/>
    </row>
    <row r="3" spans="1:10" x14ac:dyDescent="0.2">
      <c r="A3" s="12" t="s">
        <v>13</v>
      </c>
      <c r="B3" s="12" t="s">
        <v>11</v>
      </c>
    </row>
    <row r="4" spans="1:10" x14ac:dyDescent="0.2">
      <c r="A4" s="14" t="s">
        <v>62</v>
      </c>
      <c r="B4" s="78">
        <f>'Data for Bill Impacts_HONI Avg '!C15</f>
        <v>1601036</v>
      </c>
    </row>
    <row r="5" spans="1:10" x14ac:dyDescent="0.2">
      <c r="A5" s="14" t="s">
        <v>16</v>
      </c>
      <c r="B5" s="78">
        <v>2960</v>
      </c>
    </row>
    <row r="6" spans="1:10" x14ac:dyDescent="0.2">
      <c r="A6" s="14" t="s">
        <v>20</v>
      </c>
      <c r="B6" s="79">
        <f>VLOOKUP($B$3,'Data for Bill Impacts'!$A$3:$Y$15,2,0)</f>
        <v>1.034</v>
      </c>
    </row>
    <row r="7" spans="1:10" x14ac:dyDescent="0.2">
      <c r="A7" s="80" t="s">
        <v>48</v>
      </c>
      <c r="B7" s="81">
        <f>B4/(B5*730)</f>
        <v>0.74094594594594598</v>
      </c>
    </row>
    <row r="8" spans="1:10" x14ac:dyDescent="0.2">
      <c r="A8" s="14" t="s">
        <v>15</v>
      </c>
      <c r="B8" s="78">
        <f>VLOOKUP($B$3,'Data for Bill Impacts'!$A$3:$Y$15,4,0)</f>
        <v>0</v>
      </c>
    </row>
    <row r="9" spans="1:10" x14ac:dyDescent="0.2">
      <c r="A9" s="14" t="s">
        <v>82</v>
      </c>
      <c r="B9" s="78">
        <f>B4*B6</f>
        <v>1655471.2240000002</v>
      </c>
    </row>
    <row r="10" spans="1:10" x14ac:dyDescent="0.2">
      <c r="A10" s="14" t="s">
        <v>21</v>
      </c>
      <c r="B10" s="15" t="s">
        <v>19</v>
      </c>
    </row>
    <row r="11" spans="1:10" ht="13.5" thickBot="1" x14ac:dyDescent="0.25"/>
    <row r="12" spans="1:10" s="19" customFormat="1" ht="26.25" thickBot="1" x14ac:dyDescent="0.25">
      <c r="A12" s="16"/>
      <c r="B12" s="17" t="s">
        <v>22</v>
      </c>
      <c r="C12" s="17" t="s">
        <v>23</v>
      </c>
      <c r="D12" s="17" t="s">
        <v>24</v>
      </c>
      <c r="E12" s="17" t="s">
        <v>22</v>
      </c>
      <c r="F12" s="17" t="s">
        <v>25</v>
      </c>
      <c r="G12" s="17" t="s">
        <v>26</v>
      </c>
      <c r="H12" s="17" t="s">
        <v>27</v>
      </c>
      <c r="I12" s="17" t="s">
        <v>28</v>
      </c>
      <c r="J12" s="121" t="s">
        <v>49</v>
      </c>
    </row>
    <row r="13" spans="1:10" x14ac:dyDescent="0.2">
      <c r="A13" s="100" t="s">
        <v>31</v>
      </c>
      <c r="B13" s="101">
        <f>B9</f>
        <v>1655471.2240000002</v>
      </c>
      <c r="C13" s="102">
        <v>9.0999999999999998E-2</v>
      </c>
      <c r="D13" s="103">
        <f>B13*C13</f>
        <v>150647.88138400001</v>
      </c>
      <c r="E13" s="101">
        <f>B13</f>
        <v>1655471.2240000002</v>
      </c>
      <c r="F13" s="102">
        <f>C13</f>
        <v>9.0999999999999998E-2</v>
      </c>
      <c r="G13" s="103">
        <f>E13*F13</f>
        <v>150647.88138400001</v>
      </c>
      <c r="H13" s="103">
        <f>G13-D13</f>
        <v>0</v>
      </c>
      <c r="I13" s="104">
        <f t="shared" ref="I13:I38" si="0">IF(ISERROR(H13/ABS(D13)),"N/A",(H13/ABS(D13)))</f>
        <v>0</v>
      </c>
      <c r="J13" s="122">
        <f t="shared" ref="J13:J38" si="1">G13/$G$38</f>
        <v>0.68394985451601287</v>
      </c>
    </row>
    <row r="14" spans="1:10" x14ac:dyDescent="0.2">
      <c r="A14" s="106" t="s">
        <v>32</v>
      </c>
      <c r="B14" s="72">
        <v>0</v>
      </c>
      <c r="C14" s="20">
        <v>0.106</v>
      </c>
      <c r="D14" s="21">
        <f>B14*C14</f>
        <v>0</v>
      </c>
      <c r="E14" s="72">
        <f t="shared" ref="E14" si="2">B14</f>
        <v>0</v>
      </c>
      <c r="F14" s="20">
        <f>C14</f>
        <v>0.106</v>
      </c>
      <c r="G14" s="21">
        <f>E14*F14</f>
        <v>0</v>
      </c>
      <c r="H14" s="21">
        <f t="shared" ref="H14:H38" si="3">G14-D14</f>
        <v>0</v>
      </c>
      <c r="I14" s="22" t="str">
        <f t="shared" si="0"/>
        <v>N/A</v>
      </c>
      <c r="J14" s="123">
        <f t="shared" si="1"/>
        <v>0</v>
      </c>
    </row>
    <row r="15" spans="1:10" s="1" customFormat="1" x14ac:dyDescent="0.2">
      <c r="A15" s="45" t="s">
        <v>33</v>
      </c>
      <c r="B15" s="23"/>
      <c r="C15" s="24"/>
      <c r="D15" s="24">
        <f>SUM(D13:D14)</f>
        <v>150647.88138400001</v>
      </c>
      <c r="E15" s="75"/>
      <c r="F15" s="24"/>
      <c r="G15" s="24">
        <f>SUM(G13:G14)</f>
        <v>150647.88138400001</v>
      </c>
      <c r="H15" s="24">
        <f t="shared" si="3"/>
        <v>0</v>
      </c>
      <c r="I15" s="26">
        <f t="shared" si="0"/>
        <v>0</v>
      </c>
      <c r="J15" s="46">
        <f t="shared" si="1"/>
        <v>0.68394985451601287</v>
      </c>
    </row>
    <row r="16" spans="1:10" s="1" customFormat="1" x14ac:dyDescent="0.2">
      <c r="A16" s="106" t="s">
        <v>38</v>
      </c>
      <c r="B16" s="72">
        <v>1</v>
      </c>
      <c r="C16" s="77">
        <f>VLOOKUP($B$3,'Data for Bill Impacts'!$A$3:$Y$15,7,0)</f>
        <v>1270.3699999999999</v>
      </c>
      <c r="D16" s="21">
        <f>B16*C16</f>
        <v>1270.3699999999999</v>
      </c>
      <c r="E16" s="72">
        <f t="shared" ref="E16:E33" si="4">B16</f>
        <v>1</v>
      </c>
      <c r="F16" s="77">
        <f>VLOOKUP($B$3,'Data for Bill Impacts'!$A$3:$Y$15,17,0)</f>
        <v>1300.23</v>
      </c>
      <c r="G16" s="21">
        <f>E16*F16</f>
        <v>1300.23</v>
      </c>
      <c r="H16" s="21">
        <f t="shared" si="3"/>
        <v>29.860000000000127</v>
      </c>
      <c r="I16" s="22">
        <f t="shared" si="0"/>
        <v>2.3504963120980604E-2</v>
      </c>
      <c r="J16" s="123">
        <f t="shared" si="1"/>
        <v>5.9031173300775359E-3</v>
      </c>
    </row>
    <row r="17" spans="1:10" hidden="1" x14ac:dyDescent="0.2">
      <c r="A17" s="106" t="s">
        <v>83</v>
      </c>
      <c r="B17" s="72">
        <v>1</v>
      </c>
      <c r="C17" s="77">
        <f>VLOOKUP($B$3,'Data for Bill Impacts'!$A$3:$Y$15,8,0)</f>
        <v>0</v>
      </c>
      <c r="D17" s="21">
        <f>B17*C17</f>
        <v>0</v>
      </c>
      <c r="E17" s="72">
        <f t="shared" si="4"/>
        <v>1</v>
      </c>
      <c r="F17" s="77">
        <v>0</v>
      </c>
      <c r="G17" s="21">
        <f t="shared" ref="G17:G19" si="5">E17*F17</f>
        <v>0</v>
      </c>
      <c r="H17" s="21">
        <f t="shared" si="3"/>
        <v>0</v>
      </c>
      <c r="I17" s="22" t="str">
        <f t="shared" si="0"/>
        <v>N/A</v>
      </c>
      <c r="J17" s="123">
        <f t="shared" si="1"/>
        <v>0</v>
      </c>
    </row>
    <row r="18" spans="1:10" hidden="1" x14ac:dyDescent="0.2">
      <c r="A18" s="106" t="s">
        <v>84</v>
      </c>
      <c r="B18" s="72">
        <v>1</v>
      </c>
      <c r="C18" s="77">
        <f>VLOOKUP($B$3,'Data for Bill Impacts'!$A$3:$Y$15,11,0)</f>
        <v>0</v>
      </c>
      <c r="D18" s="21">
        <f t="shared" ref="D18:D19" si="6">B18*C18</f>
        <v>0</v>
      </c>
      <c r="E18" s="72">
        <f t="shared" si="4"/>
        <v>1</v>
      </c>
      <c r="F18" s="77">
        <f>VLOOKUP($B$3,'Data for Bill Impacts'!$A$3:$Y$15,12,0)</f>
        <v>0</v>
      </c>
      <c r="G18" s="21">
        <f t="shared" si="5"/>
        <v>0</v>
      </c>
      <c r="H18" s="21">
        <f t="shared" si="3"/>
        <v>0</v>
      </c>
      <c r="I18" s="22" t="str">
        <f t="shared" si="0"/>
        <v>N/A</v>
      </c>
      <c r="J18" s="123">
        <f t="shared" si="1"/>
        <v>0</v>
      </c>
    </row>
    <row r="19" spans="1:10" x14ac:dyDescent="0.2">
      <c r="A19" s="106" t="s">
        <v>85</v>
      </c>
      <c r="B19" s="72">
        <v>1</v>
      </c>
      <c r="C19" s="120">
        <f>VLOOKUP($B$3,'Data for Bill Impacts'!$A$3:$Y$15,13,0)</f>
        <v>3.819</v>
      </c>
      <c r="D19" s="21">
        <f t="shared" si="6"/>
        <v>3.819</v>
      </c>
      <c r="E19" s="72">
        <f t="shared" si="4"/>
        <v>1</v>
      </c>
      <c r="F19" s="120">
        <f>VLOOKUP($B$3,'Data for Bill Impacts'!$A$3:$Y$15,22,0)</f>
        <v>3.819</v>
      </c>
      <c r="G19" s="21">
        <f t="shared" si="5"/>
        <v>3.819</v>
      </c>
      <c r="H19" s="21">
        <f t="shared" si="3"/>
        <v>0</v>
      </c>
      <c r="I19" s="22">
        <f t="shared" si="0"/>
        <v>0</v>
      </c>
      <c r="J19" s="123">
        <f t="shared" si="1"/>
        <v>1.7338474795663928E-5</v>
      </c>
    </row>
    <row r="20" spans="1:10" x14ac:dyDescent="0.2">
      <c r="A20" s="106" t="s">
        <v>39</v>
      </c>
      <c r="B20" s="72">
        <f>IF($B$10="kWh",$B$4,$B$5)</f>
        <v>2960</v>
      </c>
      <c r="C20" s="124">
        <f>VLOOKUP($B$3,'Data for Bill Impacts'!$A$3:$Y$15,10,0)</f>
        <v>1.4496644372303882</v>
      </c>
      <c r="D20" s="21">
        <f>B20*C20</f>
        <v>4291.0067342019493</v>
      </c>
      <c r="E20" s="72">
        <f t="shared" si="4"/>
        <v>2960</v>
      </c>
      <c r="F20" s="124">
        <f>VLOOKUP($B$3,'Data for Bill Impacts'!$A$3:$Y$15,19,0)</f>
        <v>1.491185317574055</v>
      </c>
      <c r="G20" s="21">
        <f>E20*F20</f>
        <v>4413.9085400192025</v>
      </c>
      <c r="H20" s="21">
        <f t="shared" si="3"/>
        <v>122.90180581725326</v>
      </c>
      <c r="I20" s="22">
        <f t="shared" si="0"/>
        <v>2.8641718233078189E-2</v>
      </c>
      <c r="J20" s="123">
        <f t="shared" si="1"/>
        <v>2.0039393027360228E-2</v>
      </c>
    </row>
    <row r="21" spans="1:10" s="1" customFormat="1" x14ac:dyDescent="0.2">
      <c r="A21" s="106" t="s">
        <v>129</v>
      </c>
      <c r="B21" s="72">
        <f>IF($B$10="kWh",$B$4,$B$5)</f>
        <v>2960</v>
      </c>
      <c r="C21" s="124">
        <f>VLOOKUP($B$3,'Data for Bill Impacts'!$A$3:$Y$15,14,0)</f>
        <v>-0.13666999999999996</v>
      </c>
      <c r="D21" s="21">
        <f>B21*C21</f>
        <v>-404.5431999999999</v>
      </c>
      <c r="E21" s="72">
        <f>B21</f>
        <v>2960</v>
      </c>
      <c r="F21" s="124">
        <f>VLOOKUP($B$3,'Data for Bill Impacts'!$A$3:$Y$15,23,0)</f>
        <v>-0.13666999999999996</v>
      </c>
      <c r="G21" s="21">
        <f>E21*F21</f>
        <v>-404.5431999999999</v>
      </c>
      <c r="H21" s="21">
        <f>G21-D21</f>
        <v>0</v>
      </c>
      <c r="I21" s="22">
        <f t="shared" si="0"/>
        <v>0</v>
      </c>
      <c r="J21" s="123">
        <f t="shared" si="1"/>
        <v>-1.8366488811095128E-3</v>
      </c>
    </row>
    <row r="22" spans="1:10" s="1" customFormat="1" x14ac:dyDescent="0.2">
      <c r="A22" s="106" t="s">
        <v>117</v>
      </c>
      <c r="B22" s="72">
        <f>B9</f>
        <v>1655471.2240000002</v>
      </c>
      <c r="C22" s="124">
        <f>VLOOKUP($B$3,'Data for Bill Impacts'!$A$3:$Y$15,20,0)</f>
        <v>0</v>
      </c>
      <c r="D22" s="21">
        <f>B22*C22</f>
        <v>0</v>
      </c>
      <c r="E22" s="72">
        <f t="shared" si="4"/>
        <v>1655471.2240000002</v>
      </c>
      <c r="F22" s="124">
        <f>VLOOKUP($B$3,'Data for Bill Impacts'!$A$3:$Y$15,21,0)</f>
        <v>0</v>
      </c>
      <c r="G22" s="21">
        <f>E22*F22</f>
        <v>0</v>
      </c>
      <c r="H22" s="21">
        <f t="shared" si="3"/>
        <v>0</v>
      </c>
      <c r="I22" s="22" t="str">
        <f t="shared" si="0"/>
        <v>N/A</v>
      </c>
      <c r="J22" s="123">
        <f t="shared" si="1"/>
        <v>0</v>
      </c>
    </row>
    <row r="23" spans="1:10" x14ac:dyDescent="0.2">
      <c r="A23" s="109" t="s">
        <v>79</v>
      </c>
      <c r="B23" s="73"/>
      <c r="C23" s="34"/>
      <c r="D23" s="34">
        <f>SUM(D16:D22)</f>
        <v>5160.6525342019486</v>
      </c>
      <c r="E23" s="72"/>
      <c r="F23" s="34"/>
      <c r="G23" s="34">
        <f>SUM(G16:G22)</f>
        <v>5313.4143400192024</v>
      </c>
      <c r="H23" s="34">
        <f t="shared" si="3"/>
        <v>152.76180581725384</v>
      </c>
      <c r="I23" s="35">
        <f t="shared" si="0"/>
        <v>2.9601257748866669E-2</v>
      </c>
      <c r="J23" s="110">
        <f t="shared" si="1"/>
        <v>2.4123199951123914E-2</v>
      </c>
    </row>
    <row r="24" spans="1:10" x14ac:dyDescent="0.2">
      <c r="A24" s="106" t="s">
        <v>40</v>
      </c>
      <c r="B24" s="72">
        <f>B5</f>
        <v>2960</v>
      </c>
      <c r="C24" s="124">
        <f>VLOOKUP($B$3,'Data for Bill Impacts'!$A$3:$Y$15,15,0)</f>
        <v>3.5367000000000002</v>
      </c>
      <c r="D24" s="21">
        <f>B24*C24</f>
        <v>10468.632000000001</v>
      </c>
      <c r="E24" s="72">
        <f t="shared" si="4"/>
        <v>2960</v>
      </c>
      <c r="F24" s="77">
        <f>VLOOKUP($B$3,'Data for Bill Impacts'!$A$3:$Y$15,24,0)</f>
        <v>3.5367000000000002</v>
      </c>
      <c r="G24" s="21">
        <f>E24*F24</f>
        <v>10468.632000000001</v>
      </c>
      <c r="H24" s="21">
        <f t="shared" si="3"/>
        <v>0</v>
      </c>
      <c r="I24" s="22">
        <f t="shared" si="0"/>
        <v>0</v>
      </c>
      <c r="J24" s="123">
        <f t="shared" si="1"/>
        <v>4.7528178077266531E-2</v>
      </c>
    </row>
    <row r="25" spans="1:10" s="1" customFormat="1" x14ac:dyDescent="0.2">
      <c r="A25" s="106" t="s">
        <v>41</v>
      </c>
      <c r="B25" s="72">
        <f>B5</f>
        <v>2960</v>
      </c>
      <c r="C25" s="124">
        <f>VLOOKUP($B$3,'Data for Bill Impacts'!$A$3:$Y$15,16,0)</f>
        <v>2.6514000000000002</v>
      </c>
      <c r="D25" s="21">
        <f>B25*C25</f>
        <v>7848.1440000000002</v>
      </c>
      <c r="E25" s="72">
        <f t="shared" si="4"/>
        <v>2960</v>
      </c>
      <c r="F25" s="77">
        <f>VLOOKUP($B$3,'Data for Bill Impacts'!$A$3:$Y$15,25,0)</f>
        <v>2.6514000000000002</v>
      </c>
      <c r="G25" s="21">
        <f>E25*F25</f>
        <v>7848.1440000000002</v>
      </c>
      <c r="H25" s="21">
        <f t="shared" si="3"/>
        <v>0</v>
      </c>
      <c r="I25" s="22">
        <f t="shared" si="0"/>
        <v>0</v>
      </c>
      <c r="J25" s="123">
        <f t="shared" si="1"/>
        <v>3.5631015170657525E-2</v>
      </c>
    </row>
    <row r="26" spans="1:10" x14ac:dyDescent="0.2">
      <c r="A26" s="109" t="s">
        <v>76</v>
      </c>
      <c r="B26" s="73"/>
      <c r="C26" s="34"/>
      <c r="D26" s="34">
        <f>SUM(D24:D25)</f>
        <v>18316.776000000002</v>
      </c>
      <c r="E26" s="72"/>
      <c r="F26" s="34"/>
      <c r="G26" s="34">
        <f>SUM(G24:G25)</f>
        <v>18316.776000000002</v>
      </c>
      <c r="H26" s="34">
        <f t="shared" si="3"/>
        <v>0</v>
      </c>
      <c r="I26" s="35">
        <f t="shared" si="0"/>
        <v>0</v>
      </c>
      <c r="J26" s="110">
        <f t="shared" si="1"/>
        <v>8.3159193247924049E-2</v>
      </c>
    </row>
    <row r="27" spans="1:10" s="1" customFormat="1" x14ac:dyDescent="0.2">
      <c r="A27" s="109" t="s">
        <v>80</v>
      </c>
      <c r="B27" s="73"/>
      <c r="C27" s="34"/>
      <c r="D27" s="34">
        <f>D23+D26</f>
        <v>23477.42853420195</v>
      </c>
      <c r="E27" s="72"/>
      <c r="F27" s="34"/>
      <c r="G27" s="34">
        <f>G23+G26</f>
        <v>23630.190340019202</v>
      </c>
      <c r="H27" s="34">
        <f t="shared" si="3"/>
        <v>152.76180581725203</v>
      </c>
      <c r="I27" s="35">
        <f t="shared" si="0"/>
        <v>6.506752031838087E-3</v>
      </c>
      <c r="J27" s="110">
        <f t="shared" si="1"/>
        <v>0.10728239319904796</v>
      </c>
    </row>
    <row r="28" spans="1:10" x14ac:dyDescent="0.2">
      <c r="A28" s="106" t="s">
        <v>42</v>
      </c>
      <c r="B28" s="72">
        <f>B9</f>
        <v>1655471.2240000002</v>
      </c>
      <c r="C28" s="33">
        <v>3.5999999999999999E-3</v>
      </c>
      <c r="D28" s="21">
        <f>B28*C28</f>
        <v>5959.6964064000003</v>
      </c>
      <c r="E28" s="72">
        <f t="shared" si="4"/>
        <v>1655471.2240000002</v>
      </c>
      <c r="F28" s="33">
        <v>3.5999999999999999E-3</v>
      </c>
      <c r="G28" s="21">
        <f>E28*F28</f>
        <v>5959.6964064000003</v>
      </c>
      <c r="H28" s="21">
        <f t="shared" si="3"/>
        <v>0</v>
      </c>
      <c r="I28" s="22">
        <f t="shared" si="0"/>
        <v>0</v>
      </c>
      <c r="J28" s="123">
        <f t="shared" si="1"/>
        <v>2.7057356881952158E-2</v>
      </c>
    </row>
    <row r="29" spans="1:10" x14ac:dyDescent="0.2">
      <c r="A29" s="106" t="s">
        <v>43</v>
      </c>
      <c r="B29" s="72">
        <f>B9</f>
        <v>1655471.2240000002</v>
      </c>
      <c r="C29" s="33">
        <v>2.0999999999999999E-3</v>
      </c>
      <c r="D29" s="21">
        <f>B29*C29</f>
        <v>3476.4895704</v>
      </c>
      <c r="E29" s="72">
        <f t="shared" si="4"/>
        <v>1655471.2240000002</v>
      </c>
      <c r="F29" s="33">
        <v>2.0999999999999999E-3</v>
      </c>
      <c r="G29" s="21">
        <f>E29*F29</f>
        <v>3476.4895704</v>
      </c>
      <c r="H29" s="21">
        <f>G29-D29</f>
        <v>0</v>
      </c>
      <c r="I29" s="22">
        <f t="shared" si="0"/>
        <v>0</v>
      </c>
      <c r="J29" s="123">
        <f t="shared" si="1"/>
        <v>1.5783458181138757E-2</v>
      </c>
    </row>
    <row r="30" spans="1:10" x14ac:dyDescent="0.2">
      <c r="A30" s="106" t="s">
        <v>99</v>
      </c>
      <c r="B30" s="72">
        <f>B9</f>
        <v>1655471.2240000002</v>
      </c>
      <c r="C30" s="33">
        <v>0</v>
      </c>
      <c r="D30" s="21">
        <f>B30*C30</f>
        <v>0</v>
      </c>
      <c r="E30" s="72">
        <f t="shared" si="4"/>
        <v>1655471.2240000002</v>
      </c>
      <c r="F30" s="33">
        <v>0</v>
      </c>
      <c r="G30" s="21">
        <f>E30*F30</f>
        <v>0</v>
      </c>
      <c r="H30" s="21">
        <f>G30-D30</f>
        <v>0</v>
      </c>
      <c r="I30" s="22" t="str">
        <f t="shared" si="0"/>
        <v>N/A</v>
      </c>
      <c r="J30" s="123">
        <f t="shared" si="1"/>
        <v>0</v>
      </c>
    </row>
    <row r="31" spans="1:10" x14ac:dyDescent="0.2">
      <c r="A31" s="106" t="s">
        <v>44</v>
      </c>
      <c r="B31" s="72">
        <v>1</v>
      </c>
      <c r="C31" s="21">
        <v>0.25</v>
      </c>
      <c r="D31" s="21">
        <f>B31*C31</f>
        <v>0.25</v>
      </c>
      <c r="E31" s="72">
        <f t="shared" si="4"/>
        <v>1</v>
      </c>
      <c r="F31" s="21">
        <f>C31</f>
        <v>0.25</v>
      </c>
      <c r="G31" s="21">
        <f>E31*F31</f>
        <v>0.25</v>
      </c>
      <c r="H31" s="21">
        <f t="shared" si="3"/>
        <v>0</v>
      </c>
      <c r="I31" s="22">
        <f t="shared" si="0"/>
        <v>0</v>
      </c>
      <c r="J31" s="123">
        <f t="shared" si="1"/>
        <v>1.1350140609887357E-6</v>
      </c>
    </row>
    <row r="32" spans="1:10" x14ac:dyDescent="0.2">
      <c r="A32" s="109" t="s">
        <v>45</v>
      </c>
      <c r="B32" s="73"/>
      <c r="C32" s="34"/>
      <c r="D32" s="34">
        <f>SUM(D28:D31)</f>
        <v>9436.4359767999995</v>
      </c>
      <c r="E32" s="72"/>
      <c r="F32" s="34"/>
      <c r="G32" s="34">
        <f>SUM(G28:G31)</f>
        <v>9436.4359767999995</v>
      </c>
      <c r="H32" s="34">
        <f t="shared" si="3"/>
        <v>0</v>
      </c>
      <c r="I32" s="35">
        <f t="shared" si="0"/>
        <v>0</v>
      </c>
      <c r="J32" s="110">
        <f t="shared" si="1"/>
        <v>4.28419500771519E-2</v>
      </c>
    </row>
    <row r="33" spans="1:10" ht="13.5" thickBot="1" x14ac:dyDescent="0.25">
      <c r="A33" s="111" t="s">
        <v>46</v>
      </c>
      <c r="B33" s="112">
        <f>B4</f>
        <v>1601036</v>
      </c>
      <c r="C33" s="113">
        <v>7.0000000000000001E-3</v>
      </c>
      <c r="D33" s="114">
        <f>B33*C33</f>
        <v>11207.252</v>
      </c>
      <c r="E33" s="115">
        <f t="shared" si="4"/>
        <v>1601036</v>
      </c>
      <c r="F33" s="113">
        <f>C33</f>
        <v>7.0000000000000001E-3</v>
      </c>
      <c r="G33" s="114">
        <f>E33*F33</f>
        <v>11207.252</v>
      </c>
      <c r="H33" s="114">
        <f t="shared" si="3"/>
        <v>0</v>
      </c>
      <c r="I33" s="116">
        <f t="shared" si="0"/>
        <v>0</v>
      </c>
      <c r="J33" s="117">
        <f t="shared" si="1"/>
        <v>5.0881554420176528E-2</v>
      </c>
    </row>
    <row r="34" spans="1:10" x14ac:dyDescent="0.2">
      <c r="A34" s="36" t="s">
        <v>116</v>
      </c>
      <c r="B34" s="37"/>
      <c r="C34" s="38"/>
      <c r="D34" s="38">
        <f>SUM(D15,D23,D26,D32,D33)</f>
        <v>194768.99789500199</v>
      </c>
      <c r="E34" s="37"/>
      <c r="F34" s="38"/>
      <c r="G34" s="38">
        <f>SUM(G15,G23,G26,G32,G33)</f>
        <v>194921.75970081924</v>
      </c>
      <c r="H34" s="38">
        <f t="shared" si="3"/>
        <v>152.76180581725203</v>
      </c>
      <c r="I34" s="39">
        <f t="shared" si="0"/>
        <v>7.8432300555145011E-4</v>
      </c>
      <c r="J34" s="40">
        <f t="shared" si="1"/>
        <v>0.88495575221238942</v>
      </c>
    </row>
    <row r="35" spans="1:10" x14ac:dyDescent="0.2">
      <c r="A35" s="45" t="s">
        <v>108</v>
      </c>
      <c r="B35" s="42"/>
      <c r="C35" s="25">
        <v>0.13</v>
      </c>
      <c r="D35" s="25">
        <f>D34*C35</f>
        <v>25319.96972635026</v>
      </c>
      <c r="E35" s="25"/>
      <c r="F35" s="25">
        <f>C35</f>
        <v>0.13</v>
      </c>
      <c r="G35" s="25">
        <f>G34*F35</f>
        <v>25339.828761106502</v>
      </c>
      <c r="H35" s="25">
        <f t="shared" si="3"/>
        <v>19.859034756242181</v>
      </c>
      <c r="I35" s="43">
        <f t="shared" si="0"/>
        <v>7.8432300555142712E-4</v>
      </c>
      <c r="J35" s="44">
        <f t="shared" si="1"/>
        <v>0.11504424778761063</v>
      </c>
    </row>
    <row r="36" spans="1:10" x14ac:dyDescent="0.2">
      <c r="A36" s="45" t="s">
        <v>109</v>
      </c>
      <c r="B36" s="23"/>
      <c r="C36" s="24"/>
      <c r="D36" s="24">
        <f>SUM(D34:D35)</f>
        <v>220088.96762135223</v>
      </c>
      <c r="E36" s="24"/>
      <c r="F36" s="24"/>
      <c r="G36" s="24">
        <f>SUM(G34:G35)</f>
        <v>220261.58846192574</v>
      </c>
      <c r="H36" s="24">
        <f t="shared" si="3"/>
        <v>172.62084057350876</v>
      </c>
      <c r="I36" s="26">
        <f t="shared" si="0"/>
        <v>7.8432300555151364E-4</v>
      </c>
      <c r="J36" s="46">
        <f t="shared" si="1"/>
        <v>1</v>
      </c>
    </row>
    <row r="37" spans="1:10" x14ac:dyDescent="0.2">
      <c r="A37" s="45" t="s">
        <v>110</v>
      </c>
      <c r="B37" s="42"/>
      <c r="C37" s="25">
        <v>0</v>
      </c>
      <c r="D37" s="25">
        <f>D34*C37</f>
        <v>0</v>
      </c>
      <c r="E37" s="25"/>
      <c r="F37" s="25">
        <f>C37</f>
        <v>0</v>
      </c>
      <c r="G37" s="25">
        <f>G34*F37</f>
        <v>0</v>
      </c>
      <c r="H37" s="25">
        <f t="shared" si="3"/>
        <v>0</v>
      </c>
      <c r="I37" s="43" t="str">
        <f t="shared" si="0"/>
        <v>N/A</v>
      </c>
      <c r="J37" s="44">
        <f t="shared" si="1"/>
        <v>0</v>
      </c>
    </row>
    <row r="38" spans="1:10" ht="13.5" thickBot="1" x14ac:dyDescent="0.25">
      <c r="A38" s="45" t="s">
        <v>111</v>
      </c>
      <c r="B38" s="48"/>
      <c r="C38" s="49"/>
      <c r="D38" s="49">
        <f>SUM(D36:D37)</f>
        <v>220088.96762135223</v>
      </c>
      <c r="E38" s="49"/>
      <c r="F38" s="49"/>
      <c r="G38" s="49">
        <f>SUM(G36:G37)</f>
        <v>220261.58846192574</v>
      </c>
      <c r="H38" s="49">
        <f t="shared" si="3"/>
        <v>172.62084057350876</v>
      </c>
      <c r="I38" s="50">
        <f t="shared" si="0"/>
        <v>7.8432300555151364E-4</v>
      </c>
      <c r="J38" s="51">
        <f t="shared" si="1"/>
        <v>1</v>
      </c>
    </row>
    <row r="39" spans="1:10" x14ac:dyDescent="0.2">
      <c r="A39" s="184"/>
      <c r="F39" s="68"/>
    </row>
    <row r="40" spans="1:10" x14ac:dyDescent="0.2">
      <c r="A40" s="184"/>
      <c r="F40" s="68"/>
    </row>
    <row r="41" spans="1:10" x14ac:dyDescent="0.2">
      <c r="A41" s="184"/>
    </row>
    <row r="42" spans="1:10" x14ac:dyDescent="0.2">
      <c r="A42" s="184"/>
    </row>
    <row r="43" spans="1:10" x14ac:dyDescent="0.2">
      <c r="A43" s="184"/>
    </row>
    <row r="44" spans="1:10" x14ac:dyDescent="0.2">
      <c r="A44" s="184"/>
    </row>
    <row r="45" spans="1:10" x14ac:dyDescent="0.2">
      <c r="A45" s="184"/>
    </row>
    <row r="46" spans="1:10" x14ac:dyDescent="0.2">
      <c r="A46" s="184"/>
    </row>
    <row r="47" spans="1:10" x14ac:dyDescent="0.2">
      <c r="A47" s="184"/>
    </row>
    <row r="48" spans="1:10" x14ac:dyDescent="0.2">
      <c r="A48" s="184"/>
    </row>
    <row r="49" spans="1:1" x14ac:dyDescent="0.2">
      <c r="A49" s="184"/>
    </row>
    <row r="50" spans="1:1" x14ac:dyDescent="0.2">
      <c r="A50" s="184"/>
    </row>
    <row r="51" spans="1:1" x14ac:dyDescent="0.2">
      <c r="A51" s="184"/>
    </row>
    <row r="52" spans="1:1" x14ac:dyDescent="0.2">
      <c r="A52" s="184"/>
    </row>
    <row r="53" spans="1:1" x14ac:dyDescent="0.2">
      <c r="A53" s="184"/>
    </row>
    <row r="54" spans="1:1" x14ac:dyDescent="0.2">
      <c r="A54" s="184"/>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scale="71"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tabColor theme="1" tint="0.499984740745262"/>
    <pageSetUpPr fitToPage="1"/>
  </sheetPr>
  <dimension ref="A1:J54"/>
  <sheetViews>
    <sheetView tabSelected="1" topLeftCell="A22" zoomScaleNormal="100" zoomScaleSheetLayoutView="100" workbookViewId="0">
      <selection activeCell="N13" sqref="N13"/>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205" t="s">
        <v>128</v>
      </c>
      <c r="B1" s="206"/>
      <c r="C1" s="206"/>
      <c r="D1" s="206"/>
      <c r="E1" s="206"/>
      <c r="F1" s="206"/>
      <c r="G1" s="206"/>
      <c r="H1" s="206"/>
      <c r="I1" s="206"/>
      <c r="J1" s="207"/>
    </row>
    <row r="3" spans="1:10" x14ac:dyDescent="0.2">
      <c r="A3" s="12" t="s">
        <v>13</v>
      </c>
      <c r="B3" s="12" t="s">
        <v>11</v>
      </c>
    </row>
    <row r="4" spans="1:10" x14ac:dyDescent="0.2">
      <c r="A4" s="14" t="s">
        <v>62</v>
      </c>
      <c r="B4" s="78">
        <v>4000000</v>
      </c>
    </row>
    <row r="5" spans="1:10" x14ac:dyDescent="0.2">
      <c r="A5" s="14" t="s">
        <v>16</v>
      </c>
      <c r="B5" s="78">
        <v>10000</v>
      </c>
    </row>
    <row r="6" spans="1:10" x14ac:dyDescent="0.2">
      <c r="A6" s="14" t="s">
        <v>20</v>
      </c>
      <c r="B6" s="79">
        <f>VLOOKUP($B$3,'Data for Bill Impacts'!$A$3:$Y$15,2,0)</f>
        <v>1.034</v>
      </c>
    </row>
    <row r="7" spans="1:10" x14ac:dyDescent="0.2">
      <c r="A7" s="80" t="s">
        <v>48</v>
      </c>
      <c r="B7" s="81">
        <f>B4/(B5*730)</f>
        <v>0.54794520547945202</v>
      </c>
    </row>
    <row r="8" spans="1:10" x14ac:dyDescent="0.2">
      <c r="A8" s="14" t="s">
        <v>15</v>
      </c>
      <c r="B8" s="78">
        <f>VLOOKUP($B$3,'Data for Bill Impacts'!$A$3:$Y$15,4,0)</f>
        <v>0</v>
      </c>
    </row>
    <row r="9" spans="1:10" x14ac:dyDescent="0.2">
      <c r="A9" s="14" t="s">
        <v>82</v>
      </c>
      <c r="B9" s="78">
        <f>B4*B6</f>
        <v>4136000</v>
      </c>
    </row>
    <row r="10" spans="1:10" x14ac:dyDescent="0.2">
      <c r="A10" s="14" t="s">
        <v>21</v>
      </c>
      <c r="B10" s="15" t="s">
        <v>19</v>
      </c>
    </row>
    <row r="11" spans="1:10" ht="13.5" thickBot="1" x14ac:dyDescent="0.25"/>
    <row r="12" spans="1:10" s="19" customFormat="1" ht="26.25" thickBot="1" x14ac:dyDescent="0.25">
      <c r="A12" s="16"/>
      <c r="B12" s="17" t="s">
        <v>22</v>
      </c>
      <c r="C12" s="17" t="s">
        <v>23</v>
      </c>
      <c r="D12" s="17" t="s">
        <v>24</v>
      </c>
      <c r="E12" s="17" t="s">
        <v>22</v>
      </c>
      <c r="F12" s="17" t="s">
        <v>25</v>
      </c>
      <c r="G12" s="17" t="s">
        <v>26</v>
      </c>
      <c r="H12" s="17" t="s">
        <v>27</v>
      </c>
      <c r="I12" s="17" t="s">
        <v>28</v>
      </c>
      <c r="J12" s="121" t="s">
        <v>49</v>
      </c>
    </row>
    <row r="13" spans="1:10" x14ac:dyDescent="0.2">
      <c r="A13" s="100" t="s">
        <v>31</v>
      </c>
      <c r="B13" s="101">
        <f>B9</f>
        <v>4136000</v>
      </c>
      <c r="C13" s="102">
        <v>9.0999999999999998E-2</v>
      </c>
      <c r="D13" s="103">
        <f>B13*C13</f>
        <v>376376</v>
      </c>
      <c r="E13" s="101">
        <f>B13</f>
        <v>4136000</v>
      </c>
      <c r="F13" s="102">
        <f>C13</f>
        <v>9.0999999999999998E-2</v>
      </c>
      <c r="G13" s="103">
        <f>E13*F13</f>
        <v>376376</v>
      </c>
      <c r="H13" s="103">
        <f>G13-D13</f>
        <v>0</v>
      </c>
      <c r="I13" s="104">
        <f t="shared" ref="I13:I38" si="0">IF(ISERROR(H13/ABS(D13)),"N/A",(H13/ABS(D13)))</f>
        <v>0</v>
      </c>
      <c r="J13" s="122">
        <f t="shared" ref="J13:J29" si="1">G13/$G$38</f>
        <v>0.65997268725494751</v>
      </c>
    </row>
    <row r="14" spans="1:10" x14ac:dyDescent="0.2">
      <c r="A14" s="106" t="s">
        <v>32</v>
      </c>
      <c r="B14" s="72">
        <v>0</v>
      </c>
      <c r="C14" s="20">
        <v>0.106</v>
      </c>
      <c r="D14" s="21">
        <f>B14*C14</f>
        <v>0</v>
      </c>
      <c r="E14" s="72">
        <f t="shared" ref="E14" si="2">B14</f>
        <v>0</v>
      </c>
      <c r="F14" s="20">
        <f>C14</f>
        <v>0.106</v>
      </c>
      <c r="G14" s="21">
        <f>E14*F14</f>
        <v>0</v>
      </c>
      <c r="H14" s="21">
        <f t="shared" ref="H14:H38" si="3">G14-D14</f>
        <v>0</v>
      </c>
      <c r="I14" s="22" t="str">
        <f t="shared" si="0"/>
        <v>N/A</v>
      </c>
      <c r="J14" s="123">
        <f t="shared" si="1"/>
        <v>0</v>
      </c>
    </row>
    <row r="15" spans="1:10" s="1" customFormat="1" x14ac:dyDescent="0.2">
      <c r="A15" s="45" t="s">
        <v>33</v>
      </c>
      <c r="B15" s="23"/>
      <c r="C15" s="24"/>
      <c r="D15" s="24">
        <f>SUM(D13:D14)</f>
        <v>376376</v>
      </c>
      <c r="E15" s="75"/>
      <c r="F15" s="24"/>
      <c r="G15" s="24">
        <f>SUM(G13:G14)</f>
        <v>376376</v>
      </c>
      <c r="H15" s="24">
        <f t="shared" si="3"/>
        <v>0</v>
      </c>
      <c r="I15" s="26">
        <f t="shared" si="0"/>
        <v>0</v>
      </c>
      <c r="J15" s="46">
        <f t="shared" si="1"/>
        <v>0.65997268725494751</v>
      </c>
    </row>
    <row r="16" spans="1:10" s="1" customFormat="1" x14ac:dyDescent="0.2">
      <c r="A16" s="106" t="s">
        <v>38</v>
      </c>
      <c r="B16" s="72">
        <v>1</v>
      </c>
      <c r="C16" s="77">
        <f>VLOOKUP($B$3,'Data for Bill Impacts'!$A$3:$Y$15,7,0)</f>
        <v>1270.3699999999999</v>
      </c>
      <c r="D16" s="21">
        <f>B16*C16</f>
        <v>1270.3699999999999</v>
      </c>
      <c r="E16" s="72">
        <f t="shared" ref="E16:E33" si="4">B16</f>
        <v>1</v>
      </c>
      <c r="F16" s="77">
        <f>VLOOKUP($B$3,'Data for Bill Impacts'!$A$3:$Y$15,17,0)</f>
        <v>1300.23</v>
      </c>
      <c r="G16" s="21">
        <f>E16*F16</f>
        <v>1300.23</v>
      </c>
      <c r="H16" s="21">
        <f t="shared" si="3"/>
        <v>29.860000000000127</v>
      </c>
      <c r="I16" s="22">
        <f t="shared" si="0"/>
        <v>2.3504963120980604E-2</v>
      </c>
      <c r="J16" s="123">
        <f t="shared" si="1"/>
        <v>2.2799442237270719E-3</v>
      </c>
    </row>
    <row r="17" spans="1:10" hidden="1" x14ac:dyDescent="0.2">
      <c r="A17" s="106" t="s">
        <v>83</v>
      </c>
      <c r="B17" s="72">
        <v>1</v>
      </c>
      <c r="C17" s="77">
        <f>VLOOKUP($B$3,'Data for Bill Impacts'!$A$3:$Y$15,8,0)</f>
        <v>0</v>
      </c>
      <c r="D17" s="21">
        <f>B17*C17</f>
        <v>0</v>
      </c>
      <c r="E17" s="72">
        <f t="shared" si="4"/>
        <v>1</v>
      </c>
      <c r="F17" s="77">
        <v>0</v>
      </c>
      <c r="G17" s="21">
        <f t="shared" ref="G17:G19" si="5">E17*F17</f>
        <v>0</v>
      </c>
      <c r="H17" s="21">
        <f t="shared" si="3"/>
        <v>0</v>
      </c>
      <c r="I17" s="22" t="str">
        <f t="shared" si="0"/>
        <v>N/A</v>
      </c>
      <c r="J17" s="123">
        <f t="shared" si="1"/>
        <v>0</v>
      </c>
    </row>
    <row r="18" spans="1:10" hidden="1" x14ac:dyDescent="0.2">
      <c r="A18" s="106" t="s">
        <v>84</v>
      </c>
      <c r="B18" s="72">
        <v>1</v>
      </c>
      <c r="C18" s="77">
        <f>VLOOKUP($B$3,'Data for Bill Impacts'!$A$3:$Y$15,11,0)</f>
        <v>0</v>
      </c>
      <c r="D18" s="21">
        <f t="shared" ref="D18:D19" si="6">B18*C18</f>
        <v>0</v>
      </c>
      <c r="E18" s="72">
        <f t="shared" si="4"/>
        <v>1</v>
      </c>
      <c r="F18" s="77">
        <f>VLOOKUP($B$3,'Data for Bill Impacts'!$A$3:$Y$15,12,0)</f>
        <v>0</v>
      </c>
      <c r="G18" s="21">
        <f t="shared" si="5"/>
        <v>0</v>
      </c>
      <c r="H18" s="21">
        <f t="shared" si="3"/>
        <v>0</v>
      </c>
      <c r="I18" s="22" t="str">
        <f t="shared" si="0"/>
        <v>N/A</v>
      </c>
      <c r="J18" s="123">
        <f t="shared" si="1"/>
        <v>0</v>
      </c>
    </row>
    <row r="19" spans="1:10" x14ac:dyDescent="0.2">
      <c r="A19" s="106" t="s">
        <v>85</v>
      </c>
      <c r="B19" s="72">
        <v>1</v>
      </c>
      <c r="C19" s="120">
        <f>VLOOKUP($B$3,'Data for Bill Impacts'!$A$3:$Y$15,13,0)</f>
        <v>3.819</v>
      </c>
      <c r="D19" s="21">
        <f t="shared" si="6"/>
        <v>3.819</v>
      </c>
      <c r="E19" s="72">
        <f t="shared" si="4"/>
        <v>1</v>
      </c>
      <c r="F19" s="120">
        <f>VLOOKUP($B$3,'Data for Bill Impacts'!$A$3:$Y$15,22,0)</f>
        <v>3.819</v>
      </c>
      <c r="G19" s="21">
        <f t="shared" si="5"/>
        <v>3.819</v>
      </c>
      <c r="H19" s="21">
        <f t="shared" si="3"/>
        <v>0</v>
      </c>
      <c r="I19" s="22">
        <f t="shared" si="0"/>
        <v>0</v>
      </c>
      <c r="J19" s="123">
        <f t="shared" si="1"/>
        <v>6.6965898267334913E-6</v>
      </c>
    </row>
    <row r="20" spans="1:10" x14ac:dyDescent="0.2">
      <c r="A20" s="106" t="s">
        <v>39</v>
      </c>
      <c r="B20" s="72">
        <f>IF($B$10="kWh",$B$4,$B$5)</f>
        <v>10000</v>
      </c>
      <c r="C20" s="124">
        <f>VLOOKUP($B$3,'Data for Bill Impacts'!$A$3:$Y$15,10,0)</f>
        <v>1.4496644372303882</v>
      </c>
      <c r="D20" s="21">
        <f>B20*C20</f>
        <v>14496.644372303881</v>
      </c>
      <c r="E20" s="72">
        <f t="shared" si="4"/>
        <v>10000</v>
      </c>
      <c r="F20" s="124">
        <f>VLOOKUP($B$3,'Data for Bill Impacts'!$A$3:$Y$15,19,0)</f>
        <v>1.491185317574055</v>
      </c>
      <c r="G20" s="21">
        <f>E20*F20</f>
        <v>14911.853175740551</v>
      </c>
      <c r="H20" s="21">
        <f t="shared" si="3"/>
        <v>415.20880343666977</v>
      </c>
      <c r="I20" s="22">
        <f t="shared" si="0"/>
        <v>2.8641718233078421E-2</v>
      </c>
      <c r="J20" s="123">
        <f t="shared" si="1"/>
        <v>2.6147830393927124E-2</v>
      </c>
    </row>
    <row r="21" spans="1:10" s="1" customFormat="1" x14ac:dyDescent="0.2">
      <c r="A21" s="106" t="s">
        <v>129</v>
      </c>
      <c r="B21" s="72">
        <f>IF($B$10="kWh",$B$4,$B$5)</f>
        <v>10000</v>
      </c>
      <c r="C21" s="124">
        <f>VLOOKUP($B$3,'Data for Bill Impacts'!$A$3:$Y$15,14,0)</f>
        <v>-0.13666999999999996</v>
      </c>
      <c r="D21" s="21">
        <f>B21*C21</f>
        <v>-1366.6999999999996</v>
      </c>
      <c r="E21" s="72">
        <f>B21</f>
        <v>10000</v>
      </c>
      <c r="F21" s="124">
        <f>VLOOKUP($B$3,'Data for Bill Impacts'!$A$3:$Y$15,23,0)</f>
        <v>-0.13666999999999996</v>
      </c>
      <c r="G21" s="21">
        <f>E21*F21</f>
        <v>-1366.6999999999996</v>
      </c>
      <c r="H21" s="21">
        <f>G21-D21</f>
        <v>0</v>
      </c>
      <c r="I21" s="22">
        <f t="shared" si="0"/>
        <v>0</v>
      </c>
      <c r="J21" s="123">
        <f t="shared" si="1"/>
        <v>-2.3964989044767374E-3</v>
      </c>
    </row>
    <row r="22" spans="1:10" s="1" customFormat="1" x14ac:dyDescent="0.2">
      <c r="A22" s="106" t="s">
        <v>117</v>
      </c>
      <c r="B22" s="72">
        <f>B9</f>
        <v>4136000</v>
      </c>
      <c r="C22" s="124">
        <f>VLOOKUP($B$3,'Data for Bill Impacts'!$A$3:$Y$15,20,0)</f>
        <v>0</v>
      </c>
      <c r="D22" s="21">
        <f>B22*C22</f>
        <v>0</v>
      </c>
      <c r="E22" s="72">
        <f t="shared" si="4"/>
        <v>4136000</v>
      </c>
      <c r="F22" s="124">
        <f>VLOOKUP($B$3,'Data for Bill Impacts'!$A$3:$Y$15,21,0)</f>
        <v>0</v>
      </c>
      <c r="G22" s="21">
        <f>E22*F22</f>
        <v>0</v>
      </c>
      <c r="H22" s="21">
        <f t="shared" si="3"/>
        <v>0</v>
      </c>
      <c r="I22" s="22" t="str">
        <f t="shared" si="0"/>
        <v>N/A</v>
      </c>
      <c r="J22" s="123">
        <f t="shared" si="1"/>
        <v>0</v>
      </c>
    </row>
    <row r="23" spans="1:10" x14ac:dyDescent="0.2">
      <c r="A23" s="109" t="s">
        <v>95</v>
      </c>
      <c r="B23" s="73"/>
      <c r="C23" s="34"/>
      <c r="D23" s="34">
        <f>SUM(D16:D22)</f>
        <v>14404.133372303882</v>
      </c>
      <c r="E23" s="72"/>
      <c r="F23" s="34"/>
      <c r="G23" s="34">
        <f>SUM(G16:G22)</f>
        <v>14849.202175740551</v>
      </c>
      <c r="H23" s="34">
        <f t="shared" si="3"/>
        <v>445.06880343666853</v>
      </c>
      <c r="I23" s="35">
        <f t="shared" si="0"/>
        <v>3.0898686643129964E-2</v>
      </c>
      <c r="J23" s="110">
        <f t="shared" si="1"/>
        <v>2.6037972303004191E-2</v>
      </c>
    </row>
    <row r="24" spans="1:10" x14ac:dyDescent="0.2">
      <c r="A24" s="106" t="s">
        <v>40</v>
      </c>
      <c r="B24" s="72">
        <f>B5</f>
        <v>10000</v>
      </c>
      <c r="C24" s="124">
        <f>VLOOKUP($B$3,'Data for Bill Impacts'!$A$3:$Y$15,15,0)</f>
        <v>3.5367000000000002</v>
      </c>
      <c r="D24" s="21">
        <f>B24*C24</f>
        <v>35367</v>
      </c>
      <c r="E24" s="72">
        <f t="shared" si="4"/>
        <v>10000</v>
      </c>
      <c r="F24" s="77">
        <f>VLOOKUP($B$3,'Data for Bill Impacts'!$A$3:$Y$15,24,0)</f>
        <v>3.5367000000000002</v>
      </c>
      <c r="G24" s="21">
        <f>E24*F24</f>
        <v>35367</v>
      </c>
      <c r="H24" s="21">
        <f t="shared" si="3"/>
        <v>0</v>
      </c>
      <c r="I24" s="22">
        <f t="shared" si="0"/>
        <v>0</v>
      </c>
      <c r="J24" s="123">
        <f t="shared" si="1"/>
        <v>6.2015787484179997E-2</v>
      </c>
    </row>
    <row r="25" spans="1:10" s="1" customFormat="1" x14ac:dyDescent="0.2">
      <c r="A25" s="106" t="s">
        <v>41</v>
      </c>
      <c r="B25" s="72">
        <f>B5</f>
        <v>10000</v>
      </c>
      <c r="C25" s="124">
        <f>VLOOKUP($B$3,'Data for Bill Impacts'!$A$3:$Y$15,16,0)</f>
        <v>2.6514000000000002</v>
      </c>
      <c r="D25" s="21">
        <f>B25*C25</f>
        <v>26514.000000000004</v>
      </c>
      <c r="E25" s="72">
        <f t="shared" si="4"/>
        <v>10000</v>
      </c>
      <c r="F25" s="77">
        <f>VLOOKUP($B$3,'Data for Bill Impacts'!$A$3:$Y$15,25,0)</f>
        <v>2.6514000000000002</v>
      </c>
      <c r="G25" s="21">
        <f>E25*F25</f>
        <v>26514.000000000004</v>
      </c>
      <c r="H25" s="21">
        <f t="shared" si="3"/>
        <v>0</v>
      </c>
      <c r="I25" s="22">
        <f t="shared" si="0"/>
        <v>0</v>
      </c>
      <c r="J25" s="123">
        <f t="shared" si="1"/>
        <v>4.6492113816709042E-2</v>
      </c>
    </row>
    <row r="26" spans="1:10" x14ac:dyDescent="0.2">
      <c r="A26" s="109" t="s">
        <v>76</v>
      </c>
      <c r="B26" s="73"/>
      <c r="C26" s="34"/>
      <c r="D26" s="34">
        <f>SUM(D24:D25)</f>
        <v>61881</v>
      </c>
      <c r="E26" s="72"/>
      <c r="F26" s="34"/>
      <c r="G26" s="34">
        <f>SUM(G24:G25)</f>
        <v>61881</v>
      </c>
      <c r="H26" s="34">
        <f t="shared" si="3"/>
        <v>0</v>
      </c>
      <c r="I26" s="35">
        <f t="shared" si="0"/>
        <v>0</v>
      </c>
      <c r="J26" s="110">
        <f t="shared" si="1"/>
        <v>0.10850790130088903</v>
      </c>
    </row>
    <row r="27" spans="1:10" s="1" customFormat="1" x14ac:dyDescent="0.2">
      <c r="A27" s="109" t="s">
        <v>80</v>
      </c>
      <c r="B27" s="73"/>
      <c r="C27" s="34"/>
      <c r="D27" s="34">
        <f>D23+D26</f>
        <v>76285.133372303884</v>
      </c>
      <c r="E27" s="72"/>
      <c r="F27" s="34"/>
      <c r="G27" s="34">
        <f>G23+G26</f>
        <v>76730.202175740545</v>
      </c>
      <c r="H27" s="34">
        <f t="shared" si="3"/>
        <v>445.06880343666126</v>
      </c>
      <c r="I27" s="35">
        <f t="shared" si="0"/>
        <v>5.834279678905931E-3</v>
      </c>
      <c r="J27" s="110">
        <f t="shared" si="1"/>
        <v>0.13454587360389322</v>
      </c>
    </row>
    <row r="28" spans="1:10" x14ac:dyDescent="0.2">
      <c r="A28" s="106" t="s">
        <v>42</v>
      </c>
      <c r="B28" s="72">
        <f>B9</f>
        <v>4136000</v>
      </c>
      <c r="C28" s="33">
        <v>3.5999999999999999E-3</v>
      </c>
      <c r="D28" s="21">
        <f>B28*C28</f>
        <v>14889.6</v>
      </c>
      <c r="E28" s="72">
        <f t="shared" si="4"/>
        <v>4136000</v>
      </c>
      <c r="F28" s="33">
        <v>3.5999999999999999E-3</v>
      </c>
      <c r="G28" s="21">
        <f>E28*F28</f>
        <v>14889.6</v>
      </c>
      <c r="H28" s="21">
        <f t="shared" si="3"/>
        <v>0</v>
      </c>
      <c r="I28" s="22">
        <f t="shared" si="0"/>
        <v>0</v>
      </c>
      <c r="J28" s="123">
        <f t="shared" si="1"/>
        <v>2.6108809605690234E-2</v>
      </c>
    </row>
    <row r="29" spans="1:10" x14ac:dyDescent="0.2">
      <c r="A29" s="106" t="s">
        <v>43</v>
      </c>
      <c r="B29" s="72">
        <f>B9</f>
        <v>4136000</v>
      </c>
      <c r="C29" s="33">
        <v>2.0999999999999999E-3</v>
      </c>
      <c r="D29" s="21">
        <f>B29*C29</f>
        <v>8685.6</v>
      </c>
      <c r="E29" s="72">
        <f t="shared" si="4"/>
        <v>4136000</v>
      </c>
      <c r="F29" s="33">
        <v>2.0999999999999999E-3</v>
      </c>
      <c r="G29" s="21">
        <f>E29*F29</f>
        <v>8685.6</v>
      </c>
      <c r="H29" s="21">
        <f>G29-D29</f>
        <v>0</v>
      </c>
      <c r="I29" s="22">
        <f t="shared" si="0"/>
        <v>0</v>
      </c>
      <c r="J29" s="123">
        <f t="shared" si="1"/>
        <v>1.5230138936652636E-2</v>
      </c>
    </row>
    <row r="30" spans="1:10" x14ac:dyDescent="0.2">
      <c r="A30" s="106" t="s">
        <v>99</v>
      </c>
      <c r="B30" s="72">
        <f>B9</f>
        <v>4136000</v>
      </c>
      <c r="C30" s="33">
        <v>0</v>
      </c>
      <c r="D30" s="21">
        <f>B30*C30</f>
        <v>0</v>
      </c>
      <c r="E30" s="72">
        <f t="shared" si="4"/>
        <v>4136000</v>
      </c>
      <c r="F30" s="33">
        <v>0</v>
      </c>
      <c r="G30" s="21">
        <f>E30*F30</f>
        <v>0</v>
      </c>
      <c r="H30" s="21">
        <f>G30-D30</f>
        <v>0</v>
      </c>
      <c r="I30" s="22" t="str">
        <f t="shared" si="0"/>
        <v>N/A</v>
      </c>
      <c r="J30" s="123">
        <f t="shared" ref="J30" si="7">G30/$G$38</f>
        <v>0</v>
      </c>
    </row>
    <row r="31" spans="1:10" x14ac:dyDescent="0.2">
      <c r="A31" s="106" t="s">
        <v>44</v>
      </c>
      <c r="B31" s="72">
        <v>1</v>
      </c>
      <c r="C31" s="21">
        <v>0.25</v>
      </c>
      <c r="D31" s="21">
        <f>B31*C31</f>
        <v>0.25</v>
      </c>
      <c r="E31" s="72">
        <f t="shared" si="4"/>
        <v>1</v>
      </c>
      <c r="F31" s="21">
        <f>C31</f>
        <v>0.25</v>
      </c>
      <c r="G31" s="21">
        <f>E31*F31</f>
        <v>0.25</v>
      </c>
      <c r="H31" s="21">
        <f t="shared" si="3"/>
        <v>0</v>
      </c>
      <c r="I31" s="22">
        <f t="shared" si="0"/>
        <v>0</v>
      </c>
      <c r="J31" s="123">
        <f t="shared" ref="J31:J38" si="8">G31/$G$38</f>
        <v>4.3837325391028357E-7</v>
      </c>
    </row>
    <row r="32" spans="1:10" x14ac:dyDescent="0.2">
      <c r="A32" s="109" t="s">
        <v>45</v>
      </c>
      <c r="B32" s="73"/>
      <c r="C32" s="34"/>
      <c r="D32" s="34">
        <f>SUM(D28:D31)</f>
        <v>23575.45</v>
      </c>
      <c r="E32" s="72"/>
      <c r="F32" s="34"/>
      <c r="G32" s="34">
        <f>SUM(G28:G31)</f>
        <v>23575.45</v>
      </c>
      <c r="H32" s="34">
        <f t="shared" si="3"/>
        <v>0</v>
      </c>
      <c r="I32" s="35">
        <f t="shared" si="0"/>
        <v>0</v>
      </c>
      <c r="J32" s="110">
        <f t="shared" si="8"/>
        <v>4.1339386915596778E-2</v>
      </c>
    </row>
    <row r="33" spans="1:10" ht="13.5" thickBot="1" x14ac:dyDescent="0.25">
      <c r="A33" s="111" t="s">
        <v>46</v>
      </c>
      <c r="B33" s="112">
        <f>B4</f>
        <v>4000000</v>
      </c>
      <c r="C33" s="113">
        <v>7.0000000000000001E-3</v>
      </c>
      <c r="D33" s="114">
        <f>B33*C33</f>
        <v>28000</v>
      </c>
      <c r="E33" s="115">
        <f t="shared" si="4"/>
        <v>4000000</v>
      </c>
      <c r="F33" s="113">
        <f>C33</f>
        <v>7.0000000000000001E-3</v>
      </c>
      <c r="G33" s="114">
        <f>E33*F33</f>
        <v>28000</v>
      </c>
      <c r="H33" s="114">
        <f t="shared" si="3"/>
        <v>0</v>
      </c>
      <c r="I33" s="116">
        <f t="shared" si="0"/>
        <v>0</v>
      </c>
      <c r="J33" s="117">
        <f t="shared" si="8"/>
        <v>4.909780443795176E-2</v>
      </c>
    </row>
    <row r="34" spans="1:10" x14ac:dyDescent="0.2">
      <c r="A34" s="36" t="s">
        <v>116</v>
      </c>
      <c r="B34" s="37"/>
      <c r="C34" s="38"/>
      <c r="D34" s="38">
        <f>SUM(D15,D23,D26,D32,D33)</f>
        <v>504236.58337230387</v>
      </c>
      <c r="E34" s="37"/>
      <c r="F34" s="38"/>
      <c r="G34" s="38">
        <f>SUM(G15,G23,G26,G32,G33)</f>
        <v>504681.65217574057</v>
      </c>
      <c r="H34" s="38">
        <f t="shared" si="3"/>
        <v>445.06880343670491</v>
      </c>
      <c r="I34" s="39">
        <f t="shared" si="0"/>
        <v>8.8265869259249619E-4</v>
      </c>
      <c r="J34" s="40">
        <f t="shared" si="8"/>
        <v>0.88495575221238931</v>
      </c>
    </row>
    <row r="35" spans="1:10" x14ac:dyDescent="0.2">
      <c r="A35" s="45" t="s">
        <v>108</v>
      </c>
      <c r="B35" s="42"/>
      <c r="C35" s="25">
        <v>0.13</v>
      </c>
      <c r="D35" s="25">
        <f>D34*C35</f>
        <v>65550.755838399506</v>
      </c>
      <c r="E35" s="25"/>
      <c r="F35" s="25">
        <f>C35</f>
        <v>0.13</v>
      </c>
      <c r="G35" s="25">
        <f>G34*F35</f>
        <v>65608.614782846271</v>
      </c>
      <c r="H35" s="25">
        <f t="shared" si="3"/>
        <v>57.858944446765236</v>
      </c>
      <c r="I35" s="43">
        <f t="shared" si="0"/>
        <v>8.826586925923984E-4</v>
      </c>
      <c r="J35" s="44">
        <f t="shared" si="8"/>
        <v>0.1150442477876106</v>
      </c>
    </row>
    <row r="36" spans="1:10" x14ac:dyDescent="0.2">
      <c r="A36" s="45" t="s">
        <v>109</v>
      </c>
      <c r="B36" s="23"/>
      <c r="C36" s="24"/>
      <c r="D36" s="24">
        <f>SUM(D34:D35)</f>
        <v>569787.33921070339</v>
      </c>
      <c r="E36" s="24"/>
      <c r="F36" s="24"/>
      <c r="G36" s="24">
        <f>SUM(G34:G35)</f>
        <v>570290.26695858687</v>
      </c>
      <c r="H36" s="24">
        <f t="shared" si="3"/>
        <v>502.9277478834847</v>
      </c>
      <c r="I36" s="26">
        <f t="shared" si="0"/>
        <v>8.8265869259251039E-4</v>
      </c>
      <c r="J36" s="46">
        <f t="shared" si="8"/>
        <v>1</v>
      </c>
    </row>
    <row r="37" spans="1:10" x14ac:dyDescent="0.2">
      <c r="A37" s="45" t="s">
        <v>110</v>
      </c>
      <c r="B37" s="42"/>
      <c r="C37" s="25">
        <v>0</v>
      </c>
      <c r="D37" s="25">
        <f>D34*C37</f>
        <v>0</v>
      </c>
      <c r="E37" s="25"/>
      <c r="F37" s="25">
        <f>C37</f>
        <v>0</v>
      </c>
      <c r="G37" s="25">
        <f>G34*F37</f>
        <v>0</v>
      </c>
      <c r="H37" s="25">
        <f t="shared" si="3"/>
        <v>0</v>
      </c>
      <c r="I37" s="43" t="str">
        <f t="shared" si="0"/>
        <v>N/A</v>
      </c>
      <c r="J37" s="44">
        <f t="shared" si="8"/>
        <v>0</v>
      </c>
    </row>
    <row r="38" spans="1:10" ht="13.5" thickBot="1" x14ac:dyDescent="0.25">
      <c r="A38" s="45" t="s">
        <v>111</v>
      </c>
      <c r="B38" s="48"/>
      <c r="C38" s="49"/>
      <c r="D38" s="49">
        <f>SUM(D36:D37)</f>
        <v>569787.33921070339</v>
      </c>
      <c r="E38" s="49"/>
      <c r="F38" s="49"/>
      <c r="G38" s="49">
        <f>SUM(G36:G37)</f>
        <v>570290.26695858687</v>
      </c>
      <c r="H38" s="49">
        <f t="shared" si="3"/>
        <v>502.9277478834847</v>
      </c>
      <c r="I38" s="50">
        <f t="shared" si="0"/>
        <v>8.8265869259251039E-4</v>
      </c>
      <c r="J38" s="51">
        <f t="shared" si="8"/>
        <v>1</v>
      </c>
    </row>
    <row r="39" spans="1:10" x14ac:dyDescent="0.2">
      <c r="A39" s="184"/>
      <c r="F39" s="68"/>
    </row>
    <row r="40" spans="1:10" x14ac:dyDescent="0.2">
      <c r="A40" s="184"/>
      <c r="F40" s="68"/>
    </row>
    <row r="41" spans="1:10" x14ac:dyDescent="0.2">
      <c r="A41" s="184"/>
    </row>
    <row r="42" spans="1:10" x14ac:dyDescent="0.2">
      <c r="A42" s="184"/>
    </row>
    <row r="43" spans="1:10" x14ac:dyDescent="0.2">
      <c r="A43" s="184"/>
    </row>
    <row r="44" spans="1:10" x14ac:dyDescent="0.2">
      <c r="A44" s="184"/>
    </row>
    <row r="45" spans="1:10" x14ac:dyDescent="0.2">
      <c r="A45" s="184"/>
    </row>
    <row r="46" spans="1:10" x14ac:dyDescent="0.2">
      <c r="A46" s="184"/>
    </row>
    <row r="47" spans="1:10" x14ac:dyDescent="0.2">
      <c r="A47" s="184"/>
    </row>
    <row r="48" spans="1:10" x14ac:dyDescent="0.2">
      <c r="A48" s="184"/>
    </row>
    <row r="49" spans="1:1" x14ac:dyDescent="0.2">
      <c r="A49" s="184"/>
    </row>
    <row r="50" spans="1:1" x14ac:dyDescent="0.2">
      <c r="A50" s="184"/>
    </row>
    <row r="51" spans="1:1" x14ac:dyDescent="0.2">
      <c r="A51" s="184"/>
    </row>
    <row r="52" spans="1:1" x14ac:dyDescent="0.2">
      <c r="A52" s="184"/>
    </row>
    <row r="53" spans="1:1" x14ac:dyDescent="0.2">
      <c r="A53" s="184"/>
    </row>
    <row r="54" spans="1:1" x14ac:dyDescent="0.2">
      <c r="A54" s="184"/>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scale="71"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theme="1" tint="0.499984740745262"/>
    <pageSetUpPr fitToPage="1"/>
  </sheetPr>
  <dimension ref="A1:J54"/>
  <sheetViews>
    <sheetView tabSelected="1" topLeftCell="A3"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205" t="s">
        <v>124</v>
      </c>
      <c r="B1" s="206"/>
      <c r="C1" s="206"/>
      <c r="D1" s="206"/>
      <c r="E1" s="206"/>
      <c r="F1" s="206"/>
      <c r="G1" s="206"/>
      <c r="H1" s="206"/>
      <c r="I1" s="206"/>
      <c r="J1" s="207"/>
    </row>
    <row r="3" spans="1:10" x14ac:dyDescent="0.2">
      <c r="A3" s="12" t="s">
        <v>13</v>
      </c>
      <c r="B3" s="12" t="s">
        <v>12</v>
      </c>
    </row>
    <row r="4" spans="1:10" x14ac:dyDescent="0.2">
      <c r="A4" s="14" t="s">
        <v>62</v>
      </c>
      <c r="B4" s="14">
        <v>100</v>
      </c>
    </row>
    <row r="5" spans="1:10" x14ac:dyDescent="0.2">
      <c r="A5" s="14" t="s">
        <v>16</v>
      </c>
      <c r="B5" s="14">
        <f>VLOOKUP($B$3,'Data for Bill Impacts'!$A$3:$Y$15,5,0)</f>
        <v>0</v>
      </c>
    </row>
    <row r="6" spans="1:10" x14ac:dyDescent="0.2">
      <c r="A6" s="14" t="s">
        <v>20</v>
      </c>
      <c r="B6" s="14">
        <f>VLOOKUP($B$3,'Data for Bill Impacts'!$A$3:$Y$15,2,0)</f>
        <v>1.0920000000000001</v>
      </c>
    </row>
    <row r="7" spans="1:10" x14ac:dyDescent="0.2">
      <c r="A7" s="14" t="s">
        <v>15</v>
      </c>
      <c r="B7" s="14">
        <f>VLOOKUP($B$3,'Data for Bill Impacts'!$A$3:$Y$15,4,0)</f>
        <v>750</v>
      </c>
    </row>
    <row r="8" spans="1:10" x14ac:dyDescent="0.2">
      <c r="A8" s="14" t="s">
        <v>82</v>
      </c>
      <c r="B8" s="14">
        <f>B4*B6</f>
        <v>109.2</v>
      </c>
    </row>
    <row r="9" spans="1:10" x14ac:dyDescent="0.2">
      <c r="A9" s="14" t="s">
        <v>21</v>
      </c>
      <c r="B9" s="15" t="str">
        <f>VLOOKUP($B$3,'Data for Bill Impacts'!$A$3:$Y$15,6,0)</f>
        <v>kWh</v>
      </c>
    </row>
    <row r="10" spans="1:10" ht="13.5" thickBot="1" x14ac:dyDescent="0.25"/>
    <row r="11" spans="1:10" s="19" customFormat="1" ht="39" thickBot="1" x14ac:dyDescent="0.25">
      <c r="A11" s="16"/>
      <c r="B11" s="17" t="s">
        <v>22</v>
      </c>
      <c r="C11" s="17" t="s">
        <v>23</v>
      </c>
      <c r="D11" s="17" t="s">
        <v>24</v>
      </c>
      <c r="E11" s="17" t="s">
        <v>22</v>
      </c>
      <c r="F11" s="17" t="s">
        <v>25</v>
      </c>
      <c r="G11" s="17" t="s">
        <v>26</v>
      </c>
      <c r="H11" s="17" t="s">
        <v>27</v>
      </c>
      <c r="I11" s="17" t="s">
        <v>28</v>
      </c>
      <c r="J11" s="121" t="s">
        <v>29</v>
      </c>
    </row>
    <row r="12" spans="1:10" x14ac:dyDescent="0.2">
      <c r="A12" s="100" t="s">
        <v>31</v>
      </c>
      <c r="B12" s="101">
        <f>IF(B4&gt;B7,B7,B4)</f>
        <v>100</v>
      </c>
      <c r="C12" s="102">
        <v>9.0999999999999998E-2</v>
      </c>
      <c r="D12" s="103">
        <f>B12*C12</f>
        <v>9.1</v>
      </c>
      <c r="E12" s="101">
        <f>B12</f>
        <v>100</v>
      </c>
      <c r="F12" s="102">
        <f>C12</f>
        <v>9.0999999999999998E-2</v>
      </c>
      <c r="G12" s="103">
        <f>E12*F12</f>
        <v>9.1</v>
      </c>
      <c r="H12" s="103">
        <f>G12-D12</f>
        <v>0</v>
      </c>
      <c r="I12" s="104">
        <f>IF(ISERROR(H12/ABS(D12)),"N/A",(H12/ABS(D12)))</f>
        <v>0</v>
      </c>
      <c r="J12" s="122">
        <f t="shared" ref="J12:J30" si="0">G12/$G$39</f>
        <v>0.16099517807057434</v>
      </c>
    </row>
    <row r="13" spans="1:10" x14ac:dyDescent="0.2">
      <c r="A13" s="106" t="s">
        <v>32</v>
      </c>
      <c r="B13" s="72">
        <f>IF(B4&gt;B7,(B4)-B7,0)</f>
        <v>0</v>
      </c>
      <c r="C13" s="20">
        <v>0.106</v>
      </c>
      <c r="D13" s="21">
        <f>B13*C13</f>
        <v>0</v>
      </c>
      <c r="E13" s="72">
        <f t="shared" ref="E13" si="1">B13</f>
        <v>0</v>
      </c>
      <c r="F13" s="20">
        <f>C13</f>
        <v>0.106</v>
      </c>
      <c r="G13" s="21">
        <f>E13*F13</f>
        <v>0</v>
      </c>
      <c r="H13" s="21">
        <f t="shared" ref="H13:H39" si="2">G13-D13</f>
        <v>0</v>
      </c>
      <c r="I13" s="22" t="str">
        <f t="shared" ref="I13:I39" si="3">IF(ISERROR(H13/ABS(D13)),"N/A",(H13/ABS(D13)))</f>
        <v>N/A</v>
      </c>
      <c r="J13" s="123">
        <f t="shared" si="0"/>
        <v>0</v>
      </c>
    </row>
    <row r="14" spans="1:10" s="1" customFormat="1" x14ac:dyDescent="0.2">
      <c r="A14" s="45" t="s">
        <v>33</v>
      </c>
      <c r="B14" s="23"/>
      <c r="C14" s="24"/>
      <c r="D14" s="24">
        <f>SUM(D12:D13)</f>
        <v>9.1</v>
      </c>
      <c r="E14" s="75"/>
      <c r="F14" s="24"/>
      <c r="G14" s="24">
        <f>SUM(G12:G13)</f>
        <v>9.1</v>
      </c>
      <c r="H14" s="24">
        <f t="shared" si="2"/>
        <v>0</v>
      </c>
      <c r="I14" s="26">
        <f t="shared" si="3"/>
        <v>0</v>
      </c>
      <c r="J14" s="46">
        <f t="shared" si="0"/>
        <v>0.16099517807057434</v>
      </c>
    </row>
    <row r="15" spans="1:10" x14ac:dyDescent="0.2">
      <c r="A15" s="106" t="s">
        <v>38</v>
      </c>
      <c r="B15" s="72">
        <v>1</v>
      </c>
      <c r="C15" s="77">
        <f>VLOOKUP($B$3,'Data for Bill Impacts'!$A$3:$Y$15,7,0)</f>
        <v>37.369999999999997</v>
      </c>
      <c r="D15" s="21">
        <f>B15*C15</f>
        <v>37.369999999999997</v>
      </c>
      <c r="E15" s="72">
        <f t="shared" ref="E15:E34" si="4">B15</f>
        <v>1</v>
      </c>
      <c r="F15" s="77">
        <f>VLOOKUP($B$3,'Data for Bill Impacts'!$A$3:$Y$15,17,0)</f>
        <v>38.299999999999997</v>
      </c>
      <c r="G15" s="21">
        <f>E15*F15</f>
        <v>38.299999999999997</v>
      </c>
      <c r="H15" s="21">
        <f t="shared" si="2"/>
        <v>0.92999999999999972</v>
      </c>
      <c r="I15" s="22">
        <f t="shared" si="3"/>
        <v>2.4886272411024882E-2</v>
      </c>
      <c r="J15" s="123">
        <f t="shared" si="0"/>
        <v>0.67759509012120844</v>
      </c>
    </row>
    <row r="16" spans="1:10" hidden="1" x14ac:dyDescent="0.2">
      <c r="A16" s="106" t="s">
        <v>88</v>
      </c>
      <c r="B16" s="72">
        <v>1</v>
      </c>
      <c r="C16" s="77">
        <v>0</v>
      </c>
      <c r="D16" s="21">
        <f>B16*C16</f>
        <v>0</v>
      </c>
      <c r="E16" s="72">
        <f t="shared" si="4"/>
        <v>1</v>
      </c>
      <c r="F16" s="77">
        <v>0</v>
      </c>
      <c r="G16" s="21">
        <f t="shared" ref="G16:G18" si="5">E16*F16</f>
        <v>0</v>
      </c>
      <c r="H16" s="21">
        <f t="shared" si="2"/>
        <v>0</v>
      </c>
      <c r="I16" s="22" t="str">
        <f t="shared" si="3"/>
        <v>N/A</v>
      </c>
      <c r="J16" s="123">
        <f t="shared" si="0"/>
        <v>0</v>
      </c>
    </row>
    <row r="17" spans="1:10" hidden="1" x14ac:dyDescent="0.2">
      <c r="A17" s="106" t="s">
        <v>84</v>
      </c>
      <c r="B17" s="72">
        <v>1</v>
      </c>
      <c r="C17" s="77">
        <v>0</v>
      </c>
      <c r="D17" s="21">
        <f t="shared" ref="D17:D18" si="6">B17*C17</f>
        <v>0</v>
      </c>
      <c r="E17" s="72">
        <f t="shared" si="4"/>
        <v>1</v>
      </c>
      <c r="F17" s="77">
        <v>0</v>
      </c>
      <c r="G17" s="21">
        <f t="shared" si="5"/>
        <v>0</v>
      </c>
      <c r="H17" s="21">
        <f t="shared" si="2"/>
        <v>0</v>
      </c>
      <c r="I17" s="22" t="str">
        <f t="shared" si="3"/>
        <v>N/A</v>
      </c>
      <c r="J17" s="123">
        <f t="shared" si="0"/>
        <v>0</v>
      </c>
    </row>
    <row r="18" spans="1:10" x14ac:dyDescent="0.2">
      <c r="A18" s="106" t="s">
        <v>85</v>
      </c>
      <c r="B18" s="72">
        <v>1</v>
      </c>
      <c r="C18" s="120">
        <f>VLOOKUP($B$3,'Data for Bill Impacts'!$A$3:$Y$15,13,0)</f>
        <v>2E-3</v>
      </c>
      <c r="D18" s="21">
        <f t="shared" si="6"/>
        <v>2E-3</v>
      </c>
      <c r="E18" s="72">
        <f t="shared" si="4"/>
        <v>1</v>
      </c>
      <c r="F18" s="120">
        <f>VLOOKUP($B$3,'Data for Bill Impacts'!$A$3:$Y$15,22,0)</f>
        <v>2E-3</v>
      </c>
      <c r="G18" s="21">
        <f t="shared" si="5"/>
        <v>2E-3</v>
      </c>
      <c r="H18" s="21">
        <f t="shared" si="2"/>
        <v>0</v>
      </c>
      <c r="I18" s="22">
        <f t="shared" si="3"/>
        <v>0</v>
      </c>
      <c r="J18" s="123">
        <f t="shared" si="0"/>
        <v>3.5383555619906451E-5</v>
      </c>
    </row>
    <row r="19" spans="1:10" x14ac:dyDescent="0.2">
      <c r="A19" s="106" t="s">
        <v>39</v>
      </c>
      <c r="B19" s="72">
        <f>IF($B$9="kWh",$B$4,$B$5)</f>
        <v>100</v>
      </c>
      <c r="C19" s="124">
        <f>VLOOKUP($B$3,'Data for Bill Impacts'!$A$3:$Y$15,10,0)</f>
        <v>3.0300000000000001E-2</v>
      </c>
      <c r="D19" s="21">
        <f>B19*C19</f>
        <v>3.0300000000000002</v>
      </c>
      <c r="E19" s="72">
        <f t="shared" si="4"/>
        <v>100</v>
      </c>
      <c r="F19" s="77">
        <f>VLOOKUP($B$3,'Data for Bill Impacts'!$A$3:$Y$15,19,0)</f>
        <v>3.09E-2</v>
      </c>
      <c r="G19" s="21">
        <f>E19*F19</f>
        <v>3.09</v>
      </c>
      <c r="H19" s="21">
        <f t="shared" si="2"/>
        <v>5.9999999999999609E-2</v>
      </c>
      <c r="I19" s="22">
        <f t="shared" si="3"/>
        <v>1.980198019801967E-2</v>
      </c>
      <c r="J19" s="123">
        <f t="shared" si="0"/>
        <v>5.4667593432755464E-2</v>
      </c>
    </row>
    <row r="20" spans="1:10" s="1" customFormat="1" x14ac:dyDescent="0.2">
      <c r="A20" s="106" t="s">
        <v>129</v>
      </c>
      <c r="B20" s="72">
        <f>IF($B$9="kWh",$B$4,$B$5)</f>
        <v>100</v>
      </c>
      <c r="C20" s="187">
        <f>VLOOKUP($B$3,'Data for Bill Impacts'!$A$3:$Y$15,14,0)</f>
        <v>2.0000000000000002E-5</v>
      </c>
      <c r="D20" s="21">
        <f>B20*C20</f>
        <v>2E-3</v>
      </c>
      <c r="E20" s="72">
        <f>B20</f>
        <v>100</v>
      </c>
      <c r="F20" s="77">
        <f>VLOOKUP($B$3,'Data for Bill Impacts'!$A$3:$Y$15,23,0)</f>
        <v>2.0000000000000002E-5</v>
      </c>
      <c r="G20" s="21">
        <f>E20*F20</f>
        <v>2E-3</v>
      </c>
      <c r="H20" s="21">
        <f>G20-D20</f>
        <v>0</v>
      </c>
      <c r="I20" s="22">
        <f t="shared" si="3"/>
        <v>0</v>
      </c>
      <c r="J20" s="123">
        <f t="shared" si="0"/>
        <v>3.5383555619906451E-5</v>
      </c>
    </row>
    <row r="21" spans="1:10" hidden="1" x14ac:dyDescent="0.2">
      <c r="A21" s="106" t="s">
        <v>86</v>
      </c>
      <c r="B21" s="72">
        <f>IF($B$9="kWh",$B$4,$B$5)</f>
        <v>100</v>
      </c>
      <c r="C21" s="124">
        <v>0</v>
      </c>
      <c r="D21" s="21">
        <f>B21*C21</f>
        <v>0</v>
      </c>
      <c r="E21" s="72">
        <f t="shared" si="4"/>
        <v>100</v>
      </c>
      <c r="F21" s="77">
        <v>0</v>
      </c>
      <c r="G21" s="21">
        <f>E21*F21</f>
        <v>0</v>
      </c>
      <c r="H21" s="21">
        <f t="shared" si="2"/>
        <v>0</v>
      </c>
      <c r="I21" s="22" t="str">
        <f t="shared" si="3"/>
        <v>N/A</v>
      </c>
      <c r="J21" s="123">
        <f t="shared" si="0"/>
        <v>0</v>
      </c>
    </row>
    <row r="22" spans="1:10" x14ac:dyDescent="0.2">
      <c r="A22" s="109" t="s">
        <v>72</v>
      </c>
      <c r="B22" s="73"/>
      <c r="C22" s="34"/>
      <c r="D22" s="34">
        <f>SUM(D15:D21)</f>
        <v>40.404000000000003</v>
      </c>
      <c r="E22" s="72"/>
      <c r="F22" s="34"/>
      <c r="G22" s="34">
        <f>SUM(G15:G21)</f>
        <v>41.393999999999998</v>
      </c>
      <c r="H22" s="34">
        <f t="shared" si="2"/>
        <v>0.98999999999999488</v>
      </c>
      <c r="I22" s="35">
        <f t="shared" si="3"/>
        <v>2.4502524502524374E-2</v>
      </c>
      <c r="J22" s="110">
        <f t="shared" si="0"/>
        <v>0.73233345066520372</v>
      </c>
    </row>
    <row r="23" spans="1:10" s="1" customFormat="1" x14ac:dyDescent="0.2">
      <c r="A23" s="118" t="s">
        <v>81</v>
      </c>
      <c r="B23" s="119">
        <f>B8-B4</f>
        <v>9.2000000000000028</v>
      </c>
      <c r="C23" s="186">
        <f>IF(B4&gt;B7,C13,C12)</f>
        <v>9.0999999999999998E-2</v>
      </c>
      <c r="D23" s="21">
        <f>B23*C23</f>
        <v>0.83720000000000028</v>
      </c>
      <c r="E23" s="72">
        <f>B23</f>
        <v>9.2000000000000028</v>
      </c>
      <c r="F23" s="186">
        <f>C23</f>
        <v>9.0999999999999998E-2</v>
      </c>
      <c r="G23" s="21">
        <f>E23*F23</f>
        <v>0.83720000000000028</v>
      </c>
      <c r="H23" s="21">
        <f t="shared" si="2"/>
        <v>0</v>
      </c>
      <c r="I23" s="22">
        <f t="shared" si="3"/>
        <v>0</v>
      </c>
      <c r="J23" s="123">
        <f t="shared" si="0"/>
        <v>1.4811556382492845E-2</v>
      </c>
    </row>
    <row r="24" spans="1:10" x14ac:dyDescent="0.2">
      <c r="A24" s="109" t="s">
        <v>79</v>
      </c>
      <c r="B24" s="73"/>
      <c r="C24" s="34"/>
      <c r="D24" s="34">
        <f>SUM(D22,D23:D23)</f>
        <v>41.241200000000006</v>
      </c>
      <c r="E24" s="72"/>
      <c r="F24" s="34"/>
      <c r="G24" s="34">
        <f>SUM(G22,G23:G23)</f>
        <v>42.231200000000001</v>
      </c>
      <c r="H24" s="34">
        <f t="shared" si="2"/>
        <v>0.98999999999999488</v>
      </c>
      <c r="I24" s="35">
        <f t="shared" si="3"/>
        <v>2.4005121092499606E-2</v>
      </c>
      <c r="J24" s="110">
        <f t="shared" si="0"/>
        <v>0.7471450070476966</v>
      </c>
    </row>
    <row r="25" spans="1:10" x14ac:dyDescent="0.2">
      <c r="A25" s="106" t="s">
        <v>40</v>
      </c>
      <c r="B25" s="72">
        <f>B8</f>
        <v>109.2</v>
      </c>
      <c r="C25" s="124">
        <f>VLOOKUP($B$3,'Data for Bill Impacts'!$A$3:$Y$15,15,0)</f>
        <v>4.7000000000000002E-3</v>
      </c>
      <c r="D25" s="21">
        <f>B25*C25</f>
        <v>0.51324000000000003</v>
      </c>
      <c r="E25" s="72">
        <f t="shared" si="4"/>
        <v>109.2</v>
      </c>
      <c r="F25" s="77">
        <f>VLOOKUP($B$3,'Data for Bill Impacts'!$A$3:$Y$15,24,0)</f>
        <v>4.7000000000000002E-3</v>
      </c>
      <c r="G25" s="21">
        <f>E25*F25</f>
        <v>0.51324000000000003</v>
      </c>
      <c r="H25" s="21">
        <f t="shared" si="2"/>
        <v>0</v>
      </c>
      <c r="I25" s="22">
        <f t="shared" si="3"/>
        <v>0</v>
      </c>
      <c r="J25" s="123">
        <f t="shared" si="0"/>
        <v>9.0801280431803931E-3</v>
      </c>
    </row>
    <row r="26" spans="1:10" s="1" customFormat="1" x14ac:dyDescent="0.2">
      <c r="A26" s="106" t="s">
        <v>41</v>
      </c>
      <c r="B26" s="72">
        <f>B8</f>
        <v>109.2</v>
      </c>
      <c r="C26" s="124">
        <f>VLOOKUP($B$3,'Data for Bill Impacts'!$A$3:$Y$15,16,0)</f>
        <v>3.8E-3</v>
      </c>
      <c r="D26" s="21">
        <f>B26*C26</f>
        <v>0.41496</v>
      </c>
      <c r="E26" s="72">
        <f t="shared" si="4"/>
        <v>109.2</v>
      </c>
      <c r="F26" s="77">
        <f>VLOOKUP($B$3,'Data for Bill Impacts'!$A$3:$Y$15,25,0)</f>
        <v>3.8E-3</v>
      </c>
      <c r="G26" s="21">
        <f>E26*F26</f>
        <v>0.41496</v>
      </c>
      <c r="H26" s="21">
        <f t="shared" si="2"/>
        <v>0</v>
      </c>
      <c r="I26" s="22">
        <f t="shared" si="3"/>
        <v>0</v>
      </c>
      <c r="J26" s="123">
        <f t="shared" si="0"/>
        <v>7.3413801200181896E-3</v>
      </c>
    </row>
    <row r="27" spans="1:10" s="1" customFormat="1" x14ac:dyDescent="0.2">
      <c r="A27" s="109" t="s">
        <v>76</v>
      </c>
      <c r="B27" s="73"/>
      <c r="C27" s="34"/>
      <c r="D27" s="34">
        <f>SUM(D25:D26)</f>
        <v>0.92820000000000003</v>
      </c>
      <c r="E27" s="72"/>
      <c r="F27" s="34"/>
      <c r="G27" s="34">
        <f>SUM(G25:G26)</f>
        <v>0.92820000000000003</v>
      </c>
      <c r="H27" s="34">
        <f t="shared" si="2"/>
        <v>0</v>
      </c>
      <c r="I27" s="35">
        <f t="shared" si="3"/>
        <v>0</v>
      </c>
      <c r="J27" s="110">
        <f t="shared" si="0"/>
        <v>1.6421508163198584E-2</v>
      </c>
    </row>
    <row r="28" spans="1:10" s="1" customFormat="1" x14ac:dyDescent="0.2">
      <c r="A28" s="109" t="s">
        <v>80</v>
      </c>
      <c r="B28" s="73"/>
      <c r="C28" s="34"/>
      <c r="D28" s="34">
        <f>D24+D27</f>
        <v>42.169400000000003</v>
      </c>
      <c r="E28" s="72"/>
      <c r="F28" s="34"/>
      <c r="G28" s="34">
        <f>G24+G27</f>
        <v>43.159399999999998</v>
      </c>
      <c r="H28" s="34">
        <f t="shared" si="2"/>
        <v>0.98999999999999488</v>
      </c>
      <c r="I28" s="35">
        <f t="shared" si="3"/>
        <v>2.3476739057230949E-2</v>
      </c>
      <c r="J28" s="110">
        <f t="shared" si="0"/>
        <v>0.76356651521089514</v>
      </c>
    </row>
    <row r="29" spans="1:10" x14ac:dyDescent="0.2">
      <c r="A29" s="106" t="s">
        <v>42</v>
      </c>
      <c r="B29" s="72">
        <f>B8</f>
        <v>109.2</v>
      </c>
      <c r="C29" s="33">
        <v>3.5999999999999999E-3</v>
      </c>
      <c r="D29" s="21">
        <f>B29*C29</f>
        <v>0.39312000000000002</v>
      </c>
      <c r="E29" s="72">
        <f t="shared" si="4"/>
        <v>109.2</v>
      </c>
      <c r="F29" s="33">
        <v>3.5999999999999999E-3</v>
      </c>
      <c r="G29" s="21">
        <f>E29*F29</f>
        <v>0.39312000000000002</v>
      </c>
      <c r="H29" s="21">
        <f t="shared" si="2"/>
        <v>0</v>
      </c>
      <c r="I29" s="22">
        <f t="shared" si="3"/>
        <v>0</v>
      </c>
      <c r="J29" s="123">
        <f t="shared" si="0"/>
        <v>6.9549916926488122E-3</v>
      </c>
    </row>
    <row r="30" spans="1:10" s="1" customFormat="1" x14ac:dyDescent="0.2">
      <c r="A30" s="106" t="s">
        <v>43</v>
      </c>
      <c r="B30" s="72">
        <f>B8</f>
        <v>109.2</v>
      </c>
      <c r="C30" s="33">
        <v>2.0999999999999999E-3</v>
      </c>
      <c r="D30" s="21">
        <f>B30*C30</f>
        <v>0.22932</v>
      </c>
      <c r="E30" s="72">
        <f t="shared" si="4"/>
        <v>109.2</v>
      </c>
      <c r="F30" s="33">
        <v>2.0999999999999999E-3</v>
      </c>
      <c r="G30" s="21">
        <f>E30*F30</f>
        <v>0.22932</v>
      </c>
      <c r="H30" s="21">
        <f>G30-D30</f>
        <v>0</v>
      </c>
      <c r="I30" s="22">
        <f t="shared" si="3"/>
        <v>0</v>
      </c>
      <c r="J30" s="123">
        <f t="shared" si="0"/>
        <v>4.0570784873784731E-3</v>
      </c>
    </row>
    <row r="31" spans="1:10" s="1" customFormat="1" x14ac:dyDescent="0.2">
      <c r="A31" s="106" t="s">
        <v>99</v>
      </c>
      <c r="B31" s="72">
        <f>B8</f>
        <v>109.2</v>
      </c>
      <c r="C31" s="33">
        <v>0</v>
      </c>
      <c r="D31" s="21">
        <f>B31*C31</f>
        <v>0</v>
      </c>
      <c r="E31" s="72">
        <f t="shared" si="4"/>
        <v>109.2</v>
      </c>
      <c r="F31" s="33">
        <v>0</v>
      </c>
      <c r="G31" s="21">
        <f>E31*F31</f>
        <v>0</v>
      </c>
      <c r="H31" s="21">
        <f>G31-D31</f>
        <v>0</v>
      </c>
      <c r="I31" s="22" t="str">
        <f t="shared" si="3"/>
        <v>N/A</v>
      </c>
      <c r="J31" s="123">
        <f t="shared" ref="J31" si="7">G31/$G$39</f>
        <v>0</v>
      </c>
    </row>
    <row r="32" spans="1:10" x14ac:dyDescent="0.2">
      <c r="A32" s="106" t="s">
        <v>44</v>
      </c>
      <c r="B32" s="72">
        <v>1</v>
      </c>
      <c r="C32" s="21">
        <v>0.25</v>
      </c>
      <c r="D32" s="21">
        <f>B32*C32</f>
        <v>0.25</v>
      </c>
      <c r="E32" s="72">
        <f t="shared" si="4"/>
        <v>1</v>
      </c>
      <c r="F32" s="21">
        <f>C32</f>
        <v>0.25</v>
      </c>
      <c r="G32" s="21">
        <f>E32*F32</f>
        <v>0.25</v>
      </c>
      <c r="H32" s="21">
        <f t="shared" si="2"/>
        <v>0</v>
      </c>
      <c r="I32" s="22">
        <f t="shared" si="3"/>
        <v>0</v>
      </c>
      <c r="J32" s="123">
        <f t="shared" ref="J32:J39" si="8">G32/$G$39</f>
        <v>4.4229444524883062E-3</v>
      </c>
    </row>
    <row r="33" spans="1:10" s="1" customFormat="1" x14ac:dyDescent="0.2">
      <c r="A33" s="109" t="s">
        <v>45</v>
      </c>
      <c r="B33" s="73"/>
      <c r="C33" s="34"/>
      <c r="D33" s="34">
        <f>SUM(D29:D32)</f>
        <v>0.87243999999999999</v>
      </c>
      <c r="E33" s="72"/>
      <c r="F33" s="34"/>
      <c r="G33" s="34">
        <f>SUM(G29:G32)</f>
        <v>0.87243999999999999</v>
      </c>
      <c r="H33" s="34">
        <f t="shared" si="2"/>
        <v>0</v>
      </c>
      <c r="I33" s="35">
        <f t="shared" si="3"/>
        <v>0</v>
      </c>
      <c r="J33" s="110">
        <f t="shared" si="8"/>
        <v>1.5435014632515591E-2</v>
      </c>
    </row>
    <row r="34" spans="1:10" ht="13.5" thickBot="1" x14ac:dyDescent="0.25">
      <c r="A34" s="111" t="s">
        <v>46</v>
      </c>
      <c r="B34" s="112">
        <f>B4</f>
        <v>100</v>
      </c>
      <c r="C34" s="113">
        <v>7.0000000000000001E-3</v>
      </c>
      <c r="D34" s="114">
        <f>B34*C34</f>
        <v>0.70000000000000007</v>
      </c>
      <c r="E34" s="115">
        <f t="shared" si="4"/>
        <v>100</v>
      </c>
      <c r="F34" s="113">
        <f>C34</f>
        <v>7.0000000000000001E-3</v>
      </c>
      <c r="G34" s="114">
        <f>E34*F34</f>
        <v>0.70000000000000007</v>
      </c>
      <c r="H34" s="114">
        <f t="shared" si="2"/>
        <v>0</v>
      </c>
      <c r="I34" s="116">
        <f t="shared" si="3"/>
        <v>0</v>
      </c>
      <c r="J34" s="117">
        <f t="shared" si="8"/>
        <v>1.2384244466967259E-2</v>
      </c>
    </row>
    <row r="35" spans="1:10" x14ac:dyDescent="0.2">
      <c r="A35" s="36" t="s">
        <v>116</v>
      </c>
      <c r="B35" s="37"/>
      <c r="C35" s="38"/>
      <c r="D35" s="38">
        <f>SUM(D14,D24,D27,D33,D34)</f>
        <v>52.841840000000005</v>
      </c>
      <c r="E35" s="37"/>
      <c r="F35" s="38"/>
      <c r="G35" s="38">
        <f>SUM(G14,G24,G27,G33,G34)</f>
        <v>53.83184</v>
      </c>
      <c r="H35" s="38">
        <f t="shared" si="2"/>
        <v>0.98999999999999488</v>
      </c>
      <c r="I35" s="39">
        <f t="shared" si="3"/>
        <v>1.8735153809935363E-2</v>
      </c>
      <c r="J35" s="40">
        <f t="shared" si="8"/>
        <v>0.95238095238095233</v>
      </c>
    </row>
    <row r="36" spans="1:10" x14ac:dyDescent="0.2">
      <c r="A36" s="45" t="s">
        <v>108</v>
      </c>
      <c r="B36" s="42"/>
      <c r="C36" s="25">
        <v>0.13</v>
      </c>
      <c r="D36" s="25">
        <f>D35*C36</f>
        <v>6.8694392000000013</v>
      </c>
      <c r="E36" s="25"/>
      <c r="F36" s="25">
        <f>C36</f>
        <v>0.13</v>
      </c>
      <c r="G36" s="25">
        <f>G35*F36</f>
        <v>6.9981391999999998</v>
      </c>
      <c r="H36" s="25">
        <f t="shared" si="2"/>
        <v>0.12869999999999848</v>
      </c>
      <c r="I36" s="43">
        <f t="shared" si="3"/>
        <v>1.8735153809935234E-2</v>
      </c>
      <c r="J36" s="44">
        <f t="shared" si="8"/>
        <v>0.1238095238095238</v>
      </c>
    </row>
    <row r="37" spans="1:10" x14ac:dyDescent="0.2">
      <c r="A37" s="45" t="s">
        <v>109</v>
      </c>
      <c r="B37" s="23"/>
      <c r="C37" s="24"/>
      <c r="D37" s="24">
        <f>SUM(D35:D36)</f>
        <v>59.711279200000007</v>
      </c>
      <c r="E37" s="24"/>
      <c r="F37" s="24"/>
      <c r="G37" s="24">
        <f>SUM(G35:G36)</f>
        <v>60.829979199999997</v>
      </c>
      <c r="H37" s="24">
        <f t="shared" si="2"/>
        <v>1.1186999999999898</v>
      </c>
      <c r="I37" s="26">
        <f t="shared" si="3"/>
        <v>1.8735153809935286E-2</v>
      </c>
      <c r="J37" s="46">
        <f t="shared" si="8"/>
        <v>1.0761904761904761</v>
      </c>
    </row>
    <row r="38" spans="1:10" x14ac:dyDescent="0.2">
      <c r="A38" s="45" t="s">
        <v>110</v>
      </c>
      <c r="B38" s="42"/>
      <c r="C38" s="25">
        <v>-0.08</v>
      </c>
      <c r="D38" s="25">
        <f>D35*C38</f>
        <v>-4.2273472000000005</v>
      </c>
      <c r="E38" s="25"/>
      <c r="F38" s="25">
        <f>C38</f>
        <v>-0.08</v>
      </c>
      <c r="G38" s="25">
        <f>G35*F38</f>
        <v>-4.3065471999999998</v>
      </c>
      <c r="H38" s="25">
        <f t="shared" si="2"/>
        <v>-7.9199999999999271E-2</v>
      </c>
      <c r="I38" s="43">
        <f t="shared" si="3"/>
        <v>-1.8735153809935286E-2</v>
      </c>
      <c r="J38" s="44">
        <f t="shared" si="8"/>
        <v>-7.6190476190476183E-2</v>
      </c>
    </row>
    <row r="39" spans="1:10" ht="13.5" thickBot="1" x14ac:dyDescent="0.25">
      <c r="A39" s="47" t="s">
        <v>111</v>
      </c>
      <c r="B39" s="48"/>
      <c r="C39" s="49"/>
      <c r="D39" s="49">
        <f>SUM(D37:D38)</f>
        <v>55.48393200000001</v>
      </c>
      <c r="E39" s="49"/>
      <c r="F39" s="49"/>
      <c r="G39" s="49">
        <f>SUM(G37:G38)</f>
        <v>56.523432</v>
      </c>
      <c r="H39" s="49">
        <f t="shared" si="2"/>
        <v>1.0394999999999897</v>
      </c>
      <c r="I39" s="50">
        <f t="shared" si="3"/>
        <v>1.8735153809935269E-2</v>
      </c>
      <c r="J39" s="51">
        <f t="shared" si="8"/>
        <v>1</v>
      </c>
    </row>
    <row r="40" spans="1:10" x14ac:dyDescent="0.2">
      <c r="A40" s="184"/>
      <c r="D40" s="71"/>
      <c r="F40" s="68"/>
    </row>
    <row r="41" spans="1:10" x14ac:dyDescent="0.2">
      <c r="A41" s="184"/>
      <c r="F41" s="68"/>
    </row>
    <row r="42" spans="1:10" x14ac:dyDescent="0.2">
      <c r="A42" s="185"/>
      <c r="B42" s="70"/>
      <c r="F42" s="68"/>
    </row>
    <row r="43" spans="1:10" x14ac:dyDescent="0.2">
      <c r="A43" s="184"/>
      <c r="B43" s="71"/>
      <c r="D43" s="71"/>
      <c r="F43" s="68"/>
    </row>
    <row r="44" spans="1:10" x14ac:dyDescent="0.2">
      <c r="A44" s="184"/>
      <c r="F44" s="68"/>
    </row>
    <row r="45" spans="1:10" x14ac:dyDescent="0.2">
      <c r="A45" s="184"/>
      <c r="F45" s="68"/>
    </row>
    <row r="46" spans="1:10" x14ac:dyDescent="0.2">
      <c r="A46" s="184"/>
      <c r="F46" s="68"/>
    </row>
    <row r="47" spans="1:10" x14ac:dyDescent="0.2">
      <c r="A47" s="184"/>
      <c r="F47" s="68"/>
    </row>
    <row r="48" spans="1:10" x14ac:dyDescent="0.2">
      <c r="A48" s="184"/>
      <c r="F48" s="68"/>
    </row>
    <row r="49" spans="1:6" x14ac:dyDescent="0.2">
      <c r="A49" s="184"/>
      <c r="F49" s="68"/>
    </row>
    <row r="50" spans="1:6" x14ac:dyDescent="0.2">
      <c r="A50" s="184"/>
      <c r="F50" s="68"/>
    </row>
    <row r="51" spans="1:6" x14ac:dyDescent="0.2">
      <c r="A51" s="184"/>
    </row>
    <row r="52" spans="1:6" x14ac:dyDescent="0.2">
      <c r="A52" s="184"/>
    </row>
    <row r="53" spans="1:6" x14ac:dyDescent="0.2">
      <c r="A53" s="184"/>
    </row>
    <row r="54" spans="1:6" x14ac:dyDescent="0.2">
      <c r="A54" s="184"/>
    </row>
  </sheetData>
  <mergeCells count="1">
    <mergeCell ref="A1:J1"/>
  </mergeCells>
  <pageMargins left="0.7" right="0.7" top="0.75" bottom="0.75" header="0.3" footer="0.3"/>
  <pageSetup scale="80"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Impacts'!$A$3:$A$11</xm:f>
          </x14:formula1>
          <xm:sqref>B3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tint="0.499984740745262"/>
    <pageSetUpPr fitToPage="1"/>
  </sheetPr>
  <dimension ref="A1:K68"/>
  <sheetViews>
    <sheetView tabSelected="1" topLeftCell="A4"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3"/>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205" t="s">
        <v>124</v>
      </c>
      <c r="B1" s="206"/>
      <c r="C1" s="206"/>
      <c r="D1" s="206"/>
      <c r="E1" s="206"/>
      <c r="F1" s="206"/>
      <c r="G1" s="206"/>
      <c r="H1" s="206"/>
      <c r="I1" s="206"/>
      <c r="J1" s="206"/>
      <c r="K1" s="207"/>
    </row>
    <row r="3" spans="1:11" x14ac:dyDescent="0.2">
      <c r="A3" s="12" t="s">
        <v>13</v>
      </c>
      <c r="B3" s="12" t="s">
        <v>0</v>
      </c>
    </row>
    <row r="4" spans="1:11" x14ac:dyDescent="0.2">
      <c r="A4" s="14" t="s">
        <v>62</v>
      </c>
      <c r="B4" s="14">
        <v>350</v>
      </c>
    </row>
    <row r="5" spans="1:11" x14ac:dyDescent="0.2">
      <c r="A5" s="14" t="s">
        <v>16</v>
      </c>
      <c r="B5" s="14">
        <f>VLOOKUP($B$3,'Data for Bill Impacts'!$A$3:$Y$15,5,0)</f>
        <v>0</v>
      </c>
    </row>
    <row r="6" spans="1:11" x14ac:dyDescent="0.2">
      <c r="A6" s="14" t="s">
        <v>20</v>
      </c>
      <c r="B6" s="14">
        <f>VLOOKUP($B$3,'Data for Bill Impacts'!$A$3:$Y$15,2,0)</f>
        <v>1.0569999999999999</v>
      </c>
    </row>
    <row r="7" spans="1:11" x14ac:dyDescent="0.2">
      <c r="A7" s="14" t="s">
        <v>15</v>
      </c>
      <c r="B7" s="14">
        <f>VLOOKUP($B$3,'Data for Bill Impacts'!$A$3:$Y$15,4,0)</f>
        <v>600</v>
      </c>
    </row>
    <row r="8" spans="1:11" x14ac:dyDescent="0.2">
      <c r="A8" s="14" t="s">
        <v>82</v>
      </c>
      <c r="B8" s="148">
        <f>B4*B6</f>
        <v>369.95</v>
      </c>
    </row>
    <row r="9" spans="1:11" x14ac:dyDescent="0.2">
      <c r="A9" s="14" t="s">
        <v>21</v>
      </c>
      <c r="B9" s="15" t="str">
        <f>VLOOKUP($B$3,'Data for Bill Impacts'!$A$3:$Y$15,6,0)</f>
        <v>kWh</v>
      </c>
    </row>
    <row r="10" spans="1:11" ht="13.5" thickBot="1" x14ac:dyDescent="0.25"/>
    <row r="11" spans="1:11" s="19" customFormat="1" ht="39" thickBot="1" x14ac:dyDescent="0.25">
      <c r="A11" s="16"/>
      <c r="B11" s="17" t="s">
        <v>22</v>
      </c>
      <c r="C11" s="17" t="s">
        <v>23</v>
      </c>
      <c r="D11" s="17" t="s">
        <v>24</v>
      </c>
      <c r="E11" s="17" t="s">
        <v>22</v>
      </c>
      <c r="F11" s="17" t="s">
        <v>25</v>
      </c>
      <c r="G11" s="17" t="s">
        <v>26</v>
      </c>
      <c r="H11" s="17" t="s">
        <v>27</v>
      </c>
      <c r="I11" s="17" t="s">
        <v>28</v>
      </c>
      <c r="J11" s="17" t="s">
        <v>29</v>
      </c>
      <c r="K11" s="18" t="s">
        <v>30</v>
      </c>
    </row>
    <row r="12" spans="1:11" x14ac:dyDescent="0.2">
      <c r="A12" s="100" t="s">
        <v>31</v>
      </c>
      <c r="B12" s="101">
        <f>IF(B4&gt;B7,B7,B4)</f>
        <v>350</v>
      </c>
      <c r="C12" s="102">
        <v>9.0999999999999998E-2</v>
      </c>
      <c r="D12" s="103">
        <f>B12*C12</f>
        <v>31.849999999999998</v>
      </c>
      <c r="E12" s="101">
        <f>B12</f>
        <v>350</v>
      </c>
      <c r="F12" s="102">
        <f>C12</f>
        <v>9.0999999999999998E-2</v>
      </c>
      <c r="G12" s="103">
        <f>E12*F12</f>
        <v>31.849999999999998</v>
      </c>
      <c r="H12" s="103">
        <f>G12-D12</f>
        <v>0</v>
      </c>
      <c r="I12" s="104">
        <f>IF(ISERROR(H12/ABS(D12)),"N/A",(H12/ABS(D12)))</f>
        <v>0</v>
      </c>
      <c r="J12" s="104">
        <f>G12/$G$46</f>
        <v>0.38212351453945326</v>
      </c>
      <c r="K12" s="105"/>
    </row>
    <row r="13" spans="1:11" x14ac:dyDescent="0.2">
      <c r="A13" s="106" t="s">
        <v>32</v>
      </c>
      <c r="B13" s="72">
        <f>IF(B4&gt;B7,(B4)-B7,0)</f>
        <v>0</v>
      </c>
      <c r="C13" s="20">
        <v>0.106</v>
      </c>
      <c r="D13" s="21">
        <f>B13*C13</f>
        <v>0</v>
      </c>
      <c r="E13" s="72">
        <f t="shared" ref="E13:E41" si="0">B13</f>
        <v>0</v>
      </c>
      <c r="F13" s="20">
        <f>C13</f>
        <v>0.106</v>
      </c>
      <c r="G13" s="21">
        <f>E13*F13</f>
        <v>0</v>
      </c>
      <c r="H13" s="21">
        <f t="shared" ref="H13:H46" si="1">G13-D13</f>
        <v>0</v>
      </c>
      <c r="I13" s="22" t="str">
        <f t="shared" ref="I13:I51" si="2">IF(ISERROR(H13/ABS(D13)),"N/A",(H13/ABS(D13)))</f>
        <v>N/A</v>
      </c>
      <c r="J13" s="22">
        <f>G13/$G$46</f>
        <v>0</v>
      </c>
      <c r="K13" s="107"/>
    </row>
    <row r="14" spans="1:11" s="1" customFormat="1" x14ac:dyDescent="0.2">
      <c r="A14" s="45" t="s">
        <v>33</v>
      </c>
      <c r="B14" s="23"/>
      <c r="C14" s="24"/>
      <c r="D14" s="24">
        <f>SUM(D12:D13)</f>
        <v>31.849999999999998</v>
      </c>
      <c r="E14" s="75"/>
      <c r="F14" s="24"/>
      <c r="G14" s="24">
        <f>SUM(G12:G13)</f>
        <v>31.849999999999998</v>
      </c>
      <c r="H14" s="24">
        <f t="shared" si="1"/>
        <v>0</v>
      </c>
      <c r="I14" s="26">
        <f t="shared" si="2"/>
        <v>0</v>
      </c>
      <c r="J14" s="26">
        <f>G14/$G$46</f>
        <v>0.38212351453945326</v>
      </c>
      <c r="K14" s="107"/>
    </row>
    <row r="15" spans="1:11" s="1" customFormat="1" x14ac:dyDescent="0.2">
      <c r="A15" s="108" t="s">
        <v>34</v>
      </c>
      <c r="B15" s="74">
        <f>B4*0.65</f>
        <v>227.5</v>
      </c>
      <c r="C15" s="27">
        <v>7.6999999999999999E-2</v>
      </c>
      <c r="D15" s="21">
        <f>B15*C15</f>
        <v>17.517499999999998</v>
      </c>
      <c r="E15" s="72">
        <f t="shared" ref="E15:F17" si="3">B15</f>
        <v>227.5</v>
      </c>
      <c r="F15" s="27">
        <f t="shared" si="3"/>
        <v>7.6999999999999999E-2</v>
      </c>
      <c r="G15" s="21">
        <f>E15*F15</f>
        <v>17.517499999999998</v>
      </c>
      <c r="H15" s="21">
        <f t="shared" si="1"/>
        <v>0</v>
      </c>
      <c r="I15" s="22">
        <f t="shared" si="2"/>
        <v>0</v>
      </c>
      <c r="J15" s="22"/>
      <c r="K15" s="107">
        <f t="shared" ref="K15:K23" si="4">G15/$G$51</f>
        <v>0.20397008764197325</v>
      </c>
    </row>
    <row r="16" spans="1:11" s="1" customFormat="1" x14ac:dyDescent="0.2">
      <c r="A16" s="108" t="s">
        <v>35</v>
      </c>
      <c r="B16" s="74">
        <f>B4*0.17</f>
        <v>59.500000000000007</v>
      </c>
      <c r="C16" s="27">
        <v>0.113</v>
      </c>
      <c r="D16" s="21">
        <f>B16*C16</f>
        <v>6.7235000000000014</v>
      </c>
      <c r="E16" s="72">
        <f t="shared" si="3"/>
        <v>59.500000000000007</v>
      </c>
      <c r="F16" s="27">
        <f t="shared" si="3"/>
        <v>0.113</v>
      </c>
      <c r="G16" s="21">
        <f>E16*F16</f>
        <v>6.7235000000000014</v>
      </c>
      <c r="H16" s="21">
        <f t="shared" si="1"/>
        <v>0</v>
      </c>
      <c r="I16" s="22">
        <f t="shared" si="2"/>
        <v>0</v>
      </c>
      <c r="J16" s="22"/>
      <c r="K16" s="107">
        <f t="shared" si="4"/>
        <v>7.8287020651394743E-2</v>
      </c>
    </row>
    <row r="17" spans="1:11" s="1" customFormat="1" x14ac:dyDescent="0.2">
      <c r="A17" s="108" t="s">
        <v>36</v>
      </c>
      <c r="B17" s="74">
        <f>B4*0.18</f>
        <v>63</v>
      </c>
      <c r="C17" s="27">
        <v>0.157</v>
      </c>
      <c r="D17" s="21">
        <f>B17*C17</f>
        <v>9.891</v>
      </c>
      <c r="E17" s="72">
        <f t="shared" si="3"/>
        <v>63</v>
      </c>
      <c r="F17" s="27">
        <f t="shared" si="3"/>
        <v>0.157</v>
      </c>
      <c r="G17" s="21">
        <f>E17*F17</f>
        <v>9.891</v>
      </c>
      <c r="H17" s="21">
        <f t="shared" si="1"/>
        <v>0</v>
      </c>
      <c r="I17" s="22">
        <f t="shared" si="2"/>
        <v>0</v>
      </c>
      <c r="J17" s="22"/>
      <c r="K17" s="107">
        <f t="shared" si="4"/>
        <v>0.11516872481043285</v>
      </c>
    </row>
    <row r="18" spans="1:11" s="1" customFormat="1" x14ac:dyDescent="0.2">
      <c r="A18" s="60" t="s">
        <v>37</v>
      </c>
      <c r="B18" s="28"/>
      <c r="C18" s="29"/>
      <c r="D18" s="29">
        <f>SUM(D15:D17)</f>
        <v>34.131999999999998</v>
      </c>
      <c r="E18" s="76"/>
      <c r="F18" s="29"/>
      <c r="G18" s="29">
        <f>SUM(G15:G17)</f>
        <v>34.131999999999998</v>
      </c>
      <c r="H18" s="30">
        <f t="shared" si="1"/>
        <v>0</v>
      </c>
      <c r="I18" s="31">
        <f t="shared" si="2"/>
        <v>0</v>
      </c>
      <c r="J18" s="32">
        <f t="shared" ref="J18:J23" si="5">G18/$G$46</f>
        <v>0.40950203448228001</v>
      </c>
      <c r="K18" s="61">
        <f t="shared" si="4"/>
        <v>0.39742583310380081</v>
      </c>
    </row>
    <row r="19" spans="1:11" x14ac:dyDescent="0.2">
      <c r="A19" s="106" t="s">
        <v>38</v>
      </c>
      <c r="B19" s="72">
        <v>1</v>
      </c>
      <c r="C19" s="120">
        <f>VLOOKUP($B$3,'Data for Bill Impacts'!$A$3:$Y$15,7,0)</f>
        <v>36.67</v>
      </c>
      <c r="D19" s="21">
        <f>B19*C19</f>
        <v>36.67</v>
      </c>
      <c r="E19" s="72">
        <f t="shared" si="0"/>
        <v>1</v>
      </c>
      <c r="F19" s="120">
        <f>VLOOKUP($B$3,'Data for Bill Impacts'!$A$3:$Y$15,17,0)</f>
        <v>37.369999999999997</v>
      </c>
      <c r="G19" s="21">
        <f>E19*F19</f>
        <v>37.369999999999997</v>
      </c>
      <c r="H19" s="21">
        <f t="shared" si="1"/>
        <v>0.69999999999999574</v>
      </c>
      <c r="I19" s="22">
        <f t="shared" si="2"/>
        <v>1.9089173711480657E-2</v>
      </c>
      <c r="J19" s="22">
        <f t="shared" si="5"/>
        <v>0.44835025866057671</v>
      </c>
      <c r="K19" s="107">
        <f t="shared" si="4"/>
        <v>0.43512842444301641</v>
      </c>
    </row>
    <row r="20" spans="1:11" hidden="1" x14ac:dyDescent="0.2">
      <c r="A20" s="106" t="s">
        <v>83</v>
      </c>
      <c r="B20" s="72">
        <v>1</v>
      </c>
      <c r="C20" s="77">
        <f>VLOOKUP($B$3,'Data for Bill Impacts'!$A$3:$Y$15,8,0)</f>
        <v>0</v>
      </c>
      <c r="D20" s="21">
        <f>B20*C20</f>
        <v>0</v>
      </c>
      <c r="E20" s="72">
        <f t="shared" si="0"/>
        <v>1</v>
      </c>
      <c r="F20" s="77">
        <v>0</v>
      </c>
      <c r="G20" s="21">
        <f t="shared" ref="G20:G22" si="6">E20*F20</f>
        <v>0</v>
      </c>
      <c r="H20" s="21">
        <f t="shared" si="1"/>
        <v>0</v>
      </c>
      <c r="I20" s="22" t="str">
        <f t="shared" si="2"/>
        <v>N/A</v>
      </c>
      <c r="J20" s="22">
        <f t="shared" si="5"/>
        <v>0</v>
      </c>
      <c r="K20" s="107">
        <f t="shared" si="4"/>
        <v>0</v>
      </c>
    </row>
    <row r="21" spans="1:11" hidden="1" x14ac:dyDescent="0.2">
      <c r="A21" s="106" t="s">
        <v>115</v>
      </c>
      <c r="B21" s="72">
        <v>1</v>
      </c>
      <c r="C21" s="77">
        <f>VLOOKUP($B$3,'Data for Bill Impacts'!$A$3:$Y$15,11,0)</f>
        <v>0</v>
      </c>
      <c r="D21" s="21">
        <f t="shared" ref="D21:D22" si="7">B21*C21</f>
        <v>0</v>
      </c>
      <c r="E21" s="72">
        <f t="shared" si="0"/>
        <v>1</v>
      </c>
      <c r="F21" s="120">
        <f>VLOOKUP($B$3,'Data for Bill Impacts'!$A$3:$Y$15,12,0)</f>
        <v>0</v>
      </c>
      <c r="G21" s="21">
        <f t="shared" si="6"/>
        <v>0</v>
      </c>
      <c r="H21" s="21">
        <f t="shared" ref="H21:H22" si="8">G21-D21</f>
        <v>0</v>
      </c>
      <c r="I21" s="22" t="str">
        <f t="shared" si="2"/>
        <v>N/A</v>
      </c>
      <c r="J21" s="22">
        <f t="shared" si="5"/>
        <v>0</v>
      </c>
      <c r="K21" s="107">
        <f t="shared" si="4"/>
        <v>0</v>
      </c>
    </row>
    <row r="22" spans="1:11" x14ac:dyDescent="0.2">
      <c r="A22" s="106" t="s">
        <v>85</v>
      </c>
      <c r="B22" s="72">
        <v>1</v>
      </c>
      <c r="C22" s="120">
        <f>VLOOKUP($B$3,'Data for Bill Impacts'!$A$3:$Y$15,13,0)</f>
        <v>7.0000000000000001E-3</v>
      </c>
      <c r="D22" s="21">
        <f t="shared" si="7"/>
        <v>7.0000000000000001E-3</v>
      </c>
      <c r="E22" s="72">
        <f t="shared" si="0"/>
        <v>1</v>
      </c>
      <c r="F22" s="120">
        <f>VLOOKUP($B$3,'Data for Bill Impacts'!$A$3:$Y$15,22,0)</f>
        <v>7.0000000000000001E-3</v>
      </c>
      <c r="G22" s="21">
        <f t="shared" si="6"/>
        <v>7.0000000000000001E-3</v>
      </c>
      <c r="H22" s="21">
        <f t="shared" si="8"/>
        <v>0</v>
      </c>
      <c r="I22" s="22">
        <f t="shared" si="2"/>
        <v>0</v>
      </c>
      <c r="J22" s="22">
        <f t="shared" si="5"/>
        <v>8.3983190008671054E-5</v>
      </c>
      <c r="K22" s="107">
        <f t="shared" si="4"/>
        <v>8.1506528528261049E-5</v>
      </c>
    </row>
    <row r="23" spans="1:11" x14ac:dyDescent="0.2">
      <c r="A23" s="106" t="s">
        <v>39</v>
      </c>
      <c r="B23" s="72">
        <f>IF($B$9="kWh",$B$4,$B$5)</f>
        <v>350</v>
      </c>
      <c r="C23" s="124">
        <f>VLOOKUP($B$3,'Data for Bill Impacts'!$A$3:$Y$15,10,0)</f>
        <v>0</v>
      </c>
      <c r="D23" s="21">
        <f>B23*C23</f>
        <v>0</v>
      </c>
      <c r="E23" s="72">
        <f t="shared" si="0"/>
        <v>350</v>
      </c>
      <c r="F23" s="124">
        <f>VLOOKUP($B$3,'Data for Bill Impacts'!$A$3:$Y$15,19,0)</f>
        <v>0</v>
      </c>
      <c r="G23" s="21">
        <f>E23*F23</f>
        <v>0</v>
      </c>
      <c r="H23" s="21">
        <f t="shared" si="1"/>
        <v>0</v>
      </c>
      <c r="I23" s="22" t="str">
        <f t="shared" si="2"/>
        <v>N/A</v>
      </c>
      <c r="J23" s="22">
        <f t="shared" si="5"/>
        <v>0</v>
      </c>
      <c r="K23" s="107">
        <f t="shared" si="4"/>
        <v>0</v>
      </c>
    </row>
    <row r="24" spans="1:11" x14ac:dyDescent="0.2">
      <c r="A24" s="106" t="s">
        <v>129</v>
      </c>
      <c r="B24" s="72">
        <f>IF($B$9="kWh",$B$4,$B$5)</f>
        <v>350</v>
      </c>
      <c r="C24" s="124">
        <f>VLOOKUP($B$3,'Data for Bill Impacts'!$A$3:$Y$15,14,0)</f>
        <v>3.0000000000000004E-5</v>
      </c>
      <c r="D24" s="21">
        <f>B24*C24</f>
        <v>1.0500000000000001E-2</v>
      </c>
      <c r="E24" s="72">
        <f t="shared" si="0"/>
        <v>350</v>
      </c>
      <c r="F24" s="124">
        <f>VLOOKUP($B$3,'Data for Bill Impacts'!$A$3:$Y$15,23,0)</f>
        <v>3.0000000000000004E-5</v>
      </c>
      <c r="G24" s="21">
        <f>E24*F24</f>
        <v>1.0500000000000001E-2</v>
      </c>
      <c r="H24" s="21">
        <f t="shared" ref="H24" si="9">G24-D24</f>
        <v>0</v>
      </c>
      <c r="I24" s="22">
        <f t="shared" si="2"/>
        <v>0</v>
      </c>
      <c r="J24" s="22">
        <f t="shared" ref="J24" si="10">G24/$G$46</f>
        <v>1.2597478501300658E-4</v>
      </c>
      <c r="K24" s="107">
        <f t="shared" ref="K24" si="11">G24/$G$51</f>
        <v>1.2225979279239157E-4</v>
      </c>
    </row>
    <row r="25" spans="1:11" s="1" customFormat="1" x14ac:dyDescent="0.2">
      <c r="A25" s="109" t="s">
        <v>72</v>
      </c>
      <c r="B25" s="73"/>
      <c r="C25" s="34"/>
      <c r="D25" s="34">
        <f>SUM(D19:D24)</f>
        <v>36.6875</v>
      </c>
      <c r="E25" s="72"/>
      <c r="F25" s="34"/>
      <c r="G25" s="34">
        <f>SUM(G19:G24)</f>
        <v>37.387499999999996</v>
      </c>
      <c r="H25" s="34">
        <f t="shared" si="1"/>
        <v>0.69999999999999574</v>
      </c>
      <c r="I25" s="35">
        <f t="shared" si="2"/>
        <v>1.9080068143100395E-2</v>
      </c>
      <c r="J25" s="35">
        <f>G25/$G$46</f>
        <v>0.44856021663559836</v>
      </c>
      <c r="K25" s="110">
        <f>G25/$G$51</f>
        <v>0.43533219076433705</v>
      </c>
    </row>
    <row r="26" spans="1:11" s="1" customFormat="1" x14ac:dyDescent="0.2">
      <c r="A26" s="118" t="s">
        <v>73</v>
      </c>
      <c r="B26" s="119">
        <v>1</v>
      </c>
      <c r="C26" s="77">
        <f>VLOOKUP($B$3,'Data for Bill Impacts'!$A$3:$Y$15,9,0)</f>
        <v>0.79</v>
      </c>
      <c r="D26" s="21">
        <f>B26*C26</f>
        <v>0.79</v>
      </c>
      <c r="E26" s="72">
        <v>1</v>
      </c>
      <c r="F26" s="77">
        <f>VLOOKUP($B$3,'Data for Bill Impacts'!$A$3:$Y$15,18,0)</f>
        <v>0.79</v>
      </c>
      <c r="G26" s="21">
        <f>E26*F26</f>
        <v>0.79</v>
      </c>
      <c r="H26" s="21">
        <f t="shared" si="1"/>
        <v>0</v>
      </c>
      <c r="I26" s="22">
        <f t="shared" si="2"/>
        <v>0</v>
      </c>
      <c r="J26" s="22">
        <f>G26/$G$46</f>
        <v>9.4781028724071625E-3</v>
      </c>
      <c r="K26" s="107">
        <f>G26/$G$51</f>
        <v>9.1985939339037457E-3</v>
      </c>
    </row>
    <row r="27" spans="1:11" s="1" customFormat="1" x14ac:dyDescent="0.2">
      <c r="A27" s="118" t="s">
        <v>75</v>
      </c>
      <c r="B27" s="119">
        <f>B8-B4</f>
        <v>19.949999999999989</v>
      </c>
      <c r="C27" s="186">
        <f>IF(B4&gt;B7,C13,C12)</f>
        <v>9.0999999999999998E-2</v>
      </c>
      <c r="D27" s="21">
        <f>B27*C27</f>
        <v>1.8154499999999989</v>
      </c>
      <c r="E27" s="72">
        <f>B27</f>
        <v>19.949999999999989</v>
      </c>
      <c r="F27" s="186">
        <f>C27</f>
        <v>9.0999999999999998E-2</v>
      </c>
      <c r="G27" s="21">
        <f>E27*F27</f>
        <v>1.8154499999999989</v>
      </c>
      <c r="H27" s="21">
        <f t="shared" ref="H27:H29" si="12">G27-D27</f>
        <v>0</v>
      </c>
      <c r="I27" s="22">
        <f t="shared" si="2"/>
        <v>0</v>
      </c>
      <c r="J27" s="22">
        <f t="shared" ref="J27:J29" si="13">G27/$G$46</f>
        <v>2.1781040328748825E-2</v>
      </c>
      <c r="K27" s="107">
        <f t="shared" ref="K27:K29" si="14">G27/$G$51</f>
        <v>2.1138718173804489E-2</v>
      </c>
    </row>
    <row r="28" spans="1:11" s="1" customFormat="1" x14ac:dyDescent="0.2">
      <c r="A28" s="118" t="s">
        <v>74</v>
      </c>
      <c r="B28" s="119">
        <f>B8-B4</f>
        <v>19.949999999999989</v>
      </c>
      <c r="C28" s="186">
        <f>0.65*C15+0.17*C16+0.18*C17</f>
        <v>9.7519999999999996E-2</v>
      </c>
      <c r="D28" s="21">
        <f>B28*C28</f>
        <v>1.9455239999999987</v>
      </c>
      <c r="E28" s="72">
        <f>B28</f>
        <v>19.949999999999989</v>
      </c>
      <c r="F28" s="186">
        <f>C28</f>
        <v>9.7519999999999996E-2</v>
      </c>
      <c r="G28" s="21">
        <f>E28*F28</f>
        <v>1.9455239999999987</v>
      </c>
      <c r="H28" s="21">
        <f t="shared" ref="H28" si="15">G28-D28</f>
        <v>0</v>
      </c>
      <c r="I28" s="22">
        <f t="shared" si="2"/>
        <v>0</v>
      </c>
      <c r="J28" s="22">
        <f t="shared" ref="J28" si="16">G28/$G$46</f>
        <v>2.3341615965489948E-2</v>
      </c>
      <c r="K28" s="107">
        <f t="shared" ref="K28" si="17">G28/$G$51</f>
        <v>2.2653272486916634E-2</v>
      </c>
    </row>
    <row r="29" spans="1:11" s="1" customFormat="1" x14ac:dyDescent="0.2">
      <c r="A29" s="109" t="s">
        <v>78</v>
      </c>
      <c r="B29" s="73"/>
      <c r="C29" s="34"/>
      <c r="D29" s="34">
        <f>SUM(D25,D26:D27)</f>
        <v>39.292949999999998</v>
      </c>
      <c r="E29" s="72"/>
      <c r="F29" s="34"/>
      <c r="G29" s="34">
        <f>SUM(G25,G26:G27)</f>
        <v>39.992949999999993</v>
      </c>
      <c r="H29" s="34">
        <f t="shared" si="12"/>
        <v>0.69999999999999574</v>
      </c>
      <c r="I29" s="35">
        <f t="shared" si="2"/>
        <v>1.7814900637391589E-2</v>
      </c>
      <c r="J29" s="35">
        <f t="shared" si="13"/>
        <v>0.47981935983675433</v>
      </c>
      <c r="K29" s="110">
        <f t="shared" si="14"/>
        <v>0.46566950287204528</v>
      </c>
    </row>
    <row r="30" spans="1:11" s="1" customFormat="1" x14ac:dyDescent="0.2">
      <c r="A30" s="109" t="s">
        <v>77</v>
      </c>
      <c r="B30" s="73"/>
      <c r="C30" s="34"/>
      <c r="D30" s="34">
        <f>SUM(D25,D26,D28)</f>
        <v>39.423023999999998</v>
      </c>
      <c r="E30" s="72"/>
      <c r="F30" s="34"/>
      <c r="G30" s="34">
        <f>SUM(G25,G26,G28)</f>
        <v>40.123023999999994</v>
      </c>
      <c r="H30" s="34">
        <f t="shared" ref="H30" si="18">G30-D30</f>
        <v>0.69999999999999574</v>
      </c>
      <c r="I30" s="35">
        <f t="shared" si="2"/>
        <v>1.7756121397485787E-2</v>
      </c>
      <c r="J30" s="35">
        <f t="shared" ref="J30" si="19">G30/$G$46</f>
        <v>0.48137993547349545</v>
      </c>
      <c r="K30" s="110">
        <f t="shared" ref="K30" si="20">G30/$G$51</f>
        <v>0.46718405718515743</v>
      </c>
    </row>
    <row r="31" spans="1:11" x14ac:dyDescent="0.2">
      <c r="A31" s="106" t="s">
        <v>40</v>
      </c>
      <c r="B31" s="72">
        <f>B8</f>
        <v>369.95</v>
      </c>
      <c r="C31" s="124">
        <f>VLOOKUP($B$3,'Data for Bill Impacts'!$A$3:$Y$15,15,0)</f>
        <v>7.7000000000000002E-3</v>
      </c>
      <c r="D31" s="21">
        <f>B31*C31</f>
        <v>2.8486150000000001</v>
      </c>
      <c r="E31" s="72">
        <f t="shared" si="0"/>
        <v>369.95</v>
      </c>
      <c r="F31" s="77">
        <f>VLOOKUP($B$3,'Data for Bill Impacts'!$A$3:$Y$15,24,0)</f>
        <v>7.7000000000000002E-3</v>
      </c>
      <c r="G31" s="21">
        <f>E31*F31</f>
        <v>2.8486150000000001</v>
      </c>
      <c r="H31" s="21">
        <f t="shared" si="1"/>
        <v>0</v>
      </c>
      <c r="I31" s="22">
        <f t="shared" si="2"/>
        <v>0</v>
      </c>
      <c r="J31" s="22">
        <f t="shared" ref="J31:J46" si="21">G31/$G$46</f>
        <v>3.4176539258078641E-2</v>
      </c>
      <c r="K31" s="107">
        <f t="shared" ref="K31:K41" si="22">G31/$G$51</f>
        <v>3.3168674251933192E-2</v>
      </c>
    </row>
    <row r="32" spans="1:11" x14ac:dyDescent="0.2">
      <c r="A32" s="106" t="s">
        <v>41</v>
      </c>
      <c r="B32" s="72">
        <f>B8</f>
        <v>369.95</v>
      </c>
      <c r="C32" s="124">
        <f>VLOOKUP($B$3,'Data for Bill Impacts'!$A$3:$Y$15,16,0)</f>
        <v>6.3E-3</v>
      </c>
      <c r="D32" s="21">
        <f>B32*C32</f>
        <v>2.3306849999999999</v>
      </c>
      <c r="E32" s="72">
        <f t="shared" si="0"/>
        <v>369.95</v>
      </c>
      <c r="F32" s="77">
        <f>VLOOKUP($B$3,'Data for Bill Impacts'!$A$3:$Y$15,25,0)</f>
        <v>6.3E-3</v>
      </c>
      <c r="G32" s="21">
        <f>E32*F32</f>
        <v>2.3306849999999999</v>
      </c>
      <c r="H32" s="21">
        <f t="shared" si="1"/>
        <v>0</v>
      </c>
      <c r="I32" s="22">
        <f t="shared" si="2"/>
        <v>0</v>
      </c>
      <c r="J32" s="22">
        <f t="shared" si="21"/>
        <v>2.796262302933707E-2</v>
      </c>
      <c r="K32" s="107">
        <f t="shared" si="22"/>
        <v>2.7138006206127153E-2</v>
      </c>
    </row>
    <row r="33" spans="1:11" s="1" customFormat="1" x14ac:dyDescent="0.2">
      <c r="A33" s="109" t="s">
        <v>76</v>
      </c>
      <c r="B33" s="73"/>
      <c r="C33" s="34"/>
      <c r="D33" s="34">
        <f>SUM(D31:D32)</f>
        <v>5.1792999999999996</v>
      </c>
      <c r="E33" s="72"/>
      <c r="F33" s="34"/>
      <c r="G33" s="34">
        <f>SUM(G31:G32)</f>
        <v>5.1792999999999996</v>
      </c>
      <c r="H33" s="34">
        <f t="shared" si="1"/>
        <v>0</v>
      </c>
      <c r="I33" s="35">
        <f t="shared" si="2"/>
        <v>0</v>
      </c>
      <c r="J33" s="35">
        <f t="shared" si="21"/>
        <v>6.2139162287415707E-2</v>
      </c>
      <c r="K33" s="110">
        <f t="shared" si="22"/>
        <v>6.0306680458060341E-2</v>
      </c>
    </row>
    <row r="34" spans="1:11" s="1" customFormat="1" x14ac:dyDescent="0.2">
      <c r="A34" s="109" t="s">
        <v>93</v>
      </c>
      <c r="B34" s="73"/>
      <c r="C34" s="34"/>
      <c r="D34" s="34">
        <f>D29+D33</f>
        <v>44.472249999999995</v>
      </c>
      <c r="E34" s="72"/>
      <c r="F34" s="34"/>
      <c r="G34" s="34">
        <f>G29+G33</f>
        <v>45.172249999999991</v>
      </c>
      <c r="H34" s="34">
        <f t="shared" si="1"/>
        <v>0.69999999999999574</v>
      </c>
      <c r="I34" s="35">
        <f t="shared" si="2"/>
        <v>1.5740152567050143E-2</v>
      </c>
      <c r="J34" s="35">
        <f t="shared" si="21"/>
        <v>0.54195852212417006</v>
      </c>
      <c r="K34" s="110">
        <f t="shared" si="22"/>
        <v>0.52597618333010554</v>
      </c>
    </row>
    <row r="35" spans="1:11" s="1" customFormat="1" x14ac:dyDescent="0.2">
      <c r="A35" s="109" t="s">
        <v>94</v>
      </c>
      <c r="B35" s="73"/>
      <c r="C35" s="34"/>
      <c r="D35" s="34">
        <f>D30+D33</f>
        <v>44.602323999999996</v>
      </c>
      <c r="E35" s="72"/>
      <c r="F35" s="34"/>
      <c r="G35" s="34">
        <f>G30+G33</f>
        <v>45.302323999999992</v>
      </c>
      <c r="H35" s="34">
        <f t="shared" ref="H35" si="23">G35-D35</f>
        <v>0.69999999999999574</v>
      </c>
      <c r="I35" s="35">
        <f t="shared" si="2"/>
        <v>1.5694249474534013E-2</v>
      </c>
      <c r="J35" s="35">
        <f t="shared" ref="J35" si="24">G35/$G$46</f>
        <v>0.54351909776091112</v>
      </c>
      <c r="K35" s="110">
        <f t="shared" ref="K35" si="25">G35/$G$51</f>
        <v>0.52749073764321774</v>
      </c>
    </row>
    <row r="36" spans="1:11" x14ac:dyDescent="0.2">
      <c r="A36" s="106" t="s">
        <v>42</v>
      </c>
      <c r="B36" s="72">
        <f>B8</f>
        <v>369.95</v>
      </c>
      <c r="C36" s="33">
        <v>3.5999999999999999E-3</v>
      </c>
      <c r="D36" s="21">
        <f>B36*C36</f>
        <v>1.33182</v>
      </c>
      <c r="E36" s="72">
        <f t="shared" si="0"/>
        <v>369.95</v>
      </c>
      <c r="F36" s="33">
        <v>3.5999999999999999E-3</v>
      </c>
      <c r="G36" s="21">
        <f>E36*F36</f>
        <v>1.33182</v>
      </c>
      <c r="H36" s="21">
        <f t="shared" si="1"/>
        <v>0</v>
      </c>
      <c r="I36" s="22">
        <f t="shared" si="2"/>
        <v>0</v>
      </c>
      <c r="J36" s="22">
        <f t="shared" si="21"/>
        <v>1.5978641731049754E-2</v>
      </c>
      <c r="K36" s="107">
        <f t="shared" si="22"/>
        <v>1.5507432117786947E-2</v>
      </c>
    </row>
    <row r="37" spans="1:11" x14ac:dyDescent="0.2">
      <c r="A37" s="106" t="s">
        <v>43</v>
      </c>
      <c r="B37" s="72">
        <f>B8</f>
        <v>369.95</v>
      </c>
      <c r="C37" s="33">
        <v>2.0999999999999999E-3</v>
      </c>
      <c r="D37" s="21">
        <f>B37*C37</f>
        <v>0.77689499999999989</v>
      </c>
      <c r="E37" s="72">
        <f t="shared" si="0"/>
        <v>369.95</v>
      </c>
      <c r="F37" s="33">
        <v>2.0999999999999999E-3</v>
      </c>
      <c r="G37" s="21">
        <f>E37*F37</f>
        <v>0.77689499999999989</v>
      </c>
      <c r="H37" s="21">
        <f>G37-D37</f>
        <v>0</v>
      </c>
      <c r="I37" s="22">
        <f t="shared" si="2"/>
        <v>0</v>
      </c>
      <c r="J37" s="22">
        <f t="shared" si="21"/>
        <v>9.3208743431123561E-3</v>
      </c>
      <c r="K37" s="107">
        <f t="shared" si="22"/>
        <v>9.0460020687090498E-3</v>
      </c>
    </row>
    <row r="38" spans="1:11" x14ac:dyDescent="0.2">
      <c r="A38" s="106" t="s">
        <v>99</v>
      </c>
      <c r="B38" s="72">
        <f>B8</f>
        <v>369.95</v>
      </c>
      <c r="C38" s="33">
        <v>0</v>
      </c>
      <c r="D38" s="21">
        <f>B38*C38</f>
        <v>0</v>
      </c>
      <c r="E38" s="72">
        <f t="shared" si="0"/>
        <v>369.95</v>
      </c>
      <c r="F38" s="33">
        <v>0</v>
      </c>
      <c r="G38" s="21">
        <f>E38*F38</f>
        <v>0</v>
      </c>
      <c r="H38" s="21">
        <f>G38-D38</f>
        <v>0</v>
      </c>
      <c r="I38" s="22" t="str">
        <f t="shared" si="2"/>
        <v>N/A</v>
      </c>
      <c r="J38" s="22">
        <f t="shared" ref="J38" si="26">G38/$G$46</f>
        <v>0</v>
      </c>
      <c r="K38" s="107">
        <f t="shared" ref="K38" si="27">G38/$G$51</f>
        <v>0</v>
      </c>
    </row>
    <row r="39" spans="1:11" x14ac:dyDescent="0.2">
      <c r="A39" s="106" t="s">
        <v>44</v>
      </c>
      <c r="B39" s="72">
        <v>1</v>
      </c>
      <c r="C39" s="21">
        <v>0.25</v>
      </c>
      <c r="D39" s="21">
        <f>B39*C39</f>
        <v>0.25</v>
      </c>
      <c r="E39" s="72">
        <f t="shared" si="0"/>
        <v>1</v>
      </c>
      <c r="F39" s="21">
        <f>C39</f>
        <v>0.25</v>
      </c>
      <c r="G39" s="21">
        <f>E39*F39</f>
        <v>0.25</v>
      </c>
      <c r="H39" s="21">
        <f t="shared" si="1"/>
        <v>0</v>
      </c>
      <c r="I39" s="22">
        <f t="shared" si="2"/>
        <v>0</v>
      </c>
      <c r="J39" s="22">
        <f t="shared" si="21"/>
        <v>2.9993996431668234E-3</v>
      </c>
      <c r="K39" s="107">
        <f t="shared" si="22"/>
        <v>2.9109474474378946E-3</v>
      </c>
    </row>
    <row r="40" spans="1:11" s="1" customFormat="1" x14ac:dyDescent="0.2">
      <c r="A40" s="109" t="s">
        <v>45</v>
      </c>
      <c r="B40" s="73"/>
      <c r="C40" s="34"/>
      <c r="D40" s="34">
        <f>SUM(D36:D39)</f>
        <v>2.3587150000000001</v>
      </c>
      <c r="E40" s="72"/>
      <c r="F40" s="34"/>
      <c r="G40" s="34">
        <f>SUM(G36:G39)</f>
        <v>2.3587150000000001</v>
      </c>
      <c r="H40" s="34">
        <f t="shared" si="1"/>
        <v>0</v>
      </c>
      <c r="I40" s="35">
        <f t="shared" si="2"/>
        <v>0</v>
      </c>
      <c r="J40" s="35">
        <f t="shared" si="21"/>
        <v>2.8298915717328937E-2</v>
      </c>
      <c r="K40" s="110">
        <f t="shared" si="22"/>
        <v>2.7464381633933894E-2</v>
      </c>
    </row>
    <row r="41" spans="1:11" s="1" customFormat="1" ht="13.5" thickBot="1" x14ac:dyDescent="0.25">
      <c r="A41" s="111" t="s">
        <v>46</v>
      </c>
      <c r="B41" s="112">
        <f>B4</f>
        <v>350</v>
      </c>
      <c r="C41" s="113">
        <v>0</v>
      </c>
      <c r="D41" s="114">
        <f>B41*C41</f>
        <v>0</v>
      </c>
      <c r="E41" s="115">
        <f t="shared" si="0"/>
        <v>350</v>
      </c>
      <c r="F41" s="113">
        <f>C41</f>
        <v>0</v>
      </c>
      <c r="G41" s="114">
        <f>E41*F41</f>
        <v>0</v>
      </c>
      <c r="H41" s="114">
        <f t="shared" si="1"/>
        <v>0</v>
      </c>
      <c r="I41" s="116" t="str">
        <f t="shared" si="2"/>
        <v>N/A</v>
      </c>
      <c r="J41" s="116">
        <f t="shared" si="21"/>
        <v>0</v>
      </c>
      <c r="K41" s="117">
        <f t="shared" si="22"/>
        <v>0</v>
      </c>
    </row>
    <row r="42" spans="1:11" s="1" customFormat="1" x14ac:dyDescent="0.2">
      <c r="A42" s="36" t="s">
        <v>107</v>
      </c>
      <c r="B42" s="37"/>
      <c r="C42" s="38"/>
      <c r="D42" s="38">
        <f>SUM(D14,D25,D26,D27,D33,D40,D41)</f>
        <v>78.680965</v>
      </c>
      <c r="E42" s="37"/>
      <c r="F42" s="38"/>
      <c r="G42" s="38">
        <f>SUM(G14,G25,G26,G27,G33,G40,G41)</f>
        <v>79.380965000000003</v>
      </c>
      <c r="H42" s="38">
        <f t="shared" si="1"/>
        <v>0.70000000000000284</v>
      </c>
      <c r="I42" s="39">
        <f t="shared" si="2"/>
        <v>8.8966880362995396E-3</v>
      </c>
      <c r="J42" s="39">
        <f t="shared" si="21"/>
        <v>0.95238095238095233</v>
      </c>
      <c r="K42" s="40"/>
    </row>
    <row r="43" spans="1:11" x14ac:dyDescent="0.2">
      <c r="A43" s="142" t="s">
        <v>108</v>
      </c>
      <c r="B43" s="42"/>
      <c r="C43" s="25">
        <v>0.13</v>
      </c>
      <c r="D43" s="25">
        <f>D42*C43</f>
        <v>10.228525450000001</v>
      </c>
      <c r="E43" s="25"/>
      <c r="F43" s="25">
        <f>C43</f>
        <v>0.13</v>
      </c>
      <c r="G43" s="25">
        <f>G42*F43</f>
        <v>10.31952545</v>
      </c>
      <c r="H43" s="25">
        <f t="shared" si="1"/>
        <v>9.0999999999999304E-2</v>
      </c>
      <c r="I43" s="43">
        <f t="shared" si="2"/>
        <v>8.8966880362994355E-3</v>
      </c>
      <c r="J43" s="43">
        <f t="shared" si="21"/>
        <v>0.12380952380952381</v>
      </c>
      <c r="K43" s="44"/>
    </row>
    <row r="44" spans="1:11" s="1" customFormat="1" x14ac:dyDescent="0.2">
      <c r="A44" s="45" t="s">
        <v>109</v>
      </c>
      <c r="B44" s="23"/>
      <c r="C44" s="24"/>
      <c r="D44" s="24">
        <f>SUM(D42:D43)</f>
        <v>88.909490450000007</v>
      </c>
      <c r="E44" s="24"/>
      <c r="F44" s="24"/>
      <c r="G44" s="24">
        <f>SUM(G42:G43)</f>
        <v>89.700490450000004</v>
      </c>
      <c r="H44" s="24">
        <f t="shared" si="1"/>
        <v>0.79099999999999682</v>
      </c>
      <c r="I44" s="26">
        <f t="shared" si="2"/>
        <v>8.8966880362994667E-3</v>
      </c>
      <c r="J44" s="26">
        <f t="shared" si="21"/>
        <v>1.0761904761904761</v>
      </c>
      <c r="K44" s="46"/>
    </row>
    <row r="45" spans="1:11" x14ac:dyDescent="0.2">
      <c r="A45" s="41" t="s">
        <v>110</v>
      </c>
      <c r="B45" s="42"/>
      <c r="C45" s="25">
        <v>-0.08</v>
      </c>
      <c r="D45" s="25">
        <f>D42*C45</f>
        <v>-6.2944772000000002</v>
      </c>
      <c r="E45" s="25"/>
      <c r="F45" s="25">
        <f>C45</f>
        <v>-0.08</v>
      </c>
      <c r="G45" s="25">
        <f>G42*F45</f>
        <v>-6.3504772000000003</v>
      </c>
      <c r="H45" s="25">
        <f t="shared" si="1"/>
        <v>-5.600000000000005E-2</v>
      </c>
      <c r="I45" s="43">
        <f t="shared" si="2"/>
        <v>-8.8966880362995118E-3</v>
      </c>
      <c r="J45" s="43">
        <f t="shared" si="21"/>
        <v>-7.6190476190476197E-2</v>
      </c>
      <c r="K45" s="44"/>
    </row>
    <row r="46" spans="1:11" s="1" customFormat="1" ht="13.5" thickBot="1" x14ac:dyDescent="0.25">
      <c r="A46" s="47" t="s">
        <v>111</v>
      </c>
      <c r="B46" s="48"/>
      <c r="C46" s="49"/>
      <c r="D46" s="49">
        <f>SUM(D44:D45)</f>
        <v>82.615013250000004</v>
      </c>
      <c r="E46" s="49"/>
      <c r="F46" s="49"/>
      <c r="G46" s="49">
        <f>SUM(G44:G45)</f>
        <v>83.350013250000003</v>
      </c>
      <c r="H46" s="49">
        <f t="shared" si="1"/>
        <v>0.73499999999999943</v>
      </c>
      <c r="I46" s="50">
        <f t="shared" si="2"/>
        <v>8.8966880362994962E-3</v>
      </c>
      <c r="J46" s="50">
        <f t="shared" si="21"/>
        <v>1</v>
      </c>
      <c r="K46" s="51"/>
    </row>
    <row r="47" spans="1:11" x14ac:dyDescent="0.2">
      <c r="A47" s="52" t="s">
        <v>112</v>
      </c>
      <c r="B47" s="53"/>
      <c r="C47" s="54"/>
      <c r="D47" s="54">
        <f>SUM(D18,D25,D26,D28,D33,D40,D41)</f>
        <v>81.093039000000005</v>
      </c>
      <c r="E47" s="54"/>
      <c r="F47" s="54"/>
      <c r="G47" s="54">
        <f>SUM(G18,G25,G26,G28,G33,G40,G41)</f>
        <v>81.793038999999993</v>
      </c>
      <c r="H47" s="54">
        <f>G47-D47</f>
        <v>0.69999999999998863</v>
      </c>
      <c r="I47" s="55">
        <f t="shared" si="2"/>
        <v>8.6320602684527414E-3</v>
      </c>
      <c r="J47" s="55"/>
      <c r="K47" s="56">
        <f>G47/$G$51</f>
        <v>0.95238095238095244</v>
      </c>
    </row>
    <row r="48" spans="1:11" x14ac:dyDescent="0.2">
      <c r="A48" s="143" t="s">
        <v>108</v>
      </c>
      <c r="B48" s="58"/>
      <c r="C48" s="30">
        <v>0.13</v>
      </c>
      <c r="D48" s="30">
        <f>D47*C48</f>
        <v>10.54209507</v>
      </c>
      <c r="E48" s="30"/>
      <c r="F48" s="30">
        <f>C48</f>
        <v>0.13</v>
      </c>
      <c r="G48" s="30">
        <f>G47*F48</f>
        <v>10.63309507</v>
      </c>
      <c r="H48" s="30">
        <f>G48-D48</f>
        <v>9.0999999999999304E-2</v>
      </c>
      <c r="I48" s="31">
        <f t="shared" si="2"/>
        <v>8.632060268452816E-3</v>
      </c>
      <c r="J48" s="31"/>
      <c r="K48" s="59">
        <f>G48/$G$51</f>
        <v>0.12380952380952383</v>
      </c>
    </row>
    <row r="49" spans="1:11" x14ac:dyDescent="0.2">
      <c r="A49" s="60" t="s">
        <v>113</v>
      </c>
      <c r="B49" s="28"/>
      <c r="C49" s="29"/>
      <c r="D49" s="29">
        <f>SUM(D47:D48)</f>
        <v>91.635134070000007</v>
      </c>
      <c r="E49" s="29"/>
      <c r="F49" s="29"/>
      <c r="G49" s="29">
        <f>SUM(G47:G48)</f>
        <v>92.426134069999989</v>
      </c>
      <c r="H49" s="29">
        <f>G49-D49</f>
        <v>0.79099999999998261</v>
      </c>
      <c r="I49" s="32">
        <f t="shared" si="2"/>
        <v>8.6320602684526911E-3</v>
      </c>
      <c r="J49" s="32"/>
      <c r="K49" s="61">
        <f>G49/$G$51</f>
        <v>1.0761904761904764</v>
      </c>
    </row>
    <row r="50" spans="1:11" x14ac:dyDescent="0.2">
      <c r="A50" s="57" t="s">
        <v>110</v>
      </c>
      <c r="B50" s="58"/>
      <c r="C50" s="30">
        <v>-0.08</v>
      </c>
      <c r="D50" s="30">
        <f>D47*C50</f>
        <v>-6.4874431200000009</v>
      </c>
      <c r="E50" s="30"/>
      <c r="F50" s="30">
        <f>C50</f>
        <v>-0.08</v>
      </c>
      <c r="G50" s="30">
        <f>G47*F50</f>
        <v>-6.5434431199999992</v>
      </c>
      <c r="H50" s="30">
        <f>G50-D50</f>
        <v>-5.5999999999998273E-2</v>
      </c>
      <c r="I50" s="31">
        <f t="shared" si="2"/>
        <v>-8.6320602684526147E-3</v>
      </c>
      <c r="J50" s="31"/>
      <c r="K50" s="59">
        <f>G50/$G$51</f>
        <v>-7.6190476190476197E-2</v>
      </c>
    </row>
    <row r="51" spans="1:11" ht="13.5" thickBot="1" x14ac:dyDescent="0.25">
      <c r="A51" s="62" t="s">
        <v>114</v>
      </c>
      <c r="B51" s="63"/>
      <c r="C51" s="64"/>
      <c r="D51" s="64">
        <f>SUM(D49:D50)</f>
        <v>85.147690950000012</v>
      </c>
      <c r="E51" s="64"/>
      <c r="F51" s="64"/>
      <c r="G51" s="64">
        <f>SUM(G49:G50)</f>
        <v>85.882690949999983</v>
      </c>
      <c r="H51" s="64">
        <f>G51-D51</f>
        <v>0.73499999999997101</v>
      </c>
      <c r="I51" s="65">
        <f t="shared" si="2"/>
        <v>8.6320602684525401E-3</v>
      </c>
      <c r="J51" s="65"/>
      <c r="K51" s="66">
        <f>G51/$G$51</f>
        <v>1</v>
      </c>
    </row>
    <row r="52" spans="1:11" x14ac:dyDescent="0.2">
      <c r="C52" s="67"/>
      <c r="F52" s="68"/>
    </row>
    <row r="53" spans="1:11" x14ac:dyDescent="0.2">
      <c r="F53" s="68"/>
    </row>
    <row r="54" spans="1:11" x14ac:dyDescent="0.2">
      <c r="F54" s="68"/>
    </row>
    <row r="55" spans="1:11" x14ac:dyDescent="0.2">
      <c r="A55" s="69"/>
      <c r="B55" s="70"/>
      <c r="F55" s="68"/>
    </row>
    <row r="56" spans="1:11" x14ac:dyDescent="0.2">
      <c r="B56" s="70"/>
      <c r="F56" s="68"/>
    </row>
    <row r="57" spans="1:11" x14ac:dyDescent="0.2">
      <c r="F57" s="68"/>
    </row>
    <row r="58" spans="1:11" x14ac:dyDescent="0.2">
      <c r="D58" s="71"/>
      <c r="F58" s="68"/>
    </row>
    <row r="59" spans="1:11" x14ac:dyDescent="0.2">
      <c r="F59" s="68"/>
    </row>
    <row r="60" spans="1:11" x14ac:dyDescent="0.2">
      <c r="A60" s="69"/>
      <c r="B60" s="70"/>
      <c r="F60" s="68"/>
    </row>
    <row r="61" spans="1:11" x14ac:dyDescent="0.2">
      <c r="B61" s="71"/>
      <c r="D61" s="71"/>
      <c r="F61" s="68"/>
    </row>
    <row r="62" spans="1:11" x14ac:dyDescent="0.2">
      <c r="F62" s="68"/>
    </row>
    <row r="63" spans="1:11" x14ac:dyDescent="0.2">
      <c r="F63" s="68"/>
    </row>
    <row r="64" spans="1:11" x14ac:dyDescent="0.2">
      <c r="F64" s="68"/>
      <c r="K64"/>
    </row>
    <row r="65" spans="6:11" x14ac:dyDescent="0.2">
      <c r="F65" s="68"/>
      <c r="K65"/>
    </row>
    <row r="66" spans="6:11" x14ac:dyDescent="0.2">
      <c r="F66" s="68"/>
      <c r="K66"/>
    </row>
    <row r="67" spans="6:11" x14ac:dyDescent="0.2">
      <c r="F67" s="68"/>
      <c r="K67"/>
    </row>
    <row r="68" spans="6:11" x14ac:dyDescent="0.2">
      <c r="F68" s="68"/>
      <c r="K68"/>
    </row>
  </sheetData>
  <mergeCells count="1">
    <mergeCell ref="A1:K1"/>
  </mergeCells>
  <pageMargins left="0.7" right="0.7" top="0.75" bottom="0.75" header="0.3" footer="0.3"/>
  <pageSetup scale="76"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Impacts'!$A$3:$A$11</xm:f>
          </x14:formula1>
          <xm:sqref>B3</xm:sqref>
        </x14:dataValidation>
      </x14:dataValidation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theme="1" tint="0.499984740745262"/>
    <pageSetUpPr fitToPage="1"/>
  </sheetPr>
  <dimension ref="A1:J54"/>
  <sheetViews>
    <sheetView tabSelected="1" zoomScaleNormal="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205" t="s">
        <v>127</v>
      </c>
      <c r="B1" s="206"/>
      <c r="C1" s="206"/>
      <c r="D1" s="206"/>
      <c r="E1" s="206"/>
      <c r="F1" s="206"/>
      <c r="G1" s="206"/>
      <c r="H1" s="206"/>
      <c r="I1" s="206"/>
      <c r="J1" s="207"/>
    </row>
    <row r="3" spans="1:10" x14ac:dyDescent="0.2">
      <c r="A3" s="12" t="s">
        <v>13</v>
      </c>
      <c r="B3" s="12" t="s">
        <v>12</v>
      </c>
    </row>
    <row r="4" spans="1:10" x14ac:dyDescent="0.2">
      <c r="A4" s="14" t="s">
        <v>62</v>
      </c>
      <c r="B4" s="78">
        <f>'Data for Bill Impacts_HONI Avg '!C11</f>
        <v>364</v>
      </c>
    </row>
    <row r="5" spans="1:10" x14ac:dyDescent="0.2">
      <c r="A5" s="14" t="s">
        <v>16</v>
      </c>
      <c r="B5" s="14">
        <f>VLOOKUP($B$3,'Data for Bill Impacts'!$A$3:$Y$15,5,0)</f>
        <v>0</v>
      </c>
    </row>
    <row r="6" spans="1:10" x14ac:dyDescent="0.2">
      <c r="A6" s="14" t="s">
        <v>20</v>
      </c>
      <c r="B6" s="14">
        <f>VLOOKUP($B$3,'Data for Bill Impacts'!$A$3:$Y$15,2,0)</f>
        <v>1.0920000000000001</v>
      </c>
    </row>
    <row r="7" spans="1:10" x14ac:dyDescent="0.2">
      <c r="A7" s="14" t="s">
        <v>15</v>
      </c>
      <c r="B7" s="14">
        <f>VLOOKUP($B$3,'Data for Bill Impacts'!$A$3:$Y$15,4,0)</f>
        <v>750</v>
      </c>
    </row>
    <row r="8" spans="1:10" x14ac:dyDescent="0.2">
      <c r="A8" s="14" t="s">
        <v>82</v>
      </c>
      <c r="B8" s="148">
        <f>B4*B6</f>
        <v>397.48800000000006</v>
      </c>
    </row>
    <row r="9" spans="1:10" x14ac:dyDescent="0.2">
      <c r="A9" s="14" t="s">
        <v>21</v>
      </c>
      <c r="B9" s="15" t="str">
        <f>VLOOKUP($B$3,'Data for Bill Impacts'!$A$3:$Y$15,6,0)</f>
        <v>kWh</v>
      </c>
    </row>
    <row r="10" spans="1:10" ht="13.5" thickBot="1" x14ac:dyDescent="0.25"/>
    <row r="11" spans="1:10" s="19" customFormat="1" ht="39" thickBot="1" x14ac:dyDescent="0.25">
      <c r="A11" s="16"/>
      <c r="B11" s="17" t="s">
        <v>22</v>
      </c>
      <c r="C11" s="17" t="s">
        <v>23</v>
      </c>
      <c r="D11" s="17" t="s">
        <v>24</v>
      </c>
      <c r="E11" s="17" t="s">
        <v>22</v>
      </c>
      <c r="F11" s="17" t="s">
        <v>25</v>
      </c>
      <c r="G11" s="17" t="s">
        <v>26</v>
      </c>
      <c r="H11" s="17" t="s">
        <v>27</v>
      </c>
      <c r="I11" s="17" t="s">
        <v>28</v>
      </c>
      <c r="J11" s="121" t="s">
        <v>29</v>
      </c>
    </row>
    <row r="12" spans="1:10" x14ac:dyDescent="0.2">
      <c r="A12" s="100" t="s">
        <v>31</v>
      </c>
      <c r="B12" s="101">
        <f>IF(B4&gt;B7,B7,B4)</f>
        <v>364</v>
      </c>
      <c r="C12" s="102">
        <v>9.0999999999999998E-2</v>
      </c>
      <c r="D12" s="103">
        <f>B12*C12</f>
        <v>33.124000000000002</v>
      </c>
      <c r="E12" s="101">
        <f>B12</f>
        <v>364</v>
      </c>
      <c r="F12" s="102">
        <f>C12</f>
        <v>9.0999999999999998E-2</v>
      </c>
      <c r="G12" s="103">
        <f>E12*F12</f>
        <v>33.124000000000002</v>
      </c>
      <c r="H12" s="103">
        <f>G12-D12</f>
        <v>0</v>
      </c>
      <c r="I12" s="104">
        <f>IF(ISERROR(H12/ABS(D12)),"N/A",(H12/ABS(D12)))</f>
        <v>0</v>
      </c>
      <c r="J12" s="122">
        <f t="shared" ref="J12:J39" si="0">G12/$G$39</f>
        <v>0.33499479424319578</v>
      </c>
    </row>
    <row r="13" spans="1:10" x14ac:dyDescent="0.2">
      <c r="A13" s="106" t="s">
        <v>32</v>
      </c>
      <c r="B13" s="72">
        <f>IF(B4&gt;B7,(B4)-B7,0)</f>
        <v>0</v>
      </c>
      <c r="C13" s="20">
        <v>0.106</v>
      </c>
      <c r="D13" s="21">
        <f>B13*C13</f>
        <v>0</v>
      </c>
      <c r="E13" s="72">
        <f t="shared" ref="E13" si="1">B13</f>
        <v>0</v>
      </c>
      <c r="F13" s="20">
        <f>C13</f>
        <v>0.106</v>
      </c>
      <c r="G13" s="21">
        <f>E13*F13</f>
        <v>0</v>
      </c>
      <c r="H13" s="21">
        <f t="shared" ref="H13:H39" si="2">G13-D13</f>
        <v>0</v>
      </c>
      <c r="I13" s="22" t="str">
        <f t="shared" ref="I13:I39" si="3">IF(ISERROR(H13/ABS(D13)),"N/A",(H13/ABS(D13)))</f>
        <v>N/A</v>
      </c>
      <c r="J13" s="123">
        <f t="shared" si="0"/>
        <v>0</v>
      </c>
    </row>
    <row r="14" spans="1:10" s="1" customFormat="1" x14ac:dyDescent="0.2">
      <c r="A14" s="45" t="s">
        <v>33</v>
      </c>
      <c r="B14" s="23"/>
      <c r="C14" s="24"/>
      <c r="D14" s="24">
        <f>SUM(D12:D13)</f>
        <v>33.124000000000002</v>
      </c>
      <c r="E14" s="75"/>
      <c r="F14" s="24"/>
      <c r="G14" s="24">
        <f>SUM(G12:G13)</f>
        <v>33.124000000000002</v>
      </c>
      <c r="H14" s="24">
        <f t="shared" si="2"/>
        <v>0</v>
      </c>
      <c r="I14" s="26">
        <f t="shared" si="3"/>
        <v>0</v>
      </c>
      <c r="J14" s="46">
        <f t="shared" si="0"/>
        <v>0.33499479424319578</v>
      </c>
    </row>
    <row r="15" spans="1:10" x14ac:dyDescent="0.2">
      <c r="A15" s="106" t="s">
        <v>38</v>
      </c>
      <c r="B15" s="72">
        <v>1</v>
      </c>
      <c r="C15" s="77">
        <f>VLOOKUP($B$3,'Data for Bill Impacts'!$A$3:$Y$15,7,0)</f>
        <v>37.369999999999997</v>
      </c>
      <c r="D15" s="21">
        <f>B15*C15</f>
        <v>37.369999999999997</v>
      </c>
      <c r="E15" s="72">
        <f t="shared" ref="E15:E34" si="4">B15</f>
        <v>1</v>
      </c>
      <c r="F15" s="77">
        <f>VLOOKUP($B$3,'Data for Bill Impacts'!$A$3:$Y$15,17,0)</f>
        <v>38.299999999999997</v>
      </c>
      <c r="G15" s="21">
        <f>E15*F15</f>
        <v>38.299999999999997</v>
      </c>
      <c r="H15" s="21">
        <f t="shared" si="2"/>
        <v>0.92999999999999972</v>
      </c>
      <c r="I15" s="22">
        <f t="shared" si="3"/>
        <v>2.4886272411024882E-2</v>
      </c>
      <c r="J15" s="123">
        <f t="shared" si="0"/>
        <v>0.38734152335208294</v>
      </c>
    </row>
    <row r="16" spans="1:10" hidden="1" x14ac:dyDescent="0.2">
      <c r="A16" s="106" t="s">
        <v>88</v>
      </c>
      <c r="B16" s="72">
        <v>1</v>
      </c>
      <c r="C16" s="77">
        <v>0</v>
      </c>
      <c r="D16" s="21">
        <f>B16*C16</f>
        <v>0</v>
      </c>
      <c r="E16" s="72">
        <f t="shared" si="4"/>
        <v>1</v>
      </c>
      <c r="F16" s="77">
        <v>0</v>
      </c>
      <c r="G16" s="21">
        <f t="shared" ref="G16:G18" si="5">E16*F16</f>
        <v>0</v>
      </c>
      <c r="H16" s="21">
        <f t="shared" si="2"/>
        <v>0</v>
      </c>
      <c r="I16" s="22" t="str">
        <f t="shared" si="3"/>
        <v>N/A</v>
      </c>
      <c r="J16" s="123">
        <f t="shared" si="0"/>
        <v>0</v>
      </c>
    </row>
    <row r="17" spans="1:10" hidden="1" x14ac:dyDescent="0.2">
      <c r="A17" s="106" t="s">
        <v>84</v>
      </c>
      <c r="B17" s="72">
        <v>1</v>
      </c>
      <c r="C17" s="77">
        <v>0</v>
      </c>
      <c r="D17" s="21">
        <f t="shared" ref="D17:D18" si="6">B17*C17</f>
        <v>0</v>
      </c>
      <c r="E17" s="72">
        <f t="shared" si="4"/>
        <v>1</v>
      </c>
      <c r="F17" s="77">
        <v>0</v>
      </c>
      <c r="G17" s="21">
        <f t="shared" si="5"/>
        <v>0</v>
      </c>
      <c r="H17" s="21">
        <f t="shared" si="2"/>
        <v>0</v>
      </c>
      <c r="I17" s="22" t="str">
        <f t="shared" si="3"/>
        <v>N/A</v>
      </c>
      <c r="J17" s="123">
        <f t="shared" si="0"/>
        <v>0</v>
      </c>
    </row>
    <row r="18" spans="1:10" x14ac:dyDescent="0.2">
      <c r="A18" s="106" t="s">
        <v>85</v>
      </c>
      <c r="B18" s="72">
        <v>1</v>
      </c>
      <c r="C18" s="120">
        <f>VLOOKUP($B$3,'Data for Bill Impacts'!$A$3:$Y$15,13,0)</f>
        <v>2E-3</v>
      </c>
      <c r="D18" s="21">
        <f t="shared" si="6"/>
        <v>2E-3</v>
      </c>
      <c r="E18" s="72">
        <f t="shared" si="4"/>
        <v>1</v>
      </c>
      <c r="F18" s="120">
        <f>VLOOKUP($B$3,'Data for Bill Impacts'!$A$3:$Y$15,22,0)</f>
        <v>2E-3</v>
      </c>
      <c r="G18" s="21">
        <f t="shared" si="5"/>
        <v>2E-3</v>
      </c>
      <c r="H18" s="21">
        <f t="shared" si="2"/>
        <v>0</v>
      </c>
      <c r="I18" s="22">
        <f t="shared" si="3"/>
        <v>0</v>
      </c>
      <c r="J18" s="123">
        <f t="shared" si="0"/>
        <v>2.0226711402197546E-5</v>
      </c>
    </row>
    <row r="19" spans="1:10" x14ac:dyDescent="0.2">
      <c r="A19" s="106" t="s">
        <v>39</v>
      </c>
      <c r="B19" s="72">
        <f>IF($B$9="kWh",$B$4,$B$5)</f>
        <v>364</v>
      </c>
      <c r="C19" s="124">
        <f>VLOOKUP($B$3,'Data for Bill Impacts'!$A$3:$Y$15,10,0)</f>
        <v>3.0300000000000001E-2</v>
      </c>
      <c r="D19" s="21">
        <f>B19*C19</f>
        <v>11.029199999999999</v>
      </c>
      <c r="E19" s="72">
        <f t="shared" si="4"/>
        <v>364</v>
      </c>
      <c r="F19" s="77">
        <f>VLOOKUP($B$3,'Data for Bill Impacts'!$A$3:$Y$15,19,0)</f>
        <v>3.09E-2</v>
      </c>
      <c r="G19" s="21">
        <f>E19*F19</f>
        <v>11.2476</v>
      </c>
      <c r="H19" s="21">
        <f t="shared" si="2"/>
        <v>0.21840000000000082</v>
      </c>
      <c r="I19" s="22">
        <f t="shared" si="3"/>
        <v>1.9801980198019879E-2</v>
      </c>
      <c r="J19" s="123">
        <f t="shared" si="0"/>
        <v>0.11375097958367855</v>
      </c>
    </row>
    <row r="20" spans="1:10" s="1" customFormat="1" x14ac:dyDescent="0.2">
      <c r="A20" s="106" t="s">
        <v>129</v>
      </c>
      <c r="B20" s="72">
        <f>IF($B$9="kWh",$B$4,$B$5)</f>
        <v>364</v>
      </c>
      <c r="C20" s="187">
        <f>VLOOKUP($B$3,'Data for Bill Impacts'!$A$3:$Y$15,14,0)</f>
        <v>2.0000000000000002E-5</v>
      </c>
      <c r="D20" s="21">
        <f>B20*C20</f>
        <v>7.2800000000000009E-3</v>
      </c>
      <c r="E20" s="72">
        <f>B20</f>
        <v>364</v>
      </c>
      <c r="F20" s="77">
        <f>VLOOKUP($B$3,'Data for Bill Impacts'!$A$3:$Y$15,23,0)</f>
        <v>2.0000000000000002E-5</v>
      </c>
      <c r="G20" s="21">
        <f>E20*F20</f>
        <v>7.2800000000000009E-3</v>
      </c>
      <c r="H20" s="21">
        <f>G20-D20</f>
        <v>0</v>
      </c>
      <c r="I20" s="22">
        <f t="shared" si="3"/>
        <v>0</v>
      </c>
      <c r="J20" s="123">
        <f t="shared" si="0"/>
        <v>7.3625229503999071E-5</v>
      </c>
    </row>
    <row r="21" spans="1:10" hidden="1" x14ac:dyDescent="0.2">
      <c r="A21" s="106" t="s">
        <v>86</v>
      </c>
      <c r="B21" s="72">
        <f>IF($B$9="kWh",$B$4,$B$5)</f>
        <v>364</v>
      </c>
      <c r="C21" s="124">
        <v>0</v>
      </c>
      <c r="D21" s="21">
        <f>B21*C21</f>
        <v>0</v>
      </c>
      <c r="E21" s="72">
        <f t="shared" si="4"/>
        <v>364</v>
      </c>
      <c r="F21" s="77">
        <v>0</v>
      </c>
      <c r="G21" s="21">
        <f>E21*F21</f>
        <v>0</v>
      </c>
      <c r="H21" s="21">
        <f t="shared" si="2"/>
        <v>0</v>
      </c>
      <c r="I21" s="22" t="str">
        <f t="shared" si="3"/>
        <v>N/A</v>
      </c>
      <c r="J21" s="123">
        <f t="shared" si="0"/>
        <v>0</v>
      </c>
    </row>
    <row r="22" spans="1:10" x14ac:dyDescent="0.2">
      <c r="A22" s="109" t="s">
        <v>72</v>
      </c>
      <c r="B22" s="73"/>
      <c r="C22" s="34"/>
      <c r="D22" s="34">
        <f>SUM(D15:D21)</f>
        <v>48.408480000000004</v>
      </c>
      <c r="E22" s="72"/>
      <c r="F22" s="34"/>
      <c r="G22" s="34">
        <f>SUM(G15:G21)</f>
        <v>49.55688</v>
      </c>
      <c r="H22" s="34">
        <f t="shared" si="2"/>
        <v>1.1483999999999952</v>
      </c>
      <c r="I22" s="35">
        <f t="shared" si="3"/>
        <v>2.3723116280453239E-2</v>
      </c>
      <c r="J22" s="110">
        <f t="shared" si="0"/>
        <v>0.50118635487666774</v>
      </c>
    </row>
    <row r="23" spans="1:10" s="1" customFormat="1" x14ac:dyDescent="0.2">
      <c r="A23" s="118" t="s">
        <v>81</v>
      </c>
      <c r="B23" s="119">
        <f>B8-B4</f>
        <v>33.488000000000056</v>
      </c>
      <c r="C23" s="186">
        <f>IF(B4&gt;B7,C13,C12)</f>
        <v>9.0999999999999998E-2</v>
      </c>
      <c r="D23" s="21">
        <f>B23*C23</f>
        <v>3.0474080000000052</v>
      </c>
      <c r="E23" s="72">
        <f>B23</f>
        <v>33.488000000000056</v>
      </c>
      <c r="F23" s="186">
        <f>C23</f>
        <v>9.0999999999999998E-2</v>
      </c>
      <c r="G23" s="21">
        <f>E23*F23</f>
        <v>3.0474080000000052</v>
      </c>
      <c r="H23" s="21">
        <f t="shared" si="2"/>
        <v>0</v>
      </c>
      <c r="I23" s="22">
        <f t="shared" si="3"/>
        <v>0</v>
      </c>
      <c r="J23" s="123">
        <f t="shared" si="0"/>
        <v>3.081952107037406E-2</v>
      </c>
    </row>
    <row r="24" spans="1:10" x14ac:dyDescent="0.2">
      <c r="A24" s="109" t="s">
        <v>79</v>
      </c>
      <c r="B24" s="73"/>
      <c r="C24" s="34"/>
      <c r="D24" s="34">
        <f>SUM(D22,D23:D23)</f>
        <v>51.455888000000009</v>
      </c>
      <c r="E24" s="72"/>
      <c r="F24" s="34"/>
      <c r="G24" s="34">
        <f>SUM(G22,G23:G23)</f>
        <v>52.604288000000004</v>
      </c>
      <c r="H24" s="34">
        <f t="shared" si="2"/>
        <v>1.1483999999999952</v>
      </c>
      <c r="I24" s="35">
        <f t="shared" si="3"/>
        <v>2.2318145592978494E-2</v>
      </c>
      <c r="J24" s="110">
        <f t="shared" si="0"/>
        <v>0.53200587594704174</v>
      </c>
    </row>
    <row r="25" spans="1:10" x14ac:dyDescent="0.2">
      <c r="A25" s="106" t="s">
        <v>40</v>
      </c>
      <c r="B25" s="72">
        <f>B8</f>
        <v>397.48800000000006</v>
      </c>
      <c r="C25" s="124">
        <f>VLOOKUP($B$3,'Data for Bill Impacts'!$A$3:$Y$15,15,0)</f>
        <v>4.7000000000000002E-3</v>
      </c>
      <c r="D25" s="21">
        <f>B25*C25</f>
        <v>1.8681936000000003</v>
      </c>
      <c r="E25" s="72">
        <f t="shared" si="4"/>
        <v>397.48800000000006</v>
      </c>
      <c r="F25" s="77">
        <f>VLOOKUP($B$3,'Data for Bill Impacts'!$A$3:$Y$15,24,0)</f>
        <v>4.7000000000000002E-3</v>
      </c>
      <c r="G25" s="21">
        <f>E25*F25</f>
        <v>1.8681936000000003</v>
      </c>
      <c r="H25" s="21">
        <f t="shared" si="2"/>
        <v>0</v>
      </c>
      <c r="I25" s="22">
        <f t="shared" si="3"/>
        <v>0</v>
      </c>
      <c r="J25" s="123">
        <f t="shared" si="0"/>
        <v>1.8893706395316245E-2</v>
      </c>
    </row>
    <row r="26" spans="1:10" s="1" customFormat="1" x14ac:dyDescent="0.2">
      <c r="A26" s="106" t="s">
        <v>41</v>
      </c>
      <c r="B26" s="72">
        <f>B8</f>
        <v>397.48800000000006</v>
      </c>
      <c r="C26" s="124">
        <f>VLOOKUP($B$3,'Data for Bill Impacts'!$A$3:$Y$15,16,0)</f>
        <v>3.8E-3</v>
      </c>
      <c r="D26" s="21">
        <f>B26*C26</f>
        <v>1.5104544000000002</v>
      </c>
      <c r="E26" s="72">
        <f t="shared" si="4"/>
        <v>397.48800000000006</v>
      </c>
      <c r="F26" s="77">
        <f>VLOOKUP($B$3,'Data for Bill Impacts'!$A$3:$Y$15,25,0)</f>
        <v>3.8E-3</v>
      </c>
      <c r="G26" s="21">
        <f>E26*F26</f>
        <v>1.5104544000000002</v>
      </c>
      <c r="H26" s="21">
        <f t="shared" si="2"/>
        <v>0</v>
      </c>
      <c r="I26" s="22">
        <f t="shared" si="3"/>
        <v>0</v>
      </c>
      <c r="J26" s="123">
        <f t="shared" si="0"/>
        <v>1.5275762617489728E-2</v>
      </c>
    </row>
    <row r="27" spans="1:10" s="1" customFormat="1" x14ac:dyDescent="0.2">
      <c r="A27" s="109" t="s">
        <v>76</v>
      </c>
      <c r="B27" s="73"/>
      <c r="C27" s="34"/>
      <c r="D27" s="34">
        <f>SUM(D25:D26)</f>
        <v>3.3786480000000005</v>
      </c>
      <c r="E27" s="72"/>
      <c r="F27" s="34"/>
      <c r="G27" s="34">
        <f>SUM(G25:G26)</f>
        <v>3.3786480000000005</v>
      </c>
      <c r="H27" s="34">
        <f t="shared" si="2"/>
        <v>0</v>
      </c>
      <c r="I27" s="35">
        <f t="shared" si="3"/>
        <v>0</v>
      </c>
      <c r="J27" s="110">
        <f t="shared" si="0"/>
        <v>3.4169469012805972E-2</v>
      </c>
    </row>
    <row r="28" spans="1:10" s="1" customFormat="1" x14ac:dyDescent="0.2">
      <c r="A28" s="109" t="s">
        <v>80</v>
      </c>
      <c r="B28" s="73"/>
      <c r="C28" s="34"/>
      <c r="D28" s="34">
        <f>D24+D27</f>
        <v>54.834536000000007</v>
      </c>
      <c r="E28" s="72"/>
      <c r="F28" s="34"/>
      <c r="G28" s="34">
        <f>G24+G27</f>
        <v>55.982936000000002</v>
      </c>
      <c r="H28" s="34">
        <f t="shared" si="2"/>
        <v>1.1483999999999952</v>
      </c>
      <c r="I28" s="35">
        <f t="shared" si="3"/>
        <v>2.0943005699911366E-2</v>
      </c>
      <c r="J28" s="110">
        <f t="shared" si="0"/>
        <v>0.56617534495984778</v>
      </c>
    </row>
    <row r="29" spans="1:10" x14ac:dyDescent="0.2">
      <c r="A29" s="106" t="s">
        <v>42</v>
      </c>
      <c r="B29" s="72">
        <f>B8</f>
        <v>397.48800000000006</v>
      </c>
      <c r="C29" s="33">
        <v>3.5999999999999999E-3</v>
      </c>
      <c r="D29" s="21">
        <f>B29*C29</f>
        <v>1.4309568000000001</v>
      </c>
      <c r="E29" s="72">
        <f t="shared" si="4"/>
        <v>397.48800000000006</v>
      </c>
      <c r="F29" s="33">
        <v>3.5999999999999999E-3</v>
      </c>
      <c r="G29" s="21">
        <f>E29*F29</f>
        <v>1.4309568000000001</v>
      </c>
      <c r="H29" s="21">
        <f t="shared" si="2"/>
        <v>0</v>
      </c>
      <c r="I29" s="22">
        <f t="shared" si="3"/>
        <v>0</v>
      </c>
      <c r="J29" s="123">
        <f t="shared" si="0"/>
        <v>1.4471775111306057E-2</v>
      </c>
    </row>
    <row r="30" spans="1:10" s="1" customFormat="1" x14ac:dyDescent="0.2">
      <c r="A30" s="106" t="s">
        <v>43</v>
      </c>
      <c r="B30" s="72">
        <f>B8</f>
        <v>397.48800000000006</v>
      </c>
      <c r="C30" s="33">
        <v>2.0999999999999999E-3</v>
      </c>
      <c r="D30" s="21">
        <f>B30*C30</f>
        <v>0.83472480000000004</v>
      </c>
      <c r="E30" s="72">
        <f t="shared" si="4"/>
        <v>397.48800000000006</v>
      </c>
      <c r="F30" s="33">
        <v>2.0999999999999999E-3</v>
      </c>
      <c r="G30" s="21">
        <f>E30*F30</f>
        <v>0.83472480000000004</v>
      </c>
      <c r="H30" s="21">
        <f>G30-D30</f>
        <v>0</v>
      </c>
      <c r="I30" s="22">
        <f t="shared" si="3"/>
        <v>0</v>
      </c>
      <c r="J30" s="123">
        <f t="shared" si="0"/>
        <v>8.4418688149285326E-3</v>
      </c>
    </row>
    <row r="31" spans="1:10" s="1" customFormat="1" x14ac:dyDescent="0.2">
      <c r="A31" s="106" t="s">
        <v>99</v>
      </c>
      <c r="B31" s="72">
        <f>B8</f>
        <v>397.48800000000006</v>
      </c>
      <c r="C31" s="33">
        <v>0</v>
      </c>
      <c r="D31" s="21">
        <f>B31*C31</f>
        <v>0</v>
      </c>
      <c r="E31" s="72">
        <f t="shared" si="4"/>
        <v>397.48800000000006</v>
      </c>
      <c r="F31" s="33">
        <v>0</v>
      </c>
      <c r="G31" s="21">
        <f>E31*F31</f>
        <v>0</v>
      </c>
      <c r="H31" s="21">
        <f>G31-D31</f>
        <v>0</v>
      </c>
      <c r="I31" s="22" t="str">
        <f t="shared" si="3"/>
        <v>N/A</v>
      </c>
      <c r="J31" s="123">
        <f t="shared" si="0"/>
        <v>0</v>
      </c>
    </row>
    <row r="32" spans="1:10" x14ac:dyDescent="0.2">
      <c r="A32" s="106" t="s">
        <v>44</v>
      </c>
      <c r="B32" s="72">
        <v>1</v>
      </c>
      <c r="C32" s="21">
        <v>0.25</v>
      </c>
      <c r="D32" s="21">
        <f>B32*C32</f>
        <v>0.25</v>
      </c>
      <c r="E32" s="72">
        <f t="shared" si="4"/>
        <v>1</v>
      </c>
      <c r="F32" s="21">
        <f>C32</f>
        <v>0.25</v>
      </c>
      <c r="G32" s="21">
        <f>E32*F32</f>
        <v>0.25</v>
      </c>
      <c r="H32" s="21">
        <f t="shared" si="2"/>
        <v>0</v>
      </c>
      <c r="I32" s="22">
        <f t="shared" si="3"/>
        <v>0</v>
      </c>
      <c r="J32" s="123">
        <f t="shared" si="0"/>
        <v>2.528338925274693E-3</v>
      </c>
    </row>
    <row r="33" spans="1:10" s="1" customFormat="1" x14ac:dyDescent="0.2">
      <c r="A33" s="109" t="s">
        <v>45</v>
      </c>
      <c r="B33" s="73"/>
      <c r="C33" s="34"/>
      <c r="D33" s="34">
        <f>SUM(D29:D32)</f>
        <v>2.5156816000000002</v>
      </c>
      <c r="E33" s="72"/>
      <c r="F33" s="34"/>
      <c r="G33" s="34">
        <f>SUM(G29:G32)</f>
        <v>2.5156816000000002</v>
      </c>
      <c r="H33" s="34">
        <f t="shared" si="2"/>
        <v>0</v>
      </c>
      <c r="I33" s="35">
        <f t="shared" si="3"/>
        <v>0</v>
      </c>
      <c r="J33" s="110">
        <f t="shared" si="0"/>
        <v>2.5441982851509285E-2</v>
      </c>
    </row>
    <row r="34" spans="1:10" ht="13.5" thickBot="1" x14ac:dyDescent="0.25">
      <c r="A34" s="111" t="s">
        <v>46</v>
      </c>
      <c r="B34" s="112">
        <f>B4</f>
        <v>364</v>
      </c>
      <c r="C34" s="113">
        <v>7.0000000000000001E-3</v>
      </c>
      <c r="D34" s="114">
        <f>B34*C34</f>
        <v>2.548</v>
      </c>
      <c r="E34" s="115">
        <f t="shared" si="4"/>
        <v>364</v>
      </c>
      <c r="F34" s="113">
        <f>C34</f>
        <v>7.0000000000000001E-3</v>
      </c>
      <c r="G34" s="114">
        <f>E34*F34</f>
        <v>2.548</v>
      </c>
      <c r="H34" s="114">
        <f t="shared" si="2"/>
        <v>0</v>
      </c>
      <c r="I34" s="116">
        <f t="shared" si="3"/>
        <v>0</v>
      </c>
      <c r="J34" s="117">
        <f t="shared" si="0"/>
        <v>2.5768830326399674E-2</v>
      </c>
    </row>
    <row r="35" spans="1:10" x14ac:dyDescent="0.2">
      <c r="A35" s="36" t="s">
        <v>116</v>
      </c>
      <c r="B35" s="37"/>
      <c r="C35" s="38"/>
      <c r="D35" s="38">
        <f>SUM(D14,D24,D27,D33,D34)</f>
        <v>93.022217600000005</v>
      </c>
      <c r="E35" s="37"/>
      <c r="F35" s="38"/>
      <c r="G35" s="38">
        <f>SUM(G14,G24,G27,G33,G34)</f>
        <v>94.1706176</v>
      </c>
      <c r="H35" s="38">
        <f t="shared" si="2"/>
        <v>1.1483999999999952</v>
      </c>
      <c r="I35" s="39">
        <f t="shared" si="3"/>
        <v>1.2345437784961978E-2</v>
      </c>
      <c r="J35" s="40">
        <f t="shared" si="0"/>
        <v>0.95238095238095244</v>
      </c>
    </row>
    <row r="36" spans="1:10" x14ac:dyDescent="0.2">
      <c r="A36" s="45" t="s">
        <v>108</v>
      </c>
      <c r="B36" s="42"/>
      <c r="C36" s="25">
        <v>0.13</v>
      </c>
      <c r="D36" s="25">
        <f>D35*C36</f>
        <v>12.092888288000001</v>
      </c>
      <c r="E36" s="25"/>
      <c r="F36" s="25">
        <f>C36</f>
        <v>0.13</v>
      </c>
      <c r="G36" s="25">
        <f>G35*F36</f>
        <v>12.242180288</v>
      </c>
      <c r="H36" s="25">
        <f t="shared" si="2"/>
        <v>0.14929199999999909</v>
      </c>
      <c r="I36" s="43">
        <f t="shared" si="3"/>
        <v>1.2345437784961954E-2</v>
      </c>
      <c r="J36" s="44">
        <f t="shared" si="0"/>
        <v>0.12380952380952381</v>
      </c>
    </row>
    <row r="37" spans="1:10" x14ac:dyDescent="0.2">
      <c r="A37" s="45" t="s">
        <v>109</v>
      </c>
      <c r="B37" s="23"/>
      <c r="C37" s="24"/>
      <c r="D37" s="24">
        <f>SUM(D35:D36)</f>
        <v>105.115105888</v>
      </c>
      <c r="E37" s="24"/>
      <c r="F37" s="24"/>
      <c r="G37" s="24">
        <f>SUM(G35:G36)</f>
        <v>106.412797888</v>
      </c>
      <c r="H37" s="24">
        <f t="shared" si="2"/>
        <v>1.2976919999999978</v>
      </c>
      <c r="I37" s="26">
        <f t="shared" si="3"/>
        <v>1.2345437784962009E-2</v>
      </c>
      <c r="J37" s="46">
        <f t="shared" si="0"/>
        <v>1.0761904761904761</v>
      </c>
    </row>
    <row r="38" spans="1:10" x14ac:dyDescent="0.2">
      <c r="A38" s="45" t="s">
        <v>110</v>
      </c>
      <c r="B38" s="42"/>
      <c r="C38" s="25">
        <v>-0.08</v>
      </c>
      <c r="D38" s="25">
        <f>D35*C38</f>
        <v>-7.4417774080000001</v>
      </c>
      <c r="E38" s="25"/>
      <c r="F38" s="25">
        <f>C38</f>
        <v>-0.08</v>
      </c>
      <c r="G38" s="25">
        <f>G35*F38</f>
        <v>-7.5336494080000005</v>
      </c>
      <c r="H38" s="25">
        <f t="shared" si="2"/>
        <v>-9.1872000000000398E-2</v>
      </c>
      <c r="I38" s="43">
        <f t="shared" si="3"/>
        <v>-1.2345437784962084E-2</v>
      </c>
      <c r="J38" s="44">
        <f t="shared" si="0"/>
        <v>-7.6190476190476197E-2</v>
      </c>
    </row>
    <row r="39" spans="1:10" ht="13.5" thickBot="1" x14ac:dyDescent="0.25">
      <c r="A39" s="47" t="s">
        <v>111</v>
      </c>
      <c r="B39" s="48"/>
      <c r="C39" s="49"/>
      <c r="D39" s="49">
        <f>SUM(D37:D38)</f>
        <v>97.673328480000009</v>
      </c>
      <c r="E39" s="49"/>
      <c r="F39" s="49"/>
      <c r="G39" s="49">
        <f>SUM(G37:G38)</f>
        <v>98.879148479999998</v>
      </c>
      <c r="H39" s="49">
        <f t="shared" si="2"/>
        <v>1.2058199999999886</v>
      </c>
      <c r="I39" s="50">
        <f t="shared" si="3"/>
        <v>1.2345437784961912E-2</v>
      </c>
      <c r="J39" s="51">
        <f t="shared" si="0"/>
        <v>1</v>
      </c>
    </row>
    <row r="40" spans="1:10" x14ac:dyDescent="0.2">
      <c r="A40" s="184"/>
      <c r="D40" s="71"/>
      <c r="F40" s="68"/>
    </row>
    <row r="41" spans="1:10" x14ac:dyDescent="0.2">
      <c r="A41" s="184"/>
      <c r="F41" s="68"/>
    </row>
    <row r="42" spans="1:10" x14ac:dyDescent="0.2">
      <c r="A42" s="185"/>
      <c r="B42" s="70"/>
      <c r="F42" s="68"/>
    </row>
    <row r="43" spans="1:10" x14ac:dyDescent="0.2">
      <c r="A43" s="184"/>
      <c r="B43" s="71"/>
      <c r="D43" s="71"/>
      <c r="F43" s="68"/>
    </row>
    <row r="44" spans="1:10" x14ac:dyDescent="0.2">
      <c r="A44" s="184"/>
      <c r="F44" s="68"/>
    </row>
    <row r="45" spans="1:10" x14ac:dyDescent="0.2">
      <c r="A45" s="184"/>
      <c r="F45" s="68"/>
    </row>
    <row r="46" spans="1:10" x14ac:dyDescent="0.2">
      <c r="A46" s="184"/>
      <c r="F46" s="68"/>
    </row>
    <row r="47" spans="1:10" x14ac:dyDescent="0.2">
      <c r="A47" s="184"/>
      <c r="F47" s="68"/>
    </row>
    <row r="48" spans="1:10" x14ac:dyDescent="0.2">
      <c r="A48" s="184"/>
      <c r="F48" s="68"/>
    </row>
    <row r="49" spans="1:6" x14ac:dyDescent="0.2">
      <c r="A49" s="184"/>
      <c r="F49" s="68"/>
    </row>
    <row r="50" spans="1:6" x14ac:dyDescent="0.2">
      <c r="A50" s="184"/>
      <c r="F50" s="68"/>
    </row>
    <row r="51" spans="1:6" x14ac:dyDescent="0.2">
      <c r="A51" s="184"/>
    </row>
    <row r="52" spans="1:6" x14ac:dyDescent="0.2">
      <c r="A52" s="184"/>
    </row>
    <row r="53" spans="1:6" x14ac:dyDescent="0.2">
      <c r="A53" s="184"/>
    </row>
    <row r="54" spans="1:6" x14ac:dyDescent="0.2">
      <c r="A54" s="184"/>
    </row>
  </sheetData>
  <mergeCells count="1">
    <mergeCell ref="A1:J1"/>
  </mergeCells>
  <pageMargins left="0.7" right="0.7" top="0.75" bottom="0.75" header="0.3" footer="0.3"/>
  <pageSetup scale="80"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Impacts'!$A$3:$A$11</xm:f>
          </x14:formula1>
          <xm:sqref>B3</xm:sqref>
        </x14:dataValidation>
      </x14:dataValidation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tabColor theme="1" tint="0.499984740745262"/>
    <pageSetUpPr fitToPage="1"/>
  </sheetPr>
  <dimension ref="A1:J54"/>
  <sheetViews>
    <sheetView tabSelected="1" topLeftCell="A28"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205" t="s">
        <v>128</v>
      </c>
      <c r="B1" s="206"/>
      <c r="C1" s="206"/>
      <c r="D1" s="206"/>
      <c r="E1" s="206"/>
      <c r="F1" s="206"/>
      <c r="G1" s="206"/>
      <c r="H1" s="206"/>
      <c r="I1" s="206"/>
      <c r="J1" s="207"/>
    </row>
    <row r="3" spans="1:10" x14ac:dyDescent="0.2">
      <c r="A3" s="12" t="s">
        <v>13</v>
      </c>
      <c r="B3" s="12" t="s">
        <v>12</v>
      </c>
    </row>
    <row r="4" spans="1:10" x14ac:dyDescent="0.2">
      <c r="A4" s="14" t="s">
        <v>62</v>
      </c>
      <c r="B4" s="14">
        <v>1000</v>
      </c>
    </row>
    <row r="5" spans="1:10" x14ac:dyDescent="0.2">
      <c r="A5" s="14" t="s">
        <v>16</v>
      </c>
      <c r="B5" s="14">
        <f>VLOOKUP($B$3,'Data for Bill Impacts'!$A$3:$Y$15,5,0)</f>
        <v>0</v>
      </c>
    </row>
    <row r="6" spans="1:10" x14ac:dyDescent="0.2">
      <c r="A6" s="14" t="s">
        <v>20</v>
      </c>
      <c r="B6" s="14">
        <f>VLOOKUP($B$3,'Data for Bill Impacts'!$A$3:$Y$15,2,0)</f>
        <v>1.0920000000000001</v>
      </c>
    </row>
    <row r="7" spans="1:10" x14ac:dyDescent="0.2">
      <c r="A7" s="14" t="s">
        <v>15</v>
      </c>
      <c r="B7" s="14">
        <f>VLOOKUP($B$3,'Data for Bill Impacts'!$A$3:$Y$15,4,0)</f>
        <v>750</v>
      </c>
    </row>
    <row r="8" spans="1:10" x14ac:dyDescent="0.2">
      <c r="A8" s="14" t="s">
        <v>82</v>
      </c>
      <c r="B8" s="14">
        <f>B4*B6</f>
        <v>1092</v>
      </c>
    </row>
    <row r="9" spans="1:10" x14ac:dyDescent="0.2">
      <c r="A9" s="14" t="s">
        <v>21</v>
      </c>
      <c r="B9" s="15" t="str">
        <f>VLOOKUP($B$3,'Data for Bill Impacts'!$A$3:$Y$15,6,0)</f>
        <v>kWh</v>
      </c>
    </row>
    <row r="10" spans="1:10" ht="13.5" thickBot="1" x14ac:dyDescent="0.25"/>
    <row r="11" spans="1:10" s="19" customFormat="1" ht="39" thickBot="1" x14ac:dyDescent="0.25">
      <c r="A11" s="16"/>
      <c r="B11" s="17" t="s">
        <v>22</v>
      </c>
      <c r="C11" s="17" t="s">
        <v>23</v>
      </c>
      <c r="D11" s="17" t="s">
        <v>24</v>
      </c>
      <c r="E11" s="17" t="s">
        <v>22</v>
      </c>
      <c r="F11" s="17" t="s">
        <v>25</v>
      </c>
      <c r="G11" s="17" t="s">
        <v>26</v>
      </c>
      <c r="H11" s="17" t="s">
        <v>27</v>
      </c>
      <c r="I11" s="17" t="s">
        <v>28</v>
      </c>
      <c r="J11" s="121" t="s">
        <v>29</v>
      </c>
    </row>
    <row r="12" spans="1:10" x14ac:dyDescent="0.2">
      <c r="A12" s="100" t="s">
        <v>31</v>
      </c>
      <c r="B12" s="101">
        <f>IF(B4&gt;B7,B7,B4)</f>
        <v>750</v>
      </c>
      <c r="C12" s="102">
        <v>9.0999999999999998E-2</v>
      </c>
      <c r="D12" s="103">
        <f>B12*C12</f>
        <v>68.25</v>
      </c>
      <c r="E12" s="101">
        <f>B12</f>
        <v>750</v>
      </c>
      <c r="F12" s="102">
        <f>C12</f>
        <v>9.0999999999999998E-2</v>
      </c>
      <c r="G12" s="103">
        <f>E12*F12</f>
        <v>68.25</v>
      </c>
      <c r="H12" s="103">
        <f>G12-D12</f>
        <v>0</v>
      </c>
      <c r="I12" s="104">
        <f>IF(ISERROR(H12/ABS(D12)),"N/A",(H12/ABS(D12)))</f>
        <v>0</v>
      </c>
      <c r="J12" s="122">
        <f t="shared" ref="J12:J30" si="0">G12/$G$39</f>
        <v>0.33082180207287853</v>
      </c>
    </row>
    <row r="13" spans="1:10" x14ac:dyDescent="0.2">
      <c r="A13" s="106" t="s">
        <v>32</v>
      </c>
      <c r="B13" s="72">
        <f>IF(B4&gt;B7,(B4)-B7,0)</f>
        <v>250</v>
      </c>
      <c r="C13" s="20">
        <v>0.106</v>
      </c>
      <c r="D13" s="21">
        <f>B13*C13</f>
        <v>26.5</v>
      </c>
      <c r="E13" s="72">
        <f t="shared" ref="E13" si="1">B13</f>
        <v>250</v>
      </c>
      <c r="F13" s="20">
        <f>C13</f>
        <v>0.106</v>
      </c>
      <c r="G13" s="21">
        <f>E13*F13</f>
        <v>26.5</v>
      </c>
      <c r="H13" s="21">
        <f t="shared" ref="H13:H39" si="2">G13-D13</f>
        <v>0</v>
      </c>
      <c r="I13" s="22">
        <f t="shared" ref="I13:I39" si="3">IF(ISERROR(H13/ABS(D13)),"N/A",(H13/ABS(D13)))</f>
        <v>0</v>
      </c>
      <c r="J13" s="123">
        <f t="shared" si="0"/>
        <v>0.12845095611620924</v>
      </c>
    </row>
    <row r="14" spans="1:10" s="1" customFormat="1" x14ac:dyDescent="0.2">
      <c r="A14" s="45" t="s">
        <v>33</v>
      </c>
      <c r="B14" s="23"/>
      <c r="C14" s="24"/>
      <c r="D14" s="24">
        <f>SUM(D12:D13)</f>
        <v>94.75</v>
      </c>
      <c r="E14" s="75"/>
      <c r="F14" s="24"/>
      <c r="G14" s="24">
        <f>SUM(G12:G13)</f>
        <v>94.75</v>
      </c>
      <c r="H14" s="24">
        <f t="shared" si="2"/>
        <v>0</v>
      </c>
      <c r="I14" s="26">
        <f t="shared" si="3"/>
        <v>0</v>
      </c>
      <c r="J14" s="46">
        <f t="shared" si="0"/>
        <v>0.45927275818908775</v>
      </c>
    </row>
    <row r="15" spans="1:10" x14ac:dyDescent="0.2">
      <c r="A15" s="106" t="s">
        <v>38</v>
      </c>
      <c r="B15" s="72">
        <v>1</v>
      </c>
      <c r="C15" s="77">
        <f>VLOOKUP($B$3,'Data for Bill Impacts'!$A$3:$Y$15,7,0)</f>
        <v>37.369999999999997</v>
      </c>
      <c r="D15" s="21">
        <f>B15*C15</f>
        <v>37.369999999999997</v>
      </c>
      <c r="E15" s="72">
        <f t="shared" ref="E15:E34" si="4">B15</f>
        <v>1</v>
      </c>
      <c r="F15" s="77">
        <f>VLOOKUP($B$3,'Data for Bill Impacts'!$A$3:$Y$15,17,0)</f>
        <v>38.299999999999997</v>
      </c>
      <c r="G15" s="21">
        <f>E15*F15</f>
        <v>38.299999999999997</v>
      </c>
      <c r="H15" s="21">
        <f t="shared" si="2"/>
        <v>0.92999999999999972</v>
      </c>
      <c r="I15" s="22">
        <f t="shared" si="3"/>
        <v>2.4886272411024882E-2</v>
      </c>
      <c r="J15" s="123">
        <f t="shared" si="0"/>
        <v>0.18564798563210619</v>
      </c>
    </row>
    <row r="16" spans="1:10" hidden="1" x14ac:dyDescent="0.2">
      <c r="A16" s="106" t="s">
        <v>88</v>
      </c>
      <c r="B16" s="72">
        <v>1</v>
      </c>
      <c r="C16" s="77">
        <v>0</v>
      </c>
      <c r="D16" s="21">
        <f>B16*C16</f>
        <v>0</v>
      </c>
      <c r="E16" s="72">
        <f t="shared" si="4"/>
        <v>1</v>
      </c>
      <c r="F16" s="77">
        <v>0</v>
      </c>
      <c r="G16" s="21">
        <f t="shared" ref="G16:G18" si="5">E16*F16</f>
        <v>0</v>
      </c>
      <c r="H16" s="21">
        <f t="shared" si="2"/>
        <v>0</v>
      </c>
      <c r="I16" s="22" t="str">
        <f t="shared" si="3"/>
        <v>N/A</v>
      </c>
      <c r="J16" s="123">
        <f t="shared" si="0"/>
        <v>0</v>
      </c>
    </row>
    <row r="17" spans="1:10" hidden="1" x14ac:dyDescent="0.2">
      <c r="A17" s="106" t="s">
        <v>84</v>
      </c>
      <c r="B17" s="72">
        <v>1</v>
      </c>
      <c r="C17" s="77">
        <v>0</v>
      </c>
      <c r="D17" s="21">
        <f t="shared" ref="D17:D18" si="6">B17*C17</f>
        <v>0</v>
      </c>
      <c r="E17" s="72">
        <f t="shared" si="4"/>
        <v>1</v>
      </c>
      <c r="F17" s="77">
        <v>0</v>
      </c>
      <c r="G17" s="21">
        <f t="shared" si="5"/>
        <v>0</v>
      </c>
      <c r="H17" s="21">
        <f t="shared" si="2"/>
        <v>0</v>
      </c>
      <c r="I17" s="22" t="str">
        <f t="shared" si="3"/>
        <v>N/A</v>
      </c>
      <c r="J17" s="123">
        <f t="shared" si="0"/>
        <v>0</v>
      </c>
    </row>
    <row r="18" spans="1:10" x14ac:dyDescent="0.2">
      <c r="A18" s="106" t="s">
        <v>85</v>
      </c>
      <c r="B18" s="72">
        <v>1</v>
      </c>
      <c r="C18" s="120">
        <f>VLOOKUP($B$3,'Data for Bill Impacts'!$A$3:$Y$15,13,0)</f>
        <v>2E-3</v>
      </c>
      <c r="D18" s="21">
        <f t="shared" si="6"/>
        <v>2E-3</v>
      </c>
      <c r="E18" s="72">
        <f t="shared" si="4"/>
        <v>1</v>
      </c>
      <c r="F18" s="120">
        <f>VLOOKUP($B$3,'Data for Bill Impacts'!$A$3:$Y$15,22,0)</f>
        <v>2E-3</v>
      </c>
      <c r="G18" s="21">
        <f t="shared" si="5"/>
        <v>2E-3</v>
      </c>
      <c r="H18" s="21">
        <f t="shared" si="2"/>
        <v>0</v>
      </c>
      <c r="I18" s="22">
        <f t="shared" si="3"/>
        <v>0</v>
      </c>
      <c r="J18" s="123">
        <f t="shared" si="0"/>
        <v>9.6944117823554155E-6</v>
      </c>
    </row>
    <row r="19" spans="1:10" x14ac:dyDescent="0.2">
      <c r="A19" s="106" t="s">
        <v>39</v>
      </c>
      <c r="B19" s="72">
        <f>IF($B$9="kWh",$B$4,$B$5)</f>
        <v>1000</v>
      </c>
      <c r="C19" s="124">
        <f>VLOOKUP($B$3,'Data for Bill Impacts'!$A$3:$Y$15,10,0)</f>
        <v>3.0300000000000001E-2</v>
      </c>
      <c r="D19" s="21">
        <f>B19*C19</f>
        <v>30.3</v>
      </c>
      <c r="E19" s="72">
        <f t="shared" si="4"/>
        <v>1000</v>
      </c>
      <c r="F19" s="77">
        <f>VLOOKUP($B$3,'Data for Bill Impacts'!$A$3:$Y$15,19,0)</f>
        <v>3.09E-2</v>
      </c>
      <c r="G19" s="21">
        <f>E19*F19</f>
        <v>30.900000000000002</v>
      </c>
      <c r="H19" s="21">
        <f t="shared" si="2"/>
        <v>0.60000000000000142</v>
      </c>
      <c r="I19" s="22">
        <f t="shared" si="3"/>
        <v>1.9801980198019847E-2</v>
      </c>
      <c r="J19" s="123">
        <f t="shared" si="0"/>
        <v>0.14977866203739118</v>
      </c>
    </row>
    <row r="20" spans="1:10" s="1" customFormat="1" x14ac:dyDescent="0.2">
      <c r="A20" s="106" t="s">
        <v>129</v>
      </c>
      <c r="B20" s="72">
        <f>IF($B$9="kWh",$B$4,$B$5)</f>
        <v>1000</v>
      </c>
      <c r="C20" s="187">
        <f>VLOOKUP($B$3,'Data for Bill Impacts'!$A$3:$Y$15,14,0)</f>
        <v>2.0000000000000002E-5</v>
      </c>
      <c r="D20" s="21">
        <f>B20*C20</f>
        <v>0.02</v>
      </c>
      <c r="E20" s="72">
        <f>B20</f>
        <v>1000</v>
      </c>
      <c r="F20" s="77">
        <f>VLOOKUP($B$3,'Data for Bill Impacts'!$A$3:$Y$15,23,0)</f>
        <v>2.0000000000000002E-5</v>
      </c>
      <c r="G20" s="21">
        <f>E20*F20</f>
        <v>0.02</v>
      </c>
      <c r="H20" s="21">
        <f>G20-D20</f>
        <v>0</v>
      </c>
      <c r="I20" s="22">
        <f t="shared" si="3"/>
        <v>0</v>
      </c>
      <c r="J20" s="123">
        <f t="shared" si="0"/>
        <v>9.6944117823554148E-5</v>
      </c>
    </row>
    <row r="21" spans="1:10" hidden="1" x14ac:dyDescent="0.2">
      <c r="A21" s="106" t="s">
        <v>86</v>
      </c>
      <c r="B21" s="72">
        <f>IF($B$9="kWh",$B$4,$B$5)</f>
        <v>1000</v>
      </c>
      <c r="C21" s="124">
        <v>0</v>
      </c>
      <c r="D21" s="21">
        <f>B21*C21</f>
        <v>0</v>
      </c>
      <c r="E21" s="72">
        <f t="shared" si="4"/>
        <v>1000</v>
      </c>
      <c r="F21" s="77">
        <v>0</v>
      </c>
      <c r="G21" s="21">
        <f>E21*F21</f>
        <v>0</v>
      </c>
      <c r="H21" s="21">
        <f t="shared" si="2"/>
        <v>0</v>
      </c>
      <c r="I21" s="22" t="str">
        <f t="shared" si="3"/>
        <v>N/A</v>
      </c>
      <c r="J21" s="123">
        <f t="shared" si="0"/>
        <v>0</v>
      </c>
    </row>
    <row r="22" spans="1:10" x14ac:dyDescent="0.2">
      <c r="A22" s="109" t="s">
        <v>72</v>
      </c>
      <c r="B22" s="73"/>
      <c r="C22" s="34"/>
      <c r="D22" s="34">
        <f>SUM(D15:D21)</f>
        <v>67.691999999999993</v>
      </c>
      <c r="E22" s="72"/>
      <c r="F22" s="34"/>
      <c r="G22" s="34">
        <f>SUM(G15:G21)</f>
        <v>69.221999999999994</v>
      </c>
      <c r="H22" s="34">
        <f t="shared" si="2"/>
        <v>1.5300000000000011</v>
      </c>
      <c r="I22" s="35">
        <f t="shared" si="3"/>
        <v>2.2602375465343043E-2</v>
      </c>
      <c r="J22" s="110">
        <f t="shared" si="0"/>
        <v>0.33553328619910322</v>
      </c>
    </row>
    <row r="23" spans="1:10" s="1" customFormat="1" x14ac:dyDescent="0.2">
      <c r="A23" s="118" t="s">
        <v>81</v>
      </c>
      <c r="B23" s="119">
        <f>B8-B4</f>
        <v>92</v>
      </c>
      <c r="C23" s="186">
        <f>IF(B4&gt;B7,C13,C12)</f>
        <v>0.106</v>
      </c>
      <c r="D23" s="21">
        <f>B23*C23</f>
        <v>9.7519999999999989</v>
      </c>
      <c r="E23" s="72">
        <f>B23</f>
        <v>92</v>
      </c>
      <c r="F23" s="186">
        <f>C23</f>
        <v>0.106</v>
      </c>
      <c r="G23" s="21">
        <f>E23*F23</f>
        <v>9.7519999999999989</v>
      </c>
      <c r="H23" s="21">
        <f t="shared" si="2"/>
        <v>0</v>
      </c>
      <c r="I23" s="22">
        <f t="shared" si="3"/>
        <v>0</v>
      </c>
      <c r="J23" s="123">
        <f t="shared" si="0"/>
        <v>4.7269951850764998E-2</v>
      </c>
    </row>
    <row r="24" spans="1:10" x14ac:dyDescent="0.2">
      <c r="A24" s="109" t="s">
        <v>79</v>
      </c>
      <c r="B24" s="73"/>
      <c r="C24" s="34"/>
      <c r="D24" s="34">
        <f>SUM(D22,D23:D23)</f>
        <v>77.443999999999988</v>
      </c>
      <c r="E24" s="72"/>
      <c r="F24" s="34"/>
      <c r="G24" s="34">
        <f>SUM(G22,G23:G23)</f>
        <v>78.97399999999999</v>
      </c>
      <c r="H24" s="34">
        <f t="shared" si="2"/>
        <v>1.5300000000000011</v>
      </c>
      <c r="I24" s="35">
        <f t="shared" si="3"/>
        <v>1.9756210939517606E-2</v>
      </c>
      <c r="J24" s="110">
        <f t="shared" si="0"/>
        <v>0.38280323804986821</v>
      </c>
    </row>
    <row r="25" spans="1:10" x14ac:dyDescent="0.2">
      <c r="A25" s="106" t="s">
        <v>40</v>
      </c>
      <c r="B25" s="72">
        <f>B8</f>
        <v>1092</v>
      </c>
      <c r="C25" s="124">
        <f>VLOOKUP($B$3,'Data for Bill Impacts'!$A$3:$Y$15,15,0)</f>
        <v>4.7000000000000002E-3</v>
      </c>
      <c r="D25" s="21">
        <f>B25*C25</f>
        <v>5.1324000000000005</v>
      </c>
      <c r="E25" s="72">
        <f t="shared" si="4"/>
        <v>1092</v>
      </c>
      <c r="F25" s="77">
        <f>VLOOKUP($B$3,'Data for Bill Impacts'!$A$3:$Y$15,24,0)</f>
        <v>4.7000000000000002E-3</v>
      </c>
      <c r="G25" s="21">
        <f>E25*F25</f>
        <v>5.1324000000000005</v>
      </c>
      <c r="H25" s="21">
        <f t="shared" si="2"/>
        <v>0</v>
      </c>
      <c r="I25" s="22">
        <f t="shared" si="3"/>
        <v>0</v>
      </c>
      <c r="J25" s="123">
        <f t="shared" si="0"/>
        <v>2.4877799515880469E-2</v>
      </c>
    </row>
    <row r="26" spans="1:10" s="1" customFormat="1" x14ac:dyDescent="0.2">
      <c r="A26" s="106" t="s">
        <v>41</v>
      </c>
      <c r="B26" s="72">
        <f>B8</f>
        <v>1092</v>
      </c>
      <c r="C26" s="124">
        <f>VLOOKUP($B$3,'Data for Bill Impacts'!$A$3:$Y$15,16,0)</f>
        <v>3.8E-3</v>
      </c>
      <c r="D26" s="21">
        <f>B26*C26</f>
        <v>4.1496000000000004</v>
      </c>
      <c r="E26" s="72">
        <f t="shared" si="4"/>
        <v>1092</v>
      </c>
      <c r="F26" s="77">
        <f>VLOOKUP($B$3,'Data for Bill Impacts'!$A$3:$Y$15,25,0)</f>
        <v>3.8E-3</v>
      </c>
      <c r="G26" s="21">
        <f>E26*F26</f>
        <v>4.1496000000000004</v>
      </c>
      <c r="H26" s="21">
        <f t="shared" si="2"/>
        <v>0</v>
      </c>
      <c r="I26" s="22">
        <f t="shared" si="3"/>
        <v>0</v>
      </c>
      <c r="J26" s="123">
        <f t="shared" si="0"/>
        <v>2.0113965566031015E-2</v>
      </c>
    </row>
    <row r="27" spans="1:10" s="1" customFormat="1" x14ac:dyDescent="0.2">
      <c r="A27" s="109" t="s">
        <v>76</v>
      </c>
      <c r="B27" s="73"/>
      <c r="C27" s="34"/>
      <c r="D27" s="34">
        <f>SUM(D25:D26)</f>
        <v>9.282</v>
      </c>
      <c r="E27" s="72"/>
      <c r="F27" s="34"/>
      <c r="G27" s="34">
        <f>SUM(G25:G26)</f>
        <v>9.282</v>
      </c>
      <c r="H27" s="34">
        <f t="shared" si="2"/>
        <v>0</v>
      </c>
      <c r="I27" s="35">
        <f t="shared" si="3"/>
        <v>0</v>
      </c>
      <c r="J27" s="110">
        <f t="shared" si="0"/>
        <v>4.4991765081911481E-2</v>
      </c>
    </row>
    <row r="28" spans="1:10" s="1" customFormat="1" x14ac:dyDescent="0.2">
      <c r="A28" s="109" t="s">
        <v>80</v>
      </c>
      <c r="B28" s="73"/>
      <c r="C28" s="34"/>
      <c r="D28" s="34">
        <f>D24+D27</f>
        <v>86.725999999999985</v>
      </c>
      <c r="E28" s="72"/>
      <c r="F28" s="34"/>
      <c r="G28" s="34">
        <f>G24+G27</f>
        <v>88.255999999999986</v>
      </c>
      <c r="H28" s="34">
        <f t="shared" si="2"/>
        <v>1.5300000000000011</v>
      </c>
      <c r="I28" s="35">
        <f t="shared" si="3"/>
        <v>1.7641768327837114E-2</v>
      </c>
      <c r="J28" s="110">
        <f t="shared" si="0"/>
        <v>0.42779500313177965</v>
      </c>
    </row>
    <row r="29" spans="1:10" x14ac:dyDescent="0.2">
      <c r="A29" s="106" t="s">
        <v>42</v>
      </c>
      <c r="B29" s="72">
        <f>B8</f>
        <v>1092</v>
      </c>
      <c r="C29" s="33">
        <v>3.5999999999999999E-3</v>
      </c>
      <c r="D29" s="21">
        <f>B29*C29</f>
        <v>3.9312</v>
      </c>
      <c r="E29" s="72">
        <f t="shared" si="4"/>
        <v>1092</v>
      </c>
      <c r="F29" s="33">
        <v>3.5999999999999999E-3</v>
      </c>
      <c r="G29" s="21">
        <f>E29*F29</f>
        <v>3.9312</v>
      </c>
      <c r="H29" s="21">
        <f t="shared" si="2"/>
        <v>0</v>
      </c>
      <c r="I29" s="22">
        <f t="shared" si="3"/>
        <v>0</v>
      </c>
      <c r="J29" s="123">
        <f t="shared" si="0"/>
        <v>1.9055335799397805E-2</v>
      </c>
    </row>
    <row r="30" spans="1:10" s="1" customFormat="1" x14ac:dyDescent="0.2">
      <c r="A30" s="106" t="s">
        <v>43</v>
      </c>
      <c r="B30" s="72">
        <f>B8</f>
        <v>1092</v>
      </c>
      <c r="C30" s="33">
        <v>2.0999999999999999E-3</v>
      </c>
      <c r="D30" s="21">
        <f>B30*C30</f>
        <v>2.2931999999999997</v>
      </c>
      <c r="E30" s="72">
        <f t="shared" si="4"/>
        <v>1092</v>
      </c>
      <c r="F30" s="33">
        <v>2.0999999999999999E-3</v>
      </c>
      <c r="G30" s="21">
        <f>E30*F30</f>
        <v>2.2931999999999997</v>
      </c>
      <c r="H30" s="21">
        <f>G30-D30</f>
        <v>0</v>
      </c>
      <c r="I30" s="22">
        <f t="shared" si="3"/>
        <v>0</v>
      </c>
      <c r="J30" s="123">
        <f t="shared" si="0"/>
        <v>1.1115612549648718E-2</v>
      </c>
    </row>
    <row r="31" spans="1:10" s="1" customFormat="1" x14ac:dyDescent="0.2">
      <c r="A31" s="106" t="s">
        <v>99</v>
      </c>
      <c r="B31" s="72">
        <f>B8</f>
        <v>1092</v>
      </c>
      <c r="C31" s="33">
        <v>0</v>
      </c>
      <c r="D31" s="21">
        <f>B31*C31</f>
        <v>0</v>
      </c>
      <c r="E31" s="72">
        <f t="shared" si="4"/>
        <v>1092</v>
      </c>
      <c r="F31" s="33">
        <v>0</v>
      </c>
      <c r="G31" s="21">
        <f>E31*F31</f>
        <v>0</v>
      </c>
      <c r="H31" s="21">
        <f>G31-D31</f>
        <v>0</v>
      </c>
      <c r="I31" s="22" t="str">
        <f t="shared" si="3"/>
        <v>N/A</v>
      </c>
      <c r="J31" s="123">
        <f t="shared" ref="J31" si="7">G31/$G$39</f>
        <v>0</v>
      </c>
    </row>
    <row r="32" spans="1:10" x14ac:dyDescent="0.2">
      <c r="A32" s="106" t="s">
        <v>44</v>
      </c>
      <c r="B32" s="72">
        <v>1</v>
      </c>
      <c r="C32" s="21">
        <v>0.25</v>
      </c>
      <c r="D32" s="21">
        <f>B32*C32</f>
        <v>0.25</v>
      </c>
      <c r="E32" s="72">
        <f t="shared" si="4"/>
        <v>1</v>
      </c>
      <c r="F32" s="21">
        <f>C32</f>
        <v>0.25</v>
      </c>
      <c r="G32" s="21">
        <f>E32*F32</f>
        <v>0.25</v>
      </c>
      <c r="H32" s="21">
        <f t="shared" si="2"/>
        <v>0</v>
      </c>
      <c r="I32" s="22">
        <f t="shared" si="3"/>
        <v>0</v>
      </c>
      <c r="J32" s="123">
        <f t="shared" ref="J32:J39" si="8">G32/$G$39</f>
        <v>1.2118014727944269E-3</v>
      </c>
    </row>
    <row r="33" spans="1:10" s="1" customFormat="1" x14ac:dyDescent="0.2">
      <c r="A33" s="109" t="s">
        <v>45</v>
      </c>
      <c r="B33" s="73"/>
      <c r="C33" s="34"/>
      <c r="D33" s="34">
        <f>SUM(D29:D32)</f>
        <v>6.4743999999999993</v>
      </c>
      <c r="E33" s="72"/>
      <c r="F33" s="34"/>
      <c r="G33" s="34">
        <f>SUM(G29:G32)</f>
        <v>6.4743999999999993</v>
      </c>
      <c r="H33" s="34">
        <f t="shared" si="2"/>
        <v>0</v>
      </c>
      <c r="I33" s="35">
        <f t="shared" si="3"/>
        <v>0</v>
      </c>
      <c r="J33" s="110">
        <f t="shared" si="8"/>
        <v>3.1382749821840944E-2</v>
      </c>
    </row>
    <row r="34" spans="1:10" ht="13.5" thickBot="1" x14ac:dyDescent="0.25">
      <c r="A34" s="111" t="s">
        <v>46</v>
      </c>
      <c r="B34" s="112">
        <f>B4</f>
        <v>1000</v>
      </c>
      <c r="C34" s="113">
        <v>7.0000000000000001E-3</v>
      </c>
      <c r="D34" s="114">
        <f>B34*C34</f>
        <v>7</v>
      </c>
      <c r="E34" s="115">
        <f t="shared" si="4"/>
        <v>1000</v>
      </c>
      <c r="F34" s="113">
        <f>C34</f>
        <v>7.0000000000000001E-3</v>
      </c>
      <c r="G34" s="114">
        <f>E34*F34</f>
        <v>7</v>
      </c>
      <c r="H34" s="114">
        <f t="shared" si="2"/>
        <v>0</v>
      </c>
      <c r="I34" s="116">
        <f t="shared" si="3"/>
        <v>0</v>
      </c>
      <c r="J34" s="117">
        <f t="shared" si="8"/>
        <v>3.3930441238243951E-2</v>
      </c>
    </row>
    <row r="35" spans="1:10" x14ac:dyDescent="0.2">
      <c r="A35" s="36" t="s">
        <v>116</v>
      </c>
      <c r="B35" s="37"/>
      <c r="C35" s="38"/>
      <c r="D35" s="38">
        <f>SUM(D14,D24,D27,D33,D34)</f>
        <v>194.9504</v>
      </c>
      <c r="E35" s="37"/>
      <c r="F35" s="38"/>
      <c r="G35" s="38">
        <f>SUM(G14,G24,G27,G33,G34)</f>
        <v>196.4804</v>
      </c>
      <c r="H35" s="38">
        <f t="shared" si="2"/>
        <v>1.5300000000000011</v>
      </c>
      <c r="I35" s="39">
        <f t="shared" si="3"/>
        <v>7.8481500935622655E-3</v>
      </c>
      <c r="J35" s="40">
        <f t="shared" si="8"/>
        <v>0.95238095238095244</v>
      </c>
    </row>
    <row r="36" spans="1:10" x14ac:dyDescent="0.2">
      <c r="A36" s="45" t="s">
        <v>108</v>
      </c>
      <c r="B36" s="42"/>
      <c r="C36" s="25">
        <v>0.13</v>
      </c>
      <c r="D36" s="25">
        <f>D35*C36</f>
        <v>25.343552000000003</v>
      </c>
      <c r="E36" s="25"/>
      <c r="F36" s="25">
        <f>C36</f>
        <v>0.13</v>
      </c>
      <c r="G36" s="25">
        <f>G35*F36</f>
        <v>25.542452000000001</v>
      </c>
      <c r="H36" s="25">
        <f t="shared" si="2"/>
        <v>0.1988999999999983</v>
      </c>
      <c r="I36" s="43">
        <f t="shared" si="3"/>
        <v>7.8481500935621926E-3</v>
      </c>
      <c r="J36" s="44">
        <f t="shared" si="8"/>
        <v>0.12380952380952381</v>
      </c>
    </row>
    <row r="37" spans="1:10" x14ac:dyDescent="0.2">
      <c r="A37" s="45" t="s">
        <v>109</v>
      </c>
      <c r="B37" s="23"/>
      <c r="C37" s="24"/>
      <c r="D37" s="24">
        <f>SUM(D35:D36)</f>
        <v>220.29395199999999</v>
      </c>
      <c r="E37" s="24"/>
      <c r="F37" s="24"/>
      <c r="G37" s="24">
        <f>SUM(G35:G36)</f>
        <v>222.022852</v>
      </c>
      <c r="H37" s="24">
        <f t="shared" si="2"/>
        <v>1.7289000000000101</v>
      </c>
      <c r="I37" s="26">
        <f t="shared" si="3"/>
        <v>7.8481500935623054E-3</v>
      </c>
      <c r="J37" s="46">
        <f t="shared" si="8"/>
        <v>1.0761904761904761</v>
      </c>
    </row>
    <row r="38" spans="1:10" x14ac:dyDescent="0.2">
      <c r="A38" s="45" t="s">
        <v>110</v>
      </c>
      <c r="B38" s="42"/>
      <c r="C38" s="25">
        <v>-0.08</v>
      </c>
      <c r="D38" s="25">
        <f>D35*C38</f>
        <v>-15.596032000000001</v>
      </c>
      <c r="E38" s="25"/>
      <c r="F38" s="25">
        <f>C38</f>
        <v>-0.08</v>
      </c>
      <c r="G38" s="25">
        <f>G35*F38</f>
        <v>-15.718432</v>
      </c>
      <c r="H38" s="25">
        <f t="shared" si="2"/>
        <v>-0.12239999999999895</v>
      </c>
      <c r="I38" s="43">
        <f t="shared" si="3"/>
        <v>-7.8481500935621926E-3</v>
      </c>
      <c r="J38" s="44">
        <f t="shared" si="8"/>
        <v>-7.6190476190476197E-2</v>
      </c>
    </row>
    <row r="39" spans="1:10" ht="13.5" thickBot="1" x14ac:dyDescent="0.25">
      <c r="A39" s="47" t="s">
        <v>111</v>
      </c>
      <c r="B39" s="48"/>
      <c r="C39" s="49"/>
      <c r="D39" s="49">
        <f>SUM(D37:D38)</f>
        <v>204.69791999999998</v>
      </c>
      <c r="E39" s="49"/>
      <c r="F39" s="49"/>
      <c r="G39" s="49">
        <f>SUM(G37:G38)</f>
        <v>206.30441999999999</v>
      </c>
      <c r="H39" s="49">
        <f t="shared" si="2"/>
        <v>1.6065000000000111</v>
      </c>
      <c r="I39" s="50">
        <f t="shared" si="3"/>
        <v>7.8481500935623158E-3</v>
      </c>
      <c r="J39" s="51">
        <f t="shared" si="8"/>
        <v>1</v>
      </c>
    </row>
    <row r="40" spans="1:10" x14ac:dyDescent="0.2">
      <c r="A40" s="184"/>
      <c r="D40" s="71"/>
      <c r="F40" s="68"/>
    </row>
    <row r="41" spans="1:10" x14ac:dyDescent="0.2">
      <c r="A41" s="184"/>
      <c r="F41" s="68"/>
    </row>
    <row r="42" spans="1:10" x14ac:dyDescent="0.2">
      <c r="A42" s="185"/>
      <c r="B42" s="70"/>
      <c r="F42" s="68"/>
    </row>
    <row r="43" spans="1:10" x14ac:dyDescent="0.2">
      <c r="A43" s="184"/>
      <c r="B43" s="71"/>
      <c r="D43" s="71"/>
      <c r="F43" s="68"/>
    </row>
    <row r="44" spans="1:10" x14ac:dyDescent="0.2">
      <c r="A44" s="184"/>
      <c r="F44" s="68"/>
    </row>
    <row r="45" spans="1:10" x14ac:dyDescent="0.2">
      <c r="A45" s="184"/>
      <c r="F45" s="68"/>
    </row>
    <row r="46" spans="1:10" x14ac:dyDescent="0.2">
      <c r="A46" s="184"/>
      <c r="F46" s="68"/>
    </row>
    <row r="47" spans="1:10" x14ac:dyDescent="0.2">
      <c r="A47" s="184"/>
      <c r="F47" s="68"/>
    </row>
    <row r="48" spans="1:10" x14ac:dyDescent="0.2">
      <c r="A48" s="184"/>
      <c r="F48" s="68"/>
    </row>
    <row r="49" spans="1:6" x14ac:dyDescent="0.2">
      <c r="A49" s="184"/>
      <c r="F49" s="68"/>
    </row>
    <row r="50" spans="1:6" x14ac:dyDescent="0.2">
      <c r="A50" s="184"/>
      <c r="F50" s="68"/>
    </row>
    <row r="51" spans="1:6" x14ac:dyDescent="0.2">
      <c r="A51" s="184"/>
    </row>
    <row r="52" spans="1:6" x14ac:dyDescent="0.2">
      <c r="A52" s="184"/>
    </row>
    <row r="53" spans="1:6" x14ac:dyDescent="0.2">
      <c r="A53" s="184"/>
    </row>
    <row r="54" spans="1:6" x14ac:dyDescent="0.2">
      <c r="A54" s="184"/>
    </row>
  </sheetData>
  <mergeCells count="1">
    <mergeCell ref="A1:J1"/>
  </mergeCells>
  <pageMargins left="0.7" right="0.7" top="0.75" bottom="0.75" header="0.3" footer="0.3"/>
  <pageSetup scale="8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tabColor theme="1" tint="0.499984740745262"/>
    <pageSetUpPr fitToPage="1"/>
  </sheetPr>
  <dimension ref="A1:J54"/>
  <sheetViews>
    <sheetView tabSelected="1"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205" t="s">
        <v>124</v>
      </c>
      <c r="B1" s="206"/>
      <c r="C1" s="206"/>
      <c r="D1" s="206"/>
      <c r="E1" s="206"/>
      <c r="F1" s="206"/>
      <c r="G1" s="206"/>
      <c r="H1" s="206"/>
      <c r="I1" s="206"/>
      <c r="J1" s="207"/>
    </row>
    <row r="3" spans="1:10" x14ac:dyDescent="0.2">
      <c r="A3" s="12" t="s">
        <v>13</v>
      </c>
      <c r="B3" s="12" t="s">
        <v>9</v>
      </c>
    </row>
    <row r="4" spans="1:10" x14ac:dyDescent="0.2">
      <c r="A4" s="14" t="s">
        <v>62</v>
      </c>
      <c r="B4" s="14">
        <v>20</v>
      </c>
    </row>
    <row r="5" spans="1:10" x14ac:dyDescent="0.2">
      <c r="A5" s="14" t="s">
        <v>16</v>
      </c>
      <c r="B5" s="14">
        <f>VLOOKUP($B$3,'Data for Bill Impacts'!$A$3:$Y$15,5,0)</f>
        <v>0</v>
      </c>
    </row>
    <row r="6" spans="1:10" x14ac:dyDescent="0.2">
      <c r="A6" s="14" t="s">
        <v>20</v>
      </c>
      <c r="B6" s="14">
        <f>VLOOKUP($B$3,'Data for Bill Impacts'!$A$3:$Y$15,2,0)</f>
        <v>1.0920000000000001</v>
      </c>
    </row>
    <row r="7" spans="1:10" x14ac:dyDescent="0.2">
      <c r="A7" s="14" t="s">
        <v>15</v>
      </c>
      <c r="B7" s="14">
        <f>VLOOKUP($B$3,'Data for Bill Impacts'!$A$3:$Y$15,4,0)</f>
        <v>750</v>
      </c>
    </row>
    <row r="8" spans="1:10" x14ac:dyDescent="0.2">
      <c r="A8" s="14" t="s">
        <v>82</v>
      </c>
      <c r="B8" s="14">
        <f>B4*B6</f>
        <v>21.840000000000003</v>
      </c>
    </row>
    <row r="9" spans="1:10" x14ac:dyDescent="0.2">
      <c r="A9" s="14" t="s">
        <v>21</v>
      </c>
      <c r="B9" s="15" t="str">
        <f>VLOOKUP($B$3,'Data for Bill Impacts'!$A$3:$Y$15,6,0)</f>
        <v>kWh</v>
      </c>
    </row>
    <row r="10" spans="1:10" ht="13.5" thickBot="1" x14ac:dyDescent="0.25"/>
    <row r="11" spans="1:10" s="19" customFormat="1" ht="39" thickBot="1" x14ac:dyDescent="0.25">
      <c r="A11" s="16"/>
      <c r="B11" s="17" t="s">
        <v>22</v>
      </c>
      <c r="C11" s="17" t="s">
        <v>23</v>
      </c>
      <c r="D11" s="17" t="s">
        <v>24</v>
      </c>
      <c r="E11" s="17" t="s">
        <v>22</v>
      </c>
      <c r="F11" s="17" t="s">
        <v>25</v>
      </c>
      <c r="G11" s="17" t="s">
        <v>26</v>
      </c>
      <c r="H11" s="17" t="s">
        <v>27</v>
      </c>
      <c r="I11" s="17" t="s">
        <v>28</v>
      </c>
      <c r="J11" s="121" t="s">
        <v>29</v>
      </c>
    </row>
    <row r="12" spans="1:10" x14ac:dyDescent="0.2">
      <c r="A12" s="100" t="s">
        <v>31</v>
      </c>
      <c r="B12" s="101">
        <f>IF(B4&gt;B7,B7,B4)</f>
        <v>20</v>
      </c>
      <c r="C12" s="102">
        <v>9.0999999999999998E-2</v>
      </c>
      <c r="D12" s="103">
        <f>B12*C12</f>
        <v>1.8199999999999998</v>
      </c>
      <c r="E12" s="101">
        <f>B12</f>
        <v>20</v>
      </c>
      <c r="F12" s="102">
        <f>C12</f>
        <v>9.0999999999999998E-2</v>
      </c>
      <c r="G12" s="103">
        <f>E12*F12</f>
        <v>1.8199999999999998</v>
      </c>
      <c r="H12" s="103">
        <f>G12-D12</f>
        <v>0</v>
      </c>
      <c r="I12" s="104">
        <f>IF(ISERROR(H12/ABS(D12)),"N/A",(H12/ABS(D12)))</f>
        <v>0</v>
      </c>
      <c r="J12" s="122">
        <f t="shared" ref="J12:J30" si="0">G12/$G$39</f>
        <v>0.18401241274131389</v>
      </c>
    </row>
    <row r="13" spans="1:10" x14ac:dyDescent="0.2">
      <c r="A13" s="106" t="s">
        <v>32</v>
      </c>
      <c r="B13" s="72">
        <f>IF(B4&gt;B7,(B4)-B7,0)</f>
        <v>0</v>
      </c>
      <c r="C13" s="20">
        <v>0.106</v>
      </c>
      <c r="D13" s="21">
        <f>B13*C13</f>
        <v>0</v>
      </c>
      <c r="E13" s="72">
        <f t="shared" ref="E13" si="1">B13</f>
        <v>0</v>
      </c>
      <c r="F13" s="20">
        <f>C13</f>
        <v>0.106</v>
      </c>
      <c r="G13" s="21">
        <f>E13*F13</f>
        <v>0</v>
      </c>
      <c r="H13" s="21">
        <f t="shared" ref="H13:H39" si="2">G13-D13</f>
        <v>0</v>
      </c>
      <c r="I13" s="22" t="str">
        <f t="shared" ref="I13:I39" si="3">IF(ISERROR(H13/ABS(D13)),"N/A",(H13/ABS(D13)))</f>
        <v>N/A</v>
      </c>
      <c r="J13" s="123">
        <f t="shared" si="0"/>
        <v>0</v>
      </c>
    </row>
    <row r="14" spans="1:10" s="1" customFormat="1" x14ac:dyDescent="0.2">
      <c r="A14" s="45" t="s">
        <v>33</v>
      </c>
      <c r="B14" s="23"/>
      <c r="C14" s="24"/>
      <c r="D14" s="24">
        <f>SUM(D12:D13)</f>
        <v>1.8199999999999998</v>
      </c>
      <c r="E14" s="75"/>
      <c r="F14" s="24"/>
      <c r="G14" s="24">
        <f>SUM(G12:G13)</f>
        <v>1.8199999999999998</v>
      </c>
      <c r="H14" s="24">
        <f t="shared" si="2"/>
        <v>0</v>
      </c>
      <c r="I14" s="26">
        <f t="shared" si="3"/>
        <v>0</v>
      </c>
      <c r="J14" s="46">
        <f t="shared" si="0"/>
        <v>0.18401241274131389</v>
      </c>
    </row>
    <row r="15" spans="1:10" x14ac:dyDescent="0.2">
      <c r="A15" s="106" t="s">
        <v>38</v>
      </c>
      <c r="B15" s="72">
        <v>1</v>
      </c>
      <c r="C15" s="77">
        <f>VLOOKUP($B$3,'Data for Bill Impacts'!$A$3:$Y$15,7,0)</f>
        <v>3.72</v>
      </c>
      <c r="D15" s="21">
        <f>B15*C15</f>
        <v>3.72</v>
      </c>
      <c r="E15" s="72">
        <f t="shared" ref="E15:E34" si="4">B15</f>
        <v>1</v>
      </c>
      <c r="F15" s="77">
        <f>VLOOKUP($B$3,'Data for Bill Impacts'!$A$3:$Y$15,17,0)</f>
        <v>3.87</v>
      </c>
      <c r="G15" s="21">
        <f>E15*F15</f>
        <v>3.87</v>
      </c>
      <c r="H15" s="21">
        <f t="shared" si="2"/>
        <v>0.14999999999999991</v>
      </c>
      <c r="I15" s="22">
        <f t="shared" si="3"/>
        <v>4.0322580645161261E-2</v>
      </c>
      <c r="J15" s="123">
        <f t="shared" si="0"/>
        <v>0.39127914137850811</v>
      </c>
    </row>
    <row r="16" spans="1:10" hidden="1" x14ac:dyDescent="0.2">
      <c r="A16" s="106" t="s">
        <v>88</v>
      </c>
      <c r="B16" s="72">
        <v>1</v>
      </c>
      <c r="C16" s="77">
        <v>0</v>
      </c>
      <c r="D16" s="21">
        <f>B16*C16</f>
        <v>0</v>
      </c>
      <c r="E16" s="72">
        <f t="shared" si="4"/>
        <v>1</v>
      </c>
      <c r="F16" s="77">
        <v>0</v>
      </c>
      <c r="G16" s="21">
        <f t="shared" ref="G16:G18" si="5">E16*F16</f>
        <v>0</v>
      </c>
      <c r="H16" s="21">
        <f t="shared" si="2"/>
        <v>0</v>
      </c>
      <c r="I16" s="22" t="str">
        <f t="shared" si="3"/>
        <v>N/A</v>
      </c>
      <c r="J16" s="123">
        <f t="shared" si="0"/>
        <v>0</v>
      </c>
    </row>
    <row r="17" spans="1:10" hidden="1" x14ac:dyDescent="0.2">
      <c r="A17" s="106" t="s">
        <v>84</v>
      </c>
      <c r="B17" s="72">
        <v>1</v>
      </c>
      <c r="C17" s="77">
        <v>0</v>
      </c>
      <c r="D17" s="21">
        <f t="shared" ref="D17:D18" si="6">B17*C17</f>
        <v>0</v>
      </c>
      <c r="E17" s="72">
        <f t="shared" si="4"/>
        <v>1</v>
      </c>
      <c r="F17" s="77">
        <v>0</v>
      </c>
      <c r="G17" s="21">
        <f t="shared" si="5"/>
        <v>0</v>
      </c>
      <c r="H17" s="21">
        <f t="shared" si="2"/>
        <v>0</v>
      </c>
      <c r="I17" s="22" t="str">
        <f t="shared" si="3"/>
        <v>N/A</v>
      </c>
      <c r="J17" s="123">
        <f t="shared" si="0"/>
        <v>0</v>
      </c>
    </row>
    <row r="18" spans="1:10" x14ac:dyDescent="0.2">
      <c r="A18" s="106" t="s">
        <v>85</v>
      </c>
      <c r="B18" s="72">
        <v>1</v>
      </c>
      <c r="C18" s="120">
        <f>VLOOKUP($B$3,'Data for Bill Impacts'!$A$3:$Y$15,13,0)</f>
        <v>6.0000000000000001E-3</v>
      </c>
      <c r="D18" s="21">
        <f t="shared" si="6"/>
        <v>6.0000000000000001E-3</v>
      </c>
      <c r="E18" s="72">
        <f t="shared" si="4"/>
        <v>1</v>
      </c>
      <c r="F18" s="120">
        <f>VLOOKUP($B$3,'Data for Bill Impacts'!$A$3:$Y$15,22,0)</f>
        <v>6.0000000000000001E-3</v>
      </c>
      <c r="G18" s="21">
        <f t="shared" si="5"/>
        <v>6.0000000000000001E-3</v>
      </c>
      <c r="H18" s="21">
        <f t="shared" si="2"/>
        <v>0</v>
      </c>
      <c r="I18" s="22">
        <f t="shared" si="3"/>
        <v>0</v>
      </c>
      <c r="J18" s="123">
        <f t="shared" si="0"/>
        <v>6.0663432771861721E-4</v>
      </c>
    </row>
    <row r="19" spans="1:10" x14ac:dyDescent="0.2">
      <c r="A19" s="106" t="s">
        <v>39</v>
      </c>
      <c r="B19" s="72">
        <f>IF($B$9="kWh",$B$4,$B$5)</f>
        <v>20</v>
      </c>
      <c r="C19" s="124">
        <f>VLOOKUP($B$3,'Data for Bill Impacts'!$A$3:$Y$15,10,0)</f>
        <v>0.13830000000000001</v>
      </c>
      <c r="D19" s="21">
        <f>B19*C19</f>
        <v>2.766</v>
      </c>
      <c r="E19" s="72">
        <f t="shared" si="4"/>
        <v>20</v>
      </c>
      <c r="F19" s="124">
        <f>VLOOKUP($B$3,'Data for Bill Impacts'!$A$3:$Y$15,19,0)</f>
        <v>0.14399999999999999</v>
      </c>
      <c r="G19" s="21">
        <f>E19*F19</f>
        <v>2.88</v>
      </c>
      <c r="H19" s="21">
        <f t="shared" si="2"/>
        <v>0.11399999999999988</v>
      </c>
      <c r="I19" s="22">
        <f t="shared" si="3"/>
        <v>4.1214750542299304E-2</v>
      </c>
      <c r="J19" s="123">
        <f t="shared" si="0"/>
        <v>0.29118447730493624</v>
      </c>
    </row>
    <row r="20" spans="1:10" s="1" customFormat="1" x14ac:dyDescent="0.2">
      <c r="A20" s="106" t="s">
        <v>129</v>
      </c>
      <c r="B20" s="72">
        <f>IF($B$9="kWh",$B$4,$B$5)</f>
        <v>20</v>
      </c>
      <c r="C20" s="187">
        <f>VLOOKUP($B$3,'Data for Bill Impacts'!$A$3:$Y$15,14,0)</f>
        <v>-6.0000000000000002E-5</v>
      </c>
      <c r="D20" s="21">
        <f>B20*C20</f>
        <v>-1.2000000000000001E-3</v>
      </c>
      <c r="E20" s="72">
        <f>B20</f>
        <v>20</v>
      </c>
      <c r="F20" s="187">
        <f>VLOOKUP($B$3,'Data for Bill Impacts'!$A$3:$Y$15,23,0)</f>
        <v>-6.0000000000000002E-5</v>
      </c>
      <c r="G20" s="21">
        <f>E20*F20</f>
        <v>-1.2000000000000001E-3</v>
      </c>
      <c r="H20" s="21">
        <f>G20-D20</f>
        <v>0</v>
      </c>
      <c r="I20" s="22">
        <f t="shared" si="3"/>
        <v>0</v>
      </c>
      <c r="J20" s="123">
        <f t="shared" si="0"/>
        <v>-1.2132686554372346E-4</v>
      </c>
    </row>
    <row r="21" spans="1:10" hidden="1" x14ac:dyDescent="0.2">
      <c r="A21" s="106" t="s">
        <v>86</v>
      </c>
      <c r="B21" s="72">
        <f>IF($B$9="kWh",$B$4,$B$5)</f>
        <v>20</v>
      </c>
      <c r="C21" s="124">
        <v>0</v>
      </c>
      <c r="D21" s="21">
        <f>B21*C21</f>
        <v>0</v>
      </c>
      <c r="E21" s="72">
        <f t="shared" si="4"/>
        <v>20</v>
      </c>
      <c r="F21" s="77">
        <v>0</v>
      </c>
      <c r="G21" s="21">
        <f>E21*F21</f>
        <v>0</v>
      </c>
      <c r="H21" s="21">
        <f t="shared" si="2"/>
        <v>0</v>
      </c>
      <c r="I21" s="22" t="str">
        <f t="shared" si="3"/>
        <v>N/A</v>
      </c>
      <c r="J21" s="123">
        <f t="shared" si="0"/>
        <v>0</v>
      </c>
    </row>
    <row r="22" spans="1:10" x14ac:dyDescent="0.2">
      <c r="A22" s="109" t="s">
        <v>72</v>
      </c>
      <c r="B22" s="73"/>
      <c r="C22" s="34"/>
      <c r="D22" s="34">
        <f>SUM(D15:D21)</f>
        <v>6.4908000000000001</v>
      </c>
      <c r="E22" s="72"/>
      <c r="F22" s="34"/>
      <c r="G22" s="34">
        <f>SUM(G15:G21)</f>
        <v>6.7548000000000004</v>
      </c>
      <c r="H22" s="34">
        <f t="shared" si="2"/>
        <v>0.26400000000000023</v>
      </c>
      <c r="I22" s="35">
        <f t="shared" si="3"/>
        <v>4.0672952486596449E-2</v>
      </c>
      <c r="J22" s="110">
        <f t="shared" si="0"/>
        <v>0.68294892614561931</v>
      </c>
    </row>
    <row r="23" spans="1:10" s="1" customFormat="1" x14ac:dyDescent="0.2">
      <c r="A23" s="118" t="s">
        <v>81</v>
      </c>
      <c r="B23" s="119">
        <f>B8-B4</f>
        <v>1.8400000000000034</v>
      </c>
      <c r="C23" s="186">
        <f>IF(B4&gt;B7,C13,C12)</f>
        <v>9.0999999999999998E-2</v>
      </c>
      <c r="D23" s="21">
        <f>B23*C23</f>
        <v>0.16744000000000031</v>
      </c>
      <c r="E23" s="72">
        <f>B23</f>
        <v>1.8400000000000034</v>
      </c>
      <c r="F23" s="186">
        <f>C23</f>
        <v>9.0999999999999998E-2</v>
      </c>
      <c r="G23" s="21">
        <f>E23*F23</f>
        <v>0.16744000000000031</v>
      </c>
      <c r="H23" s="21">
        <f t="shared" si="2"/>
        <v>0</v>
      </c>
      <c r="I23" s="22">
        <f t="shared" si="3"/>
        <v>0</v>
      </c>
      <c r="J23" s="123">
        <f t="shared" si="0"/>
        <v>1.6929141972200908E-2</v>
      </c>
    </row>
    <row r="24" spans="1:10" x14ac:dyDescent="0.2">
      <c r="A24" s="109" t="s">
        <v>79</v>
      </c>
      <c r="B24" s="73"/>
      <c r="C24" s="34"/>
      <c r="D24" s="34">
        <f>SUM(D22,D23:D23)</f>
        <v>6.6582400000000002</v>
      </c>
      <c r="E24" s="72"/>
      <c r="F24" s="34"/>
      <c r="G24" s="34">
        <f>SUM(G22,G23:G23)</f>
        <v>6.9222400000000004</v>
      </c>
      <c r="H24" s="34">
        <f t="shared" si="2"/>
        <v>0.26400000000000023</v>
      </c>
      <c r="I24" s="35">
        <f t="shared" si="3"/>
        <v>3.9650117748834562E-2</v>
      </c>
      <c r="J24" s="110">
        <f t="shared" si="0"/>
        <v>0.69987806811782016</v>
      </c>
    </row>
    <row r="25" spans="1:10" x14ac:dyDescent="0.2">
      <c r="A25" s="106" t="s">
        <v>40</v>
      </c>
      <c r="B25" s="72">
        <f>B8</f>
        <v>21.840000000000003</v>
      </c>
      <c r="C25" s="124">
        <f>VLOOKUP($B$3,'Data for Bill Impacts'!$A$3:$Y$15,15,0)</f>
        <v>3.836E-3</v>
      </c>
      <c r="D25" s="21">
        <f>B25*C25</f>
        <v>8.3778240000000018E-2</v>
      </c>
      <c r="E25" s="72">
        <f t="shared" si="4"/>
        <v>21.840000000000003</v>
      </c>
      <c r="F25" s="77">
        <f>VLOOKUP($B$3,'Data for Bill Impacts'!$A$3:$Y$15,24,0)</f>
        <v>3.836E-3</v>
      </c>
      <c r="G25" s="21">
        <f>E25*F25</f>
        <v>8.3778240000000018E-2</v>
      </c>
      <c r="H25" s="21">
        <f t="shared" si="2"/>
        <v>0</v>
      </c>
      <c r="I25" s="22">
        <f t="shared" si="3"/>
        <v>0</v>
      </c>
      <c r="J25" s="123">
        <f t="shared" si="0"/>
        <v>8.4704593833081626E-3</v>
      </c>
    </row>
    <row r="26" spans="1:10" s="1" customFormat="1" x14ac:dyDescent="0.2">
      <c r="A26" s="106" t="s">
        <v>41</v>
      </c>
      <c r="B26" s="72">
        <f>B8</f>
        <v>21.840000000000003</v>
      </c>
      <c r="C26" s="124">
        <f>VLOOKUP($B$3,'Data for Bill Impacts'!$A$3:$Y$15,16,0)</f>
        <v>3.6240000000000001E-3</v>
      </c>
      <c r="D26" s="21">
        <f>B26*C26</f>
        <v>7.9148160000000009E-2</v>
      </c>
      <c r="E26" s="72">
        <f t="shared" si="4"/>
        <v>21.840000000000003</v>
      </c>
      <c r="F26" s="77">
        <f>VLOOKUP($B$3,'Data for Bill Impacts'!$A$3:$Y$15,25,0)</f>
        <v>3.6240000000000001E-3</v>
      </c>
      <c r="G26" s="21">
        <f>E26*F26</f>
        <v>7.9148160000000009E-2</v>
      </c>
      <c r="H26" s="21">
        <f t="shared" si="2"/>
        <v>0</v>
      </c>
      <c r="I26" s="22">
        <f t="shared" si="3"/>
        <v>0</v>
      </c>
      <c r="J26" s="123">
        <f t="shared" si="0"/>
        <v>8.0023318052942598E-3</v>
      </c>
    </row>
    <row r="27" spans="1:10" s="1" customFormat="1" x14ac:dyDescent="0.2">
      <c r="A27" s="109" t="s">
        <v>76</v>
      </c>
      <c r="B27" s="73"/>
      <c r="C27" s="34"/>
      <c r="D27" s="34">
        <f>SUM(D25:D26)</f>
        <v>0.16292640000000003</v>
      </c>
      <c r="E27" s="72"/>
      <c r="F27" s="34"/>
      <c r="G27" s="34">
        <f>SUM(G25:G26)</f>
        <v>0.16292640000000003</v>
      </c>
      <c r="H27" s="34">
        <f t="shared" si="2"/>
        <v>0</v>
      </c>
      <c r="I27" s="35">
        <f t="shared" si="3"/>
        <v>0</v>
      </c>
      <c r="J27" s="110">
        <f t="shared" si="0"/>
        <v>1.6472791188602422E-2</v>
      </c>
    </row>
    <row r="28" spans="1:10" s="1" customFormat="1" x14ac:dyDescent="0.2">
      <c r="A28" s="109" t="s">
        <v>80</v>
      </c>
      <c r="B28" s="73"/>
      <c r="C28" s="34"/>
      <c r="D28" s="34">
        <f>D24+D27</f>
        <v>6.8211664000000001</v>
      </c>
      <c r="E28" s="72"/>
      <c r="F28" s="34"/>
      <c r="G28" s="34">
        <f>G24+G27</f>
        <v>7.0851664000000003</v>
      </c>
      <c r="H28" s="34">
        <f t="shared" si="2"/>
        <v>0.26400000000000023</v>
      </c>
      <c r="I28" s="35">
        <f t="shared" si="3"/>
        <v>3.870305817491862E-2</v>
      </c>
      <c r="J28" s="110">
        <f t="shared" si="0"/>
        <v>0.71635085930642262</v>
      </c>
    </row>
    <row r="29" spans="1:10" x14ac:dyDescent="0.2">
      <c r="A29" s="106" t="s">
        <v>42</v>
      </c>
      <c r="B29" s="72">
        <f>B8</f>
        <v>21.840000000000003</v>
      </c>
      <c r="C29" s="33">
        <v>3.5999999999999999E-3</v>
      </c>
      <c r="D29" s="21">
        <f>B29*C29</f>
        <v>7.8624000000000013E-2</v>
      </c>
      <c r="E29" s="72">
        <f t="shared" si="4"/>
        <v>21.840000000000003</v>
      </c>
      <c r="F29" s="33">
        <v>3.5999999999999999E-3</v>
      </c>
      <c r="G29" s="21">
        <f>E29*F29</f>
        <v>7.8624000000000013E-2</v>
      </c>
      <c r="H29" s="21">
        <f t="shared" si="2"/>
        <v>0</v>
      </c>
      <c r="I29" s="22">
        <f t="shared" si="3"/>
        <v>0</v>
      </c>
      <c r="J29" s="123">
        <f t="shared" si="0"/>
        <v>7.9493362304247622E-3</v>
      </c>
    </row>
    <row r="30" spans="1:10" s="1" customFormat="1" x14ac:dyDescent="0.2">
      <c r="A30" s="106" t="s">
        <v>43</v>
      </c>
      <c r="B30" s="72">
        <f>B8</f>
        <v>21.840000000000003</v>
      </c>
      <c r="C30" s="33">
        <v>2.0999999999999999E-3</v>
      </c>
      <c r="D30" s="21">
        <f>B30*C30</f>
        <v>4.5864000000000002E-2</v>
      </c>
      <c r="E30" s="72">
        <f t="shared" si="4"/>
        <v>21.840000000000003</v>
      </c>
      <c r="F30" s="33">
        <v>2.0999999999999999E-3</v>
      </c>
      <c r="G30" s="21">
        <f>E30*F30</f>
        <v>4.5864000000000002E-2</v>
      </c>
      <c r="H30" s="21">
        <f>G30-D30</f>
        <v>0</v>
      </c>
      <c r="I30" s="22">
        <f t="shared" si="3"/>
        <v>0</v>
      </c>
      <c r="J30" s="123">
        <f t="shared" si="0"/>
        <v>4.63711280108111E-3</v>
      </c>
    </row>
    <row r="31" spans="1:10" s="1" customFormat="1" x14ac:dyDescent="0.2">
      <c r="A31" s="106" t="s">
        <v>99</v>
      </c>
      <c r="B31" s="72">
        <f>B8</f>
        <v>21.840000000000003</v>
      </c>
      <c r="C31" s="33">
        <v>0</v>
      </c>
      <c r="D31" s="21">
        <f>B31*C31</f>
        <v>0</v>
      </c>
      <c r="E31" s="72">
        <f t="shared" si="4"/>
        <v>21.840000000000003</v>
      </c>
      <c r="F31" s="33">
        <v>0</v>
      </c>
      <c r="G31" s="21">
        <f>E31*F31</f>
        <v>0</v>
      </c>
      <c r="H31" s="21">
        <f>G31-D31</f>
        <v>0</v>
      </c>
      <c r="I31" s="22" t="str">
        <f t="shared" si="3"/>
        <v>N/A</v>
      </c>
      <c r="J31" s="123">
        <f t="shared" ref="J31" si="7">G31/$G$39</f>
        <v>0</v>
      </c>
    </row>
    <row r="32" spans="1:10" x14ac:dyDescent="0.2">
      <c r="A32" s="106" t="s">
        <v>44</v>
      </c>
      <c r="B32" s="72">
        <v>1</v>
      </c>
      <c r="C32" s="21">
        <v>0.25</v>
      </c>
      <c r="D32" s="21">
        <f>B32*C32</f>
        <v>0.25</v>
      </c>
      <c r="E32" s="72">
        <f t="shared" si="4"/>
        <v>1</v>
      </c>
      <c r="F32" s="21">
        <f>C32</f>
        <v>0.25</v>
      </c>
      <c r="G32" s="21">
        <f>E32*F32</f>
        <v>0.25</v>
      </c>
      <c r="H32" s="21">
        <f t="shared" si="2"/>
        <v>0</v>
      </c>
      <c r="I32" s="22">
        <f t="shared" si="3"/>
        <v>0</v>
      </c>
      <c r="J32" s="123">
        <f t="shared" ref="J32:J39" si="8">G32/$G$39</f>
        <v>2.5276430321609051E-2</v>
      </c>
    </row>
    <row r="33" spans="1:10" s="1" customFormat="1" x14ac:dyDescent="0.2">
      <c r="A33" s="109" t="s">
        <v>45</v>
      </c>
      <c r="B33" s="73"/>
      <c r="C33" s="34"/>
      <c r="D33" s="34">
        <f>SUM(D29:D32)</f>
        <v>0.37448800000000004</v>
      </c>
      <c r="E33" s="72"/>
      <c r="F33" s="34"/>
      <c r="G33" s="34">
        <f>SUM(G29:G32)</f>
        <v>0.37448800000000004</v>
      </c>
      <c r="H33" s="34">
        <f t="shared" si="2"/>
        <v>0</v>
      </c>
      <c r="I33" s="35">
        <f t="shared" si="3"/>
        <v>0</v>
      </c>
      <c r="J33" s="110">
        <f t="shared" si="8"/>
        <v>3.7862879353114928E-2</v>
      </c>
    </row>
    <row r="34" spans="1:10" ht="13.5" thickBot="1" x14ac:dyDescent="0.25">
      <c r="A34" s="111" t="s">
        <v>46</v>
      </c>
      <c r="B34" s="112">
        <f>B4</f>
        <v>20</v>
      </c>
      <c r="C34" s="113">
        <v>7.0000000000000001E-3</v>
      </c>
      <c r="D34" s="114">
        <f>B34*C34</f>
        <v>0.14000000000000001</v>
      </c>
      <c r="E34" s="115">
        <f t="shared" si="4"/>
        <v>20</v>
      </c>
      <c r="F34" s="113">
        <f>C34</f>
        <v>7.0000000000000001E-3</v>
      </c>
      <c r="G34" s="114">
        <f>E34*F34</f>
        <v>0.14000000000000001</v>
      </c>
      <c r="H34" s="114">
        <f t="shared" si="2"/>
        <v>0</v>
      </c>
      <c r="I34" s="116">
        <f t="shared" si="3"/>
        <v>0</v>
      </c>
      <c r="J34" s="117">
        <f t="shared" si="8"/>
        <v>1.415480098010107E-2</v>
      </c>
    </row>
    <row r="35" spans="1:10" x14ac:dyDescent="0.2">
      <c r="A35" s="36" t="s">
        <v>116</v>
      </c>
      <c r="B35" s="37"/>
      <c r="C35" s="38"/>
      <c r="D35" s="38">
        <f>SUM(D14,D24,D27,D33,D34)</f>
        <v>9.1556543999999995</v>
      </c>
      <c r="E35" s="37"/>
      <c r="F35" s="38"/>
      <c r="G35" s="38">
        <f>SUM(G14,G24,G27,G33,G34)</f>
        <v>9.4196544000000006</v>
      </c>
      <c r="H35" s="38">
        <f t="shared" si="2"/>
        <v>0.26400000000000112</v>
      </c>
      <c r="I35" s="39">
        <f t="shared" si="3"/>
        <v>2.8834640154176323E-2</v>
      </c>
      <c r="J35" s="40">
        <f t="shared" si="8"/>
        <v>0.95238095238095255</v>
      </c>
    </row>
    <row r="36" spans="1:10" x14ac:dyDescent="0.2">
      <c r="A36" s="45" t="s">
        <v>108</v>
      </c>
      <c r="B36" s="42"/>
      <c r="C36" s="25">
        <v>0.13</v>
      </c>
      <c r="D36" s="25">
        <f>D35*C36</f>
        <v>1.1902350719999999</v>
      </c>
      <c r="E36" s="25"/>
      <c r="F36" s="25">
        <f>C36</f>
        <v>0.13</v>
      </c>
      <c r="G36" s="25">
        <f>G35*F36</f>
        <v>1.224555072</v>
      </c>
      <c r="H36" s="25">
        <f t="shared" si="2"/>
        <v>3.4320000000000128E-2</v>
      </c>
      <c r="I36" s="43">
        <f t="shared" si="3"/>
        <v>2.8834640154176309E-2</v>
      </c>
      <c r="J36" s="44">
        <f t="shared" si="8"/>
        <v>0.12380952380952383</v>
      </c>
    </row>
    <row r="37" spans="1:10" x14ac:dyDescent="0.2">
      <c r="A37" s="45" t="s">
        <v>109</v>
      </c>
      <c r="B37" s="23"/>
      <c r="C37" s="24"/>
      <c r="D37" s="24">
        <f>SUM(D35:D36)</f>
        <v>10.345889472</v>
      </c>
      <c r="E37" s="24"/>
      <c r="F37" s="24"/>
      <c r="G37" s="24">
        <f>SUM(G35:G36)</f>
        <v>10.644209472</v>
      </c>
      <c r="H37" s="24">
        <f t="shared" si="2"/>
        <v>0.29832000000000036</v>
      </c>
      <c r="I37" s="26">
        <f t="shared" si="3"/>
        <v>2.8834640154176236E-2</v>
      </c>
      <c r="J37" s="46">
        <f t="shared" si="8"/>
        <v>1.0761904761904764</v>
      </c>
    </row>
    <row r="38" spans="1:10" x14ac:dyDescent="0.2">
      <c r="A38" s="45" t="s">
        <v>110</v>
      </c>
      <c r="B38" s="42"/>
      <c r="C38" s="25">
        <v>-0.08</v>
      </c>
      <c r="D38" s="25">
        <f>D35*C38</f>
        <v>-0.73245235200000003</v>
      </c>
      <c r="E38" s="25"/>
      <c r="F38" s="25">
        <f>C38</f>
        <v>-0.08</v>
      </c>
      <c r="G38" s="25">
        <f>G35*F38</f>
        <v>-0.75357235200000006</v>
      </c>
      <c r="H38" s="25">
        <f t="shared" si="2"/>
        <v>-2.1120000000000028E-2</v>
      </c>
      <c r="I38" s="43">
        <f t="shared" si="3"/>
        <v>-2.8834640154176236E-2</v>
      </c>
      <c r="J38" s="44">
        <f t="shared" si="8"/>
        <v>-7.6190476190476197E-2</v>
      </c>
    </row>
    <row r="39" spans="1:10" ht="13.5" thickBot="1" x14ac:dyDescent="0.25">
      <c r="A39" s="47" t="s">
        <v>111</v>
      </c>
      <c r="B39" s="48"/>
      <c r="C39" s="49"/>
      <c r="D39" s="49">
        <f>SUM(D37:D38)</f>
        <v>9.6134371200000004</v>
      </c>
      <c r="E39" s="49"/>
      <c r="F39" s="49"/>
      <c r="G39" s="49">
        <f>SUM(G37:G38)</f>
        <v>9.8906371199999992</v>
      </c>
      <c r="H39" s="49">
        <f t="shared" si="2"/>
        <v>0.27719999999999878</v>
      </c>
      <c r="I39" s="50">
        <f t="shared" si="3"/>
        <v>2.8834640154176073E-2</v>
      </c>
      <c r="J39" s="51">
        <f t="shared" si="8"/>
        <v>1</v>
      </c>
    </row>
    <row r="40" spans="1:10" x14ac:dyDescent="0.2">
      <c r="A40" s="184"/>
      <c r="D40" s="71"/>
      <c r="F40" s="68"/>
    </row>
    <row r="41" spans="1:10" x14ac:dyDescent="0.2">
      <c r="A41" s="184"/>
      <c r="F41" s="68"/>
    </row>
    <row r="42" spans="1:10" x14ac:dyDescent="0.2">
      <c r="A42" s="185"/>
      <c r="B42" s="70"/>
      <c r="F42" s="68"/>
    </row>
    <row r="43" spans="1:10" x14ac:dyDescent="0.2">
      <c r="A43" s="184"/>
      <c r="B43" s="71"/>
      <c r="D43" s="71"/>
      <c r="F43" s="68"/>
    </row>
    <row r="44" spans="1:10" x14ac:dyDescent="0.2">
      <c r="A44" s="184"/>
      <c r="F44" s="68"/>
    </row>
    <row r="45" spans="1:10" x14ac:dyDescent="0.2">
      <c r="A45" s="184"/>
      <c r="F45" s="68"/>
    </row>
    <row r="46" spans="1:10" x14ac:dyDescent="0.2">
      <c r="A46" s="184"/>
      <c r="F46" s="68"/>
    </row>
    <row r="47" spans="1:10" x14ac:dyDescent="0.2">
      <c r="A47" s="184"/>
      <c r="F47" s="68"/>
    </row>
    <row r="48" spans="1:10" x14ac:dyDescent="0.2">
      <c r="A48" s="184"/>
      <c r="F48" s="68"/>
    </row>
    <row r="49" spans="1:6" x14ac:dyDescent="0.2">
      <c r="A49" s="184"/>
      <c r="F49" s="68"/>
    </row>
    <row r="50" spans="1:6" x14ac:dyDescent="0.2">
      <c r="A50" s="184"/>
      <c r="F50" s="68"/>
    </row>
    <row r="51" spans="1:6" x14ac:dyDescent="0.2">
      <c r="A51" s="184"/>
    </row>
    <row r="52" spans="1:6" x14ac:dyDescent="0.2">
      <c r="A52" s="184"/>
    </row>
    <row r="53" spans="1:6" x14ac:dyDescent="0.2">
      <c r="A53" s="184"/>
    </row>
    <row r="54" spans="1:6" x14ac:dyDescent="0.2">
      <c r="A54" s="184"/>
    </row>
  </sheetData>
  <mergeCells count="1">
    <mergeCell ref="A1:J1"/>
  </mergeCells>
  <pageMargins left="0.7" right="0.7" top="0.75" bottom="0.75" header="0.3" footer="0.3"/>
  <pageSetup scale="80"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Impacts'!$A$3:$A$11</xm:f>
          </x14:formula1>
          <xm:sqref>B3</xm:sqref>
        </x14:dataValidation>
      </x14:dataValidation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tabColor theme="1" tint="0.499984740745262"/>
    <pageSetUpPr fitToPage="1"/>
  </sheetPr>
  <dimension ref="A1:J54"/>
  <sheetViews>
    <sheetView tabSelected="1" zoomScaleNormal="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205" t="s">
        <v>127</v>
      </c>
      <c r="B1" s="206"/>
      <c r="C1" s="206"/>
      <c r="D1" s="206"/>
      <c r="E1" s="206"/>
      <c r="F1" s="206"/>
      <c r="G1" s="206"/>
      <c r="H1" s="206"/>
      <c r="I1" s="206"/>
      <c r="J1" s="207"/>
    </row>
    <row r="3" spans="1:10" x14ac:dyDescent="0.2">
      <c r="A3" s="12" t="s">
        <v>13</v>
      </c>
      <c r="B3" s="12" t="s">
        <v>9</v>
      </c>
    </row>
    <row r="4" spans="1:10" x14ac:dyDescent="0.2">
      <c r="A4" s="14" t="s">
        <v>62</v>
      </c>
      <c r="B4" s="78">
        <f>'Data for Bill Impacts_HONI Avg '!C10</f>
        <v>71</v>
      </c>
    </row>
    <row r="5" spans="1:10" x14ac:dyDescent="0.2">
      <c r="A5" s="14" t="s">
        <v>16</v>
      </c>
      <c r="B5" s="14">
        <f>VLOOKUP($B$3,'Data for Bill Impacts'!$A$3:$Y$15,5,0)</f>
        <v>0</v>
      </c>
    </row>
    <row r="6" spans="1:10" x14ac:dyDescent="0.2">
      <c r="A6" s="14" t="s">
        <v>20</v>
      </c>
      <c r="B6" s="14">
        <f>VLOOKUP($B$3,'Data for Bill Impacts'!$A$3:$Y$15,2,0)</f>
        <v>1.0920000000000001</v>
      </c>
    </row>
    <row r="7" spans="1:10" x14ac:dyDescent="0.2">
      <c r="A7" s="14" t="s">
        <v>15</v>
      </c>
      <c r="B7" s="14">
        <f>VLOOKUP($B$3,'Data for Bill Impacts'!$A$3:$Y$15,4,0)</f>
        <v>750</v>
      </c>
    </row>
    <row r="8" spans="1:10" x14ac:dyDescent="0.2">
      <c r="A8" s="14" t="s">
        <v>82</v>
      </c>
      <c r="B8" s="14">
        <f>B4*B6</f>
        <v>77.532000000000011</v>
      </c>
    </row>
    <row r="9" spans="1:10" x14ac:dyDescent="0.2">
      <c r="A9" s="14" t="s">
        <v>21</v>
      </c>
      <c r="B9" s="15" t="str">
        <f>VLOOKUP($B$3,'Data for Bill Impacts'!$A$3:$Y$15,6,0)</f>
        <v>kWh</v>
      </c>
    </row>
    <row r="10" spans="1:10" ht="13.5" thickBot="1" x14ac:dyDescent="0.25"/>
    <row r="11" spans="1:10" s="19" customFormat="1" ht="39" thickBot="1" x14ac:dyDescent="0.25">
      <c r="A11" s="16"/>
      <c r="B11" s="17" t="s">
        <v>22</v>
      </c>
      <c r="C11" s="17" t="s">
        <v>23</v>
      </c>
      <c r="D11" s="17" t="s">
        <v>24</v>
      </c>
      <c r="E11" s="17" t="s">
        <v>22</v>
      </c>
      <c r="F11" s="17" t="s">
        <v>25</v>
      </c>
      <c r="G11" s="17" t="s">
        <v>26</v>
      </c>
      <c r="H11" s="17" t="s">
        <v>27</v>
      </c>
      <c r="I11" s="17" t="s">
        <v>28</v>
      </c>
      <c r="J11" s="121" t="s">
        <v>29</v>
      </c>
    </row>
    <row r="12" spans="1:10" x14ac:dyDescent="0.2">
      <c r="A12" s="100" t="s">
        <v>31</v>
      </c>
      <c r="B12" s="101">
        <f>IF(B4&gt;B7,B7,B4)</f>
        <v>71</v>
      </c>
      <c r="C12" s="102">
        <v>9.0999999999999998E-2</v>
      </c>
      <c r="D12" s="103">
        <f>B12*C12</f>
        <v>6.4609999999999994</v>
      </c>
      <c r="E12" s="101">
        <f>B12</f>
        <v>71</v>
      </c>
      <c r="F12" s="102">
        <f>C12</f>
        <v>9.0999999999999998E-2</v>
      </c>
      <c r="G12" s="103">
        <f>E12*F12</f>
        <v>6.4609999999999994</v>
      </c>
      <c r="H12" s="103">
        <f>G12-D12</f>
        <v>0</v>
      </c>
      <c r="I12" s="104">
        <f>IF(ISERROR(H12/ABS(D12)),"N/A",(H12/ABS(D12)))</f>
        <v>0</v>
      </c>
      <c r="J12" s="122">
        <f t="shared" ref="J12:J39" si="0">G12/$G$39</f>
        <v>0.26848792679664052</v>
      </c>
    </row>
    <row r="13" spans="1:10" x14ac:dyDescent="0.2">
      <c r="A13" s="106" t="s">
        <v>32</v>
      </c>
      <c r="B13" s="72">
        <f>IF(B4&gt;B7,(B4)-B7,0)</f>
        <v>0</v>
      </c>
      <c r="C13" s="20">
        <v>0.106</v>
      </c>
      <c r="D13" s="21">
        <f>B13*C13</f>
        <v>0</v>
      </c>
      <c r="E13" s="72">
        <f t="shared" ref="E13" si="1">B13</f>
        <v>0</v>
      </c>
      <c r="F13" s="20">
        <f>C13</f>
        <v>0.106</v>
      </c>
      <c r="G13" s="21">
        <f>E13*F13</f>
        <v>0</v>
      </c>
      <c r="H13" s="21">
        <f t="shared" ref="H13:H39" si="2">G13-D13</f>
        <v>0</v>
      </c>
      <c r="I13" s="22" t="str">
        <f t="shared" ref="I13:I39" si="3">IF(ISERROR(H13/ABS(D13)),"N/A",(H13/ABS(D13)))</f>
        <v>N/A</v>
      </c>
      <c r="J13" s="123">
        <f t="shared" si="0"/>
        <v>0</v>
      </c>
    </row>
    <row r="14" spans="1:10" s="1" customFormat="1" x14ac:dyDescent="0.2">
      <c r="A14" s="45" t="s">
        <v>33</v>
      </c>
      <c r="B14" s="23"/>
      <c r="C14" s="24"/>
      <c r="D14" s="24">
        <f>SUM(D12:D13)</f>
        <v>6.4609999999999994</v>
      </c>
      <c r="E14" s="75"/>
      <c r="F14" s="24"/>
      <c r="G14" s="24">
        <f>SUM(G12:G13)</f>
        <v>6.4609999999999994</v>
      </c>
      <c r="H14" s="24">
        <f t="shared" si="2"/>
        <v>0</v>
      </c>
      <c r="I14" s="26">
        <f t="shared" si="3"/>
        <v>0</v>
      </c>
      <c r="J14" s="46">
        <f t="shared" si="0"/>
        <v>0.26848792679664052</v>
      </c>
    </row>
    <row r="15" spans="1:10" x14ac:dyDescent="0.2">
      <c r="A15" s="106" t="s">
        <v>38</v>
      </c>
      <c r="B15" s="72">
        <v>1</v>
      </c>
      <c r="C15" s="77">
        <f>VLOOKUP($B$3,'Data for Bill Impacts'!$A$3:$Y$15,7,0)</f>
        <v>3.72</v>
      </c>
      <c r="D15" s="21">
        <f>B15*C15</f>
        <v>3.72</v>
      </c>
      <c r="E15" s="72">
        <f t="shared" ref="E15:E34" si="4">B15</f>
        <v>1</v>
      </c>
      <c r="F15" s="77">
        <f>VLOOKUP($B$3,'Data for Bill Impacts'!$A$3:$Y$15,17,0)</f>
        <v>3.87</v>
      </c>
      <c r="G15" s="21">
        <f>E15*F15</f>
        <v>3.87</v>
      </c>
      <c r="H15" s="21">
        <f t="shared" si="2"/>
        <v>0.14999999999999991</v>
      </c>
      <c r="I15" s="22">
        <f t="shared" si="3"/>
        <v>4.0322580645161261E-2</v>
      </c>
      <c r="J15" s="123">
        <f t="shared" si="0"/>
        <v>0.16081849198312939</v>
      </c>
    </row>
    <row r="16" spans="1:10" hidden="1" x14ac:dyDescent="0.2">
      <c r="A16" s="106" t="s">
        <v>88</v>
      </c>
      <c r="B16" s="72">
        <v>1</v>
      </c>
      <c r="C16" s="77">
        <v>0</v>
      </c>
      <c r="D16" s="21">
        <f>B16*C16</f>
        <v>0</v>
      </c>
      <c r="E16" s="72">
        <f t="shared" si="4"/>
        <v>1</v>
      </c>
      <c r="F16" s="77">
        <v>0</v>
      </c>
      <c r="G16" s="21">
        <f t="shared" ref="G16:G18" si="5">E16*F16</f>
        <v>0</v>
      </c>
      <c r="H16" s="21">
        <f t="shared" si="2"/>
        <v>0</v>
      </c>
      <c r="I16" s="22" t="str">
        <f t="shared" si="3"/>
        <v>N/A</v>
      </c>
      <c r="J16" s="123">
        <f t="shared" si="0"/>
        <v>0</v>
      </c>
    </row>
    <row r="17" spans="1:10" hidden="1" x14ac:dyDescent="0.2">
      <c r="A17" s="106" t="s">
        <v>84</v>
      </c>
      <c r="B17" s="72">
        <v>1</v>
      </c>
      <c r="C17" s="77">
        <v>0</v>
      </c>
      <c r="D17" s="21">
        <f t="shared" ref="D17:D18" si="6">B17*C17</f>
        <v>0</v>
      </c>
      <c r="E17" s="72">
        <f t="shared" si="4"/>
        <v>1</v>
      </c>
      <c r="F17" s="77">
        <v>0</v>
      </c>
      <c r="G17" s="21">
        <f t="shared" si="5"/>
        <v>0</v>
      </c>
      <c r="H17" s="21">
        <f t="shared" si="2"/>
        <v>0</v>
      </c>
      <c r="I17" s="22" t="str">
        <f t="shared" si="3"/>
        <v>N/A</v>
      </c>
      <c r="J17" s="123">
        <f t="shared" si="0"/>
        <v>0</v>
      </c>
    </row>
    <row r="18" spans="1:10" x14ac:dyDescent="0.2">
      <c r="A18" s="106" t="s">
        <v>85</v>
      </c>
      <c r="B18" s="72">
        <v>1</v>
      </c>
      <c r="C18" s="120">
        <f>VLOOKUP($B$3,'Data for Bill Impacts'!$A$3:$Y$15,13,0)</f>
        <v>6.0000000000000001E-3</v>
      </c>
      <c r="D18" s="21">
        <f t="shared" si="6"/>
        <v>6.0000000000000001E-3</v>
      </c>
      <c r="E18" s="72">
        <f t="shared" si="4"/>
        <v>1</v>
      </c>
      <c r="F18" s="120">
        <f>VLOOKUP($B$3,'Data for Bill Impacts'!$A$3:$Y$15,22,0)</f>
        <v>6.0000000000000001E-3</v>
      </c>
      <c r="G18" s="21">
        <f t="shared" si="5"/>
        <v>6.0000000000000001E-3</v>
      </c>
      <c r="H18" s="21">
        <f t="shared" si="2"/>
        <v>0</v>
      </c>
      <c r="I18" s="22">
        <f t="shared" si="3"/>
        <v>0</v>
      </c>
      <c r="J18" s="123">
        <f t="shared" si="0"/>
        <v>2.4933099532268123E-4</v>
      </c>
    </row>
    <row r="19" spans="1:10" x14ac:dyDescent="0.2">
      <c r="A19" s="106" t="s">
        <v>39</v>
      </c>
      <c r="B19" s="72">
        <f>IF($B$9="kWh",$B$4,$B$5)</f>
        <v>71</v>
      </c>
      <c r="C19" s="124">
        <f>VLOOKUP($B$3,'Data for Bill Impacts'!$A$3:$Y$15,10,0)</f>
        <v>0.13830000000000001</v>
      </c>
      <c r="D19" s="21">
        <f>B19*C19</f>
        <v>9.8193000000000001</v>
      </c>
      <c r="E19" s="72">
        <f t="shared" si="4"/>
        <v>71</v>
      </c>
      <c r="F19" s="124">
        <f>VLOOKUP($B$3,'Data for Bill Impacts'!$A$3:$Y$15,19,0)</f>
        <v>0.14399999999999999</v>
      </c>
      <c r="G19" s="21">
        <f>E19*F19</f>
        <v>10.223999999999998</v>
      </c>
      <c r="H19" s="21">
        <f t="shared" si="2"/>
        <v>0.40469999999999828</v>
      </c>
      <c r="I19" s="22">
        <f t="shared" si="3"/>
        <v>4.1214750542299172E-2</v>
      </c>
      <c r="J19" s="123">
        <f t="shared" si="0"/>
        <v>0.42486001602984874</v>
      </c>
    </row>
    <row r="20" spans="1:10" s="1" customFormat="1" x14ac:dyDescent="0.2">
      <c r="A20" s="106" t="s">
        <v>129</v>
      </c>
      <c r="B20" s="72">
        <f>IF($B$9="kWh",$B$4,$B$5)</f>
        <v>71</v>
      </c>
      <c r="C20" s="187">
        <f>VLOOKUP($B$3,'Data for Bill Impacts'!$A$3:$Y$15,14,0)</f>
        <v>-6.0000000000000002E-5</v>
      </c>
      <c r="D20" s="21">
        <f>B20*C20</f>
        <v>-4.2599999999999999E-3</v>
      </c>
      <c r="E20" s="72">
        <f>B20</f>
        <v>71</v>
      </c>
      <c r="F20" s="187">
        <f>VLOOKUP($B$3,'Data for Bill Impacts'!$A$3:$Y$15,23,0)</f>
        <v>-6.0000000000000002E-5</v>
      </c>
      <c r="G20" s="21">
        <f>E20*F20</f>
        <v>-4.2599999999999999E-3</v>
      </c>
      <c r="H20" s="21">
        <f>G20-D20</f>
        <v>0</v>
      </c>
      <c r="I20" s="22">
        <f t="shared" si="3"/>
        <v>0</v>
      </c>
      <c r="J20" s="123">
        <f t="shared" si="0"/>
        <v>-1.7702500667910367E-4</v>
      </c>
    </row>
    <row r="21" spans="1:10" hidden="1" x14ac:dyDescent="0.2">
      <c r="A21" s="106" t="s">
        <v>86</v>
      </c>
      <c r="B21" s="72">
        <f>IF($B$9="kWh",$B$4,$B$5)</f>
        <v>71</v>
      </c>
      <c r="C21" s="124">
        <v>0</v>
      </c>
      <c r="D21" s="21">
        <f>B21*C21</f>
        <v>0</v>
      </c>
      <c r="E21" s="72">
        <f t="shared" si="4"/>
        <v>71</v>
      </c>
      <c r="F21" s="77">
        <v>0</v>
      </c>
      <c r="G21" s="21">
        <f>E21*F21</f>
        <v>0</v>
      </c>
      <c r="H21" s="21">
        <f t="shared" si="2"/>
        <v>0</v>
      </c>
      <c r="I21" s="22" t="str">
        <f t="shared" si="3"/>
        <v>N/A</v>
      </c>
      <c r="J21" s="123">
        <f t="shared" si="0"/>
        <v>0</v>
      </c>
    </row>
    <row r="22" spans="1:10" x14ac:dyDescent="0.2">
      <c r="A22" s="109" t="s">
        <v>72</v>
      </c>
      <c r="B22" s="73"/>
      <c r="C22" s="34"/>
      <c r="D22" s="34">
        <f>SUM(D15:D21)</f>
        <v>13.541040000000001</v>
      </c>
      <c r="E22" s="72"/>
      <c r="F22" s="34"/>
      <c r="G22" s="34">
        <f>SUM(G15:G21)</f>
        <v>14.095739999999997</v>
      </c>
      <c r="H22" s="34">
        <f t="shared" si="2"/>
        <v>0.55469999999999686</v>
      </c>
      <c r="I22" s="35">
        <f t="shared" si="3"/>
        <v>4.0964357242870328E-2</v>
      </c>
      <c r="J22" s="110">
        <f t="shared" si="0"/>
        <v>0.58575081400162166</v>
      </c>
    </row>
    <row r="23" spans="1:10" s="1" customFormat="1" x14ac:dyDescent="0.2">
      <c r="A23" s="118" t="s">
        <v>81</v>
      </c>
      <c r="B23" s="119">
        <f>B8-B4</f>
        <v>6.5320000000000107</v>
      </c>
      <c r="C23" s="186">
        <f>IF(B4&gt;B7,C13,C12)</f>
        <v>9.0999999999999998E-2</v>
      </c>
      <c r="D23" s="21">
        <f>B23*C23</f>
        <v>0.59441200000000094</v>
      </c>
      <c r="E23" s="72">
        <f>B23</f>
        <v>6.5320000000000107</v>
      </c>
      <c r="F23" s="186">
        <f>C23</f>
        <v>9.0999999999999998E-2</v>
      </c>
      <c r="G23" s="21">
        <f>E23*F23</f>
        <v>0.59441200000000094</v>
      </c>
      <c r="H23" s="21">
        <f t="shared" si="2"/>
        <v>0</v>
      </c>
      <c r="I23" s="22">
        <f t="shared" si="3"/>
        <v>0</v>
      </c>
      <c r="J23" s="123">
        <f t="shared" si="0"/>
        <v>2.470088926529097E-2</v>
      </c>
    </row>
    <row r="24" spans="1:10" x14ac:dyDescent="0.2">
      <c r="A24" s="109" t="s">
        <v>79</v>
      </c>
      <c r="B24" s="73"/>
      <c r="C24" s="34"/>
      <c r="D24" s="34">
        <f>SUM(D22,D23:D23)</f>
        <v>14.135452000000001</v>
      </c>
      <c r="E24" s="72"/>
      <c r="F24" s="34"/>
      <c r="G24" s="34">
        <f>SUM(G22,G23:G23)</f>
        <v>14.690151999999998</v>
      </c>
      <c r="H24" s="34">
        <f t="shared" si="2"/>
        <v>0.55469999999999686</v>
      </c>
      <c r="I24" s="35">
        <f t="shared" si="3"/>
        <v>3.9241758947644326E-2</v>
      </c>
      <c r="J24" s="110">
        <f t="shared" si="0"/>
        <v>0.61045170326691256</v>
      </c>
    </row>
    <row r="25" spans="1:10" x14ac:dyDescent="0.2">
      <c r="A25" s="106" t="s">
        <v>40</v>
      </c>
      <c r="B25" s="72">
        <f>B8</f>
        <v>77.532000000000011</v>
      </c>
      <c r="C25" s="124">
        <f>VLOOKUP($B$3,'Data for Bill Impacts'!$A$3:$Y$15,15,0)</f>
        <v>3.836E-3</v>
      </c>
      <c r="D25" s="21">
        <f>B25*C25</f>
        <v>0.29741275200000006</v>
      </c>
      <c r="E25" s="72">
        <f t="shared" si="4"/>
        <v>77.532000000000011</v>
      </c>
      <c r="F25" s="77">
        <f>VLOOKUP($B$3,'Data for Bill Impacts'!$A$3:$Y$15,24,0)</f>
        <v>3.836E-3</v>
      </c>
      <c r="G25" s="21">
        <f>E25*F25</f>
        <v>0.29741275200000006</v>
      </c>
      <c r="H25" s="21">
        <f t="shared" si="2"/>
        <v>0</v>
      </c>
      <c r="I25" s="22">
        <f t="shared" si="3"/>
        <v>0</v>
      </c>
      <c r="J25" s="123">
        <f t="shared" si="0"/>
        <v>1.2359036246302961E-2</v>
      </c>
    </row>
    <row r="26" spans="1:10" s="1" customFormat="1" x14ac:dyDescent="0.2">
      <c r="A26" s="106" t="s">
        <v>41</v>
      </c>
      <c r="B26" s="72">
        <f>B8</f>
        <v>77.532000000000011</v>
      </c>
      <c r="C26" s="124">
        <f>VLOOKUP($B$3,'Data for Bill Impacts'!$A$3:$Y$15,16,0)</f>
        <v>3.6240000000000001E-3</v>
      </c>
      <c r="D26" s="21">
        <f>B26*C26</f>
        <v>0.28097596800000002</v>
      </c>
      <c r="E26" s="72">
        <f t="shared" si="4"/>
        <v>77.532000000000011</v>
      </c>
      <c r="F26" s="77">
        <f>VLOOKUP($B$3,'Data for Bill Impacts'!$A$3:$Y$15,25,0)</f>
        <v>3.6240000000000001E-3</v>
      </c>
      <c r="G26" s="21">
        <f>E26*F26</f>
        <v>0.28097596800000002</v>
      </c>
      <c r="H26" s="21">
        <f t="shared" si="2"/>
        <v>0</v>
      </c>
      <c r="I26" s="22">
        <f t="shared" si="3"/>
        <v>0</v>
      </c>
      <c r="J26" s="123">
        <f t="shared" si="0"/>
        <v>1.1676002960532306E-2</v>
      </c>
    </row>
    <row r="27" spans="1:10" s="1" customFormat="1" x14ac:dyDescent="0.2">
      <c r="A27" s="109" t="s">
        <v>76</v>
      </c>
      <c r="B27" s="73"/>
      <c r="C27" s="34"/>
      <c r="D27" s="34">
        <f>SUM(D25:D26)</f>
        <v>0.57838872000000008</v>
      </c>
      <c r="E27" s="72"/>
      <c r="F27" s="34"/>
      <c r="G27" s="34">
        <f>SUM(G25:G26)</f>
        <v>0.57838872000000008</v>
      </c>
      <c r="H27" s="34">
        <f t="shared" si="2"/>
        <v>0</v>
      </c>
      <c r="I27" s="35">
        <f t="shared" si="3"/>
        <v>0</v>
      </c>
      <c r="J27" s="110">
        <f t="shared" si="0"/>
        <v>2.4035039206835265E-2</v>
      </c>
    </row>
    <row r="28" spans="1:10" s="1" customFormat="1" x14ac:dyDescent="0.2">
      <c r="A28" s="109" t="s">
        <v>80</v>
      </c>
      <c r="B28" s="73"/>
      <c r="C28" s="34"/>
      <c r="D28" s="34">
        <f>D24+D27</f>
        <v>14.71384072</v>
      </c>
      <c r="E28" s="72"/>
      <c r="F28" s="34"/>
      <c r="G28" s="34">
        <f>G24+G27</f>
        <v>15.268540719999997</v>
      </c>
      <c r="H28" s="34">
        <f t="shared" si="2"/>
        <v>0.55469999999999686</v>
      </c>
      <c r="I28" s="35">
        <f t="shared" si="3"/>
        <v>3.769919836402829E-2</v>
      </c>
      <c r="J28" s="110">
        <f t="shared" si="0"/>
        <v>0.63448674247374781</v>
      </c>
    </row>
    <row r="29" spans="1:10" x14ac:dyDescent="0.2">
      <c r="A29" s="106" t="s">
        <v>42</v>
      </c>
      <c r="B29" s="72">
        <f>B8</f>
        <v>77.532000000000011</v>
      </c>
      <c r="C29" s="33">
        <v>3.5999999999999999E-3</v>
      </c>
      <c r="D29" s="21">
        <f>B29*C29</f>
        <v>0.27911520000000001</v>
      </c>
      <c r="E29" s="72">
        <f t="shared" si="4"/>
        <v>77.532000000000011</v>
      </c>
      <c r="F29" s="33">
        <v>3.5999999999999999E-3</v>
      </c>
      <c r="G29" s="21">
        <f>E29*F29</f>
        <v>0.27911520000000001</v>
      </c>
      <c r="H29" s="21">
        <f t="shared" si="2"/>
        <v>0</v>
      </c>
      <c r="I29" s="22">
        <f t="shared" si="3"/>
        <v>0</v>
      </c>
      <c r="J29" s="123">
        <f t="shared" si="0"/>
        <v>1.1598678437614873E-2</v>
      </c>
    </row>
    <row r="30" spans="1:10" s="1" customFormat="1" x14ac:dyDescent="0.2">
      <c r="A30" s="106" t="s">
        <v>43</v>
      </c>
      <c r="B30" s="72">
        <f>B8</f>
        <v>77.532000000000011</v>
      </c>
      <c r="C30" s="33">
        <v>2.0999999999999999E-3</v>
      </c>
      <c r="D30" s="21">
        <f>B30*C30</f>
        <v>0.16281720000000002</v>
      </c>
      <c r="E30" s="72">
        <f t="shared" si="4"/>
        <v>77.532000000000011</v>
      </c>
      <c r="F30" s="33">
        <v>2.0999999999999999E-3</v>
      </c>
      <c r="G30" s="21">
        <f>E30*F30</f>
        <v>0.16281720000000002</v>
      </c>
      <c r="H30" s="21">
        <f>G30-D30</f>
        <v>0</v>
      </c>
      <c r="I30" s="22">
        <f t="shared" si="3"/>
        <v>0</v>
      </c>
      <c r="J30" s="123">
        <f t="shared" si="0"/>
        <v>6.7658957552753432E-3</v>
      </c>
    </row>
    <row r="31" spans="1:10" s="1" customFormat="1" x14ac:dyDescent="0.2">
      <c r="A31" s="106" t="s">
        <v>99</v>
      </c>
      <c r="B31" s="72">
        <f>B8</f>
        <v>77.532000000000011</v>
      </c>
      <c r="C31" s="33">
        <v>0</v>
      </c>
      <c r="D31" s="21">
        <f>B31*C31</f>
        <v>0</v>
      </c>
      <c r="E31" s="72">
        <f t="shared" si="4"/>
        <v>77.532000000000011</v>
      </c>
      <c r="F31" s="33">
        <v>0</v>
      </c>
      <c r="G31" s="21">
        <f>E31*F31</f>
        <v>0</v>
      </c>
      <c r="H31" s="21">
        <f>G31-D31</f>
        <v>0</v>
      </c>
      <c r="I31" s="22" t="str">
        <f t="shared" si="3"/>
        <v>N/A</v>
      </c>
      <c r="J31" s="123">
        <f t="shared" si="0"/>
        <v>0</v>
      </c>
    </row>
    <row r="32" spans="1:10" x14ac:dyDescent="0.2">
      <c r="A32" s="106" t="s">
        <v>44</v>
      </c>
      <c r="B32" s="72">
        <v>1</v>
      </c>
      <c r="C32" s="21">
        <v>0.25</v>
      </c>
      <c r="D32" s="21">
        <f>B32*C32</f>
        <v>0.25</v>
      </c>
      <c r="E32" s="72">
        <f t="shared" si="4"/>
        <v>1</v>
      </c>
      <c r="F32" s="21">
        <f>C32</f>
        <v>0.25</v>
      </c>
      <c r="G32" s="21">
        <f>E32*F32</f>
        <v>0.25</v>
      </c>
      <c r="H32" s="21">
        <f t="shared" si="2"/>
        <v>0</v>
      </c>
      <c r="I32" s="22">
        <f t="shared" si="3"/>
        <v>0</v>
      </c>
      <c r="J32" s="123">
        <f t="shared" si="0"/>
        <v>1.0388791471778385E-2</v>
      </c>
    </row>
    <row r="33" spans="1:10" s="1" customFormat="1" x14ac:dyDescent="0.2">
      <c r="A33" s="109" t="s">
        <v>45</v>
      </c>
      <c r="B33" s="73"/>
      <c r="C33" s="34"/>
      <c r="D33" s="34">
        <f>SUM(D29:D32)</f>
        <v>0.6919324</v>
      </c>
      <c r="E33" s="72"/>
      <c r="F33" s="34"/>
      <c r="G33" s="34">
        <f>SUM(G29:G32)</f>
        <v>0.6919324</v>
      </c>
      <c r="H33" s="34">
        <f t="shared" si="2"/>
        <v>0</v>
      </c>
      <c r="I33" s="35">
        <f t="shared" si="3"/>
        <v>0</v>
      </c>
      <c r="J33" s="110">
        <f t="shared" si="0"/>
        <v>2.8753365664668601E-2</v>
      </c>
    </row>
    <row r="34" spans="1:10" ht="13.5" thickBot="1" x14ac:dyDescent="0.25">
      <c r="A34" s="111" t="s">
        <v>46</v>
      </c>
      <c r="B34" s="112">
        <f>B4</f>
        <v>71</v>
      </c>
      <c r="C34" s="113">
        <v>7.0000000000000001E-3</v>
      </c>
      <c r="D34" s="114">
        <f>B34*C34</f>
        <v>0.497</v>
      </c>
      <c r="E34" s="115">
        <f t="shared" si="4"/>
        <v>71</v>
      </c>
      <c r="F34" s="113">
        <f>C34</f>
        <v>7.0000000000000001E-3</v>
      </c>
      <c r="G34" s="114">
        <f>E34*F34</f>
        <v>0.497</v>
      </c>
      <c r="H34" s="114">
        <f t="shared" si="2"/>
        <v>0</v>
      </c>
      <c r="I34" s="116">
        <f t="shared" si="3"/>
        <v>0</v>
      </c>
      <c r="J34" s="117">
        <f t="shared" si="0"/>
        <v>2.0652917445895428E-2</v>
      </c>
    </row>
    <row r="35" spans="1:10" x14ac:dyDescent="0.2">
      <c r="A35" s="36" t="s">
        <v>116</v>
      </c>
      <c r="B35" s="37"/>
      <c r="C35" s="38"/>
      <c r="D35" s="38">
        <f>SUM(D14,D24,D27,D33,D34)</f>
        <v>22.363773119999998</v>
      </c>
      <c r="E35" s="37"/>
      <c r="F35" s="38"/>
      <c r="G35" s="38">
        <f>SUM(G14,G24,G27,G33,G34)</f>
        <v>22.918473119999994</v>
      </c>
      <c r="H35" s="38">
        <f t="shared" si="2"/>
        <v>0.55469999999999686</v>
      </c>
      <c r="I35" s="39">
        <f t="shared" si="3"/>
        <v>2.4803506860115961E-2</v>
      </c>
      <c r="J35" s="40">
        <f t="shared" si="0"/>
        <v>0.95238095238095233</v>
      </c>
    </row>
    <row r="36" spans="1:10" x14ac:dyDescent="0.2">
      <c r="A36" s="45" t="s">
        <v>108</v>
      </c>
      <c r="B36" s="42"/>
      <c r="C36" s="25">
        <v>0.13</v>
      </c>
      <c r="D36" s="25">
        <f>D35*C36</f>
        <v>2.9072905055999998</v>
      </c>
      <c r="E36" s="25"/>
      <c r="F36" s="25">
        <f>C36</f>
        <v>0.13</v>
      </c>
      <c r="G36" s="25">
        <f>G35*F36</f>
        <v>2.9794015055999994</v>
      </c>
      <c r="H36" s="25">
        <f t="shared" si="2"/>
        <v>7.2110999999999592E-2</v>
      </c>
      <c r="I36" s="43">
        <f t="shared" si="3"/>
        <v>2.4803506860115961E-2</v>
      </c>
      <c r="J36" s="44">
        <f t="shared" si="0"/>
        <v>0.12380952380952381</v>
      </c>
    </row>
    <row r="37" spans="1:10" x14ac:dyDescent="0.2">
      <c r="A37" s="45" t="s">
        <v>109</v>
      </c>
      <c r="B37" s="23"/>
      <c r="C37" s="24"/>
      <c r="D37" s="24">
        <f>SUM(D35:D36)</f>
        <v>25.271063625599997</v>
      </c>
      <c r="E37" s="24"/>
      <c r="F37" s="24"/>
      <c r="G37" s="24">
        <f>SUM(G35:G36)</f>
        <v>25.897874625599993</v>
      </c>
      <c r="H37" s="24">
        <f t="shared" si="2"/>
        <v>0.62681099999999645</v>
      </c>
      <c r="I37" s="26">
        <f t="shared" si="3"/>
        <v>2.4803506860115961E-2</v>
      </c>
      <c r="J37" s="46">
        <f t="shared" si="0"/>
        <v>1.0761904761904761</v>
      </c>
    </row>
    <row r="38" spans="1:10" x14ac:dyDescent="0.2">
      <c r="A38" s="45" t="s">
        <v>110</v>
      </c>
      <c r="B38" s="42"/>
      <c r="C38" s="25">
        <v>-0.08</v>
      </c>
      <c r="D38" s="25">
        <f>D35*C38</f>
        <v>-1.7891018495999997</v>
      </c>
      <c r="E38" s="25"/>
      <c r="F38" s="25">
        <f>C38</f>
        <v>-0.08</v>
      </c>
      <c r="G38" s="25">
        <f>G35*F38</f>
        <v>-1.8334778495999995</v>
      </c>
      <c r="H38" s="25">
        <f t="shared" si="2"/>
        <v>-4.4375999999999749E-2</v>
      </c>
      <c r="I38" s="43">
        <f t="shared" si="3"/>
        <v>-2.4803506860115961E-2</v>
      </c>
      <c r="J38" s="44">
        <f t="shared" si="0"/>
        <v>-7.6190476190476183E-2</v>
      </c>
    </row>
    <row r="39" spans="1:10" ht="13.5" thickBot="1" x14ac:dyDescent="0.25">
      <c r="A39" s="47" t="s">
        <v>111</v>
      </c>
      <c r="B39" s="48"/>
      <c r="C39" s="49"/>
      <c r="D39" s="49">
        <f>SUM(D37:D38)</f>
        <v>23.481961775999999</v>
      </c>
      <c r="E39" s="49"/>
      <c r="F39" s="49"/>
      <c r="G39" s="49">
        <f>SUM(G37:G38)</f>
        <v>24.064396775999995</v>
      </c>
      <c r="H39" s="49">
        <f t="shared" si="2"/>
        <v>0.58243499999999671</v>
      </c>
      <c r="I39" s="50">
        <f t="shared" si="3"/>
        <v>2.4803506860115961E-2</v>
      </c>
      <c r="J39" s="51">
        <f t="shared" si="0"/>
        <v>1</v>
      </c>
    </row>
    <row r="40" spans="1:10" x14ac:dyDescent="0.2">
      <c r="A40" s="184"/>
      <c r="D40" s="71"/>
      <c r="F40" s="68"/>
    </row>
    <row r="41" spans="1:10" x14ac:dyDescent="0.2">
      <c r="A41" s="184"/>
      <c r="F41" s="68"/>
    </row>
    <row r="42" spans="1:10" x14ac:dyDescent="0.2">
      <c r="A42" s="185"/>
      <c r="B42" s="70"/>
      <c r="F42" s="68"/>
    </row>
    <row r="43" spans="1:10" x14ac:dyDescent="0.2">
      <c r="A43" s="184"/>
      <c r="B43" s="71"/>
      <c r="D43" s="71"/>
      <c r="F43" s="68"/>
    </row>
    <row r="44" spans="1:10" x14ac:dyDescent="0.2">
      <c r="A44" s="184"/>
      <c r="F44" s="68"/>
    </row>
    <row r="45" spans="1:10" x14ac:dyDescent="0.2">
      <c r="A45" s="184"/>
      <c r="F45" s="68"/>
    </row>
    <row r="46" spans="1:10" x14ac:dyDescent="0.2">
      <c r="A46" s="184"/>
      <c r="F46" s="68"/>
    </row>
    <row r="47" spans="1:10" x14ac:dyDescent="0.2">
      <c r="A47" s="184"/>
      <c r="F47" s="68"/>
    </row>
    <row r="48" spans="1:10" x14ac:dyDescent="0.2">
      <c r="A48" s="184"/>
      <c r="F48" s="68"/>
    </row>
    <row r="49" spans="1:6" x14ac:dyDescent="0.2">
      <c r="A49" s="184"/>
      <c r="F49" s="68"/>
    </row>
    <row r="50" spans="1:6" x14ac:dyDescent="0.2">
      <c r="A50" s="184"/>
      <c r="F50" s="68"/>
    </row>
    <row r="51" spans="1:6" x14ac:dyDescent="0.2">
      <c r="A51" s="184"/>
    </row>
    <row r="52" spans="1:6" x14ac:dyDescent="0.2">
      <c r="A52" s="184"/>
    </row>
    <row r="53" spans="1:6" x14ac:dyDescent="0.2">
      <c r="A53" s="184"/>
    </row>
    <row r="54" spans="1:6" x14ac:dyDescent="0.2">
      <c r="A54" s="184"/>
    </row>
  </sheetData>
  <mergeCells count="1">
    <mergeCell ref="A1:J1"/>
  </mergeCells>
  <pageMargins left="0.7" right="0.7" top="0.75" bottom="0.75" header="0.3" footer="0.3"/>
  <pageSetup scale="8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tabColor theme="1" tint="0.499984740745262"/>
    <pageSetUpPr fitToPage="1"/>
  </sheetPr>
  <dimension ref="A1:J54"/>
  <sheetViews>
    <sheetView tabSelected="1" topLeftCell="A22"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205" t="s">
        <v>128</v>
      </c>
      <c r="B1" s="206"/>
      <c r="C1" s="206"/>
      <c r="D1" s="206"/>
      <c r="E1" s="206"/>
      <c r="F1" s="206"/>
      <c r="G1" s="206"/>
      <c r="H1" s="206"/>
      <c r="I1" s="206"/>
      <c r="J1" s="207"/>
    </row>
    <row r="3" spans="1:10" x14ac:dyDescent="0.2">
      <c r="A3" s="12" t="s">
        <v>13</v>
      </c>
      <c r="B3" s="12" t="s">
        <v>9</v>
      </c>
    </row>
    <row r="4" spans="1:10" x14ac:dyDescent="0.2">
      <c r="A4" s="14" t="s">
        <v>62</v>
      </c>
      <c r="B4" s="14">
        <v>200</v>
      </c>
    </row>
    <row r="5" spans="1:10" x14ac:dyDescent="0.2">
      <c r="A5" s="14" t="s">
        <v>16</v>
      </c>
      <c r="B5" s="14">
        <f>VLOOKUP($B$3,'Data for Bill Impacts'!$A$3:$Y$15,5,0)</f>
        <v>0</v>
      </c>
    </row>
    <row r="6" spans="1:10" x14ac:dyDescent="0.2">
      <c r="A6" s="14" t="s">
        <v>20</v>
      </c>
      <c r="B6" s="14">
        <f>VLOOKUP($B$3,'Data for Bill Impacts'!$A$3:$Y$15,2,0)</f>
        <v>1.0920000000000001</v>
      </c>
    </row>
    <row r="7" spans="1:10" x14ac:dyDescent="0.2">
      <c r="A7" s="14" t="s">
        <v>15</v>
      </c>
      <c r="B7" s="14">
        <f>VLOOKUP($B$3,'Data for Bill Impacts'!$A$3:$Y$15,4,0)</f>
        <v>750</v>
      </c>
    </row>
    <row r="8" spans="1:10" x14ac:dyDescent="0.2">
      <c r="A8" s="14" t="s">
        <v>82</v>
      </c>
      <c r="B8" s="14">
        <f>B4*B6</f>
        <v>218.4</v>
      </c>
    </row>
    <row r="9" spans="1:10" x14ac:dyDescent="0.2">
      <c r="A9" s="14" t="s">
        <v>21</v>
      </c>
      <c r="B9" s="15" t="str">
        <f>VLOOKUP($B$3,'Data for Bill Impacts'!$A$3:$Y$15,6,0)</f>
        <v>kWh</v>
      </c>
    </row>
    <row r="10" spans="1:10" ht="13.5" thickBot="1" x14ac:dyDescent="0.25"/>
    <row r="11" spans="1:10" s="19" customFormat="1" ht="39" thickBot="1" x14ac:dyDescent="0.25">
      <c r="A11" s="16"/>
      <c r="B11" s="17" t="s">
        <v>22</v>
      </c>
      <c r="C11" s="17" t="s">
        <v>23</v>
      </c>
      <c r="D11" s="17" t="s">
        <v>24</v>
      </c>
      <c r="E11" s="17" t="s">
        <v>22</v>
      </c>
      <c r="F11" s="17" t="s">
        <v>25</v>
      </c>
      <c r="G11" s="17" t="s">
        <v>26</v>
      </c>
      <c r="H11" s="17" t="s">
        <v>27</v>
      </c>
      <c r="I11" s="17" t="s">
        <v>28</v>
      </c>
      <c r="J11" s="121" t="s">
        <v>29</v>
      </c>
    </row>
    <row r="12" spans="1:10" x14ac:dyDescent="0.2">
      <c r="A12" s="100" t="s">
        <v>31</v>
      </c>
      <c r="B12" s="101">
        <f>IF(B4&gt;B7,B7,B4)</f>
        <v>200</v>
      </c>
      <c r="C12" s="102">
        <v>9.0999999999999998E-2</v>
      </c>
      <c r="D12" s="103">
        <f>B12*C12</f>
        <v>18.2</v>
      </c>
      <c r="E12" s="101">
        <f>B12</f>
        <v>200</v>
      </c>
      <c r="F12" s="102">
        <f>C12</f>
        <v>9.0999999999999998E-2</v>
      </c>
      <c r="G12" s="103">
        <f>E12*F12</f>
        <v>18.2</v>
      </c>
      <c r="H12" s="103">
        <f>G12-D12</f>
        <v>0</v>
      </c>
      <c r="I12" s="104">
        <f>IF(ISERROR(H12/ABS(D12)),"N/A",(H12/ABS(D12)))</f>
        <v>0</v>
      </c>
      <c r="J12" s="122">
        <f t="shared" ref="J12:J30" si="0">G12/$G$39</f>
        <v>0.30376026230680031</v>
      </c>
    </row>
    <row r="13" spans="1:10" x14ac:dyDescent="0.2">
      <c r="A13" s="106" t="s">
        <v>32</v>
      </c>
      <c r="B13" s="72">
        <f>IF(B4&gt;B7,(B4)-B7,0)</f>
        <v>0</v>
      </c>
      <c r="C13" s="20">
        <v>0.106</v>
      </c>
      <c r="D13" s="21">
        <f>B13*C13</f>
        <v>0</v>
      </c>
      <c r="E13" s="72">
        <f t="shared" ref="E13" si="1">B13</f>
        <v>0</v>
      </c>
      <c r="F13" s="20">
        <f>C13</f>
        <v>0.106</v>
      </c>
      <c r="G13" s="21">
        <f>E13*F13</f>
        <v>0</v>
      </c>
      <c r="H13" s="21">
        <f t="shared" ref="H13:H39" si="2">G13-D13</f>
        <v>0</v>
      </c>
      <c r="I13" s="22" t="str">
        <f t="shared" ref="I13:I39" si="3">IF(ISERROR(H13/ABS(D13)),"N/A",(H13/ABS(D13)))</f>
        <v>N/A</v>
      </c>
      <c r="J13" s="123">
        <f t="shared" si="0"/>
        <v>0</v>
      </c>
    </row>
    <row r="14" spans="1:10" s="1" customFormat="1" x14ac:dyDescent="0.2">
      <c r="A14" s="45" t="s">
        <v>33</v>
      </c>
      <c r="B14" s="23"/>
      <c r="C14" s="24"/>
      <c r="D14" s="24">
        <f>SUM(D12:D13)</f>
        <v>18.2</v>
      </c>
      <c r="E14" s="75"/>
      <c r="F14" s="24"/>
      <c r="G14" s="24">
        <f>SUM(G12:G13)</f>
        <v>18.2</v>
      </c>
      <c r="H14" s="24">
        <f t="shared" si="2"/>
        <v>0</v>
      </c>
      <c r="I14" s="26">
        <f t="shared" si="3"/>
        <v>0</v>
      </c>
      <c r="J14" s="46">
        <f t="shared" si="0"/>
        <v>0.30376026230680031</v>
      </c>
    </row>
    <row r="15" spans="1:10" x14ac:dyDescent="0.2">
      <c r="A15" s="106" t="s">
        <v>38</v>
      </c>
      <c r="B15" s="72">
        <v>1</v>
      </c>
      <c r="C15" s="77">
        <f>VLOOKUP($B$3,'Data for Bill Impacts'!$A$3:$Y$15,7,0)</f>
        <v>3.72</v>
      </c>
      <c r="D15" s="21">
        <f>B15*C15</f>
        <v>3.72</v>
      </c>
      <c r="E15" s="72">
        <f t="shared" ref="E15:E34" si="4">B15</f>
        <v>1</v>
      </c>
      <c r="F15" s="77">
        <f>VLOOKUP($B$3,'Data for Bill Impacts'!$A$3:$Y$15,17,0)</f>
        <v>3.87</v>
      </c>
      <c r="G15" s="21">
        <f>E15*F15</f>
        <v>3.87</v>
      </c>
      <c r="H15" s="21">
        <f t="shared" si="2"/>
        <v>0.14999999999999991</v>
      </c>
      <c r="I15" s="22">
        <f t="shared" si="3"/>
        <v>4.0322580645161261E-2</v>
      </c>
      <c r="J15" s="123">
        <f t="shared" si="0"/>
        <v>6.4590781050951493E-2</v>
      </c>
    </row>
    <row r="16" spans="1:10" hidden="1" x14ac:dyDescent="0.2">
      <c r="A16" s="106" t="s">
        <v>88</v>
      </c>
      <c r="B16" s="72">
        <v>1</v>
      </c>
      <c r="C16" s="77">
        <v>0</v>
      </c>
      <c r="D16" s="21">
        <f>B16*C16</f>
        <v>0</v>
      </c>
      <c r="E16" s="72">
        <f t="shared" si="4"/>
        <v>1</v>
      </c>
      <c r="F16" s="77">
        <v>0</v>
      </c>
      <c r="G16" s="21">
        <f t="shared" ref="G16:G18" si="5">E16*F16</f>
        <v>0</v>
      </c>
      <c r="H16" s="21">
        <f t="shared" si="2"/>
        <v>0</v>
      </c>
      <c r="I16" s="22" t="str">
        <f t="shared" si="3"/>
        <v>N/A</v>
      </c>
      <c r="J16" s="123">
        <f t="shared" si="0"/>
        <v>0</v>
      </c>
    </row>
    <row r="17" spans="1:10" hidden="1" x14ac:dyDescent="0.2">
      <c r="A17" s="106" t="s">
        <v>84</v>
      </c>
      <c r="B17" s="72">
        <v>1</v>
      </c>
      <c r="C17" s="77">
        <v>0</v>
      </c>
      <c r="D17" s="21">
        <f t="shared" ref="D17:D18" si="6">B17*C17</f>
        <v>0</v>
      </c>
      <c r="E17" s="72">
        <f t="shared" si="4"/>
        <v>1</v>
      </c>
      <c r="F17" s="77">
        <v>0</v>
      </c>
      <c r="G17" s="21">
        <f t="shared" si="5"/>
        <v>0</v>
      </c>
      <c r="H17" s="21">
        <f t="shared" si="2"/>
        <v>0</v>
      </c>
      <c r="I17" s="22" t="str">
        <f t="shared" si="3"/>
        <v>N/A</v>
      </c>
      <c r="J17" s="123">
        <f t="shared" si="0"/>
        <v>0</v>
      </c>
    </row>
    <row r="18" spans="1:10" x14ac:dyDescent="0.2">
      <c r="A18" s="106" t="s">
        <v>85</v>
      </c>
      <c r="B18" s="72">
        <v>1</v>
      </c>
      <c r="C18" s="120">
        <f>VLOOKUP($B$3,'Data for Bill Impacts'!$A$3:$Y$15,13,0)</f>
        <v>6.0000000000000001E-3</v>
      </c>
      <c r="D18" s="21">
        <f t="shared" si="6"/>
        <v>6.0000000000000001E-3</v>
      </c>
      <c r="E18" s="72">
        <f t="shared" si="4"/>
        <v>1</v>
      </c>
      <c r="F18" s="120">
        <f>VLOOKUP($B$3,'Data for Bill Impacts'!$A$3:$Y$15,22,0)</f>
        <v>6.0000000000000001E-3</v>
      </c>
      <c r="G18" s="21">
        <f t="shared" si="5"/>
        <v>6.0000000000000001E-3</v>
      </c>
      <c r="H18" s="21">
        <f t="shared" si="2"/>
        <v>0</v>
      </c>
      <c r="I18" s="22">
        <f t="shared" si="3"/>
        <v>0</v>
      </c>
      <c r="J18" s="123">
        <f t="shared" si="0"/>
        <v>1.0014074581542868E-4</v>
      </c>
    </row>
    <row r="19" spans="1:10" x14ac:dyDescent="0.2">
      <c r="A19" s="106" t="s">
        <v>39</v>
      </c>
      <c r="B19" s="72">
        <f>IF($B$9="kWh",$B$4,$B$5)</f>
        <v>200</v>
      </c>
      <c r="C19" s="124">
        <f>VLOOKUP($B$3,'Data for Bill Impacts'!$A$3:$Y$15,10,0)</f>
        <v>0.13830000000000001</v>
      </c>
      <c r="D19" s="21">
        <f>B19*C19</f>
        <v>27.66</v>
      </c>
      <c r="E19" s="72">
        <f t="shared" si="4"/>
        <v>200</v>
      </c>
      <c r="F19" s="124">
        <f>VLOOKUP($B$3,'Data for Bill Impacts'!$A$3:$Y$15,19,0)</f>
        <v>0.14399999999999999</v>
      </c>
      <c r="G19" s="21">
        <f>E19*F19</f>
        <v>28.799999999999997</v>
      </c>
      <c r="H19" s="21">
        <f t="shared" si="2"/>
        <v>1.139999999999997</v>
      </c>
      <c r="I19" s="22">
        <f t="shared" si="3"/>
        <v>4.1214750542299242E-2</v>
      </c>
      <c r="J19" s="123">
        <f t="shared" si="0"/>
        <v>0.48067557991405757</v>
      </c>
    </row>
    <row r="20" spans="1:10" s="1" customFormat="1" x14ac:dyDescent="0.2">
      <c r="A20" s="106" t="s">
        <v>129</v>
      </c>
      <c r="B20" s="72">
        <f>IF($B$9="kWh",$B$4,$B$5)</f>
        <v>200</v>
      </c>
      <c r="C20" s="187">
        <f>VLOOKUP($B$3,'Data for Bill Impacts'!$A$3:$Y$15,14,0)</f>
        <v>-6.0000000000000002E-5</v>
      </c>
      <c r="D20" s="21">
        <f>B20*C20</f>
        <v>-1.2E-2</v>
      </c>
      <c r="E20" s="72">
        <f>B20</f>
        <v>200</v>
      </c>
      <c r="F20" s="187">
        <f>VLOOKUP($B$3,'Data for Bill Impacts'!$A$3:$Y$15,23,0)</f>
        <v>-6.0000000000000002E-5</v>
      </c>
      <c r="G20" s="21">
        <f>E20*F20</f>
        <v>-1.2E-2</v>
      </c>
      <c r="H20" s="21">
        <f>G20-D20</f>
        <v>0</v>
      </c>
      <c r="I20" s="22">
        <f t="shared" si="3"/>
        <v>0</v>
      </c>
      <c r="J20" s="123">
        <f t="shared" si="0"/>
        <v>-2.0028149163085735E-4</v>
      </c>
    </row>
    <row r="21" spans="1:10" hidden="1" x14ac:dyDescent="0.2">
      <c r="A21" s="106" t="s">
        <v>86</v>
      </c>
      <c r="B21" s="72">
        <f>IF($B$9="kWh",$B$4,$B$5)</f>
        <v>200</v>
      </c>
      <c r="C21" s="124">
        <v>0</v>
      </c>
      <c r="D21" s="21">
        <f>B21*C21</f>
        <v>0</v>
      </c>
      <c r="E21" s="72">
        <f t="shared" si="4"/>
        <v>200</v>
      </c>
      <c r="F21" s="77">
        <v>0</v>
      </c>
      <c r="G21" s="21">
        <f>E21*F21</f>
        <v>0</v>
      </c>
      <c r="H21" s="21">
        <f t="shared" si="2"/>
        <v>0</v>
      </c>
      <c r="I21" s="22" t="str">
        <f t="shared" si="3"/>
        <v>N/A</v>
      </c>
      <c r="J21" s="123">
        <f t="shared" si="0"/>
        <v>0</v>
      </c>
    </row>
    <row r="22" spans="1:10" x14ac:dyDescent="0.2">
      <c r="A22" s="109" t="s">
        <v>72</v>
      </c>
      <c r="B22" s="73"/>
      <c r="C22" s="34"/>
      <c r="D22" s="34">
        <f>SUM(D15:D21)</f>
        <v>31.373999999999999</v>
      </c>
      <c r="E22" s="72"/>
      <c r="F22" s="34"/>
      <c r="G22" s="34">
        <f>SUM(G15:G21)</f>
        <v>32.663999999999994</v>
      </c>
      <c r="H22" s="34">
        <f t="shared" si="2"/>
        <v>1.2899999999999956</v>
      </c>
      <c r="I22" s="35">
        <f t="shared" si="3"/>
        <v>4.1116848345763866E-2</v>
      </c>
      <c r="J22" s="110">
        <f t="shared" si="0"/>
        <v>0.54516622021919359</v>
      </c>
    </row>
    <row r="23" spans="1:10" s="1" customFormat="1" x14ac:dyDescent="0.2">
      <c r="A23" s="118" t="s">
        <v>81</v>
      </c>
      <c r="B23" s="119">
        <f>B8-B4</f>
        <v>18.400000000000006</v>
      </c>
      <c r="C23" s="186">
        <f>IF(B4&gt;B7,C13,C12)</f>
        <v>9.0999999999999998E-2</v>
      </c>
      <c r="D23" s="21">
        <f>B23*C23</f>
        <v>1.6744000000000006</v>
      </c>
      <c r="E23" s="72">
        <f>B23</f>
        <v>18.400000000000006</v>
      </c>
      <c r="F23" s="186">
        <f>C23</f>
        <v>9.0999999999999998E-2</v>
      </c>
      <c r="G23" s="21">
        <f>E23*F23</f>
        <v>1.6744000000000006</v>
      </c>
      <c r="H23" s="21">
        <f t="shared" si="2"/>
        <v>0</v>
      </c>
      <c r="I23" s="22">
        <f t="shared" si="3"/>
        <v>0</v>
      </c>
      <c r="J23" s="123">
        <f t="shared" si="0"/>
        <v>2.7945944132225637E-2</v>
      </c>
    </row>
    <row r="24" spans="1:10" x14ac:dyDescent="0.2">
      <c r="A24" s="109" t="s">
        <v>79</v>
      </c>
      <c r="B24" s="73"/>
      <c r="C24" s="34"/>
      <c r="D24" s="34">
        <f>SUM(D22,D23:D23)</f>
        <v>33.048400000000001</v>
      </c>
      <c r="E24" s="72"/>
      <c r="F24" s="34"/>
      <c r="G24" s="34">
        <f>SUM(G22,G23:G23)</f>
        <v>34.338399999999993</v>
      </c>
      <c r="H24" s="34">
        <f t="shared" si="2"/>
        <v>1.289999999999992</v>
      </c>
      <c r="I24" s="35">
        <f t="shared" si="3"/>
        <v>3.9033659723314656E-2</v>
      </c>
      <c r="J24" s="110">
        <f t="shared" si="0"/>
        <v>0.57311216435141921</v>
      </c>
    </row>
    <row r="25" spans="1:10" x14ac:dyDescent="0.2">
      <c r="A25" s="106" t="s">
        <v>40</v>
      </c>
      <c r="B25" s="72">
        <f>B8</f>
        <v>218.4</v>
      </c>
      <c r="C25" s="124">
        <f>VLOOKUP($B$3,'Data for Bill Impacts'!$A$3:$Y$15,15,0)</f>
        <v>3.836E-3</v>
      </c>
      <c r="D25" s="21">
        <f>B25*C25</f>
        <v>0.83778240000000004</v>
      </c>
      <c r="E25" s="72">
        <f t="shared" si="4"/>
        <v>218.4</v>
      </c>
      <c r="F25" s="77">
        <f>VLOOKUP($B$3,'Data for Bill Impacts'!$A$3:$Y$15,24,0)</f>
        <v>3.836E-3</v>
      </c>
      <c r="G25" s="21">
        <f>E25*F25</f>
        <v>0.83778240000000004</v>
      </c>
      <c r="H25" s="21">
        <f t="shared" si="2"/>
        <v>0</v>
      </c>
      <c r="I25" s="22">
        <f t="shared" si="3"/>
        <v>0</v>
      </c>
      <c r="J25" s="123">
        <f t="shared" si="0"/>
        <v>1.3982692394506632E-2</v>
      </c>
    </row>
    <row r="26" spans="1:10" s="1" customFormat="1" x14ac:dyDescent="0.2">
      <c r="A26" s="106" t="s">
        <v>41</v>
      </c>
      <c r="B26" s="72">
        <f>B8</f>
        <v>218.4</v>
      </c>
      <c r="C26" s="124">
        <f>VLOOKUP($B$3,'Data for Bill Impacts'!$A$3:$Y$15,16,0)</f>
        <v>3.6240000000000001E-3</v>
      </c>
      <c r="D26" s="21">
        <f>B26*C26</f>
        <v>0.79148160000000001</v>
      </c>
      <c r="E26" s="72">
        <f t="shared" si="4"/>
        <v>218.4</v>
      </c>
      <c r="F26" s="77">
        <f>VLOOKUP($B$3,'Data for Bill Impacts'!$A$3:$Y$15,25,0)</f>
        <v>3.6240000000000001E-3</v>
      </c>
      <c r="G26" s="21">
        <f>E26*F26</f>
        <v>0.79148160000000001</v>
      </c>
      <c r="H26" s="21">
        <f t="shared" si="2"/>
        <v>0</v>
      </c>
      <c r="I26" s="22">
        <f t="shared" si="3"/>
        <v>0</v>
      </c>
      <c r="J26" s="123">
        <f t="shared" si="0"/>
        <v>1.3209926287198132E-2</v>
      </c>
    </row>
    <row r="27" spans="1:10" s="1" customFormat="1" x14ac:dyDescent="0.2">
      <c r="A27" s="109" t="s">
        <v>76</v>
      </c>
      <c r="B27" s="73"/>
      <c r="C27" s="34"/>
      <c r="D27" s="34">
        <f>SUM(D25:D26)</f>
        <v>1.629264</v>
      </c>
      <c r="E27" s="72"/>
      <c r="F27" s="34"/>
      <c r="G27" s="34">
        <f>SUM(G25:G26)</f>
        <v>1.629264</v>
      </c>
      <c r="H27" s="34">
        <f t="shared" si="2"/>
        <v>0</v>
      </c>
      <c r="I27" s="35">
        <f t="shared" si="3"/>
        <v>0</v>
      </c>
      <c r="J27" s="110">
        <f t="shared" si="0"/>
        <v>2.7192618681704764E-2</v>
      </c>
    </row>
    <row r="28" spans="1:10" s="1" customFormat="1" x14ac:dyDescent="0.2">
      <c r="A28" s="109" t="s">
        <v>80</v>
      </c>
      <c r="B28" s="73"/>
      <c r="C28" s="34"/>
      <c r="D28" s="34">
        <f>D24+D27</f>
        <v>34.677664</v>
      </c>
      <c r="E28" s="72"/>
      <c r="F28" s="34"/>
      <c r="G28" s="34">
        <f>G24+G27</f>
        <v>35.967663999999992</v>
      </c>
      <c r="H28" s="34">
        <f t="shared" si="2"/>
        <v>1.289999999999992</v>
      </c>
      <c r="I28" s="35">
        <f t="shared" si="3"/>
        <v>3.7199737560176832E-2</v>
      </c>
      <c r="J28" s="110">
        <f t="shared" si="0"/>
        <v>0.60030478303312396</v>
      </c>
    </row>
    <row r="29" spans="1:10" x14ac:dyDescent="0.2">
      <c r="A29" s="106" t="s">
        <v>42</v>
      </c>
      <c r="B29" s="72">
        <f>B8</f>
        <v>218.4</v>
      </c>
      <c r="C29" s="33">
        <v>3.5999999999999999E-3</v>
      </c>
      <c r="D29" s="21">
        <f>B29*C29</f>
        <v>0.78624000000000005</v>
      </c>
      <c r="E29" s="72">
        <f t="shared" si="4"/>
        <v>218.4</v>
      </c>
      <c r="F29" s="33">
        <v>3.5999999999999999E-3</v>
      </c>
      <c r="G29" s="21">
        <f>E29*F29</f>
        <v>0.78624000000000005</v>
      </c>
      <c r="H29" s="21">
        <f t="shared" si="2"/>
        <v>0</v>
      </c>
      <c r="I29" s="22">
        <f t="shared" si="3"/>
        <v>0</v>
      </c>
      <c r="J29" s="123">
        <f t="shared" si="0"/>
        <v>1.3122443331653773E-2</v>
      </c>
    </row>
    <row r="30" spans="1:10" s="1" customFormat="1" x14ac:dyDescent="0.2">
      <c r="A30" s="106" t="s">
        <v>43</v>
      </c>
      <c r="B30" s="72">
        <f>B8</f>
        <v>218.4</v>
      </c>
      <c r="C30" s="33">
        <v>2.0999999999999999E-3</v>
      </c>
      <c r="D30" s="21">
        <f>B30*C30</f>
        <v>0.45863999999999999</v>
      </c>
      <c r="E30" s="72">
        <f t="shared" si="4"/>
        <v>218.4</v>
      </c>
      <c r="F30" s="33">
        <v>2.0999999999999999E-3</v>
      </c>
      <c r="G30" s="21">
        <f>E30*F30</f>
        <v>0.45863999999999999</v>
      </c>
      <c r="H30" s="21">
        <f>G30-D30</f>
        <v>0</v>
      </c>
      <c r="I30" s="22">
        <f t="shared" si="3"/>
        <v>0</v>
      </c>
      <c r="J30" s="123">
        <f t="shared" si="0"/>
        <v>7.6547586101313675E-3</v>
      </c>
    </row>
    <row r="31" spans="1:10" s="1" customFormat="1" x14ac:dyDescent="0.2">
      <c r="A31" s="106" t="s">
        <v>99</v>
      </c>
      <c r="B31" s="72">
        <f>B8</f>
        <v>218.4</v>
      </c>
      <c r="C31" s="33">
        <v>0</v>
      </c>
      <c r="D31" s="21">
        <f>B31*C31</f>
        <v>0</v>
      </c>
      <c r="E31" s="72">
        <f t="shared" si="4"/>
        <v>218.4</v>
      </c>
      <c r="F31" s="33">
        <v>0</v>
      </c>
      <c r="G31" s="21">
        <f>E31*F31</f>
        <v>0</v>
      </c>
      <c r="H31" s="21">
        <f>G31-D31</f>
        <v>0</v>
      </c>
      <c r="I31" s="22" t="str">
        <f t="shared" si="3"/>
        <v>N/A</v>
      </c>
      <c r="J31" s="123">
        <f t="shared" ref="J31" si="7">G31/$G$39</f>
        <v>0</v>
      </c>
    </row>
    <row r="32" spans="1:10" x14ac:dyDescent="0.2">
      <c r="A32" s="106" t="s">
        <v>44</v>
      </c>
      <c r="B32" s="72">
        <v>1</v>
      </c>
      <c r="C32" s="21">
        <v>0.25</v>
      </c>
      <c r="D32" s="21">
        <f>B32*C32</f>
        <v>0.25</v>
      </c>
      <c r="E32" s="72">
        <f t="shared" si="4"/>
        <v>1</v>
      </c>
      <c r="F32" s="21">
        <f>C32</f>
        <v>0.25</v>
      </c>
      <c r="G32" s="21">
        <f>E32*F32</f>
        <v>0.25</v>
      </c>
      <c r="H32" s="21">
        <f t="shared" si="2"/>
        <v>0</v>
      </c>
      <c r="I32" s="22">
        <f t="shared" si="3"/>
        <v>0</v>
      </c>
      <c r="J32" s="123">
        <f t="shared" ref="J32:J39" si="8">G32/$G$39</f>
        <v>4.1725310756428611E-3</v>
      </c>
    </row>
    <row r="33" spans="1:10" s="1" customFormat="1" x14ac:dyDescent="0.2">
      <c r="A33" s="109" t="s">
        <v>45</v>
      </c>
      <c r="B33" s="73"/>
      <c r="C33" s="34"/>
      <c r="D33" s="34">
        <f>SUM(D29:D32)</f>
        <v>1.49488</v>
      </c>
      <c r="E33" s="72"/>
      <c r="F33" s="34"/>
      <c r="G33" s="34">
        <f>SUM(G29:G32)</f>
        <v>1.49488</v>
      </c>
      <c r="H33" s="34">
        <f t="shared" si="2"/>
        <v>0</v>
      </c>
      <c r="I33" s="35">
        <f t="shared" si="3"/>
        <v>0</v>
      </c>
      <c r="J33" s="110">
        <f t="shared" si="8"/>
        <v>2.4949733017428002E-2</v>
      </c>
    </row>
    <row r="34" spans="1:10" ht="13.5" thickBot="1" x14ac:dyDescent="0.25">
      <c r="A34" s="111" t="s">
        <v>46</v>
      </c>
      <c r="B34" s="112">
        <f>B4</f>
        <v>200</v>
      </c>
      <c r="C34" s="113">
        <v>7.0000000000000001E-3</v>
      </c>
      <c r="D34" s="114">
        <f>B34*C34</f>
        <v>1.4000000000000001</v>
      </c>
      <c r="E34" s="115">
        <f t="shared" si="4"/>
        <v>200</v>
      </c>
      <c r="F34" s="113">
        <f>C34</f>
        <v>7.0000000000000001E-3</v>
      </c>
      <c r="G34" s="114">
        <f>E34*F34</f>
        <v>1.4000000000000001</v>
      </c>
      <c r="H34" s="114">
        <f t="shared" si="2"/>
        <v>0</v>
      </c>
      <c r="I34" s="116">
        <f t="shared" si="3"/>
        <v>0</v>
      </c>
      <c r="J34" s="117">
        <f t="shared" si="8"/>
        <v>2.3366174023600025E-2</v>
      </c>
    </row>
    <row r="35" spans="1:10" x14ac:dyDescent="0.2">
      <c r="A35" s="36" t="s">
        <v>116</v>
      </c>
      <c r="B35" s="37"/>
      <c r="C35" s="38"/>
      <c r="D35" s="38">
        <f>SUM(D14,D24,D27,D33,D34)</f>
        <v>55.772544000000003</v>
      </c>
      <c r="E35" s="37"/>
      <c r="F35" s="38"/>
      <c r="G35" s="38">
        <f>SUM(G14,G24,G27,G33,G34)</f>
        <v>57.062543999999995</v>
      </c>
      <c r="H35" s="38">
        <f t="shared" si="2"/>
        <v>1.289999999999992</v>
      </c>
      <c r="I35" s="39">
        <f t="shared" si="3"/>
        <v>2.3129660357612377E-2</v>
      </c>
      <c r="J35" s="40">
        <f t="shared" si="8"/>
        <v>0.95238095238095233</v>
      </c>
    </row>
    <row r="36" spans="1:10" x14ac:dyDescent="0.2">
      <c r="A36" s="45" t="s">
        <v>108</v>
      </c>
      <c r="B36" s="42"/>
      <c r="C36" s="25">
        <v>0.13</v>
      </c>
      <c r="D36" s="25">
        <f>D35*C36</f>
        <v>7.2504307200000007</v>
      </c>
      <c r="E36" s="25"/>
      <c r="F36" s="25">
        <f>C36</f>
        <v>0.13</v>
      </c>
      <c r="G36" s="25">
        <f>G35*F36</f>
        <v>7.4181307199999997</v>
      </c>
      <c r="H36" s="25">
        <f t="shared" si="2"/>
        <v>0.16769999999999907</v>
      </c>
      <c r="I36" s="43">
        <f t="shared" si="3"/>
        <v>2.3129660357612391E-2</v>
      </c>
      <c r="J36" s="44">
        <f t="shared" si="8"/>
        <v>0.12380952380952381</v>
      </c>
    </row>
    <row r="37" spans="1:10" x14ac:dyDescent="0.2">
      <c r="A37" s="45" t="s">
        <v>109</v>
      </c>
      <c r="B37" s="23"/>
      <c r="C37" s="24"/>
      <c r="D37" s="24">
        <f>SUM(D35:D36)</f>
        <v>63.022974720000008</v>
      </c>
      <c r="E37" s="24"/>
      <c r="F37" s="24"/>
      <c r="G37" s="24">
        <f>SUM(G35:G36)</f>
        <v>64.480674719999996</v>
      </c>
      <c r="H37" s="24">
        <f t="shared" si="2"/>
        <v>1.4576999999999884</v>
      </c>
      <c r="I37" s="26">
        <f t="shared" si="3"/>
        <v>2.3129660357612335E-2</v>
      </c>
      <c r="J37" s="46">
        <f t="shared" si="8"/>
        <v>1.0761904761904761</v>
      </c>
    </row>
    <row r="38" spans="1:10" x14ac:dyDescent="0.2">
      <c r="A38" s="45" t="s">
        <v>110</v>
      </c>
      <c r="B38" s="42"/>
      <c r="C38" s="25">
        <v>-0.08</v>
      </c>
      <c r="D38" s="25">
        <f>D35*C38</f>
        <v>-4.4618035200000001</v>
      </c>
      <c r="E38" s="25"/>
      <c r="F38" s="25">
        <f>C38</f>
        <v>-0.08</v>
      </c>
      <c r="G38" s="25">
        <f>G35*F38</f>
        <v>-4.5650035199999994</v>
      </c>
      <c r="H38" s="25">
        <f t="shared" si="2"/>
        <v>-0.10319999999999929</v>
      </c>
      <c r="I38" s="43">
        <f t="shared" si="3"/>
        <v>-2.312966035761236E-2</v>
      </c>
      <c r="J38" s="44">
        <f t="shared" si="8"/>
        <v>-7.6190476190476183E-2</v>
      </c>
    </row>
    <row r="39" spans="1:10" ht="13.5" thickBot="1" x14ac:dyDescent="0.25">
      <c r="A39" s="47" t="s">
        <v>111</v>
      </c>
      <c r="B39" s="48"/>
      <c r="C39" s="49"/>
      <c r="D39" s="49">
        <f>SUM(D37:D38)</f>
        <v>58.561171200000004</v>
      </c>
      <c r="E39" s="49"/>
      <c r="F39" s="49"/>
      <c r="G39" s="49">
        <f>SUM(G37:G38)</f>
        <v>59.915671199999998</v>
      </c>
      <c r="H39" s="49">
        <f t="shared" si="2"/>
        <v>1.3544999999999945</v>
      </c>
      <c r="I39" s="50">
        <f t="shared" si="3"/>
        <v>2.3129660357612426E-2</v>
      </c>
      <c r="J39" s="51">
        <f t="shared" si="8"/>
        <v>1</v>
      </c>
    </row>
    <row r="40" spans="1:10" x14ac:dyDescent="0.2">
      <c r="A40" s="184"/>
      <c r="D40" s="71"/>
      <c r="F40" s="68"/>
    </row>
    <row r="41" spans="1:10" x14ac:dyDescent="0.2">
      <c r="A41" s="184"/>
      <c r="F41" s="68"/>
    </row>
    <row r="42" spans="1:10" x14ac:dyDescent="0.2">
      <c r="A42" s="185"/>
      <c r="B42" s="70"/>
      <c r="F42" s="68"/>
    </row>
    <row r="43" spans="1:10" x14ac:dyDescent="0.2">
      <c r="A43" s="184"/>
      <c r="B43" s="71"/>
      <c r="D43" s="71"/>
      <c r="F43" s="68"/>
    </row>
    <row r="44" spans="1:10" x14ac:dyDescent="0.2">
      <c r="A44" s="184"/>
      <c r="F44" s="68"/>
    </row>
    <row r="45" spans="1:10" x14ac:dyDescent="0.2">
      <c r="A45" s="184"/>
      <c r="F45" s="68"/>
    </row>
    <row r="46" spans="1:10" x14ac:dyDescent="0.2">
      <c r="A46" s="184"/>
      <c r="F46" s="68"/>
    </row>
    <row r="47" spans="1:10" x14ac:dyDescent="0.2">
      <c r="A47" s="184"/>
      <c r="F47" s="68"/>
    </row>
    <row r="48" spans="1:10" x14ac:dyDescent="0.2">
      <c r="A48" s="184"/>
      <c r="F48" s="68"/>
    </row>
    <row r="49" spans="1:6" x14ac:dyDescent="0.2">
      <c r="A49" s="184"/>
      <c r="F49" s="68"/>
    </row>
    <row r="50" spans="1:6" x14ac:dyDescent="0.2">
      <c r="A50" s="184"/>
      <c r="F50" s="68"/>
    </row>
    <row r="51" spans="1:6" x14ac:dyDescent="0.2">
      <c r="A51" s="184"/>
    </row>
    <row r="52" spans="1:6" x14ac:dyDescent="0.2">
      <c r="A52" s="184"/>
    </row>
    <row r="53" spans="1:6" x14ac:dyDescent="0.2">
      <c r="A53" s="184"/>
    </row>
    <row r="54" spans="1:6" x14ac:dyDescent="0.2">
      <c r="A54" s="184"/>
    </row>
  </sheetData>
  <mergeCells count="1">
    <mergeCell ref="A1:J1"/>
  </mergeCells>
  <pageMargins left="0.7" right="0.7" top="0.75" bottom="0.75" header="0.3" footer="0.3"/>
  <pageSetup scale="8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1" tint="0.499984740745262"/>
    <pageSetUpPr fitToPage="1"/>
  </sheetPr>
  <dimension ref="A1:K54"/>
  <sheetViews>
    <sheetView tabSelected="1" topLeftCell="A7"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1" ht="16.5" thickBot="1" x14ac:dyDescent="0.3">
      <c r="A1" s="205" t="s">
        <v>124</v>
      </c>
      <c r="B1" s="206"/>
      <c r="C1" s="206"/>
      <c r="D1" s="206"/>
      <c r="E1" s="206"/>
      <c r="F1" s="206"/>
      <c r="G1" s="206"/>
      <c r="H1" s="206"/>
      <c r="I1" s="206"/>
      <c r="J1" s="207"/>
      <c r="K1" s="126"/>
    </row>
    <row r="3" spans="1:11" x14ac:dyDescent="0.2">
      <c r="A3" s="12" t="s">
        <v>13</v>
      </c>
      <c r="B3" s="12" t="s">
        <v>8</v>
      </c>
    </row>
    <row r="4" spans="1:11" x14ac:dyDescent="0.2">
      <c r="A4" s="14" t="s">
        <v>62</v>
      </c>
      <c r="B4" s="14">
        <v>100</v>
      </c>
    </row>
    <row r="5" spans="1:11" x14ac:dyDescent="0.2">
      <c r="A5" s="14" t="s">
        <v>16</v>
      </c>
      <c r="B5" s="14">
        <f>VLOOKUP($B$3,'Data for Bill Impacts'!$A$3:$Y$15,5,0)</f>
        <v>0</v>
      </c>
    </row>
    <row r="6" spans="1:11" x14ac:dyDescent="0.2">
      <c r="A6" s="14" t="s">
        <v>20</v>
      </c>
      <c r="B6" s="14">
        <f>VLOOKUP($B$3,'Data for Bill Impacts'!$A$3:$Y$15,2,0)</f>
        <v>1.0920000000000001</v>
      </c>
    </row>
    <row r="7" spans="1:11" x14ac:dyDescent="0.2">
      <c r="A7" s="14" t="s">
        <v>15</v>
      </c>
      <c r="B7" s="14">
        <f>VLOOKUP($B$3,'Data for Bill Impacts'!$A$3:$Y$15,4,0)</f>
        <v>750</v>
      </c>
    </row>
    <row r="8" spans="1:11" x14ac:dyDescent="0.2">
      <c r="A8" s="14" t="s">
        <v>82</v>
      </c>
      <c r="B8" s="14">
        <f>B4*B6</f>
        <v>109.2</v>
      </c>
    </row>
    <row r="9" spans="1:11" x14ac:dyDescent="0.2">
      <c r="A9" s="14" t="s">
        <v>21</v>
      </c>
      <c r="B9" s="15" t="str">
        <f>VLOOKUP($B$3,'Data for Bill Impacts'!$A$3:$Y$15,6,0)</f>
        <v>kWh</v>
      </c>
    </row>
    <row r="10" spans="1:11" ht="13.5" thickBot="1" x14ac:dyDescent="0.25"/>
    <row r="11" spans="1:11" s="19" customFormat="1" ht="39" thickBot="1" x14ac:dyDescent="0.25">
      <c r="A11" s="16"/>
      <c r="B11" s="17" t="s">
        <v>22</v>
      </c>
      <c r="C11" s="17" t="s">
        <v>23</v>
      </c>
      <c r="D11" s="17" t="s">
        <v>24</v>
      </c>
      <c r="E11" s="17" t="s">
        <v>22</v>
      </c>
      <c r="F11" s="17" t="s">
        <v>25</v>
      </c>
      <c r="G11" s="17" t="s">
        <v>26</v>
      </c>
      <c r="H11" s="17" t="s">
        <v>27</v>
      </c>
      <c r="I11" s="17" t="s">
        <v>28</v>
      </c>
      <c r="J11" s="121" t="s">
        <v>29</v>
      </c>
    </row>
    <row r="12" spans="1:11" x14ac:dyDescent="0.2">
      <c r="A12" s="100" t="s">
        <v>31</v>
      </c>
      <c r="B12" s="101">
        <f>IF(B4&gt;B7,B7,B4)</f>
        <v>100</v>
      </c>
      <c r="C12" s="102">
        <v>9.0999999999999998E-2</v>
      </c>
      <c r="D12" s="103">
        <f>B12*C12</f>
        <v>9.1</v>
      </c>
      <c r="E12" s="101">
        <f>B12</f>
        <v>100</v>
      </c>
      <c r="F12" s="102">
        <f>C12</f>
        <v>9.0999999999999998E-2</v>
      </c>
      <c r="G12" s="103">
        <f>E12*F12</f>
        <v>9.1</v>
      </c>
      <c r="H12" s="103">
        <f>G12-D12</f>
        <v>0</v>
      </c>
      <c r="I12" s="104">
        <f>IF(ISERROR(H12/ABS(D12)),"N/A",(H12/ABS(D12)))</f>
        <v>0</v>
      </c>
      <c r="J12" s="122">
        <f t="shared" ref="J12:J30" si="0">G12/$G$39</f>
        <v>0.30754375495973446</v>
      </c>
    </row>
    <row r="13" spans="1:11" x14ac:dyDescent="0.2">
      <c r="A13" s="106" t="s">
        <v>32</v>
      </c>
      <c r="B13" s="72">
        <f>IF(B4&gt;B7,(B4)-B7,0)</f>
        <v>0</v>
      </c>
      <c r="C13" s="20">
        <v>0.106</v>
      </c>
      <c r="D13" s="21">
        <f>B13*C13</f>
        <v>0</v>
      </c>
      <c r="E13" s="72">
        <f t="shared" ref="E13:E34" si="1">B13</f>
        <v>0</v>
      </c>
      <c r="F13" s="20">
        <f>C13</f>
        <v>0.106</v>
      </c>
      <c r="G13" s="21">
        <f>E13*F13</f>
        <v>0</v>
      </c>
      <c r="H13" s="21">
        <f t="shared" ref="H13:H39" si="2">G13-D13</f>
        <v>0</v>
      </c>
      <c r="I13" s="22" t="str">
        <f t="shared" ref="I13:I39" si="3">IF(ISERROR(H13/ABS(D13)),"N/A",(H13/ABS(D13)))</f>
        <v>N/A</v>
      </c>
      <c r="J13" s="123">
        <f t="shared" si="0"/>
        <v>0</v>
      </c>
    </row>
    <row r="14" spans="1:11" s="1" customFormat="1" x14ac:dyDescent="0.2">
      <c r="A14" s="45" t="s">
        <v>33</v>
      </c>
      <c r="B14" s="23"/>
      <c r="C14" s="24"/>
      <c r="D14" s="24">
        <f>SUM(D12:D13)</f>
        <v>9.1</v>
      </c>
      <c r="E14" s="75"/>
      <c r="F14" s="24"/>
      <c r="G14" s="24">
        <f>SUM(G12:G13)</f>
        <v>9.1</v>
      </c>
      <c r="H14" s="24">
        <f t="shared" si="2"/>
        <v>0</v>
      </c>
      <c r="I14" s="26">
        <f t="shared" si="3"/>
        <v>0</v>
      </c>
      <c r="J14" s="46">
        <f t="shared" si="0"/>
        <v>0.30754375495973446</v>
      </c>
    </row>
    <row r="15" spans="1:11" x14ac:dyDescent="0.2">
      <c r="A15" s="106" t="s">
        <v>38</v>
      </c>
      <c r="B15" s="72">
        <v>1</v>
      </c>
      <c r="C15" s="77">
        <f>VLOOKUP($B$3,'Data for Bill Impacts'!$A$3:$Y$15,7,0)</f>
        <v>4.7699999999999996</v>
      </c>
      <c r="D15" s="21">
        <f>B15*C15</f>
        <v>4.7699999999999996</v>
      </c>
      <c r="E15" s="72">
        <f t="shared" si="1"/>
        <v>1</v>
      </c>
      <c r="F15" s="77">
        <f>VLOOKUP($B$3,'Data for Bill Impacts'!$A$3:$Y$15,17,0)</f>
        <v>4.88</v>
      </c>
      <c r="G15" s="21">
        <f>E15*F15</f>
        <v>4.88</v>
      </c>
      <c r="H15" s="21">
        <f t="shared" si="2"/>
        <v>0.11000000000000032</v>
      </c>
      <c r="I15" s="22">
        <f t="shared" si="3"/>
        <v>2.3060796645702375E-2</v>
      </c>
      <c r="J15" s="123">
        <f t="shared" si="0"/>
        <v>0.16492456309928619</v>
      </c>
    </row>
    <row r="16" spans="1:11" hidden="1" x14ac:dyDescent="0.2">
      <c r="A16" s="106" t="s">
        <v>88</v>
      </c>
      <c r="B16" s="72">
        <v>1</v>
      </c>
      <c r="C16" s="77">
        <v>0</v>
      </c>
      <c r="D16" s="21">
        <f>B16*C16</f>
        <v>0</v>
      </c>
      <c r="E16" s="72">
        <f t="shared" si="1"/>
        <v>1</v>
      </c>
      <c r="F16" s="77">
        <v>0</v>
      </c>
      <c r="G16" s="21">
        <f t="shared" ref="G16:G18" si="4">E16*F16</f>
        <v>0</v>
      </c>
      <c r="H16" s="21">
        <f t="shared" si="2"/>
        <v>0</v>
      </c>
      <c r="I16" s="22" t="str">
        <f t="shared" si="3"/>
        <v>N/A</v>
      </c>
      <c r="J16" s="123">
        <f t="shared" si="0"/>
        <v>0</v>
      </c>
    </row>
    <row r="17" spans="1:10" hidden="1" x14ac:dyDescent="0.2">
      <c r="A17" s="106" t="s">
        <v>84</v>
      </c>
      <c r="B17" s="72">
        <v>1</v>
      </c>
      <c r="C17" s="77">
        <v>0</v>
      </c>
      <c r="D17" s="21">
        <f t="shared" ref="D17:D18" si="5">B17*C17</f>
        <v>0</v>
      </c>
      <c r="E17" s="72">
        <f t="shared" si="1"/>
        <v>1</v>
      </c>
      <c r="F17" s="77">
        <v>0</v>
      </c>
      <c r="G17" s="21">
        <f t="shared" si="4"/>
        <v>0</v>
      </c>
      <c r="H17" s="21">
        <f t="shared" ref="H17:H18" si="6">G17-D17</f>
        <v>0</v>
      </c>
      <c r="I17" s="22" t="str">
        <f t="shared" si="3"/>
        <v>N/A</v>
      </c>
      <c r="J17" s="123">
        <f t="shared" si="0"/>
        <v>0</v>
      </c>
    </row>
    <row r="18" spans="1:10" x14ac:dyDescent="0.2">
      <c r="A18" s="106" t="s">
        <v>85</v>
      </c>
      <c r="B18" s="72">
        <v>1</v>
      </c>
      <c r="C18" s="120">
        <f>VLOOKUP($B$3,'Data for Bill Impacts'!$A$3:$Y$15,13,0)</f>
        <v>7.0000000000000001E-3</v>
      </c>
      <c r="D18" s="21">
        <f t="shared" si="5"/>
        <v>7.0000000000000001E-3</v>
      </c>
      <c r="E18" s="72">
        <f t="shared" si="1"/>
        <v>1</v>
      </c>
      <c r="F18" s="120">
        <f>VLOOKUP($B$3,'Data for Bill Impacts'!$A$3:$Y$15,22,0)</f>
        <v>7.0000000000000001E-3</v>
      </c>
      <c r="G18" s="21">
        <f t="shared" si="4"/>
        <v>7.0000000000000001E-3</v>
      </c>
      <c r="H18" s="21">
        <f t="shared" si="6"/>
        <v>0</v>
      </c>
      <c r="I18" s="22">
        <f t="shared" si="3"/>
        <v>0</v>
      </c>
      <c r="J18" s="123">
        <f t="shared" si="0"/>
        <v>2.3657211919979576E-4</v>
      </c>
    </row>
    <row r="19" spans="1:10" x14ac:dyDescent="0.2">
      <c r="A19" s="106" t="s">
        <v>39</v>
      </c>
      <c r="B19" s="72">
        <f>IF($B$9="kWh",$B$4,$B$5)</f>
        <v>100</v>
      </c>
      <c r="C19" s="124">
        <f>VLOOKUP($B$3,'Data for Bill Impacts'!$A$3:$Y$15,10,0)</f>
        <v>0.1069</v>
      </c>
      <c r="D19" s="21">
        <f>B19*C19</f>
        <v>10.69</v>
      </c>
      <c r="E19" s="72">
        <f t="shared" si="1"/>
        <v>100</v>
      </c>
      <c r="F19" s="77">
        <f>VLOOKUP($B$3,'Data for Bill Impacts'!$A$3:$Y$15,19,0)</f>
        <v>0.10970000000000001</v>
      </c>
      <c r="G19" s="21">
        <f>E19*F19</f>
        <v>10.97</v>
      </c>
      <c r="H19" s="21">
        <f t="shared" si="2"/>
        <v>0.28000000000000114</v>
      </c>
      <c r="I19" s="22">
        <f t="shared" si="3"/>
        <v>2.619270346117878E-2</v>
      </c>
      <c r="J19" s="123">
        <f t="shared" si="0"/>
        <v>0.37074230680310849</v>
      </c>
    </row>
    <row r="20" spans="1:10" s="1" customFormat="1" x14ac:dyDescent="0.2">
      <c r="A20" s="106" t="s">
        <v>129</v>
      </c>
      <c r="B20" s="72">
        <f>IF($B$9="kWh",$B$4,$B$5)</f>
        <v>100</v>
      </c>
      <c r="C20" s="187">
        <f>VLOOKUP($B$3,'Data for Bill Impacts'!$A$3:$Y$15,14,0)</f>
        <v>-9.9999999999999991E-6</v>
      </c>
      <c r="D20" s="21">
        <f>B20*C20</f>
        <v>-1E-3</v>
      </c>
      <c r="E20" s="72">
        <f>B20</f>
        <v>100</v>
      </c>
      <c r="F20" s="77">
        <f>VLOOKUP($B$3,'Data for Bill Impacts'!$A$3:$Y$15,23,0)</f>
        <v>-9.9999999999999991E-6</v>
      </c>
      <c r="G20" s="21">
        <f>E20*F20</f>
        <v>-1E-3</v>
      </c>
      <c r="H20" s="21">
        <f>G20-D20</f>
        <v>0</v>
      </c>
      <c r="I20" s="22">
        <f t="shared" si="3"/>
        <v>0</v>
      </c>
      <c r="J20" s="123">
        <f t="shared" si="0"/>
        <v>-3.3796017028542252E-5</v>
      </c>
    </row>
    <row r="21" spans="1:10" hidden="1" x14ac:dyDescent="0.2">
      <c r="A21" s="106" t="s">
        <v>86</v>
      </c>
      <c r="B21" s="72">
        <f>IF($B$9="kWh",$B$4,$B$5)</f>
        <v>100</v>
      </c>
      <c r="C21" s="124">
        <v>0</v>
      </c>
      <c r="D21" s="21">
        <f>B21*C21</f>
        <v>0</v>
      </c>
      <c r="E21" s="72">
        <f t="shared" si="1"/>
        <v>100</v>
      </c>
      <c r="F21" s="77">
        <v>0</v>
      </c>
      <c r="G21" s="21">
        <f>E21*F21</f>
        <v>0</v>
      </c>
      <c r="H21" s="21">
        <f t="shared" si="2"/>
        <v>0</v>
      </c>
      <c r="I21" s="22" t="str">
        <f t="shared" si="3"/>
        <v>N/A</v>
      </c>
      <c r="J21" s="123">
        <f t="shared" si="0"/>
        <v>0</v>
      </c>
    </row>
    <row r="22" spans="1:10" x14ac:dyDescent="0.2">
      <c r="A22" s="109" t="s">
        <v>72</v>
      </c>
      <c r="B22" s="73"/>
      <c r="C22" s="34"/>
      <c r="D22" s="34">
        <f>SUM(D15:D21)</f>
        <v>15.465999999999999</v>
      </c>
      <c r="E22" s="72"/>
      <c r="F22" s="34"/>
      <c r="G22" s="34">
        <f>SUM(G15:G21)</f>
        <v>15.856</v>
      </c>
      <c r="H22" s="34">
        <f t="shared" si="2"/>
        <v>0.39000000000000057</v>
      </c>
      <c r="I22" s="35">
        <f t="shared" si="3"/>
        <v>2.5216604163972624E-2</v>
      </c>
      <c r="J22" s="110">
        <f t="shared" si="0"/>
        <v>0.53586964600456588</v>
      </c>
    </row>
    <row r="23" spans="1:10" s="1" customFormat="1" x14ac:dyDescent="0.2">
      <c r="A23" s="118" t="s">
        <v>81</v>
      </c>
      <c r="B23" s="119">
        <f>B8-B4</f>
        <v>9.2000000000000028</v>
      </c>
      <c r="C23" s="186">
        <f>IF(B4&gt;B7,C13,C12)</f>
        <v>9.0999999999999998E-2</v>
      </c>
      <c r="D23" s="21">
        <f>B23*C23</f>
        <v>0.83720000000000028</v>
      </c>
      <c r="E23" s="72">
        <f>B23</f>
        <v>9.2000000000000028</v>
      </c>
      <c r="F23" s="186">
        <f>C23</f>
        <v>9.0999999999999998E-2</v>
      </c>
      <c r="G23" s="21">
        <f>E23*F23</f>
        <v>0.83720000000000028</v>
      </c>
      <c r="H23" s="21">
        <f t="shared" si="2"/>
        <v>0</v>
      </c>
      <c r="I23" s="22">
        <f t="shared" si="3"/>
        <v>0</v>
      </c>
      <c r="J23" s="123">
        <f t="shared" si="0"/>
        <v>2.8294025456295582E-2</v>
      </c>
    </row>
    <row r="24" spans="1:10" x14ac:dyDescent="0.2">
      <c r="A24" s="109" t="s">
        <v>79</v>
      </c>
      <c r="B24" s="73"/>
      <c r="C24" s="34"/>
      <c r="D24" s="34">
        <f>SUM(D22,D23:D23)</f>
        <v>16.3032</v>
      </c>
      <c r="E24" s="72"/>
      <c r="F24" s="34"/>
      <c r="G24" s="34">
        <f>SUM(G22,G23:G23)</f>
        <v>16.693200000000001</v>
      </c>
      <c r="H24" s="34">
        <f t="shared" si="2"/>
        <v>0.39000000000000057</v>
      </c>
      <c r="I24" s="35">
        <f t="shared" si="3"/>
        <v>2.3921684086559727E-2</v>
      </c>
      <c r="J24" s="110">
        <f t="shared" si="0"/>
        <v>0.56416367146086155</v>
      </c>
    </row>
    <row r="25" spans="1:10" x14ac:dyDescent="0.2">
      <c r="A25" s="106" t="s">
        <v>40</v>
      </c>
      <c r="B25" s="72">
        <f>B8</f>
        <v>109.2</v>
      </c>
      <c r="C25" s="124">
        <f>VLOOKUP($B$3,'Data for Bill Impacts'!$A$3:$Y$15,15,0)</f>
        <v>3.836E-3</v>
      </c>
      <c r="D25" s="21">
        <f>B25*C25</f>
        <v>0.41889120000000002</v>
      </c>
      <c r="E25" s="72">
        <f t="shared" si="1"/>
        <v>109.2</v>
      </c>
      <c r="F25" s="77">
        <f>VLOOKUP($B$3,'Data for Bill Impacts'!$A$3:$Y$15,24,0)</f>
        <v>3.836E-3</v>
      </c>
      <c r="G25" s="21">
        <f>E25*F25</f>
        <v>0.41889120000000002</v>
      </c>
      <c r="H25" s="21">
        <f t="shared" si="2"/>
        <v>0</v>
      </c>
      <c r="I25" s="22">
        <f t="shared" si="3"/>
        <v>0</v>
      </c>
      <c r="J25" s="123">
        <f t="shared" si="0"/>
        <v>1.4156854128306497E-2</v>
      </c>
    </row>
    <row r="26" spans="1:10" s="1" customFormat="1" x14ac:dyDescent="0.2">
      <c r="A26" s="106" t="s">
        <v>41</v>
      </c>
      <c r="B26" s="72">
        <f>B8</f>
        <v>109.2</v>
      </c>
      <c r="C26" s="124">
        <f>VLOOKUP($B$3,'Data for Bill Impacts'!$A$3:$Y$15,16,0)</f>
        <v>3.6240000000000001E-3</v>
      </c>
      <c r="D26" s="21">
        <f>B26*C26</f>
        <v>0.3957408</v>
      </c>
      <c r="E26" s="72">
        <f t="shared" si="1"/>
        <v>109.2</v>
      </c>
      <c r="F26" s="77">
        <f>VLOOKUP($B$3,'Data for Bill Impacts'!$A$3:$Y$15,25,0)</f>
        <v>3.6240000000000001E-3</v>
      </c>
      <c r="G26" s="21">
        <f>E26*F26</f>
        <v>0.3957408</v>
      </c>
      <c r="H26" s="21">
        <f t="shared" si="2"/>
        <v>0</v>
      </c>
      <c r="I26" s="22">
        <f t="shared" si="3"/>
        <v>0</v>
      </c>
      <c r="J26" s="123">
        <f t="shared" si="0"/>
        <v>1.3374462815688933E-2</v>
      </c>
    </row>
    <row r="27" spans="1:10" s="1" customFormat="1" x14ac:dyDescent="0.2">
      <c r="A27" s="109" t="s">
        <v>76</v>
      </c>
      <c r="B27" s="73"/>
      <c r="C27" s="34"/>
      <c r="D27" s="34">
        <f>SUM(D25:D26)</f>
        <v>0.81463200000000002</v>
      </c>
      <c r="E27" s="72"/>
      <c r="F27" s="34"/>
      <c r="G27" s="34">
        <f>SUM(G25:G26)</f>
        <v>0.81463200000000002</v>
      </c>
      <c r="H27" s="34">
        <f t="shared" si="2"/>
        <v>0</v>
      </c>
      <c r="I27" s="35">
        <f t="shared" si="3"/>
        <v>0</v>
      </c>
      <c r="J27" s="110">
        <f t="shared" si="0"/>
        <v>2.7531316943995431E-2</v>
      </c>
    </row>
    <row r="28" spans="1:10" s="1" customFormat="1" x14ac:dyDescent="0.2">
      <c r="A28" s="109" t="s">
        <v>80</v>
      </c>
      <c r="B28" s="73"/>
      <c r="C28" s="34"/>
      <c r="D28" s="34">
        <f>D24+D27</f>
        <v>17.117832</v>
      </c>
      <c r="E28" s="72"/>
      <c r="F28" s="34"/>
      <c r="G28" s="34">
        <f>G24+G27</f>
        <v>17.507832000000001</v>
      </c>
      <c r="H28" s="34">
        <f t="shared" si="2"/>
        <v>0.39000000000000057</v>
      </c>
      <c r="I28" s="35">
        <f t="shared" si="3"/>
        <v>2.2783259001490409E-2</v>
      </c>
      <c r="J28" s="110">
        <f t="shared" si="0"/>
        <v>0.5916949884048569</v>
      </c>
    </row>
    <row r="29" spans="1:10" x14ac:dyDescent="0.2">
      <c r="A29" s="106" t="s">
        <v>42</v>
      </c>
      <c r="B29" s="72">
        <f>B8</f>
        <v>109.2</v>
      </c>
      <c r="C29" s="33">
        <v>3.5999999999999999E-3</v>
      </c>
      <c r="D29" s="21">
        <f>B29*C29</f>
        <v>0.39312000000000002</v>
      </c>
      <c r="E29" s="72">
        <f t="shared" si="1"/>
        <v>109.2</v>
      </c>
      <c r="F29" s="33">
        <v>3.5999999999999999E-3</v>
      </c>
      <c r="G29" s="21">
        <f>E29*F29</f>
        <v>0.39312000000000002</v>
      </c>
      <c r="H29" s="21">
        <f t="shared" si="2"/>
        <v>0</v>
      </c>
      <c r="I29" s="22">
        <f t="shared" si="3"/>
        <v>0</v>
      </c>
      <c r="J29" s="123">
        <f t="shared" si="0"/>
        <v>1.3285890214260531E-2</v>
      </c>
    </row>
    <row r="30" spans="1:10" s="1" customFormat="1" x14ac:dyDescent="0.2">
      <c r="A30" s="106" t="s">
        <v>43</v>
      </c>
      <c r="B30" s="72">
        <f>B8</f>
        <v>109.2</v>
      </c>
      <c r="C30" s="33">
        <v>2.0999999999999999E-3</v>
      </c>
      <c r="D30" s="21">
        <f>B30*C30</f>
        <v>0.22932</v>
      </c>
      <c r="E30" s="72">
        <f t="shared" si="1"/>
        <v>109.2</v>
      </c>
      <c r="F30" s="33">
        <v>2.0999999999999999E-3</v>
      </c>
      <c r="G30" s="21">
        <f>E30*F30</f>
        <v>0.22932</v>
      </c>
      <c r="H30" s="21">
        <f>G30-D30</f>
        <v>0</v>
      </c>
      <c r="I30" s="22">
        <f t="shared" si="3"/>
        <v>0</v>
      </c>
      <c r="J30" s="123">
        <f t="shared" si="0"/>
        <v>7.7501026249853083E-3</v>
      </c>
    </row>
    <row r="31" spans="1:10" s="1" customFormat="1" x14ac:dyDescent="0.2">
      <c r="A31" s="106" t="s">
        <v>99</v>
      </c>
      <c r="B31" s="72">
        <f>B8</f>
        <v>109.2</v>
      </c>
      <c r="C31" s="33">
        <v>0</v>
      </c>
      <c r="D31" s="21">
        <f>B31*C31</f>
        <v>0</v>
      </c>
      <c r="E31" s="72">
        <f t="shared" si="1"/>
        <v>109.2</v>
      </c>
      <c r="F31" s="33">
        <v>0</v>
      </c>
      <c r="G31" s="21">
        <f>E31*F31</f>
        <v>0</v>
      </c>
      <c r="H31" s="21">
        <f>G31-D31</f>
        <v>0</v>
      </c>
      <c r="I31" s="22" t="str">
        <f t="shared" si="3"/>
        <v>N/A</v>
      </c>
      <c r="J31" s="123">
        <f t="shared" ref="J31" si="7">G31/$G$39</f>
        <v>0</v>
      </c>
    </row>
    <row r="32" spans="1:10" x14ac:dyDescent="0.2">
      <c r="A32" s="106" t="s">
        <v>44</v>
      </c>
      <c r="B32" s="72">
        <v>1</v>
      </c>
      <c r="C32" s="21">
        <v>0.25</v>
      </c>
      <c r="D32" s="21">
        <f>B32*C32</f>
        <v>0.25</v>
      </c>
      <c r="E32" s="72">
        <f t="shared" si="1"/>
        <v>1</v>
      </c>
      <c r="F32" s="21">
        <f>C32</f>
        <v>0.25</v>
      </c>
      <c r="G32" s="21">
        <f>E32*F32</f>
        <v>0.25</v>
      </c>
      <c r="H32" s="21">
        <f t="shared" si="2"/>
        <v>0</v>
      </c>
      <c r="I32" s="22">
        <f t="shared" si="3"/>
        <v>0</v>
      </c>
      <c r="J32" s="123">
        <f t="shared" ref="J32:J39" si="8">G32/$G$39</f>
        <v>8.4490042571355624E-3</v>
      </c>
    </row>
    <row r="33" spans="1:10" s="1" customFormat="1" x14ac:dyDescent="0.2">
      <c r="A33" s="109" t="s">
        <v>45</v>
      </c>
      <c r="B33" s="73"/>
      <c r="C33" s="34"/>
      <c r="D33" s="34">
        <f>SUM(D29:D32)</f>
        <v>0.87243999999999999</v>
      </c>
      <c r="E33" s="72"/>
      <c r="F33" s="34"/>
      <c r="G33" s="34">
        <f>SUM(G29:G32)</f>
        <v>0.87243999999999999</v>
      </c>
      <c r="H33" s="34">
        <f t="shared" si="2"/>
        <v>0</v>
      </c>
      <c r="I33" s="35">
        <f t="shared" si="3"/>
        <v>0</v>
      </c>
      <c r="J33" s="110">
        <f t="shared" si="8"/>
        <v>2.9484997096381402E-2</v>
      </c>
    </row>
    <row r="34" spans="1:10" ht="13.5" thickBot="1" x14ac:dyDescent="0.25">
      <c r="A34" s="111" t="s">
        <v>46</v>
      </c>
      <c r="B34" s="112">
        <f>B4</f>
        <v>100</v>
      </c>
      <c r="C34" s="113">
        <v>7.0000000000000001E-3</v>
      </c>
      <c r="D34" s="114">
        <f>B34*C34</f>
        <v>0.70000000000000007</v>
      </c>
      <c r="E34" s="115">
        <f t="shared" si="1"/>
        <v>100</v>
      </c>
      <c r="F34" s="113">
        <f>C34</f>
        <v>7.0000000000000001E-3</v>
      </c>
      <c r="G34" s="114">
        <f>E34*F34</f>
        <v>0.70000000000000007</v>
      </c>
      <c r="H34" s="114">
        <f t="shared" si="2"/>
        <v>0</v>
      </c>
      <c r="I34" s="116">
        <f t="shared" si="3"/>
        <v>0</v>
      </c>
      <c r="J34" s="117">
        <f t="shared" si="8"/>
        <v>2.3657211919979576E-2</v>
      </c>
    </row>
    <row r="35" spans="1:10" x14ac:dyDescent="0.2">
      <c r="A35" s="36" t="s">
        <v>116</v>
      </c>
      <c r="B35" s="37"/>
      <c r="C35" s="38"/>
      <c r="D35" s="38">
        <f>SUM(D14,D24,D27,D33,D34)</f>
        <v>27.790271999999998</v>
      </c>
      <c r="E35" s="37"/>
      <c r="F35" s="38"/>
      <c r="G35" s="38">
        <f>SUM(G14,G24,G27,G33,G34)</f>
        <v>28.180271999999999</v>
      </c>
      <c r="H35" s="38">
        <f t="shared" si="2"/>
        <v>0.39000000000000057</v>
      </c>
      <c r="I35" s="39">
        <f t="shared" si="3"/>
        <v>1.4033687759515294E-2</v>
      </c>
      <c r="J35" s="40">
        <f t="shared" si="8"/>
        <v>0.95238095238095233</v>
      </c>
    </row>
    <row r="36" spans="1:10" x14ac:dyDescent="0.2">
      <c r="A36" s="45" t="s">
        <v>108</v>
      </c>
      <c r="B36" s="42"/>
      <c r="C36" s="25">
        <v>0.13</v>
      </c>
      <c r="D36" s="25">
        <f>D35*C36</f>
        <v>3.6127353599999998</v>
      </c>
      <c r="E36" s="25"/>
      <c r="F36" s="25">
        <f>C36</f>
        <v>0.13</v>
      </c>
      <c r="G36" s="25">
        <f>G35*F36</f>
        <v>3.6634353599999998</v>
      </c>
      <c r="H36" s="25">
        <f t="shared" si="2"/>
        <v>5.0699999999999967E-2</v>
      </c>
      <c r="I36" s="43">
        <f t="shared" si="3"/>
        <v>1.4033687759515264E-2</v>
      </c>
      <c r="J36" s="44">
        <f t="shared" si="8"/>
        <v>0.1238095238095238</v>
      </c>
    </row>
    <row r="37" spans="1:10" x14ac:dyDescent="0.2">
      <c r="A37" s="45" t="s">
        <v>109</v>
      </c>
      <c r="B37" s="23"/>
      <c r="C37" s="24"/>
      <c r="D37" s="24">
        <f>SUM(D35:D36)</f>
        <v>31.403007359999997</v>
      </c>
      <c r="E37" s="24"/>
      <c r="F37" s="24"/>
      <c r="G37" s="24">
        <f>SUM(G35:G36)</f>
        <v>31.84370736</v>
      </c>
      <c r="H37" s="24">
        <f t="shared" si="2"/>
        <v>0.4407000000000032</v>
      </c>
      <c r="I37" s="26">
        <f t="shared" si="3"/>
        <v>1.4033687759515375E-2</v>
      </c>
      <c r="J37" s="46">
        <f t="shared" si="8"/>
        <v>1.0761904761904761</v>
      </c>
    </row>
    <row r="38" spans="1:10" x14ac:dyDescent="0.2">
      <c r="A38" s="45" t="s">
        <v>110</v>
      </c>
      <c r="B38" s="42"/>
      <c r="C38" s="25">
        <v>-0.08</v>
      </c>
      <c r="D38" s="25">
        <f>D35*C38</f>
        <v>-2.2232217599999999</v>
      </c>
      <c r="E38" s="25"/>
      <c r="F38" s="25">
        <f>C38</f>
        <v>-0.08</v>
      </c>
      <c r="G38" s="25">
        <f>G35*F38</f>
        <v>-2.2544217600000001</v>
      </c>
      <c r="H38" s="25">
        <f t="shared" si="2"/>
        <v>-3.1200000000000117E-2</v>
      </c>
      <c r="I38" s="43">
        <f t="shared" si="3"/>
        <v>-1.4033687759515325E-2</v>
      </c>
      <c r="J38" s="44">
        <f t="shared" si="8"/>
        <v>-7.6190476190476197E-2</v>
      </c>
    </row>
    <row r="39" spans="1:10" ht="13.5" thickBot="1" x14ac:dyDescent="0.25">
      <c r="A39" s="47" t="s">
        <v>111</v>
      </c>
      <c r="B39" s="48"/>
      <c r="C39" s="49"/>
      <c r="D39" s="49">
        <f>SUM(D37:D38)</f>
        <v>29.179785599999995</v>
      </c>
      <c r="E39" s="49"/>
      <c r="F39" s="49"/>
      <c r="G39" s="49">
        <f>SUM(G37:G38)</f>
        <v>29.5892856</v>
      </c>
      <c r="H39" s="49">
        <f t="shared" si="2"/>
        <v>0.40950000000000486</v>
      </c>
      <c r="I39" s="50">
        <f t="shared" si="3"/>
        <v>1.4033687759515441E-2</v>
      </c>
      <c r="J39" s="51">
        <f t="shared" si="8"/>
        <v>1</v>
      </c>
    </row>
    <row r="40" spans="1:10" x14ac:dyDescent="0.2">
      <c r="A40" s="184"/>
      <c r="D40" s="71"/>
      <c r="F40" s="68"/>
    </row>
    <row r="41" spans="1:10" x14ac:dyDescent="0.2">
      <c r="A41" s="184"/>
      <c r="F41" s="68"/>
    </row>
    <row r="42" spans="1:10" x14ac:dyDescent="0.2">
      <c r="A42" s="185"/>
      <c r="B42" s="70"/>
      <c r="F42" s="68"/>
    </row>
    <row r="43" spans="1:10" x14ac:dyDescent="0.2">
      <c r="A43" s="184"/>
      <c r="B43" s="71"/>
      <c r="D43" s="71"/>
      <c r="F43" s="68"/>
    </row>
    <row r="44" spans="1:10" x14ac:dyDescent="0.2">
      <c r="A44" s="184"/>
      <c r="F44" s="68"/>
    </row>
    <row r="45" spans="1:10" x14ac:dyDescent="0.2">
      <c r="A45" s="184"/>
      <c r="F45" s="68"/>
    </row>
    <row r="46" spans="1:10" x14ac:dyDescent="0.2">
      <c r="A46" s="184"/>
      <c r="F46" s="68"/>
    </row>
    <row r="47" spans="1:10" x14ac:dyDescent="0.2">
      <c r="A47" s="184"/>
      <c r="F47" s="68"/>
    </row>
    <row r="48" spans="1:10" x14ac:dyDescent="0.2">
      <c r="A48" s="184"/>
      <c r="F48" s="68"/>
    </row>
    <row r="49" spans="1:6" x14ac:dyDescent="0.2">
      <c r="A49" s="184"/>
      <c r="F49" s="68"/>
    </row>
    <row r="50" spans="1:6" x14ac:dyDescent="0.2">
      <c r="A50" s="184"/>
      <c r="F50" s="68"/>
    </row>
    <row r="51" spans="1:6" x14ac:dyDescent="0.2">
      <c r="A51" s="184"/>
    </row>
    <row r="52" spans="1:6" x14ac:dyDescent="0.2">
      <c r="A52" s="184"/>
    </row>
    <row r="53" spans="1:6" x14ac:dyDescent="0.2">
      <c r="A53" s="184"/>
    </row>
    <row r="54" spans="1:6" x14ac:dyDescent="0.2">
      <c r="A54" s="184"/>
    </row>
  </sheetData>
  <mergeCells count="1">
    <mergeCell ref="A1:J1"/>
  </mergeCells>
  <pageMargins left="0.7" right="0.7" top="0.75" bottom="0.75" header="0.3" footer="0.3"/>
  <pageSetup scale="80"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Impacts'!$A$3:$A$11</xm:f>
          </x14:formula1>
          <xm:sqref>B3</xm:sqref>
        </x14:dataValidation>
      </x14:dataValidation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tabColor theme="1" tint="0.499984740745262"/>
    <pageSetUpPr fitToPage="1"/>
  </sheetPr>
  <dimension ref="A1:J54"/>
  <sheetViews>
    <sheetView tabSelected="1" topLeftCell="A10" zoomScaleNormal="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205" t="s">
        <v>127</v>
      </c>
      <c r="B1" s="206"/>
      <c r="C1" s="206"/>
      <c r="D1" s="206"/>
      <c r="E1" s="206"/>
      <c r="F1" s="206"/>
      <c r="G1" s="206"/>
      <c r="H1" s="206"/>
      <c r="I1" s="206"/>
      <c r="J1" s="207"/>
    </row>
    <row r="3" spans="1:10" ht="15" customHeight="1" x14ac:dyDescent="0.2">
      <c r="A3" s="12" t="s">
        <v>13</v>
      </c>
      <c r="B3" s="12" t="s">
        <v>8</v>
      </c>
    </row>
    <row r="4" spans="1:10" x14ac:dyDescent="0.2">
      <c r="A4" s="14" t="s">
        <v>62</v>
      </c>
      <c r="B4" s="78">
        <f>'Data for Bill Impacts_HONI Avg '!C9</f>
        <v>517</v>
      </c>
    </row>
    <row r="5" spans="1:10" x14ac:dyDescent="0.2">
      <c r="A5" s="14" t="s">
        <v>16</v>
      </c>
      <c r="B5" s="14">
        <f>VLOOKUP($B$3,'Data for Bill Impacts'!$A$3:$Y$15,5,0)</f>
        <v>0</v>
      </c>
    </row>
    <row r="6" spans="1:10" x14ac:dyDescent="0.2">
      <c r="A6" s="14" t="s">
        <v>20</v>
      </c>
      <c r="B6" s="14">
        <f>VLOOKUP($B$3,'Data for Bill Impacts'!$A$3:$Y$15,2,0)</f>
        <v>1.0920000000000001</v>
      </c>
    </row>
    <row r="7" spans="1:10" x14ac:dyDescent="0.2">
      <c r="A7" s="14" t="s">
        <v>15</v>
      </c>
      <c r="B7" s="14">
        <f>VLOOKUP($B$3,'Data for Bill Impacts'!$A$3:$Y$15,4,0)</f>
        <v>750</v>
      </c>
    </row>
    <row r="8" spans="1:10" x14ac:dyDescent="0.2">
      <c r="A8" s="14" t="s">
        <v>82</v>
      </c>
      <c r="B8" s="14">
        <f>B4*B6</f>
        <v>564.56400000000008</v>
      </c>
    </row>
    <row r="9" spans="1:10" x14ac:dyDescent="0.2">
      <c r="A9" s="14" t="s">
        <v>21</v>
      </c>
      <c r="B9" s="15" t="str">
        <f>VLOOKUP($B$3,'Data for Bill Impacts'!$A$3:$Y$15,6,0)</f>
        <v>kWh</v>
      </c>
    </row>
    <row r="10" spans="1:10" ht="13.5" thickBot="1" x14ac:dyDescent="0.25"/>
    <row r="11" spans="1:10" s="19" customFormat="1" ht="39" thickBot="1" x14ac:dyDescent="0.25">
      <c r="A11" s="16"/>
      <c r="B11" s="17" t="s">
        <v>22</v>
      </c>
      <c r="C11" s="17" t="s">
        <v>23</v>
      </c>
      <c r="D11" s="17" t="s">
        <v>24</v>
      </c>
      <c r="E11" s="17" t="s">
        <v>22</v>
      </c>
      <c r="F11" s="17" t="s">
        <v>25</v>
      </c>
      <c r="G11" s="17" t="s">
        <v>26</v>
      </c>
      <c r="H11" s="17" t="s">
        <v>27</v>
      </c>
      <c r="I11" s="17" t="s">
        <v>28</v>
      </c>
      <c r="J11" s="121" t="s">
        <v>29</v>
      </c>
    </row>
    <row r="12" spans="1:10" x14ac:dyDescent="0.2">
      <c r="A12" s="100" t="s">
        <v>31</v>
      </c>
      <c r="B12" s="101">
        <f>IF(B4&gt;B7,B7,B4)</f>
        <v>517</v>
      </c>
      <c r="C12" s="102">
        <v>9.0999999999999998E-2</v>
      </c>
      <c r="D12" s="103">
        <f>B12*C12</f>
        <v>47.046999999999997</v>
      </c>
      <c r="E12" s="101">
        <f>B12</f>
        <v>517</v>
      </c>
      <c r="F12" s="102">
        <f>C12</f>
        <v>9.0999999999999998E-2</v>
      </c>
      <c r="G12" s="103">
        <f>E12*F12</f>
        <v>47.046999999999997</v>
      </c>
      <c r="H12" s="103">
        <f>G12-D12</f>
        <v>0</v>
      </c>
      <c r="I12" s="104">
        <f>IF(ISERROR(H12/ABS(D12)),"N/A",(H12/ABS(D12)))</f>
        <v>0</v>
      </c>
      <c r="J12" s="122">
        <f t="shared" ref="J12:J39" si="0">G12/$G$39</f>
        <v>0.36187211276544357</v>
      </c>
    </row>
    <row r="13" spans="1:10" x14ac:dyDescent="0.2">
      <c r="A13" s="106" t="s">
        <v>32</v>
      </c>
      <c r="B13" s="72">
        <f>IF(B4&gt;B7,(B4)-B7,0)</f>
        <v>0</v>
      </c>
      <c r="C13" s="20">
        <v>0.106</v>
      </c>
      <c r="D13" s="21">
        <f>B13*C13</f>
        <v>0</v>
      </c>
      <c r="E13" s="72">
        <f t="shared" ref="E13" si="1">B13</f>
        <v>0</v>
      </c>
      <c r="F13" s="20">
        <f>C13</f>
        <v>0.106</v>
      </c>
      <c r="G13" s="21">
        <f>E13*F13</f>
        <v>0</v>
      </c>
      <c r="H13" s="21">
        <f t="shared" ref="H13:H39" si="2">G13-D13</f>
        <v>0</v>
      </c>
      <c r="I13" s="22" t="str">
        <f t="shared" ref="I13:I39" si="3">IF(ISERROR(H13/ABS(D13)),"N/A",(H13/ABS(D13)))</f>
        <v>N/A</v>
      </c>
      <c r="J13" s="123">
        <f t="shared" si="0"/>
        <v>0</v>
      </c>
    </row>
    <row r="14" spans="1:10" s="1" customFormat="1" x14ac:dyDescent="0.2">
      <c r="A14" s="45" t="s">
        <v>33</v>
      </c>
      <c r="B14" s="23"/>
      <c r="C14" s="24"/>
      <c r="D14" s="24">
        <f>SUM(D12:D13)</f>
        <v>47.046999999999997</v>
      </c>
      <c r="E14" s="75"/>
      <c r="F14" s="24"/>
      <c r="G14" s="24">
        <f>SUM(G12:G13)</f>
        <v>47.046999999999997</v>
      </c>
      <c r="H14" s="24">
        <f t="shared" si="2"/>
        <v>0</v>
      </c>
      <c r="I14" s="26">
        <f t="shared" si="3"/>
        <v>0</v>
      </c>
      <c r="J14" s="46">
        <f t="shared" si="0"/>
        <v>0.36187211276544357</v>
      </c>
    </row>
    <row r="15" spans="1:10" x14ac:dyDescent="0.2">
      <c r="A15" s="106" t="s">
        <v>38</v>
      </c>
      <c r="B15" s="72">
        <v>1</v>
      </c>
      <c r="C15" s="77">
        <f>VLOOKUP($B$3,'Data for Bill Impacts'!$A$3:$Y$15,7,0)</f>
        <v>4.7699999999999996</v>
      </c>
      <c r="D15" s="21">
        <f>B15*C15</f>
        <v>4.7699999999999996</v>
      </c>
      <c r="E15" s="72">
        <f t="shared" ref="E15:E34" si="4">B15</f>
        <v>1</v>
      </c>
      <c r="F15" s="77">
        <f>VLOOKUP($B$3,'Data for Bill Impacts'!$A$3:$Y$15,17,0)</f>
        <v>4.88</v>
      </c>
      <c r="G15" s="21">
        <f>E15*F15</f>
        <v>4.88</v>
      </c>
      <c r="H15" s="21">
        <f t="shared" si="2"/>
        <v>0.11000000000000032</v>
      </c>
      <c r="I15" s="22">
        <f t="shared" si="3"/>
        <v>2.3060796645702375E-2</v>
      </c>
      <c r="J15" s="123">
        <f t="shared" si="0"/>
        <v>3.7535568905463994E-2</v>
      </c>
    </row>
    <row r="16" spans="1:10" hidden="1" x14ac:dyDescent="0.2">
      <c r="A16" s="106" t="s">
        <v>88</v>
      </c>
      <c r="B16" s="72">
        <v>1</v>
      </c>
      <c r="C16" s="77">
        <v>0</v>
      </c>
      <c r="D16" s="21">
        <f>B16*C16</f>
        <v>0</v>
      </c>
      <c r="E16" s="72">
        <f t="shared" si="4"/>
        <v>1</v>
      </c>
      <c r="F16" s="77">
        <v>0</v>
      </c>
      <c r="G16" s="21">
        <f t="shared" ref="G16:G18" si="5">E16*F16</f>
        <v>0</v>
      </c>
      <c r="H16" s="21">
        <f t="shared" si="2"/>
        <v>0</v>
      </c>
      <c r="I16" s="22" t="str">
        <f t="shared" si="3"/>
        <v>N/A</v>
      </c>
      <c r="J16" s="123">
        <f t="shared" si="0"/>
        <v>0</v>
      </c>
    </row>
    <row r="17" spans="1:10" hidden="1" x14ac:dyDescent="0.2">
      <c r="A17" s="106" t="s">
        <v>84</v>
      </c>
      <c r="B17" s="72">
        <v>1</v>
      </c>
      <c r="C17" s="77">
        <v>0</v>
      </c>
      <c r="D17" s="21">
        <f t="shared" ref="D17:D18" si="6">B17*C17</f>
        <v>0</v>
      </c>
      <c r="E17" s="72">
        <f t="shared" si="4"/>
        <v>1</v>
      </c>
      <c r="F17" s="77">
        <v>0</v>
      </c>
      <c r="G17" s="21">
        <f t="shared" si="5"/>
        <v>0</v>
      </c>
      <c r="H17" s="21">
        <f t="shared" si="2"/>
        <v>0</v>
      </c>
      <c r="I17" s="22" t="str">
        <f t="shared" si="3"/>
        <v>N/A</v>
      </c>
      <c r="J17" s="123">
        <f t="shared" si="0"/>
        <v>0</v>
      </c>
    </row>
    <row r="18" spans="1:10" x14ac:dyDescent="0.2">
      <c r="A18" s="106" t="s">
        <v>85</v>
      </c>
      <c r="B18" s="72">
        <v>1</v>
      </c>
      <c r="C18" s="120">
        <f>VLOOKUP($B$3,'Data for Bill Impacts'!$A$3:$Y$15,13,0)</f>
        <v>7.0000000000000001E-3</v>
      </c>
      <c r="D18" s="21">
        <f t="shared" si="6"/>
        <v>7.0000000000000001E-3</v>
      </c>
      <c r="E18" s="72">
        <f t="shared" si="4"/>
        <v>1</v>
      </c>
      <c r="F18" s="120">
        <f>VLOOKUP($B$3,'Data for Bill Impacts'!$A$3:$Y$15,22,0)</f>
        <v>7.0000000000000001E-3</v>
      </c>
      <c r="G18" s="21">
        <f t="shared" si="5"/>
        <v>7.0000000000000001E-3</v>
      </c>
      <c r="H18" s="21">
        <f t="shared" si="2"/>
        <v>0</v>
      </c>
      <c r="I18" s="22">
        <f t="shared" si="3"/>
        <v>0</v>
      </c>
      <c r="J18" s="123">
        <f t="shared" si="0"/>
        <v>5.384200457750983E-5</v>
      </c>
    </row>
    <row r="19" spans="1:10" x14ac:dyDescent="0.2">
      <c r="A19" s="106" t="s">
        <v>39</v>
      </c>
      <c r="B19" s="72">
        <f>IF($B$9="kWh",$B$4,$B$5)</f>
        <v>517</v>
      </c>
      <c r="C19" s="124">
        <f>VLOOKUP($B$3,'Data for Bill Impacts'!$A$3:$Y$15,10,0)</f>
        <v>0.1069</v>
      </c>
      <c r="D19" s="21">
        <f>B19*C19</f>
        <v>55.267299999999999</v>
      </c>
      <c r="E19" s="72">
        <f t="shared" si="4"/>
        <v>517</v>
      </c>
      <c r="F19" s="77">
        <f>VLOOKUP($B$3,'Data for Bill Impacts'!$A$3:$Y$15,19,0)</f>
        <v>0.10970000000000001</v>
      </c>
      <c r="G19" s="21">
        <f>E19*F19</f>
        <v>56.7149</v>
      </c>
      <c r="H19" s="21">
        <f t="shared" si="2"/>
        <v>1.4476000000000013</v>
      </c>
      <c r="I19" s="22">
        <f t="shared" si="3"/>
        <v>2.6192703461178697E-2</v>
      </c>
      <c r="J19" s="123">
        <f t="shared" si="0"/>
        <v>0.43623484363043036</v>
      </c>
    </row>
    <row r="20" spans="1:10" s="1" customFormat="1" x14ac:dyDescent="0.2">
      <c r="A20" s="106" t="s">
        <v>129</v>
      </c>
      <c r="B20" s="72">
        <f>IF($B$9="kWh",$B$4,$B$5)</f>
        <v>517</v>
      </c>
      <c r="C20" s="187">
        <f>VLOOKUP($B$3,'Data for Bill Impacts'!$A$3:$Y$15,14,0)</f>
        <v>-9.9999999999999991E-6</v>
      </c>
      <c r="D20" s="21">
        <f>B20*C20</f>
        <v>-5.1699999999999992E-3</v>
      </c>
      <c r="E20" s="72">
        <f>B20</f>
        <v>517</v>
      </c>
      <c r="F20" s="77">
        <f>VLOOKUP($B$3,'Data for Bill Impacts'!$A$3:$Y$15,23,0)</f>
        <v>-9.9999999999999991E-6</v>
      </c>
      <c r="G20" s="21">
        <f>E20*F20</f>
        <v>-5.1699999999999992E-3</v>
      </c>
      <c r="H20" s="21">
        <f>G20-D20</f>
        <v>0</v>
      </c>
      <c r="I20" s="22">
        <f t="shared" si="3"/>
        <v>0</v>
      </c>
      <c r="J20" s="123">
        <f t="shared" si="0"/>
        <v>-3.9766166237960828E-5</v>
      </c>
    </row>
    <row r="21" spans="1:10" hidden="1" x14ac:dyDescent="0.2">
      <c r="A21" s="106" t="s">
        <v>86</v>
      </c>
      <c r="B21" s="72">
        <f>IF($B$9="kWh",$B$4,$B$5)</f>
        <v>517</v>
      </c>
      <c r="C21" s="124">
        <v>0</v>
      </c>
      <c r="D21" s="21">
        <f>B21*C21</f>
        <v>0</v>
      </c>
      <c r="E21" s="72">
        <f t="shared" si="4"/>
        <v>517</v>
      </c>
      <c r="F21" s="77">
        <v>0</v>
      </c>
      <c r="G21" s="21">
        <f>E21*F21</f>
        <v>0</v>
      </c>
      <c r="H21" s="21">
        <f t="shared" si="2"/>
        <v>0</v>
      </c>
      <c r="I21" s="22" t="str">
        <f t="shared" si="3"/>
        <v>N/A</v>
      </c>
      <c r="J21" s="123">
        <f t="shared" si="0"/>
        <v>0</v>
      </c>
    </row>
    <row r="22" spans="1:10" x14ac:dyDescent="0.2">
      <c r="A22" s="109" t="s">
        <v>72</v>
      </c>
      <c r="B22" s="73"/>
      <c r="C22" s="34"/>
      <c r="D22" s="34">
        <f>SUM(D15:D21)</f>
        <v>60.03913</v>
      </c>
      <c r="E22" s="72"/>
      <c r="F22" s="34"/>
      <c r="G22" s="34">
        <f>SUM(G15:G21)</f>
        <v>61.596730000000001</v>
      </c>
      <c r="H22" s="34">
        <f t="shared" si="2"/>
        <v>1.5576000000000008</v>
      </c>
      <c r="I22" s="35">
        <f t="shared" si="3"/>
        <v>2.594308078747978E-2</v>
      </c>
      <c r="J22" s="110">
        <f t="shared" si="0"/>
        <v>0.47378448837423387</v>
      </c>
    </row>
    <row r="23" spans="1:10" s="1" customFormat="1" x14ac:dyDescent="0.2">
      <c r="A23" s="118" t="s">
        <v>81</v>
      </c>
      <c r="B23" s="119">
        <f>B8-B4</f>
        <v>47.564000000000078</v>
      </c>
      <c r="C23" s="186">
        <f>IF(B4&gt;B7,C13,C12)</f>
        <v>9.0999999999999998E-2</v>
      </c>
      <c r="D23" s="21">
        <f>B23*C23</f>
        <v>4.3283240000000074</v>
      </c>
      <c r="E23" s="72">
        <f>B23</f>
        <v>47.564000000000078</v>
      </c>
      <c r="F23" s="186">
        <f>C23</f>
        <v>9.0999999999999998E-2</v>
      </c>
      <c r="G23" s="21">
        <f>E23*F23</f>
        <v>4.3283240000000074</v>
      </c>
      <c r="H23" s="21">
        <f t="shared" si="2"/>
        <v>0</v>
      </c>
      <c r="I23" s="22">
        <f t="shared" si="3"/>
        <v>0</v>
      </c>
      <c r="J23" s="123">
        <f t="shared" si="0"/>
        <v>3.3292234374420866E-2</v>
      </c>
    </row>
    <row r="24" spans="1:10" x14ac:dyDescent="0.2">
      <c r="A24" s="109" t="s">
        <v>79</v>
      </c>
      <c r="B24" s="73"/>
      <c r="C24" s="34"/>
      <c r="D24" s="34">
        <f>SUM(D22,D23:D23)</f>
        <v>64.367454000000009</v>
      </c>
      <c r="E24" s="72"/>
      <c r="F24" s="34"/>
      <c r="G24" s="34">
        <f>SUM(G22,G23:G23)</f>
        <v>65.925054000000003</v>
      </c>
      <c r="H24" s="34">
        <f t="shared" si="2"/>
        <v>1.5575999999999937</v>
      </c>
      <c r="I24" s="35">
        <f t="shared" si="3"/>
        <v>2.4198564696997233E-2</v>
      </c>
      <c r="J24" s="110">
        <f t="shared" si="0"/>
        <v>0.50707672274865467</v>
      </c>
    </row>
    <row r="25" spans="1:10" x14ac:dyDescent="0.2">
      <c r="A25" s="106" t="s">
        <v>40</v>
      </c>
      <c r="B25" s="72">
        <f>B8</f>
        <v>564.56400000000008</v>
      </c>
      <c r="C25" s="124">
        <f>VLOOKUP($B$3,'Data for Bill Impacts'!$A$3:$Y$15,15,0)</f>
        <v>3.836E-3</v>
      </c>
      <c r="D25" s="21">
        <f>B25*C25</f>
        <v>2.1656675040000004</v>
      </c>
      <c r="E25" s="72">
        <f t="shared" si="4"/>
        <v>564.56400000000008</v>
      </c>
      <c r="F25" s="77">
        <f>VLOOKUP($B$3,'Data for Bill Impacts'!$A$3:$Y$15,24,0)</f>
        <v>3.836E-3</v>
      </c>
      <c r="G25" s="21">
        <f>E25*F25</f>
        <v>2.1656675040000004</v>
      </c>
      <c r="H25" s="21">
        <f t="shared" si="2"/>
        <v>0</v>
      </c>
      <c r="I25" s="22">
        <f t="shared" si="3"/>
        <v>0</v>
      </c>
      <c r="J25" s="123">
        <f t="shared" si="0"/>
        <v>1.6657697094818902E-2</v>
      </c>
    </row>
    <row r="26" spans="1:10" s="1" customFormat="1" x14ac:dyDescent="0.2">
      <c r="A26" s="106" t="s">
        <v>41</v>
      </c>
      <c r="B26" s="72">
        <f>B8</f>
        <v>564.56400000000008</v>
      </c>
      <c r="C26" s="124">
        <f>VLOOKUP($B$3,'Data for Bill Impacts'!$A$3:$Y$15,16,0)</f>
        <v>3.6240000000000001E-3</v>
      </c>
      <c r="D26" s="21">
        <f>B26*C26</f>
        <v>2.0459799360000002</v>
      </c>
      <c r="E26" s="72">
        <f t="shared" si="4"/>
        <v>564.56400000000008</v>
      </c>
      <c r="F26" s="77">
        <f>VLOOKUP($B$3,'Data for Bill Impacts'!$A$3:$Y$15,25,0)</f>
        <v>3.6240000000000001E-3</v>
      </c>
      <c r="G26" s="21">
        <f>E26*F26</f>
        <v>2.0459799360000002</v>
      </c>
      <c r="H26" s="21">
        <f t="shared" si="2"/>
        <v>0</v>
      </c>
      <c r="I26" s="22">
        <f t="shared" si="3"/>
        <v>0</v>
      </c>
      <c r="J26" s="123">
        <f t="shared" si="0"/>
        <v>1.5737094439943613E-2</v>
      </c>
    </row>
    <row r="27" spans="1:10" s="1" customFormat="1" x14ac:dyDescent="0.2">
      <c r="A27" s="109" t="s">
        <v>76</v>
      </c>
      <c r="B27" s="73"/>
      <c r="C27" s="34"/>
      <c r="D27" s="34">
        <f>SUM(D25:D26)</f>
        <v>4.2116474400000001</v>
      </c>
      <c r="E27" s="72"/>
      <c r="F27" s="34"/>
      <c r="G27" s="34">
        <f>SUM(G25:G26)</f>
        <v>4.2116474400000001</v>
      </c>
      <c r="H27" s="34">
        <f t="shared" si="2"/>
        <v>0</v>
      </c>
      <c r="I27" s="35">
        <f t="shared" si="3"/>
        <v>0</v>
      </c>
      <c r="J27" s="110">
        <f t="shared" si="0"/>
        <v>3.2394791534762511E-2</v>
      </c>
    </row>
    <row r="28" spans="1:10" s="1" customFormat="1" x14ac:dyDescent="0.2">
      <c r="A28" s="109" t="s">
        <v>80</v>
      </c>
      <c r="B28" s="73"/>
      <c r="C28" s="34"/>
      <c r="D28" s="34">
        <f>D24+D27</f>
        <v>68.579101440000017</v>
      </c>
      <c r="E28" s="72"/>
      <c r="F28" s="34"/>
      <c r="G28" s="34">
        <f>G24+G27</f>
        <v>70.136701439999996</v>
      </c>
      <c r="H28" s="34">
        <f t="shared" si="2"/>
        <v>1.5575999999999794</v>
      </c>
      <c r="I28" s="35">
        <f t="shared" si="3"/>
        <v>2.2712458566735913E-2</v>
      </c>
      <c r="J28" s="110">
        <f t="shared" si="0"/>
        <v>0.53947151428341711</v>
      </c>
    </row>
    <row r="29" spans="1:10" x14ac:dyDescent="0.2">
      <c r="A29" s="106" t="s">
        <v>42</v>
      </c>
      <c r="B29" s="72">
        <f>B8</f>
        <v>564.56400000000008</v>
      </c>
      <c r="C29" s="33">
        <v>3.5999999999999999E-3</v>
      </c>
      <c r="D29" s="21">
        <f>B29*C29</f>
        <v>2.0324304000000004</v>
      </c>
      <c r="E29" s="72">
        <f t="shared" si="4"/>
        <v>564.56400000000008</v>
      </c>
      <c r="F29" s="33">
        <v>3.5999999999999999E-3</v>
      </c>
      <c r="G29" s="21">
        <f>E29*F29</f>
        <v>2.0324304000000004</v>
      </c>
      <c r="H29" s="21">
        <f t="shared" si="2"/>
        <v>0</v>
      </c>
      <c r="I29" s="22">
        <f t="shared" si="3"/>
        <v>0</v>
      </c>
      <c r="J29" s="123">
        <f t="shared" si="0"/>
        <v>1.5632875271467166E-2</v>
      </c>
    </row>
    <row r="30" spans="1:10" s="1" customFormat="1" x14ac:dyDescent="0.2">
      <c r="A30" s="106" t="s">
        <v>43</v>
      </c>
      <c r="B30" s="72">
        <f>B8</f>
        <v>564.56400000000008</v>
      </c>
      <c r="C30" s="33">
        <v>1.2999999999999999E-3</v>
      </c>
      <c r="D30" s="21">
        <f>B30*C30</f>
        <v>0.73393320000000006</v>
      </c>
      <c r="E30" s="72">
        <f t="shared" si="4"/>
        <v>564.56400000000008</v>
      </c>
      <c r="F30" s="33">
        <v>1.2999999999999999E-3</v>
      </c>
      <c r="G30" s="21">
        <f>E30*F30</f>
        <v>0.73393320000000006</v>
      </c>
      <c r="H30" s="21">
        <f>G30-D30</f>
        <v>0</v>
      </c>
      <c r="I30" s="22">
        <f t="shared" si="3"/>
        <v>0</v>
      </c>
      <c r="J30" s="123">
        <f t="shared" si="0"/>
        <v>5.6452049591409204E-3</v>
      </c>
    </row>
    <row r="31" spans="1:10" s="1" customFormat="1" x14ac:dyDescent="0.2">
      <c r="A31" s="106" t="s">
        <v>99</v>
      </c>
      <c r="B31" s="72">
        <f>B8</f>
        <v>564.56400000000008</v>
      </c>
      <c r="C31" s="33">
        <v>0</v>
      </c>
      <c r="D31" s="21">
        <f>B31*C31</f>
        <v>0</v>
      </c>
      <c r="E31" s="72">
        <f t="shared" si="4"/>
        <v>564.56400000000008</v>
      </c>
      <c r="F31" s="33">
        <v>0</v>
      </c>
      <c r="G31" s="21">
        <f>E31*F31</f>
        <v>0</v>
      </c>
      <c r="H31" s="21">
        <f>G31-D31</f>
        <v>0</v>
      </c>
      <c r="I31" s="22" t="str">
        <f t="shared" si="3"/>
        <v>N/A</v>
      </c>
      <c r="J31" s="123">
        <f t="shared" si="0"/>
        <v>0</v>
      </c>
    </row>
    <row r="32" spans="1:10" x14ac:dyDescent="0.2">
      <c r="A32" s="106" t="s">
        <v>44</v>
      </c>
      <c r="B32" s="72">
        <v>1</v>
      </c>
      <c r="C32" s="21">
        <v>0.25</v>
      </c>
      <c r="D32" s="21">
        <f>B32*C32</f>
        <v>0.25</v>
      </c>
      <c r="E32" s="72">
        <f t="shared" si="4"/>
        <v>1</v>
      </c>
      <c r="F32" s="21">
        <f>C32</f>
        <v>0.25</v>
      </c>
      <c r="G32" s="21">
        <f>E32*F32</f>
        <v>0.25</v>
      </c>
      <c r="H32" s="21">
        <f t="shared" si="2"/>
        <v>0</v>
      </c>
      <c r="I32" s="22">
        <f t="shared" si="3"/>
        <v>0</v>
      </c>
      <c r="J32" s="123">
        <f t="shared" si="0"/>
        <v>1.9229287349110653E-3</v>
      </c>
    </row>
    <row r="33" spans="1:10" s="1" customFormat="1" x14ac:dyDescent="0.2">
      <c r="A33" s="109" t="s">
        <v>45</v>
      </c>
      <c r="B33" s="73"/>
      <c r="C33" s="34"/>
      <c r="D33" s="34">
        <f>SUM(D29:D32)</f>
        <v>3.0163636000000005</v>
      </c>
      <c r="E33" s="72"/>
      <c r="F33" s="34"/>
      <c r="G33" s="34">
        <f>SUM(G29:G32)</f>
        <v>3.0163636000000005</v>
      </c>
      <c r="H33" s="34">
        <f t="shared" si="2"/>
        <v>0</v>
      </c>
      <c r="I33" s="35">
        <f t="shared" si="3"/>
        <v>0</v>
      </c>
      <c r="J33" s="110">
        <f t="shared" si="0"/>
        <v>2.3201008965519153E-2</v>
      </c>
    </row>
    <row r="34" spans="1:10" ht="13.5" thickBot="1" x14ac:dyDescent="0.25">
      <c r="A34" s="111" t="s">
        <v>46</v>
      </c>
      <c r="B34" s="112">
        <f>B4</f>
        <v>517</v>
      </c>
      <c r="C34" s="113">
        <v>7.0000000000000001E-3</v>
      </c>
      <c r="D34" s="114">
        <f>B34*C34</f>
        <v>3.6190000000000002</v>
      </c>
      <c r="E34" s="115">
        <f t="shared" si="4"/>
        <v>517</v>
      </c>
      <c r="F34" s="113">
        <f>C34</f>
        <v>7.0000000000000001E-3</v>
      </c>
      <c r="G34" s="114">
        <f>E34*F34</f>
        <v>3.6190000000000002</v>
      </c>
      <c r="H34" s="114">
        <f t="shared" si="2"/>
        <v>0</v>
      </c>
      <c r="I34" s="116">
        <f t="shared" si="3"/>
        <v>0</v>
      </c>
      <c r="J34" s="117">
        <f t="shared" si="0"/>
        <v>2.7836316366572585E-2</v>
      </c>
    </row>
    <row r="35" spans="1:10" x14ac:dyDescent="0.2">
      <c r="A35" s="36" t="s">
        <v>116</v>
      </c>
      <c r="B35" s="37"/>
      <c r="C35" s="38"/>
      <c r="D35" s="38">
        <f>SUM(D14,D24,D27,D33,D34)</f>
        <v>122.26146504000002</v>
      </c>
      <c r="E35" s="37"/>
      <c r="F35" s="38"/>
      <c r="G35" s="38">
        <f>SUM(G14,G24,G27,G33,G34)</f>
        <v>123.81906504</v>
      </c>
      <c r="H35" s="38">
        <f t="shared" si="2"/>
        <v>1.5575999999999794</v>
      </c>
      <c r="I35" s="39">
        <f t="shared" si="3"/>
        <v>1.2739909500433213E-2</v>
      </c>
      <c r="J35" s="40">
        <f t="shared" si="0"/>
        <v>0.95238095238095244</v>
      </c>
    </row>
    <row r="36" spans="1:10" x14ac:dyDescent="0.2">
      <c r="A36" s="45" t="s">
        <v>108</v>
      </c>
      <c r="B36" s="42"/>
      <c r="C36" s="25">
        <v>0.13</v>
      </c>
      <c r="D36" s="25">
        <f>D35*C36</f>
        <v>15.893990455200003</v>
      </c>
      <c r="E36" s="25"/>
      <c r="F36" s="25">
        <f>C36</f>
        <v>0.13</v>
      </c>
      <c r="G36" s="25">
        <f>G35*F36</f>
        <v>16.0964784552</v>
      </c>
      <c r="H36" s="25">
        <f t="shared" si="2"/>
        <v>0.20248799999999711</v>
      </c>
      <c r="I36" s="43">
        <f t="shared" si="3"/>
        <v>1.2739909500433201E-2</v>
      </c>
      <c r="J36" s="44">
        <f t="shared" si="0"/>
        <v>0.12380952380952383</v>
      </c>
    </row>
    <row r="37" spans="1:10" x14ac:dyDescent="0.2">
      <c r="A37" s="45" t="s">
        <v>109</v>
      </c>
      <c r="B37" s="23"/>
      <c r="C37" s="24"/>
      <c r="D37" s="24">
        <f>SUM(D35:D36)</f>
        <v>138.15545549520002</v>
      </c>
      <c r="E37" s="24"/>
      <c r="F37" s="24"/>
      <c r="G37" s="24">
        <f>SUM(G35:G36)</f>
        <v>139.91554349519998</v>
      </c>
      <c r="H37" s="24">
        <f t="shared" si="2"/>
        <v>1.7600879999999677</v>
      </c>
      <c r="I37" s="26">
        <f t="shared" si="3"/>
        <v>1.2739909500433149E-2</v>
      </c>
      <c r="J37" s="46">
        <f t="shared" si="0"/>
        <v>1.0761904761904761</v>
      </c>
    </row>
    <row r="38" spans="1:10" x14ac:dyDescent="0.2">
      <c r="A38" s="45" t="s">
        <v>110</v>
      </c>
      <c r="B38" s="42"/>
      <c r="C38" s="25">
        <v>-0.08</v>
      </c>
      <c r="D38" s="25">
        <f>D35*C38</f>
        <v>-9.7809172032000014</v>
      </c>
      <c r="E38" s="25"/>
      <c r="F38" s="25">
        <f>C38</f>
        <v>-0.08</v>
      </c>
      <c r="G38" s="25">
        <f>G35*F38</f>
        <v>-9.9055252031999999</v>
      </c>
      <c r="H38" s="25">
        <f t="shared" si="2"/>
        <v>-0.1246079999999985</v>
      </c>
      <c r="I38" s="43">
        <f t="shared" si="3"/>
        <v>-1.2739909500433228E-2</v>
      </c>
      <c r="J38" s="44">
        <f t="shared" si="0"/>
        <v>-7.6190476190476197E-2</v>
      </c>
    </row>
    <row r="39" spans="1:10" ht="13.5" thickBot="1" x14ac:dyDescent="0.25">
      <c r="A39" s="47" t="s">
        <v>111</v>
      </c>
      <c r="B39" s="48"/>
      <c r="C39" s="49"/>
      <c r="D39" s="49">
        <f>SUM(D37:D38)</f>
        <v>128.37453829200001</v>
      </c>
      <c r="E39" s="49"/>
      <c r="F39" s="49"/>
      <c r="G39" s="49">
        <f>SUM(G37:G38)</f>
        <v>130.01001829199998</v>
      </c>
      <c r="H39" s="49">
        <f t="shared" si="2"/>
        <v>1.6354799999999727</v>
      </c>
      <c r="I39" s="50">
        <f t="shared" si="3"/>
        <v>1.273990950043317E-2</v>
      </c>
      <c r="J39" s="51">
        <f t="shared" si="0"/>
        <v>1</v>
      </c>
    </row>
    <row r="40" spans="1:10" x14ac:dyDescent="0.2">
      <c r="A40" s="184"/>
      <c r="D40" s="71"/>
      <c r="F40" s="68"/>
    </row>
    <row r="41" spans="1:10" x14ac:dyDescent="0.2">
      <c r="A41" s="184"/>
      <c r="F41" s="68"/>
    </row>
    <row r="42" spans="1:10" x14ac:dyDescent="0.2">
      <c r="A42" s="185"/>
      <c r="B42" s="70"/>
      <c r="F42" s="68"/>
    </row>
    <row r="43" spans="1:10" x14ac:dyDescent="0.2">
      <c r="A43" s="184"/>
      <c r="B43" s="71"/>
      <c r="D43" s="71"/>
      <c r="F43" s="68"/>
    </row>
    <row r="44" spans="1:10" x14ac:dyDescent="0.2">
      <c r="A44" s="184"/>
      <c r="F44" s="68"/>
    </row>
    <row r="45" spans="1:10" x14ac:dyDescent="0.2">
      <c r="A45" s="184"/>
      <c r="F45" s="68"/>
    </row>
    <row r="46" spans="1:10" x14ac:dyDescent="0.2">
      <c r="A46" s="184"/>
      <c r="F46" s="68"/>
    </row>
    <row r="47" spans="1:10" x14ac:dyDescent="0.2">
      <c r="A47" s="184"/>
      <c r="F47" s="68"/>
    </row>
    <row r="48" spans="1:10" x14ac:dyDescent="0.2">
      <c r="A48" s="184"/>
      <c r="F48" s="68"/>
    </row>
    <row r="49" spans="1:6" x14ac:dyDescent="0.2">
      <c r="A49" s="184"/>
      <c r="F49" s="68"/>
    </row>
    <row r="50" spans="1:6" x14ac:dyDescent="0.2">
      <c r="A50" s="184"/>
      <c r="F50" s="68"/>
    </row>
    <row r="51" spans="1:6" x14ac:dyDescent="0.2">
      <c r="A51" s="184"/>
    </row>
    <row r="52" spans="1:6" x14ac:dyDescent="0.2">
      <c r="A52" s="184"/>
    </row>
    <row r="53" spans="1:6" x14ac:dyDescent="0.2">
      <c r="A53" s="184"/>
    </row>
    <row r="54" spans="1:6" x14ac:dyDescent="0.2">
      <c r="A54" s="184"/>
    </row>
  </sheetData>
  <mergeCells count="1">
    <mergeCell ref="A1:J1"/>
  </mergeCells>
  <pageMargins left="0.7" right="0.7" top="0.75" bottom="0.75" header="0.3" footer="0.3"/>
  <pageSetup scale="8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tabColor theme="1" tint="0.499984740745262"/>
    <pageSetUpPr fitToPage="1"/>
  </sheetPr>
  <dimension ref="A1:J54"/>
  <sheetViews>
    <sheetView tabSelected="1"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205" t="s">
        <v>128</v>
      </c>
      <c r="B1" s="206"/>
      <c r="C1" s="206"/>
      <c r="D1" s="206"/>
      <c r="E1" s="206"/>
      <c r="F1" s="206"/>
      <c r="G1" s="206"/>
      <c r="H1" s="206"/>
      <c r="I1" s="206"/>
      <c r="J1" s="207"/>
    </row>
    <row r="3" spans="1:10" x14ac:dyDescent="0.2">
      <c r="A3" s="12" t="s">
        <v>13</v>
      </c>
      <c r="B3" s="12" t="s">
        <v>8</v>
      </c>
    </row>
    <row r="4" spans="1:10" x14ac:dyDescent="0.2">
      <c r="A4" s="14" t="s">
        <v>62</v>
      </c>
      <c r="B4" s="14">
        <v>2000</v>
      </c>
    </row>
    <row r="5" spans="1:10" x14ac:dyDescent="0.2">
      <c r="A5" s="14" t="s">
        <v>16</v>
      </c>
      <c r="B5" s="14">
        <f>VLOOKUP($B$3,'Data for Bill Impacts'!$A$3:$Y$15,5,0)</f>
        <v>0</v>
      </c>
    </row>
    <row r="6" spans="1:10" x14ac:dyDescent="0.2">
      <c r="A6" s="14" t="s">
        <v>20</v>
      </c>
      <c r="B6" s="14">
        <f>VLOOKUP($B$3,'Data for Bill Impacts'!$A$3:$Y$15,2,0)</f>
        <v>1.0920000000000001</v>
      </c>
    </row>
    <row r="7" spans="1:10" x14ac:dyDescent="0.2">
      <c r="A7" s="14" t="s">
        <v>15</v>
      </c>
      <c r="B7" s="14">
        <f>VLOOKUP($B$3,'Data for Bill Impacts'!$A$3:$Y$15,4,0)</f>
        <v>750</v>
      </c>
    </row>
    <row r="8" spans="1:10" x14ac:dyDescent="0.2">
      <c r="A8" s="14" t="s">
        <v>82</v>
      </c>
      <c r="B8" s="14">
        <f>B4*B6</f>
        <v>2184</v>
      </c>
    </row>
    <row r="9" spans="1:10" x14ac:dyDescent="0.2">
      <c r="A9" s="14" t="s">
        <v>21</v>
      </c>
      <c r="B9" s="15" t="str">
        <f>VLOOKUP($B$3,'Data for Bill Impacts'!$A$3:$Y$15,6,0)</f>
        <v>kWh</v>
      </c>
    </row>
    <row r="10" spans="1:10" ht="13.5" thickBot="1" x14ac:dyDescent="0.25"/>
    <row r="11" spans="1:10" s="19" customFormat="1" ht="39" thickBot="1" x14ac:dyDescent="0.25">
      <c r="A11" s="16"/>
      <c r="B11" s="17" t="s">
        <v>22</v>
      </c>
      <c r="C11" s="17" t="s">
        <v>23</v>
      </c>
      <c r="D11" s="17" t="s">
        <v>24</v>
      </c>
      <c r="E11" s="17" t="s">
        <v>22</v>
      </c>
      <c r="F11" s="17" t="s">
        <v>25</v>
      </c>
      <c r="G11" s="17" t="s">
        <v>26</v>
      </c>
      <c r="H11" s="17" t="s">
        <v>27</v>
      </c>
      <c r="I11" s="17" t="s">
        <v>28</v>
      </c>
      <c r="J11" s="121" t="s">
        <v>29</v>
      </c>
    </row>
    <row r="12" spans="1:10" x14ac:dyDescent="0.2">
      <c r="A12" s="100" t="s">
        <v>31</v>
      </c>
      <c r="B12" s="101">
        <f>IF(B4&gt;B7,B7,B4)</f>
        <v>750</v>
      </c>
      <c r="C12" s="102">
        <v>9.0999999999999998E-2</v>
      </c>
      <c r="D12" s="103">
        <f>B12*C12</f>
        <v>68.25</v>
      </c>
      <c r="E12" s="101">
        <f>B12</f>
        <v>750</v>
      </c>
      <c r="F12" s="102">
        <f>C12</f>
        <v>9.0999999999999998E-2</v>
      </c>
      <c r="G12" s="103">
        <f>E12*F12</f>
        <v>68.25</v>
      </c>
      <c r="H12" s="103">
        <f>G12-D12</f>
        <v>0</v>
      </c>
      <c r="I12" s="104">
        <f>IF(ISERROR(H12/ABS(D12)),"N/A",(H12/ABS(D12)))</f>
        <v>0</v>
      </c>
      <c r="J12" s="122">
        <f t="shared" ref="J12:J30" si="0">G12/$G$39</f>
        <v>0.13332993102699081</v>
      </c>
    </row>
    <row r="13" spans="1:10" x14ac:dyDescent="0.2">
      <c r="A13" s="106" t="s">
        <v>32</v>
      </c>
      <c r="B13" s="72">
        <f>IF(B4&gt;B7,(B4)-B7,0)</f>
        <v>1250</v>
      </c>
      <c r="C13" s="20">
        <v>0.106</v>
      </c>
      <c r="D13" s="21">
        <f>B13*C13</f>
        <v>132.5</v>
      </c>
      <c r="E13" s="72">
        <f t="shared" ref="E13" si="1">B13</f>
        <v>1250</v>
      </c>
      <c r="F13" s="20">
        <f>C13</f>
        <v>0.106</v>
      </c>
      <c r="G13" s="21">
        <f>E13*F13</f>
        <v>132.5</v>
      </c>
      <c r="H13" s="21">
        <f t="shared" ref="H13:H39" si="2">G13-D13</f>
        <v>0</v>
      </c>
      <c r="I13" s="22">
        <f t="shared" ref="I13:I39" si="3">IF(ISERROR(H13/ABS(D13)),"N/A",(H13/ABS(D13)))</f>
        <v>0</v>
      </c>
      <c r="J13" s="123">
        <f t="shared" si="0"/>
        <v>0.25884565364214335</v>
      </c>
    </row>
    <row r="14" spans="1:10" s="1" customFormat="1" x14ac:dyDescent="0.2">
      <c r="A14" s="45" t="s">
        <v>33</v>
      </c>
      <c r="B14" s="23"/>
      <c r="C14" s="24"/>
      <c r="D14" s="24">
        <f>SUM(D12:D13)</f>
        <v>200.75</v>
      </c>
      <c r="E14" s="75"/>
      <c r="F14" s="24"/>
      <c r="G14" s="24">
        <f>SUM(G12:G13)</f>
        <v>200.75</v>
      </c>
      <c r="H14" s="24">
        <f t="shared" si="2"/>
        <v>0</v>
      </c>
      <c r="I14" s="26">
        <f t="shared" si="3"/>
        <v>0</v>
      </c>
      <c r="J14" s="46">
        <f t="shared" si="0"/>
        <v>0.3921755846691341</v>
      </c>
    </row>
    <row r="15" spans="1:10" x14ac:dyDescent="0.2">
      <c r="A15" s="106" t="s">
        <v>38</v>
      </c>
      <c r="B15" s="72">
        <v>1</v>
      </c>
      <c r="C15" s="77">
        <f>VLOOKUP($B$3,'Data for Bill Impacts'!$A$3:$Y$15,7,0)</f>
        <v>4.7699999999999996</v>
      </c>
      <c r="D15" s="21">
        <f>B15*C15</f>
        <v>4.7699999999999996</v>
      </c>
      <c r="E15" s="72">
        <f t="shared" ref="E15:E34" si="4">B15</f>
        <v>1</v>
      </c>
      <c r="F15" s="77">
        <f>VLOOKUP($B$3,'Data for Bill Impacts'!$A$3:$Y$15,17,0)</f>
        <v>4.88</v>
      </c>
      <c r="G15" s="21">
        <f>E15*F15</f>
        <v>4.88</v>
      </c>
      <c r="H15" s="21">
        <f t="shared" si="2"/>
        <v>0.11000000000000032</v>
      </c>
      <c r="I15" s="22">
        <f t="shared" si="3"/>
        <v>2.3060796645702375E-2</v>
      </c>
      <c r="J15" s="123">
        <f t="shared" si="0"/>
        <v>9.5333342624427126E-3</v>
      </c>
    </row>
    <row r="16" spans="1:10" hidden="1" x14ac:dyDescent="0.2">
      <c r="A16" s="106" t="s">
        <v>88</v>
      </c>
      <c r="B16" s="72">
        <v>1</v>
      </c>
      <c r="C16" s="77">
        <v>0</v>
      </c>
      <c r="D16" s="21">
        <f>B16*C16</f>
        <v>0</v>
      </c>
      <c r="E16" s="72">
        <f t="shared" si="4"/>
        <v>1</v>
      </c>
      <c r="F16" s="77">
        <v>0</v>
      </c>
      <c r="G16" s="21">
        <f t="shared" ref="G16:G18" si="5">E16*F16</f>
        <v>0</v>
      </c>
      <c r="H16" s="21">
        <f t="shared" si="2"/>
        <v>0</v>
      </c>
      <c r="I16" s="22" t="str">
        <f t="shared" si="3"/>
        <v>N/A</v>
      </c>
      <c r="J16" s="123">
        <f t="shared" si="0"/>
        <v>0</v>
      </c>
    </row>
    <row r="17" spans="1:10" hidden="1" x14ac:dyDescent="0.2">
      <c r="A17" s="106" t="s">
        <v>84</v>
      </c>
      <c r="B17" s="72">
        <v>1</v>
      </c>
      <c r="C17" s="77">
        <v>0</v>
      </c>
      <c r="D17" s="21">
        <f t="shared" ref="D17:D18" si="6">B17*C17</f>
        <v>0</v>
      </c>
      <c r="E17" s="72">
        <f t="shared" si="4"/>
        <v>1</v>
      </c>
      <c r="F17" s="77">
        <v>0</v>
      </c>
      <c r="G17" s="21">
        <f t="shared" si="5"/>
        <v>0</v>
      </c>
      <c r="H17" s="21">
        <f t="shared" si="2"/>
        <v>0</v>
      </c>
      <c r="I17" s="22" t="str">
        <f t="shared" si="3"/>
        <v>N/A</v>
      </c>
      <c r="J17" s="123">
        <f t="shared" si="0"/>
        <v>0</v>
      </c>
    </row>
    <row r="18" spans="1:10" x14ac:dyDescent="0.2">
      <c r="A18" s="106" t="s">
        <v>85</v>
      </c>
      <c r="B18" s="72">
        <v>1</v>
      </c>
      <c r="C18" s="120">
        <f>VLOOKUP($B$3,'Data for Bill Impacts'!$A$3:$Y$15,13,0)</f>
        <v>7.0000000000000001E-3</v>
      </c>
      <c r="D18" s="21">
        <f t="shared" si="6"/>
        <v>7.0000000000000001E-3</v>
      </c>
      <c r="E18" s="72">
        <f t="shared" si="4"/>
        <v>1</v>
      </c>
      <c r="F18" s="120">
        <f>VLOOKUP($B$3,'Data for Bill Impacts'!$A$3:$Y$15,22,0)</f>
        <v>7.0000000000000001E-3</v>
      </c>
      <c r="G18" s="21">
        <f t="shared" si="5"/>
        <v>7.0000000000000001E-3</v>
      </c>
      <c r="H18" s="21">
        <f t="shared" si="2"/>
        <v>0</v>
      </c>
      <c r="I18" s="22">
        <f t="shared" si="3"/>
        <v>0</v>
      </c>
      <c r="J18" s="123">
        <f t="shared" si="0"/>
        <v>1.3674864720717006E-5</v>
      </c>
    </row>
    <row r="19" spans="1:10" x14ac:dyDescent="0.2">
      <c r="A19" s="106" t="s">
        <v>39</v>
      </c>
      <c r="B19" s="72">
        <f>IF($B$9="kWh",$B$4,$B$5)</f>
        <v>2000</v>
      </c>
      <c r="C19" s="124">
        <f>VLOOKUP($B$3,'Data for Bill Impacts'!$A$3:$Y$15,10,0)</f>
        <v>0.1069</v>
      </c>
      <c r="D19" s="21">
        <f>B19*C19</f>
        <v>213.79999999999998</v>
      </c>
      <c r="E19" s="72">
        <f t="shared" si="4"/>
        <v>2000</v>
      </c>
      <c r="F19" s="77">
        <f>VLOOKUP($B$3,'Data for Bill Impacts'!$A$3:$Y$15,19,0)</f>
        <v>0.10970000000000001</v>
      </c>
      <c r="G19" s="21">
        <f>E19*F19</f>
        <v>219.4</v>
      </c>
      <c r="H19" s="21">
        <f t="shared" si="2"/>
        <v>5.6000000000000227</v>
      </c>
      <c r="I19" s="22">
        <f t="shared" si="3"/>
        <v>2.619270346117878E-2</v>
      </c>
      <c r="J19" s="123">
        <f t="shared" si="0"/>
        <v>0.42860933138933016</v>
      </c>
    </row>
    <row r="20" spans="1:10" s="1" customFormat="1" x14ac:dyDescent="0.2">
      <c r="A20" s="106" t="s">
        <v>129</v>
      </c>
      <c r="B20" s="72">
        <f>IF($B$9="kWh",$B$4,$B$5)</f>
        <v>2000</v>
      </c>
      <c r="C20" s="187">
        <f>VLOOKUP($B$3,'Data for Bill Impacts'!$A$3:$Y$15,14,0)</f>
        <v>-9.9999999999999991E-6</v>
      </c>
      <c r="D20" s="21">
        <f>B20*C20</f>
        <v>-1.9999999999999997E-2</v>
      </c>
      <c r="E20" s="72">
        <f>B20</f>
        <v>2000</v>
      </c>
      <c r="F20" s="77">
        <f>VLOOKUP($B$3,'Data for Bill Impacts'!$A$3:$Y$15,23,0)</f>
        <v>-9.9999999999999991E-6</v>
      </c>
      <c r="G20" s="21">
        <f>E20*F20</f>
        <v>-1.9999999999999997E-2</v>
      </c>
      <c r="H20" s="21">
        <f>G20-D20</f>
        <v>0</v>
      </c>
      <c r="I20" s="22">
        <f t="shared" si="3"/>
        <v>0</v>
      </c>
      <c r="J20" s="123">
        <f t="shared" si="0"/>
        <v>-3.9071042059191442E-5</v>
      </c>
    </row>
    <row r="21" spans="1:10" hidden="1" x14ac:dyDescent="0.2">
      <c r="A21" s="106" t="s">
        <v>86</v>
      </c>
      <c r="B21" s="72">
        <f>IF($B$9="kWh",$B$4,$B$5)</f>
        <v>2000</v>
      </c>
      <c r="C21" s="124">
        <v>0</v>
      </c>
      <c r="D21" s="21">
        <f>B21*C21</f>
        <v>0</v>
      </c>
      <c r="E21" s="72">
        <f t="shared" si="4"/>
        <v>2000</v>
      </c>
      <c r="F21" s="77">
        <v>0</v>
      </c>
      <c r="G21" s="21">
        <f>E21*F21</f>
        <v>0</v>
      </c>
      <c r="H21" s="21">
        <f t="shared" si="2"/>
        <v>0</v>
      </c>
      <c r="I21" s="22" t="str">
        <f t="shared" si="3"/>
        <v>N/A</v>
      </c>
      <c r="J21" s="123">
        <f t="shared" si="0"/>
        <v>0</v>
      </c>
    </row>
    <row r="22" spans="1:10" x14ac:dyDescent="0.2">
      <c r="A22" s="109" t="s">
        <v>72</v>
      </c>
      <c r="B22" s="73"/>
      <c r="C22" s="34"/>
      <c r="D22" s="34">
        <f>SUM(D15:D21)</f>
        <v>218.55699999999996</v>
      </c>
      <c r="E22" s="72"/>
      <c r="F22" s="34"/>
      <c r="G22" s="34">
        <f>SUM(G15:G21)</f>
        <v>224.267</v>
      </c>
      <c r="H22" s="34">
        <f t="shared" si="2"/>
        <v>5.7100000000000364</v>
      </c>
      <c r="I22" s="35">
        <f t="shared" si="3"/>
        <v>2.6125907657956676E-2</v>
      </c>
      <c r="J22" s="110">
        <f t="shared" si="0"/>
        <v>0.43811726947443436</v>
      </c>
    </row>
    <row r="23" spans="1:10" s="1" customFormat="1" x14ac:dyDescent="0.2">
      <c r="A23" s="118" t="s">
        <v>81</v>
      </c>
      <c r="B23" s="119">
        <f>B8-B4</f>
        <v>184</v>
      </c>
      <c r="C23" s="186">
        <f>IF(B4&gt;B7,C13,C12)</f>
        <v>0.106</v>
      </c>
      <c r="D23" s="21">
        <f>B23*C23</f>
        <v>19.503999999999998</v>
      </c>
      <c r="E23" s="72">
        <f>B23</f>
        <v>184</v>
      </c>
      <c r="F23" s="186">
        <f>C23</f>
        <v>0.106</v>
      </c>
      <c r="G23" s="21">
        <f>E23*F23</f>
        <v>19.503999999999998</v>
      </c>
      <c r="H23" s="21">
        <f t="shared" si="2"/>
        <v>0</v>
      </c>
      <c r="I23" s="22">
        <f t="shared" si="3"/>
        <v>0</v>
      </c>
      <c r="J23" s="123">
        <f t="shared" si="0"/>
        <v>3.8102080216123491E-2</v>
      </c>
    </row>
    <row r="24" spans="1:10" x14ac:dyDescent="0.2">
      <c r="A24" s="109" t="s">
        <v>79</v>
      </c>
      <c r="B24" s="73"/>
      <c r="C24" s="34"/>
      <c r="D24" s="34">
        <f>SUM(D22,D23:D23)</f>
        <v>238.06099999999995</v>
      </c>
      <c r="E24" s="72"/>
      <c r="F24" s="34"/>
      <c r="G24" s="34">
        <f>SUM(G22,G23:G23)</f>
        <v>243.77099999999999</v>
      </c>
      <c r="H24" s="34">
        <f t="shared" si="2"/>
        <v>5.7100000000000364</v>
      </c>
      <c r="I24" s="35">
        <f t="shared" si="3"/>
        <v>2.3985449107581828E-2</v>
      </c>
      <c r="J24" s="110">
        <f t="shared" si="0"/>
        <v>0.47621934969055785</v>
      </c>
    </row>
    <row r="25" spans="1:10" x14ac:dyDescent="0.2">
      <c r="A25" s="106" t="s">
        <v>40</v>
      </c>
      <c r="B25" s="72">
        <f>B8</f>
        <v>2184</v>
      </c>
      <c r="C25" s="124">
        <f>VLOOKUP($B$3,'Data for Bill Impacts'!$A$3:$Y$15,15,0)</f>
        <v>3.836E-3</v>
      </c>
      <c r="D25" s="21">
        <f>B25*C25</f>
        <v>8.3778240000000004</v>
      </c>
      <c r="E25" s="72">
        <f t="shared" si="4"/>
        <v>2184</v>
      </c>
      <c r="F25" s="77">
        <f>VLOOKUP($B$3,'Data for Bill Impacts'!$A$3:$Y$15,24,0)</f>
        <v>3.836E-3</v>
      </c>
      <c r="G25" s="21">
        <f>E25*F25</f>
        <v>8.3778240000000004</v>
      </c>
      <c r="H25" s="21">
        <f t="shared" si="2"/>
        <v>0</v>
      </c>
      <c r="I25" s="22">
        <f t="shared" si="3"/>
        <v>0</v>
      </c>
      <c r="J25" s="123">
        <f t="shared" si="0"/>
        <v>1.6366515693425177E-2</v>
      </c>
    </row>
    <row r="26" spans="1:10" s="1" customFormat="1" x14ac:dyDescent="0.2">
      <c r="A26" s="106" t="s">
        <v>41</v>
      </c>
      <c r="B26" s="72">
        <f>B8</f>
        <v>2184</v>
      </c>
      <c r="C26" s="124">
        <f>VLOOKUP($B$3,'Data for Bill Impacts'!$A$3:$Y$15,16,0)</f>
        <v>3.6240000000000001E-3</v>
      </c>
      <c r="D26" s="21">
        <f>B26*C26</f>
        <v>7.9148160000000001</v>
      </c>
      <c r="E26" s="72">
        <f t="shared" si="4"/>
        <v>2184</v>
      </c>
      <c r="F26" s="77">
        <f>VLOOKUP($B$3,'Data for Bill Impacts'!$A$3:$Y$15,25,0)</f>
        <v>3.6240000000000001E-3</v>
      </c>
      <c r="G26" s="21">
        <f>E26*F26</f>
        <v>7.9148160000000001</v>
      </c>
      <c r="H26" s="21">
        <f t="shared" si="2"/>
        <v>0</v>
      </c>
      <c r="I26" s="22">
        <f t="shared" si="3"/>
        <v>0</v>
      </c>
      <c r="J26" s="123">
        <f t="shared" si="0"/>
        <v>1.5462005441338069E-2</v>
      </c>
    </row>
    <row r="27" spans="1:10" s="1" customFormat="1" x14ac:dyDescent="0.2">
      <c r="A27" s="109" t="s">
        <v>76</v>
      </c>
      <c r="B27" s="73"/>
      <c r="C27" s="34"/>
      <c r="D27" s="34">
        <f>SUM(D25:D26)</f>
        <v>16.292639999999999</v>
      </c>
      <c r="E27" s="72"/>
      <c r="F27" s="34"/>
      <c r="G27" s="34">
        <f>SUM(G25:G26)</f>
        <v>16.292639999999999</v>
      </c>
      <c r="H27" s="34">
        <f t="shared" si="2"/>
        <v>0</v>
      </c>
      <c r="I27" s="35">
        <f t="shared" si="3"/>
        <v>0</v>
      </c>
      <c r="J27" s="110">
        <f t="shared" si="0"/>
        <v>3.1828521134763241E-2</v>
      </c>
    </row>
    <row r="28" spans="1:10" s="1" customFormat="1" x14ac:dyDescent="0.2">
      <c r="A28" s="109" t="s">
        <v>80</v>
      </c>
      <c r="B28" s="73"/>
      <c r="C28" s="34"/>
      <c r="D28" s="34">
        <f>D24+D27</f>
        <v>254.35363999999996</v>
      </c>
      <c r="E28" s="72"/>
      <c r="F28" s="34"/>
      <c r="G28" s="34">
        <f>G24+G27</f>
        <v>260.06363999999996</v>
      </c>
      <c r="H28" s="34">
        <f t="shared" si="2"/>
        <v>5.710000000000008</v>
      </c>
      <c r="I28" s="35">
        <f t="shared" si="3"/>
        <v>2.2449059506284279E-2</v>
      </c>
      <c r="J28" s="110">
        <f t="shared" si="0"/>
        <v>0.5080478708253211</v>
      </c>
    </row>
    <row r="29" spans="1:10" x14ac:dyDescent="0.2">
      <c r="A29" s="106" t="s">
        <v>42</v>
      </c>
      <c r="B29" s="72">
        <f>B8</f>
        <v>2184</v>
      </c>
      <c r="C29" s="33">
        <v>3.5999999999999999E-3</v>
      </c>
      <c r="D29" s="21">
        <f>B29*C29</f>
        <v>7.8624000000000001</v>
      </c>
      <c r="E29" s="72">
        <f t="shared" si="4"/>
        <v>2184</v>
      </c>
      <c r="F29" s="33">
        <v>3.5999999999999999E-3</v>
      </c>
      <c r="G29" s="21">
        <f>E29*F29</f>
        <v>7.8624000000000001</v>
      </c>
      <c r="H29" s="21">
        <f t="shared" si="2"/>
        <v>0</v>
      </c>
      <c r="I29" s="22">
        <f t="shared" si="3"/>
        <v>0</v>
      </c>
      <c r="J29" s="123">
        <f t="shared" si="0"/>
        <v>1.535960805430934E-2</v>
      </c>
    </row>
    <row r="30" spans="1:10" s="1" customFormat="1" x14ac:dyDescent="0.2">
      <c r="A30" s="106" t="s">
        <v>43</v>
      </c>
      <c r="B30" s="72">
        <f>B8</f>
        <v>2184</v>
      </c>
      <c r="C30" s="33">
        <v>2.0999999999999999E-3</v>
      </c>
      <c r="D30" s="21">
        <f>B30*C30</f>
        <v>4.5863999999999994</v>
      </c>
      <c r="E30" s="72">
        <f t="shared" si="4"/>
        <v>2184</v>
      </c>
      <c r="F30" s="33">
        <v>2.0999999999999999E-3</v>
      </c>
      <c r="G30" s="21">
        <f>E30*F30</f>
        <v>4.5863999999999994</v>
      </c>
      <c r="H30" s="21">
        <f>G30-D30</f>
        <v>0</v>
      </c>
      <c r="I30" s="22">
        <f t="shared" si="3"/>
        <v>0</v>
      </c>
      <c r="J30" s="123">
        <f t="shared" si="0"/>
        <v>8.9597713650137814E-3</v>
      </c>
    </row>
    <row r="31" spans="1:10" s="1" customFormat="1" x14ac:dyDescent="0.2">
      <c r="A31" s="106" t="s">
        <v>99</v>
      </c>
      <c r="B31" s="72">
        <f>B8</f>
        <v>2184</v>
      </c>
      <c r="C31" s="33">
        <v>0</v>
      </c>
      <c r="D31" s="21">
        <f>B31*C31</f>
        <v>0</v>
      </c>
      <c r="E31" s="72">
        <f t="shared" si="4"/>
        <v>2184</v>
      </c>
      <c r="F31" s="33">
        <v>0</v>
      </c>
      <c r="G31" s="21">
        <f>E31*F31</f>
        <v>0</v>
      </c>
      <c r="H31" s="21">
        <f>G31-D31</f>
        <v>0</v>
      </c>
      <c r="I31" s="22" t="str">
        <f t="shared" si="3"/>
        <v>N/A</v>
      </c>
      <c r="J31" s="123">
        <f t="shared" ref="J31" si="7">G31/$G$39</f>
        <v>0</v>
      </c>
    </row>
    <row r="32" spans="1:10" x14ac:dyDescent="0.2">
      <c r="A32" s="106" t="s">
        <v>44</v>
      </c>
      <c r="B32" s="72">
        <v>1</v>
      </c>
      <c r="C32" s="21">
        <v>0.25</v>
      </c>
      <c r="D32" s="21">
        <f>B32*C32</f>
        <v>0.25</v>
      </c>
      <c r="E32" s="72">
        <f t="shared" si="4"/>
        <v>1</v>
      </c>
      <c r="F32" s="21">
        <f>C32</f>
        <v>0.25</v>
      </c>
      <c r="G32" s="21">
        <f>E32*F32</f>
        <v>0.25</v>
      </c>
      <c r="H32" s="21">
        <f t="shared" si="2"/>
        <v>0</v>
      </c>
      <c r="I32" s="22">
        <f t="shared" si="3"/>
        <v>0</v>
      </c>
      <c r="J32" s="123">
        <f t="shared" ref="J32:J39" si="8">G32/$G$39</f>
        <v>4.8838802573989305E-4</v>
      </c>
    </row>
    <row r="33" spans="1:10" s="1" customFormat="1" x14ac:dyDescent="0.2">
      <c r="A33" s="109" t="s">
        <v>45</v>
      </c>
      <c r="B33" s="73"/>
      <c r="C33" s="34"/>
      <c r="D33" s="34">
        <f>SUM(D29:D32)</f>
        <v>12.698799999999999</v>
      </c>
      <c r="E33" s="72"/>
      <c r="F33" s="34"/>
      <c r="G33" s="34">
        <f>SUM(G29:G32)</f>
        <v>12.698799999999999</v>
      </c>
      <c r="H33" s="34">
        <f t="shared" si="2"/>
        <v>0</v>
      </c>
      <c r="I33" s="35">
        <f t="shared" si="3"/>
        <v>0</v>
      </c>
      <c r="J33" s="110">
        <f t="shared" si="8"/>
        <v>2.4807767445063012E-2</v>
      </c>
    </row>
    <row r="34" spans="1:10" ht="13.5" thickBot="1" x14ac:dyDescent="0.25">
      <c r="A34" s="111" t="s">
        <v>46</v>
      </c>
      <c r="B34" s="112">
        <f>B4</f>
        <v>2000</v>
      </c>
      <c r="C34" s="113">
        <v>7.0000000000000001E-3</v>
      </c>
      <c r="D34" s="114">
        <f>B34*C34</f>
        <v>14</v>
      </c>
      <c r="E34" s="115">
        <f t="shared" si="4"/>
        <v>2000</v>
      </c>
      <c r="F34" s="113">
        <f>C34</f>
        <v>7.0000000000000001E-3</v>
      </c>
      <c r="G34" s="114">
        <f>E34*F34</f>
        <v>14</v>
      </c>
      <c r="H34" s="114">
        <f t="shared" si="2"/>
        <v>0</v>
      </c>
      <c r="I34" s="116">
        <f t="shared" si="3"/>
        <v>0</v>
      </c>
      <c r="J34" s="117">
        <f t="shared" si="8"/>
        <v>2.7349729441434011E-2</v>
      </c>
    </row>
    <row r="35" spans="1:10" x14ac:dyDescent="0.2">
      <c r="A35" s="36" t="s">
        <v>116</v>
      </c>
      <c r="B35" s="37"/>
      <c r="C35" s="38"/>
      <c r="D35" s="38">
        <f>SUM(D14,D24,D27,D33,D34)</f>
        <v>481.80243999999993</v>
      </c>
      <c r="E35" s="37"/>
      <c r="F35" s="38"/>
      <c r="G35" s="38">
        <f>SUM(G14,G24,G27,G33,G34)</f>
        <v>487.51243999999997</v>
      </c>
      <c r="H35" s="38">
        <f t="shared" si="2"/>
        <v>5.7100000000000364</v>
      </c>
      <c r="I35" s="39">
        <f t="shared" si="3"/>
        <v>1.1851330599322073E-2</v>
      </c>
      <c r="J35" s="40">
        <f t="shared" si="8"/>
        <v>0.95238095238095222</v>
      </c>
    </row>
    <row r="36" spans="1:10" x14ac:dyDescent="0.2">
      <c r="A36" s="45" t="s">
        <v>108</v>
      </c>
      <c r="B36" s="42"/>
      <c r="C36" s="25">
        <v>0.13</v>
      </c>
      <c r="D36" s="25">
        <f>D35*C36</f>
        <v>62.634317199999991</v>
      </c>
      <c r="E36" s="25"/>
      <c r="F36" s="25">
        <f>C36</f>
        <v>0.13</v>
      </c>
      <c r="G36" s="25">
        <f>G35*F36</f>
        <v>63.376617199999998</v>
      </c>
      <c r="H36" s="25">
        <f t="shared" si="2"/>
        <v>0.74230000000000729</v>
      </c>
      <c r="I36" s="43">
        <f t="shared" si="3"/>
        <v>1.1851330599322115E-2</v>
      </c>
      <c r="J36" s="44">
        <f t="shared" si="8"/>
        <v>0.1238095238095238</v>
      </c>
    </row>
    <row r="37" spans="1:10" x14ac:dyDescent="0.2">
      <c r="A37" s="45" t="s">
        <v>109</v>
      </c>
      <c r="B37" s="23"/>
      <c r="C37" s="24"/>
      <c r="D37" s="24">
        <f>SUM(D35:D36)</f>
        <v>544.43675719999987</v>
      </c>
      <c r="E37" s="24"/>
      <c r="F37" s="24"/>
      <c r="G37" s="24">
        <f>SUM(G35:G36)</f>
        <v>550.88905720000002</v>
      </c>
      <c r="H37" s="24">
        <f t="shared" si="2"/>
        <v>6.4523000000001502</v>
      </c>
      <c r="I37" s="26">
        <f t="shared" si="3"/>
        <v>1.1851330599322274E-2</v>
      </c>
      <c r="J37" s="46">
        <f t="shared" si="8"/>
        <v>1.0761904761904761</v>
      </c>
    </row>
    <row r="38" spans="1:10" x14ac:dyDescent="0.2">
      <c r="A38" s="45" t="s">
        <v>110</v>
      </c>
      <c r="B38" s="42"/>
      <c r="C38" s="25">
        <v>-0.08</v>
      </c>
      <c r="D38" s="25">
        <f>D35*C38</f>
        <v>-38.544195199999997</v>
      </c>
      <c r="E38" s="25"/>
      <c r="F38" s="25">
        <f>C38</f>
        <v>-0.08</v>
      </c>
      <c r="G38" s="25">
        <f>G35*F38</f>
        <v>-39.000995199999998</v>
      </c>
      <c r="H38" s="25">
        <f t="shared" si="2"/>
        <v>-0.45680000000000121</v>
      </c>
      <c r="I38" s="43">
        <f t="shared" si="3"/>
        <v>-1.1851330599322028E-2</v>
      </c>
      <c r="J38" s="44">
        <f t="shared" si="8"/>
        <v>-7.6190476190476183E-2</v>
      </c>
    </row>
    <row r="39" spans="1:10" ht="13.5" thickBot="1" x14ac:dyDescent="0.25">
      <c r="A39" s="47" t="s">
        <v>111</v>
      </c>
      <c r="B39" s="48"/>
      <c r="C39" s="49"/>
      <c r="D39" s="49">
        <f>SUM(D37:D38)</f>
        <v>505.89256199999988</v>
      </c>
      <c r="E39" s="49"/>
      <c r="F39" s="49"/>
      <c r="G39" s="49">
        <f>SUM(G37:G38)</f>
        <v>511.88806200000005</v>
      </c>
      <c r="H39" s="49">
        <f t="shared" si="2"/>
        <v>5.9955000000001633</v>
      </c>
      <c r="I39" s="50">
        <f t="shared" si="3"/>
        <v>1.1851330599322321E-2</v>
      </c>
      <c r="J39" s="51">
        <f t="shared" si="8"/>
        <v>1</v>
      </c>
    </row>
    <row r="40" spans="1:10" x14ac:dyDescent="0.2">
      <c r="A40" s="184"/>
      <c r="D40" s="71"/>
      <c r="F40" s="68"/>
    </row>
    <row r="41" spans="1:10" x14ac:dyDescent="0.2">
      <c r="A41" s="184"/>
      <c r="F41" s="68"/>
    </row>
    <row r="42" spans="1:10" x14ac:dyDescent="0.2">
      <c r="A42" s="185"/>
      <c r="B42" s="70"/>
      <c r="F42" s="68"/>
    </row>
    <row r="43" spans="1:10" x14ac:dyDescent="0.2">
      <c r="A43" s="184"/>
      <c r="B43" s="71"/>
      <c r="D43" s="71"/>
      <c r="F43" s="68"/>
    </row>
    <row r="44" spans="1:10" x14ac:dyDescent="0.2">
      <c r="A44" s="184"/>
      <c r="F44" s="68"/>
    </row>
    <row r="45" spans="1:10" x14ac:dyDescent="0.2">
      <c r="A45" s="184"/>
      <c r="F45" s="68"/>
    </row>
    <row r="46" spans="1:10" x14ac:dyDescent="0.2">
      <c r="A46" s="184"/>
      <c r="F46" s="68"/>
    </row>
    <row r="47" spans="1:10" x14ac:dyDescent="0.2">
      <c r="A47" s="184"/>
      <c r="F47" s="68"/>
    </row>
    <row r="48" spans="1:10" x14ac:dyDescent="0.2">
      <c r="A48" s="184"/>
      <c r="F48" s="68"/>
    </row>
    <row r="49" spans="1:6" x14ac:dyDescent="0.2">
      <c r="A49" s="184"/>
      <c r="F49" s="68"/>
    </row>
    <row r="50" spans="1:6" x14ac:dyDescent="0.2">
      <c r="A50" s="184"/>
      <c r="F50" s="68"/>
    </row>
    <row r="51" spans="1:6" x14ac:dyDescent="0.2">
      <c r="A51" s="184"/>
    </row>
    <row r="52" spans="1:6" x14ac:dyDescent="0.2">
      <c r="A52" s="184"/>
    </row>
    <row r="53" spans="1:6" x14ac:dyDescent="0.2">
      <c r="A53" s="184"/>
    </row>
    <row r="54" spans="1:6" x14ac:dyDescent="0.2">
      <c r="A54" s="184"/>
    </row>
  </sheetData>
  <mergeCells count="1">
    <mergeCell ref="A1:J1"/>
  </mergeCells>
  <pageMargins left="0.7" right="0.7" top="0.75" bottom="0.75" header="0.3" footer="0.3"/>
  <pageSetup scale="8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1" tint="0.499984740745262"/>
    <pageSetUpPr fitToPage="1"/>
  </sheetPr>
  <dimension ref="A1:K68"/>
  <sheetViews>
    <sheetView tabSelected="1" topLeftCell="A7"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3"/>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205" t="s">
        <v>124</v>
      </c>
      <c r="B1" s="206"/>
      <c r="C1" s="206"/>
      <c r="D1" s="206"/>
      <c r="E1" s="206"/>
      <c r="F1" s="206"/>
      <c r="G1" s="206"/>
      <c r="H1" s="206"/>
      <c r="I1" s="206"/>
      <c r="J1" s="206"/>
      <c r="K1" s="207"/>
    </row>
    <row r="3" spans="1:11" x14ac:dyDescent="0.2">
      <c r="A3" s="12" t="s">
        <v>13</v>
      </c>
      <c r="B3" s="12" t="s">
        <v>130</v>
      </c>
    </row>
    <row r="4" spans="1:11" x14ac:dyDescent="0.2">
      <c r="A4" s="14" t="s">
        <v>62</v>
      </c>
      <c r="B4" s="14">
        <v>350</v>
      </c>
    </row>
    <row r="5" spans="1:11" x14ac:dyDescent="0.2">
      <c r="A5" s="14" t="s">
        <v>16</v>
      </c>
      <c r="B5" s="14">
        <f>VLOOKUP($B$3,'Data for Bill Impacts'!$A$3:$Y$25,5,0)</f>
        <v>0</v>
      </c>
    </row>
    <row r="6" spans="1:11" x14ac:dyDescent="0.2">
      <c r="A6" s="14" t="s">
        <v>20</v>
      </c>
      <c r="B6" s="14">
        <f>VLOOKUP($B$3,'Data for Bill Impacts'!$A$3:$Y$25,2,0)</f>
        <v>1.0569999999999999</v>
      </c>
    </row>
    <row r="7" spans="1:11" x14ac:dyDescent="0.2">
      <c r="A7" s="14" t="s">
        <v>15</v>
      </c>
      <c r="B7" s="14">
        <f>VLOOKUP($B$3,'Data for Bill Impacts'!$A$3:$Y$25,4,0)</f>
        <v>600</v>
      </c>
    </row>
    <row r="8" spans="1:11" x14ac:dyDescent="0.2">
      <c r="A8" s="14" t="s">
        <v>82</v>
      </c>
      <c r="B8" s="148">
        <f>B4*B6</f>
        <v>369.95</v>
      </c>
    </row>
    <row r="9" spans="1:11" x14ac:dyDescent="0.2">
      <c r="A9" s="14" t="s">
        <v>21</v>
      </c>
      <c r="B9" s="15" t="str">
        <f>VLOOKUP($B$3,'Data for Bill Impacts'!$A$3:$Y$25,6,0)</f>
        <v>kWh</v>
      </c>
    </row>
    <row r="10" spans="1:11" ht="13.5" thickBot="1" x14ac:dyDescent="0.25"/>
    <row r="11" spans="1:11" s="19" customFormat="1" ht="51.75" thickBot="1" x14ac:dyDescent="0.25">
      <c r="A11" s="16"/>
      <c r="B11" s="17" t="s">
        <v>22</v>
      </c>
      <c r="C11" s="17" t="s">
        <v>23</v>
      </c>
      <c r="D11" s="17" t="s">
        <v>24</v>
      </c>
      <c r="E11" s="17" t="s">
        <v>22</v>
      </c>
      <c r="F11" s="17" t="s">
        <v>25</v>
      </c>
      <c r="G11" s="17" t="s">
        <v>26</v>
      </c>
      <c r="H11" s="17" t="s">
        <v>27</v>
      </c>
      <c r="I11" s="17" t="s">
        <v>28</v>
      </c>
      <c r="J11" s="17" t="s">
        <v>29</v>
      </c>
      <c r="K11" s="18" t="s">
        <v>30</v>
      </c>
    </row>
    <row r="12" spans="1:11" x14ac:dyDescent="0.2">
      <c r="A12" s="100" t="s">
        <v>31</v>
      </c>
      <c r="B12" s="101">
        <f>IF(B4&gt;B7,B7,B4)</f>
        <v>350</v>
      </c>
      <c r="C12" s="102">
        <v>9.0999999999999998E-2</v>
      </c>
      <c r="D12" s="103">
        <f>B12*C12</f>
        <v>31.849999999999998</v>
      </c>
      <c r="E12" s="101">
        <f>B12</f>
        <v>350</v>
      </c>
      <c r="F12" s="102">
        <f>C12</f>
        <v>9.0999999999999998E-2</v>
      </c>
      <c r="G12" s="103">
        <f>E12*F12</f>
        <v>31.849999999999998</v>
      </c>
      <c r="H12" s="103">
        <f>G12-D12</f>
        <v>0</v>
      </c>
      <c r="I12" s="104">
        <f>IF(ISERROR(H12/ABS(D12)),"N/A",(H12/ABS(D12)))</f>
        <v>0</v>
      </c>
      <c r="J12" s="104">
        <f>G12/$G$46</f>
        <v>0.41326917397528645</v>
      </c>
      <c r="K12" s="105"/>
    </row>
    <row r="13" spans="1:11" x14ac:dyDescent="0.2">
      <c r="A13" s="106" t="s">
        <v>32</v>
      </c>
      <c r="B13" s="72">
        <f>IF(B4&gt;B7,(B4)-B7,0)</f>
        <v>0</v>
      </c>
      <c r="C13" s="20">
        <v>0.106</v>
      </c>
      <c r="D13" s="21">
        <f>B13*C13</f>
        <v>0</v>
      </c>
      <c r="E13" s="72">
        <f t="shared" ref="E13:E41" si="0">B13</f>
        <v>0</v>
      </c>
      <c r="F13" s="20">
        <f>C13</f>
        <v>0.106</v>
      </c>
      <c r="G13" s="21">
        <f>E13*F13</f>
        <v>0</v>
      </c>
      <c r="H13" s="21">
        <f t="shared" ref="H13:H46" si="1">G13-D13</f>
        <v>0</v>
      </c>
      <c r="I13" s="22" t="str">
        <f t="shared" ref="I13:I51" si="2">IF(ISERROR(H13/ABS(D13)),"N/A",(H13/ABS(D13)))</f>
        <v>N/A</v>
      </c>
      <c r="J13" s="22">
        <f>G13/$G$46</f>
        <v>0</v>
      </c>
      <c r="K13" s="107"/>
    </row>
    <row r="14" spans="1:11" s="1" customFormat="1" x14ac:dyDescent="0.2">
      <c r="A14" s="45" t="s">
        <v>33</v>
      </c>
      <c r="B14" s="23"/>
      <c r="C14" s="24"/>
      <c r="D14" s="24">
        <f>SUM(D12:D13)</f>
        <v>31.849999999999998</v>
      </c>
      <c r="E14" s="75"/>
      <c r="F14" s="24"/>
      <c r="G14" s="24">
        <f>SUM(G12:G13)</f>
        <v>31.849999999999998</v>
      </c>
      <c r="H14" s="24">
        <f t="shared" si="1"/>
        <v>0</v>
      </c>
      <c r="I14" s="26">
        <f t="shared" si="2"/>
        <v>0</v>
      </c>
      <c r="J14" s="26">
        <f>G14/$G$46</f>
        <v>0.41326917397528645</v>
      </c>
      <c r="K14" s="107"/>
    </row>
    <row r="15" spans="1:11" s="1" customFormat="1" x14ac:dyDescent="0.2">
      <c r="A15" s="108" t="s">
        <v>34</v>
      </c>
      <c r="B15" s="74">
        <f>B4*0.65</f>
        <v>227.5</v>
      </c>
      <c r="C15" s="27">
        <v>7.6999999999999999E-2</v>
      </c>
      <c r="D15" s="21">
        <f>B15*C15</f>
        <v>17.517499999999998</v>
      </c>
      <c r="E15" s="72">
        <f t="shared" ref="E15:F17" si="3">B15</f>
        <v>227.5</v>
      </c>
      <c r="F15" s="27">
        <f t="shared" si="3"/>
        <v>7.6999999999999999E-2</v>
      </c>
      <c r="G15" s="21">
        <f>E15*F15</f>
        <v>17.517499999999998</v>
      </c>
      <c r="H15" s="21">
        <f t="shared" si="1"/>
        <v>0</v>
      </c>
      <c r="I15" s="22">
        <f t="shared" si="2"/>
        <v>0</v>
      </c>
      <c r="J15" s="22"/>
      <c r="K15" s="107">
        <f t="shared" ref="K15:K24" si="4">G15/$G$51</f>
        <v>0.22006607592753608</v>
      </c>
    </row>
    <row r="16" spans="1:11" s="1" customFormat="1" x14ac:dyDescent="0.2">
      <c r="A16" s="108" t="s">
        <v>35</v>
      </c>
      <c r="B16" s="74">
        <f>B4*0.17</f>
        <v>59.500000000000007</v>
      </c>
      <c r="C16" s="27">
        <v>0.113</v>
      </c>
      <c r="D16" s="21">
        <f>B16*C16</f>
        <v>6.7235000000000014</v>
      </c>
      <c r="E16" s="72">
        <f t="shared" si="3"/>
        <v>59.500000000000007</v>
      </c>
      <c r="F16" s="27">
        <f t="shared" si="3"/>
        <v>0.113</v>
      </c>
      <c r="G16" s="21">
        <f>E16*F16</f>
        <v>6.7235000000000014</v>
      </c>
      <c r="H16" s="21">
        <f t="shared" si="1"/>
        <v>0</v>
      </c>
      <c r="I16" s="22">
        <f t="shared" si="2"/>
        <v>0</v>
      </c>
      <c r="J16" s="22"/>
      <c r="K16" s="107">
        <f t="shared" si="4"/>
        <v>8.4464921449909469E-2</v>
      </c>
    </row>
    <row r="17" spans="1:11" s="1" customFormat="1" x14ac:dyDescent="0.2">
      <c r="A17" s="108" t="s">
        <v>36</v>
      </c>
      <c r="B17" s="74">
        <f>B4*0.18</f>
        <v>63</v>
      </c>
      <c r="C17" s="27">
        <v>0.157</v>
      </c>
      <c r="D17" s="21">
        <f>B17*C17</f>
        <v>9.891</v>
      </c>
      <c r="E17" s="72">
        <f t="shared" si="3"/>
        <v>63</v>
      </c>
      <c r="F17" s="27">
        <f t="shared" si="3"/>
        <v>0.157</v>
      </c>
      <c r="G17" s="21">
        <f>E17*F17</f>
        <v>9.891</v>
      </c>
      <c r="H17" s="21">
        <f t="shared" si="1"/>
        <v>0</v>
      </c>
      <c r="I17" s="22">
        <f t="shared" si="2"/>
        <v>0</v>
      </c>
      <c r="J17" s="22"/>
      <c r="K17" s="107">
        <f t="shared" si="4"/>
        <v>0.12425708902521818</v>
      </c>
    </row>
    <row r="18" spans="1:11" s="1" customFormat="1" x14ac:dyDescent="0.2">
      <c r="A18" s="60" t="s">
        <v>37</v>
      </c>
      <c r="B18" s="28"/>
      <c r="C18" s="29"/>
      <c r="D18" s="29">
        <f>SUM(D15:D17)</f>
        <v>34.131999999999998</v>
      </c>
      <c r="E18" s="76"/>
      <c r="F18" s="29"/>
      <c r="G18" s="29">
        <f>SUM(G15:G17)</f>
        <v>34.131999999999998</v>
      </c>
      <c r="H18" s="30">
        <f t="shared" si="1"/>
        <v>0</v>
      </c>
      <c r="I18" s="31">
        <f t="shared" si="2"/>
        <v>0</v>
      </c>
      <c r="J18" s="32">
        <f t="shared" ref="J18:J24" si="5">G18/$G$46</f>
        <v>0.44287922907769162</v>
      </c>
      <c r="K18" s="61">
        <f t="shared" si="4"/>
        <v>0.42878808640266369</v>
      </c>
    </row>
    <row r="19" spans="1:11" x14ac:dyDescent="0.2">
      <c r="A19" s="106" t="s">
        <v>38</v>
      </c>
      <c r="B19" s="72">
        <v>1</v>
      </c>
      <c r="C19" s="120">
        <f>VLOOKUP($B$3,'Data for Bill Impacts'!$A$3:$Y$25,7,0)</f>
        <v>30.78</v>
      </c>
      <c r="D19" s="21">
        <f>B19*C19</f>
        <v>30.78</v>
      </c>
      <c r="E19" s="72">
        <f t="shared" si="0"/>
        <v>1</v>
      </c>
      <c r="F19" s="120">
        <f>VLOOKUP($B$3,'Data for Bill Impacts'!$A$3:$Y$25,17,0)</f>
        <v>31.59</v>
      </c>
      <c r="G19" s="21">
        <f>E19*F19</f>
        <v>31.59</v>
      </c>
      <c r="H19" s="21">
        <f t="shared" si="1"/>
        <v>0.80999999999999872</v>
      </c>
      <c r="I19" s="22">
        <f t="shared" si="2"/>
        <v>2.6315789473684167E-2</v>
      </c>
      <c r="J19" s="22">
        <f t="shared" si="5"/>
        <v>0.40989554806528417</v>
      </c>
      <c r="K19" s="107">
        <f t="shared" si="4"/>
        <v>0.39685385120884059</v>
      </c>
    </row>
    <row r="20" spans="1:11" hidden="1" x14ac:dyDescent="0.2">
      <c r="A20" s="106" t="s">
        <v>83</v>
      </c>
      <c r="B20" s="72">
        <v>1</v>
      </c>
      <c r="C20" s="77">
        <f>VLOOKUP($B$3,'Data for Bill Impacts'!$A$3:$Y$25,8,0)</f>
        <v>0</v>
      </c>
      <c r="D20" s="21">
        <f>B20*C20</f>
        <v>0</v>
      </c>
      <c r="E20" s="72">
        <f t="shared" si="0"/>
        <v>1</v>
      </c>
      <c r="F20" s="77">
        <v>0</v>
      </c>
      <c r="G20" s="21">
        <f t="shared" ref="G20:G22" si="6">E20*F20</f>
        <v>0</v>
      </c>
      <c r="H20" s="21">
        <f t="shared" si="1"/>
        <v>0</v>
      </c>
      <c r="I20" s="22" t="str">
        <f t="shared" si="2"/>
        <v>N/A</v>
      </c>
      <c r="J20" s="22">
        <f t="shared" si="5"/>
        <v>0</v>
      </c>
      <c r="K20" s="107">
        <f t="shared" si="4"/>
        <v>0</v>
      </c>
    </row>
    <row r="21" spans="1:11" hidden="1" x14ac:dyDescent="0.2">
      <c r="A21" s="106" t="s">
        <v>115</v>
      </c>
      <c r="B21" s="72">
        <v>1</v>
      </c>
      <c r="C21" s="77">
        <f>VLOOKUP($B$3,'Data for Bill Impacts'!$A$3:$Y$25,11,0)</f>
        <v>0</v>
      </c>
      <c r="D21" s="21">
        <f t="shared" ref="D21:D22" si="7">B21*C21</f>
        <v>0</v>
      </c>
      <c r="E21" s="72">
        <f t="shared" si="0"/>
        <v>1</v>
      </c>
      <c r="F21" s="120">
        <f>VLOOKUP($B$3,'Data for Bill Impacts'!$A$3:$Y$25,12,0)</f>
        <v>0</v>
      </c>
      <c r="G21" s="21">
        <f t="shared" si="6"/>
        <v>0</v>
      </c>
      <c r="H21" s="21">
        <f t="shared" si="1"/>
        <v>0</v>
      </c>
      <c r="I21" s="22" t="str">
        <f t="shared" si="2"/>
        <v>N/A</v>
      </c>
      <c r="J21" s="22">
        <f t="shared" si="5"/>
        <v>0</v>
      </c>
      <c r="K21" s="107">
        <f t="shared" si="4"/>
        <v>0</v>
      </c>
    </row>
    <row r="22" spans="1:11" x14ac:dyDescent="0.2">
      <c r="A22" s="106" t="s">
        <v>85</v>
      </c>
      <c r="B22" s="72">
        <v>1</v>
      </c>
      <c r="C22" s="120">
        <f>VLOOKUP($B$3,'Data for Bill Impacts'!$A$3:$Y$25,13,0)</f>
        <v>0</v>
      </c>
      <c r="D22" s="21">
        <f t="shared" si="7"/>
        <v>0</v>
      </c>
      <c r="E22" s="72">
        <f t="shared" si="0"/>
        <v>1</v>
      </c>
      <c r="F22" s="120">
        <f>VLOOKUP($B$3,'Data for Bill Impacts'!$A$3:$Y$25,22,0)</f>
        <v>0</v>
      </c>
      <c r="G22" s="21">
        <f t="shared" si="6"/>
        <v>0</v>
      </c>
      <c r="H22" s="21">
        <f t="shared" si="1"/>
        <v>0</v>
      </c>
      <c r="I22" s="22" t="str">
        <f t="shared" si="2"/>
        <v>N/A</v>
      </c>
      <c r="J22" s="22">
        <f t="shared" si="5"/>
        <v>0</v>
      </c>
      <c r="K22" s="107">
        <f t="shared" si="4"/>
        <v>0</v>
      </c>
    </row>
    <row r="23" spans="1:11" x14ac:dyDescent="0.2">
      <c r="A23" s="106" t="s">
        <v>39</v>
      </c>
      <c r="B23" s="72">
        <f>IF($B$9="kWh",$B$4,$B$5)</f>
        <v>350</v>
      </c>
      <c r="C23" s="124">
        <f>VLOOKUP($B$3,'Data for Bill Impacts'!$A$3:$Y$25,10,0)</f>
        <v>0</v>
      </c>
      <c r="D23" s="21">
        <f>B23*C23</f>
        <v>0</v>
      </c>
      <c r="E23" s="72">
        <f t="shared" si="0"/>
        <v>350</v>
      </c>
      <c r="F23" s="124">
        <f>VLOOKUP($B$3,'Data for Bill Impacts'!$A$3:$Y$25,19,0)</f>
        <v>0</v>
      </c>
      <c r="G23" s="21">
        <f>E23*F23</f>
        <v>0</v>
      </c>
      <c r="H23" s="21">
        <f t="shared" si="1"/>
        <v>0</v>
      </c>
      <c r="I23" s="22" t="str">
        <f t="shared" si="2"/>
        <v>N/A</v>
      </c>
      <c r="J23" s="22">
        <f t="shared" si="5"/>
        <v>0</v>
      </c>
      <c r="K23" s="107">
        <f t="shared" si="4"/>
        <v>0</v>
      </c>
    </row>
    <row r="24" spans="1:11" x14ac:dyDescent="0.2">
      <c r="A24" s="106" t="s">
        <v>129</v>
      </c>
      <c r="B24" s="72">
        <f>IF($B$9="kWh",$B$4,$B$5)</f>
        <v>350</v>
      </c>
      <c r="C24" s="124">
        <f>VLOOKUP($B$3,'Data for Bill Impacts'!$A$3:$Y$25,14,0)</f>
        <v>0</v>
      </c>
      <c r="D24" s="21">
        <f>B24*C24</f>
        <v>0</v>
      </c>
      <c r="E24" s="72">
        <f t="shared" si="0"/>
        <v>350</v>
      </c>
      <c r="F24" s="124">
        <f>VLOOKUP($B$3,'Data for Bill Impacts'!$A$3:$Y$25,23,0)</f>
        <v>0</v>
      </c>
      <c r="G24" s="21">
        <f>E24*F24</f>
        <v>0</v>
      </c>
      <c r="H24" s="21">
        <f t="shared" si="1"/>
        <v>0</v>
      </c>
      <c r="I24" s="22" t="str">
        <f t="shared" si="2"/>
        <v>N/A</v>
      </c>
      <c r="J24" s="22">
        <f t="shared" si="5"/>
        <v>0</v>
      </c>
      <c r="K24" s="107">
        <f t="shared" si="4"/>
        <v>0</v>
      </c>
    </row>
    <row r="25" spans="1:11" s="1" customFormat="1" x14ac:dyDescent="0.2">
      <c r="A25" s="109" t="s">
        <v>72</v>
      </c>
      <c r="B25" s="73"/>
      <c r="C25" s="34"/>
      <c r="D25" s="34">
        <f>SUM(D19:D24)</f>
        <v>30.78</v>
      </c>
      <c r="E25" s="72"/>
      <c r="F25" s="34"/>
      <c r="G25" s="34">
        <f>SUM(G19:G24)</f>
        <v>31.59</v>
      </c>
      <c r="H25" s="34">
        <f t="shared" si="1"/>
        <v>0.80999999999999872</v>
      </c>
      <c r="I25" s="35">
        <f t="shared" si="2"/>
        <v>2.6315789473684167E-2</v>
      </c>
      <c r="J25" s="35">
        <f>G25/$G$46</f>
        <v>0.40989554806528417</v>
      </c>
      <c r="K25" s="110">
        <f>G25/$G$51</f>
        <v>0.39685385120884059</v>
      </c>
    </row>
    <row r="26" spans="1:11" s="1" customFormat="1" x14ac:dyDescent="0.2">
      <c r="A26" s="118" t="s">
        <v>73</v>
      </c>
      <c r="B26" s="119">
        <v>1</v>
      </c>
      <c r="C26" s="77">
        <f>VLOOKUP($B$3,'Data for Bill Impacts'!$A$3:$Y$25,9,0)</f>
        <v>0.79</v>
      </c>
      <c r="D26" s="21">
        <f>B26*C26</f>
        <v>0.79</v>
      </c>
      <c r="E26" s="72">
        <v>1</v>
      </c>
      <c r="F26" s="77">
        <f>VLOOKUP($B$3,'Data for Bill Impacts'!$A$3:$Y$25,18,0)</f>
        <v>0.79</v>
      </c>
      <c r="G26" s="21">
        <f>E26*F26</f>
        <v>0.79</v>
      </c>
      <c r="H26" s="21">
        <f t="shared" si="1"/>
        <v>0</v>
      </c>
      <c r="I26" s="22">
        <f t="shared" si="2"/>
        <v>0</v>
      </c>
      <c r="J26" s="22">
        <f>G26/$G$46</f>
        <v>1.0250632572699415E-2</v>
      </c>
      <c r="K26" s="107">
        <f>G26/$G$51</f>
        <v>9.9244869406452697E-3</v>
      </c>
    </row>
    <row r="27" spans="1:11" s="1" customFormat="1" x14ac:dyDescent="0.2">
      <c r="A27" s="118" t="s">
        <v>75</v>
      </c>
      <c r="B27" s="119">
        <f>B8-B4</f>
        <v>19.949999999999989</v>
      </c>
      <c r="C27" s="186">
        <f>IF(B4&gt;B7,C13,C12)</f>
        <v>9.0999999999999998E-2</v>
      </c>
      <c r="D27" s="21">
        <f>B27*C27</f>
        <v>1.8154499999999989</v>
      </c>
      <c r="E27" s="72">
        <f>B27</f>
        <v>19.949999999999989</v>
      </c>
      <c r="F27" s="186">
        <f>C27</f>
        <v>9.0999999999999998E-2</v>
      </c>
      <c r="G27" s="21">
        <f>E27*F27</f>
        <v>1.8154499999999989</v>
      </c>
      <c r="H27" s="21">
        <f t="shared" si="1"/>
        <v>0</v>
      </c>
      <c r="I27" s="22">
        <f t="shared" si="2"/>
        <v>0</v>
      </c>
      <c r="J27" s="22">
        <f t="shared" ref="J27:J46" si="8">G27/$G$46</f>
        <v>2.3556342916591318E-2</v>
      </c>
      <c r="K27" s="107">
        <f t="shared" ref="K27:K41" si="9">G27/$G$51</f>
        <v>2.2806847868853727E-2</v>
      </c>
    </row>
    <row r="28" spans="1:11" s="1" customFormat="1" x14ac:dyDescent="0.2">
      <c r="A28" s="118" t="s">
        <v>74</v>
      </c>
      <c r="B28" s="119">
        <f>B8-B4</f>
        <v>19.949999999999989</v>
      </c>
      <c r="C28" s="186">
        <f>0.65*C15+0.17*C16+0.18*C17</f>
        <v>9.7519999999999996E-2</v>
      </c>
      <c r="D28" s="21">
        <f>B28*C28</f>
        <v>1.9455239999999987</v>
      </c>
      <c r="E28" s="72">
        <f>B28</f>
        <v>19.949999999999989</v>
      </c>
      <c r="F28" s="186">
        <f>C28</f>
        <v>9.7519999999999996E-2</v>
      </c>
      <c r="G28" s="21">
        <f>E28*F28</f>
        <v>1.9455239999999987</v>
      </c>
      <c r="H28" s="21">
        <f t="shared" si="1"/>
        <v>0</v>
      </c>
      <c r="I28" s="22">
        <f t="shared" si="2"/>
        <v>0</v>
      </c>
      <c r="J28" s="22">
        <f t="shared" si="8"/>
        <v>2.5244116057428406E-2</v>
      </c>
      <c r="K28" s="107">
        <f t="shared" si="9"/>
        <v>2.4440920924951814E-2</v>
      </c>
    </row>
    <row r="29" spans="1:11" s="1" customFormat="1" x14ac:dyDescent="0.2">
      <c r="A29" s="109" t="s">
        <v>78</v>
      </c>
      <c r="B29" s="73"/>
      <c r="C29" s="34"/>
      <c r="D29" s="34">
        <f>SUM(D25,D26:D27)</f>
        <v>33.385449999999999</v>
      </c>
      <c r="E29" s="72"/>
      <c r="F29" s="34"/>
      <c r="G29" s="34">
        <f>SUM(G25,G26:G27)</f>
        <v>34.195450000000001</v>
      </c>
      <c r="H29" s="34">
        <f t="shared" si="1"/>
        <v>0.81000000000000227</v>
      </c>
      <c r="I29" s="35">
        <f t="shared" si="2"/>
        <v>2.4262066259403491E-2</v>
      </c>
      <c r="J29" s="35">
        <f t="shared" si="8"/>
        <v>0.4437025235545749</v>
      </c>
      <c r="K29" s="110">
        <f t="shared" si="9"/>
        <v>0.42958518601833962</v>
      </c>
    </row>
    <row r="30" spans="1:11" s="1" customFormat="1" x14ac:dyDescent="0.2">
      <c r="A30" s="109" t="s">
        <v>77</v>
      </c>
      <c r="B30" s="73"/>
      <c r="C30" s="34"/>
      <c r="D30" s="34">
        <f>SUM(D25,D26,D28)</f>
        <v>33.515523999999999</v>
      </c>
      <c r="E30" s="72"/>
      <c r="F30" s="34"/>
      <c r="G30" s="34">
        <f>SUM(G25,G26,G28)</f>
        <v>34.325524000000001</v>
      </c>
      <c r="H30" s="34">
        <f t="shared" si="1"/>
        <v>0.81000000000000227</v>
      </c>
      <c r="I30" s="35">
        <f t="shared" si="2"/>
        <v>2.41679049982928E-2</v>
      </c>
      <c r="J30" s="35">
        <f t="shared" si="8"/>
        <v>0.44539029669541202</v>
      </c>
      <c r="K30" s="110">
        <f t="shared" si="9"/>
        <v>0.4312192590744377</v>
      </c>
    </row>
    <row r="31" spans="1:11" x14ac:dyDescent="0.2">
      <c r="A31" s="106" t="s">
        <v>40</v>
      </c>
      <c r="B31" s="72">
        <f>B8</f>
        <v>369.95</v>
      </c>
      <c r="C31" s="124">
        <f>VLOOKUP($B$3,'Data for Bill Impacts'!$A$3:$Y$25,15,0)</f>
        <v>7.3000000000000001E-3</v>
      </c>
      <c r="D31" s="21">
        <f>B31*C31</f>
        <v>2.7006350000000001</v>
      </c>
      <c r="E31" s="72">
        <f t="shared" si="0"/>
        <v>369.95</v>
      </c>
      <c r="F31" s="77">
        <f>VLOOKUP($B$3,'Data for Bill Impacts'!$A$3:$Y$25,24,0)</f>
        <v>7.3000000000000001E-3</v>
      </c>
      <c r="G31" s="21">
        <f>E31*F31</f>
        <v>2.7006350000000001</v>
      </c>
      <c r="H31" s="21">
        <f t="shared" si="1"/>
        <v>0</v>
      </c>
      <c r="I31" s="22">
        <f t="shared" si="2"/>
        <v>0</v>
      </c>
      <c r="J31" s="22">
        <f t="shared" si="8"/>
        <v>3.5042046959458333E-2</v>
      </c>
      <c r="K31" s="107">
        <f t="shared" si="9"/>
        <v>3.3927109859429795E-2</v>
      </c>
    </row>
    <row r="32" spans="1:11" x14ac:dyDescent="0.2">
      <c r="A32" s="106" t="s">
        <v>41</v>
      </c>
      <c r="B32" s="72">
        <f>B8</f>
        <v>369.95</v>
      </c>
      <c r="C32" s="124">
        <f>VLOOKUP($B$3,'Data for Bill Impacts'!$A$3:$Y$25,16,0)</f>
        <v>6.1999999999999998E-3</v>
      </c>
      <c r="D32" s="21">
        <f>B32*C32</f>
        <v>2.2936899999999998</v>
      </c>
      <c r="E32" s="72">
        <f t="shared" si="0"/>
        <v>369.95</v>
      </c>
      <c r="F32" s="77">
        <f>VLOOKUP($B$3,'Data for Bill Impacts'!$A$3:$Y$25,25,0)</f>
        <v>6.1999999999999998E-3</v>
      </c>
      <c r="G32" s="21">
        <f>E32*F32</f>
        <v>2.2936899999999998</v>
      </c>
      <c r="H32" s="21">
        <f t="shared" si="1"/>
        <v>0</v>
      </c>
      <c r="I32" s="22">
        <f t="shared" si="2"/>
        <v>0</v>
      </c>
      <c r="J32" s="22">
        <f t="shared" si="8"/>
        <v>2.9761738513512551E-2</v>
      </c>
      <c r="K32" s="107">
        <f t="shared" si="9"/>
        <v>2.881480563403626E-2</v>
      </c>
    </row>
    <row r="33" spans="1:11" s="1" customFormat="1" x14ac:dyDescent="0.2">
      <c r="A33" s="109" t="s">
        <v>76</v>
      </c>
      <c r="B33" s="73"/>
      <c r="C33" s="34"/>
      <c r="D33" s="34">
        <f>SUM(D31:D32)</f>
        <v>4.9943249999999999</v>
      </c>
      <c r="E33" s="72"/>
      <c r="F33" s="34"/>
      <c r="G33" s="34">
        <f>SUM(G31:G32)</f>
        <v>4.9943249999999999</v>
      </c>
      <c r="H33" s="34">
        <f t="shared" si="1"/>
        <v>0</v>
      </c>
      <c r="I33" s="35">
        <f t="shared" si="2"/>
        <v>0</v>
      </c>
      <c r="J33" s="35">
        <f t="shared" si="8"/>
        <v>6.4803785472970887E-2</v>
      </c>
      <c r="K33" s="110">
        <f t="shared" si="9"/>
        <v>6.2741915493466055E-2</v>
      </c>
    </row>
    <row r="34" spans="1:11" s="1" customFormat="1" x14ac:dyDescent="0.2">
      <c r="A34" s="109" t="s">
        <v>93</v>
      </c>
      <c r="B34" s="73"/>
      <c r="C34" s="34"/>
      <c r="D34" s="34">
        <f>D29+D33</f>
        <v>38.379774999999995</v>
      </c>
      <c r="E34" s="72"/>
      <c r="F34" s="34"/>
      <c r="G34" s="34">
        <f>G29+G33</f>
        <v>39.189774999999997</v>
      </c>
      <c r="H34" s="34">
        <f t="shared" si="1"/>
        <v>0.81000000000000227</v>
      </c>
      <c r="I34" s="35">
        <f t="shared" si="2"/>
        <v>2.1104865778916172E-2</v>
      </c>
      <c r="J34" s="35">
        <f t="shared" si="8"/>
        <v>0.50850630902754579</v>
      </c>
      <c r="K34" s="110">
        <f t="shared" si="9"/>
        <v>0.49232710151180564</v>
      </c>
    </row>
    <row r="35" spans="1:11" s="1" customFormat="1" x14ac:dyDescent="0.2">
      <c r="A35" s="109" t="s">
        <v>94</v>
      </c>
      <c r="B35" s="73"/>
      <c r="C35" s="34"/>
      <c r="D35" s="34">
        <f>D30+D33</f>
        <v>38.509849000000003</v>
      </c>
      <c r="E35" s="72"/>
      <c r="F35" s="34"/>
      <c r="G35" s="34">
        <f>G30+G33</f>
        <v>39.319849000000005</v>
      </c>
      <c r="H35" s="34">
        <f t="shared" si="1"/>
        <v>0.81000000000000227</v>
      </c>
      <c r="I35" s="35">
        <f t="shared" si="2"/>
        <v>2.1033580266700144E-2</v>
      </c>
      <c r="J35" s="35">
        <f t="shared" si="8"/>
        <v>0.51019408216838291</v>
      </c>
      <c r="K35" s="110">
        <f t="shared" si="9"/>
        <v>0.49396117456790384</v>
      </c>
    </row>
    <row r="36" spans="1:11" x14ac:dyDescent="0.2">
      <c r="A36" s="106" t="s">
        <v>42</v>
      </c>
      <c r="B36" s="72">
        <f>B8</f>
        <v>369.95</v>
      </c>
      <c r="C36" s="33">
        <v>3.5999999999999999E-3</v>
      </c>
      <c r="D36" s="21">
        <f>B36*C36</f>
        <v>1.33182</v>
      </c>
      <c r="E36" s="72">
        <f t="shared" si="0"/>
        <v>369.95</v>
      </c>
      <c r="F36" s="33">
        <v>3.5999999999999999E-3</v>
      </c>
      <c r="G36" s="21">
        <f>E36*F36</f>
        <v>1.33182</v>
      </c>
      <c r="H36" s="21">
        <f t="shared" si="1"/>
        <v>0</v>
      </c>
      <c r="I36" s="22">
        <f t="shared" si="2"/>
        <v>0</v>
      </c>
      <c r="J36" s="22">
        <f t="shared" si="8"/>
        <v>1.7281009459458905E-2</v>
      </c>
      <c r="K36" s="107">
        <f t="shared" si="9"/>
        <v>1.6731177464924283E-2</v>
      </c>
    </row>
    <row r="37" spans="1:11" x14ac:dyDescent="0.2">
      <c r="A37" s="106" t="s">
        <v>43</v>
      </c>
      <c r="B37" s="72">
        <f>B8</f>
        <v>369.95</v>
      </c>
      <c r="C37" s="33">
        <v>2.0999999999999999E-3</v>
      </c>
      <c r="D37" s="21">
        <f>B37*C37</f>
        <v>0.77689499999999989</v>
      </c>
      <c r="E37" s="72">
        <f t="shared" si="0"/>
        <v>369.95</v>
      </c>
      <c r="F37" s="33">
        <v>2.0999999999999999E-3</v>
      </c>
      <c r="G37" s="21">
        <f>E37*F37</f>
        <v>0.77689499999999989</v>
      </c>
      <c r="H37" s="21">
        <f>G37-D37</f>
        <v>0</v>
      </c>
      <c r="I37" s="22">
        <f t="shared" si="2"/>
        <v>0</v>
      </c>
      <c r="J37" s="22">
        <f t="shared" si="8"/>
        <v>1.0080588851351026E-2</v>
      </c>
      <c r="K37" s="107">
        <f t="shared" si="9"/>
        <v>9.7598535212058291E-3</v>
      </c>
    </row>
    <row r="38" spans="1:11" x14ac:dyDescent="0.2">
      <c r="A38" s="106" t="s">
        <v>99</v>
      </c>
      <c r="B38" s="72">
        <f>B8</f>
        <v>369.95</v>
      </c>
      <c r="C38" s="33">
        <v>0</v>
      </c>
      <c r="D38" s="21">
        <f>B38*C38</f>
        <v>0</v>
      </c>
      <c r="E38" s="72">
        <f t="shared" si="0"/>
        <v>369.95</v>
      </c>
      <c r="F38" s="33">
        <v>0</v>
      </c>
      <c r="G38" s="21">
        <f>E38*F38</f>
        <v>0</v>
      </c>
      <c r="H38" s="21">
        <f>G38-D38</f>
        <v>0</v>
      </c>
      <c r="I38" s="22" t="str">
        <f t="shared" si="2"/>
        <v>N/A</v>
      </c>
      <c r="J38" s="22">
        <f t="shared" si="8"/>
        <v>0</v>
      </c>
      <c r="K38" s="107">
        <f t="shared" si="9"/>
        <v>0</v>
      </c>
    </row>
    <row r="39" spans="1:11" x14ac:dyDescent="0.2">
      <c r="A39" s="106" t="s">
        <v>44</v>
      </c>
      <c r="B39" s="72">
        <v>1</v>
      </c>
      <c r="C39" s="21">
        <v>0.25</v>
      </c>
      <c r="D39" s="21">
        <f>B39*C39</f>
        <v>0.25</v>
      </c>
      <c r="E39" s="72">
        <f t="shared" si="0"/>
        <v>1</v>
      </c>
      <c r="F39" s="21">
        <f>C39</f>
        <v>0.25</v>
      </c>
      <c r="G39" s="21">
        <f>E39*F39</f>
        <v>0.25</v>
      </c>
      <c r="H39" s="21">
        <f t="shared" si="1"/>
        <v>0</v>
      </c>
      <c r="I39" s="22">
        <f t="shared" si="2"/>
        <v>0</v>
      </c>
      <c r="J39" s="22">
        <f t="shared" si="8"/>
        <v>3.2438710673099412E-3</v>
      </c>
      <c r="K39" s="107">
        <f t="shared" si="9"/>
        <v>3.1406604242548322E-3</v>
      </c>
    </row>
    <row r="40" spans="1:11" s="1" customFormat="1" x14ac:dyDescent="0.2">
      <c r="A40" s="109" t="s">
        <v>45</v>
      </c>
      <c r="B40" s="73"/>
      <c r="C40" s="34"/>
      <c r="D40" s="34">
        <f>SUM(D36:D39)</f>
        <v>2.3587150000000001</v>
      </c>
      <c r="E40" s="72"/>
      <c r="F40" s="34"/>
      <c r="G40" s="34">
        <f>SUM(G36:G39)</f>
        <v>2.3587150000000001</v>
      </c>
      <c r="H40" s="34">
        <f t="shared" si="1"/>
        <v>0</v>
      </c>
      <c r="I40" s="35">
        <f t="shared" si="2"/>
        <v>0</v>
      </c>
      <c r="J40" s="35">
        <f t="shared" si="8"/>
        <v>3.0605469378119872E-2</v>
      </c>
      <c r="K40" s="110">
        <f t="shared" si="9"/>
        <v>2.9631691410384946E-2</v>
      </c>
    </row>
    <row r="41" spans="1:11" s="1" customFormat="1" ht="13.5" thickBot="1" x14ac:dyDescent="0.25">
      <c r="A41" s="111" t="s">
        <v>46</v>
      </c>
      <c r="B41" s="112">
        <f>B4</f>
        <v>350</v>
      </c>
      <c r="C41" s="113">
        <v>0</v>
      </c>
      <c r="D41" s="114">
        <f>B41*C41</f>
        <v>0</v>
      </c>
      <c r="E41" s="115">
        <f t="shared" si="0"/>
        <v>350</v>
      </c>
      <c r="F41" s="113">
        <f>C41</f>
        <v>0</v>
      </c>
      <c r="G41" s="114">
        <f>E41*F41</f>
        <v>0</v>
      </c>
      <c r="H41" s="114">
        <f t="shared" si="1"/>
        <v>0</v>
      </c>
      <c r="I41" s="116" t="str">
        <f t="shared" si="2"/>
        <v>N/A</v>
      </c>
      <c r="J41" s="116">
        <f t="shared" si="8"/>
        <v>0</v>
      </c>
      <c r="K41" s="117">
        <f t="shared" si="9"/>
        <v>0</v>
      </c>
    </row>
    <row r="42" spans="1:11" s="1" customFormat="1" x14ac:dyDescent="0.2">
      <c r="A42" s="36" t="s">
        <v>107</v>
      </c>
      <c r="B42" s="37"/>
      <c r="C42" s="38"/>
      <c r="D42" s="38">
        <f>SUM(D14,D25,D26,D27,D33,D40,D41)</f>
        <v>72.588490000000007</v>
      </c>
      <c r="E42" s="37"/>
      <c r="F42" s="38"/>
      <c r="G42" s="38">
        <f>SUM(G14,G25,G26,G27,G33,G40,G41)</f>
        <v>73.39849000000001</v>
      </c>
      <c r="H42" s="38">
        <f t="shared" si="1"/>
        <v>0.81000000000000227</v>
      </c>
      <c r="I42" s="39">
        <f t="shared" si="2"/>
        <v>1.1158793907959819E-2</v>
      </c>
      <c r="J42" s="39">
        <f t="shared" si="8"/>
        <v>0.95238095238095233</v>
      </c>
      <c r="K42" s="40"/>
    </row>
    <row r="43" spans="1:11" x14ac:dyDescent="0.2">
      <c r="A43" s="142" t="s">
        <v>108</v>
      </c>
      <c r="B43" s="42"/>
      <c r="C43" s="25">
        <v>0.13</v>
      </c>
      <c r="D43" s="25">
        <f>D42*C43</f>
        <v>9.4365037000000012</v>
      </c>
      <c r="E43" s="25"/>
      <c r="F43" s="25">
        <f>C43</f>
        <v>0.13</v>
      </c>
      <c r="G43" s="25">
        <f>G42*F43</f>
        <v>9.5418037000000009</v>
      </c>
      <c r="H43" s="25">
        <f t="shared" si="1"/>
        <v>0.10529999999999973</v>
      </c>
      <c r="I43" s="43">
        <f t="shared" si="2"/>
        <v>1.1158793907959758E-2</v>
      </c>
      <c r="J43" s="43">
        <f t="shared" si="8"/>
        <v>0.1238095238095238</v>
      </c>
      <c r="K43" s="44"/>
    </row>
    <row r="44" spans="1:11" s="1" customFormat="1" x14ac:dyDescent="0.2">
      <c r="A44" s="45" t="s">
        <v>109</v>
      </c>
      <c r="B44" s="23"/>
      <c r="C44" s="24"/>
      <c r="D44" s="24">
        <f>SUM(D42:D43)</f>
        <v>82.02499370000001</v>
      </c>
      <c r="E44" s="24"/>
      <c r="F44" s="24"/>
      <c r="G44" s="24">
        <f>SUM(G42:G43)</f>
        <v>82.940293700000012</v>
      </c>
      <c r="H44" s="24">
        <f t="shared" si="1"/>
        <v>0.915300000000002</v>
      </c>
      <c r="I44" s="26">
        <f t="shared" si="2"/>
        <v>1.1158793907959812E-2</v>
      </c>
      <c r="J44" s="26">
        <f t="shared" si="8"/>
        <v>1.0761904761904761</v>
      </c>
      <c r="K44" s="46"/>
    </row>
    <row r="45" spans="1:11" x14ac:dyDescent="0.2">
      <c r="A45" s="41" t="s">
        <v>110</v>
      </c>
      <c r="B45" s="42"/>
      <c r="C45" s="25">
        <v>-0.08</v>
      </c>
      <c r="D45" s="25">
        <f>D42*C45</f>
        <v>-5.8070792000000004</v>
      </c>
      <c r="E45" s="25"/>
      <c r="F45" s="25">
        <f>C45</f>
        <v>-0.08</v>
      </c>
      <c r="G45" s="25">
        <f>G42*F45</f>
        <v>-5.8718792000000013</v>
      </c>
      <c r="H45" s="25">
        <f t="shared" si="1"/>
        <v>-6.4800000000000857E-2</v>
      </c>
      <c r="I45" s="43">
        <f t="shared" si="2"/>
        <v>-1.1158793907959935E-2</v>
      </c>
      <c r="J45" s="43">
        <f t="shared" si="8"/>
        <v>-7.6190476190476183E-2</v>
      </c>
      <c r="K45" s="44"/>
    </row>
    <row r="46" spans="1:11" s="1" customFormat="1" ht="13.5" thickBot="1" x14ac:dyDescent="0.25">
      <c r="A46" s="47" t="s">
        <v>111</v>
      </c>
      <c r="B46" s="48"/>
      <c r="C46" s="49"/>
      <c r="D46" s="49">
        <f>SUM(D44:D45)</f>
        <v>76.217914500000006</v>
      </c>
      <c r="E46" s="49"/>
      <c r="F46" s="49"/>
      <c r="G46" s="49">
        <f>SUM(G44:G45)</f>
        <v>77.068414500000017</v>
      </c>
      <c r="H46" s="49">
        <f t="shared" si="1"/>
        <v>0.85050000000001091</v>
      </c>
      <c r="I46" s="50">
        <f t="shared" si="2"/>
        <v>1.115879390795993E-2</v>
      </c>
      <c r="J46" s="50">
        <f t="shared" si="8"/>
        <v>1</v>
      </c>
      <c r="K46" s="51"/>
    </row>
    <row r="47" spans="1:11" x14ac:dyDescent="0.2">
      <c r="A47" s="52" t="s">
        <v>112</v>
      </c>
      <c r="B47" s="53"/>
      <c r="C47" s="54"/>
      <c r="D47" s="54">
        <f>SUM(D18,D25,D26,D28,D33,D40,D41)</f>
        <v>75.000564000000011</v>
      </c>
      <c r="E47" s="54"/>
      <c r="F47" s="54"/>
      <c r="G47" s="54">
        <f>SUM(G18,G25,G26,G28,G33,G40,G41)</f>
        <v>75.810563999999999</v>
      </c>
      <c r="H47" s="54">
        <f>G47-D47</f>
        <v>0.80999999999998806</v>
      </c>
      <c r="I47" s="55">
        <f t="shared" si="2"/>
        <v>1.0799918784610578E-2</v>
      </c>
      <c r="J47" s="55"/>
      <c r="K47" s="56">
        <f>G47/$G$51</f>
        <v>0.95238095238095244</v>
      </c>
    </row>
    <row r="48" spans="1:11" x14ac:dyDescent="0.2">
      <c r="A48" s="143" t="s">
        <v>108</v>
      </c>
      <c r="B48" s="58"/>
      <c r="C48" s="30">
        <v>0.13</v>
      </c>
      <c r="D48" s="30">
        <f>D47*C48</f>
        <v>9.750073320000002</v>
      </c>
      <c r="E48" s="30"/>
      <c r="F48" s="30">
        <f>C48</f>
        <v>0.13</v>
      </c>
      <c r="G48" s="30">
        <f>G47*F48</f>
        <v>9.85537332</v>
      </c>
      <c r="H48" s="30">
        <f>G48-D48</f>
        <v>0.10529999999999795</v>
      </c>
      <c r="I48" s="31">
        <f t="shared" si="2"/>
        <v>1.0799918784610528E-2</v>
      </c>
      <c r="J48" s="31"/>
      <c r="K48" s="59">
        <f>G48/$G$51</f>
        <v>0.12380952380952381</v>
      </c>
    </row>
    <row r="49" spans="1:11" x14ac:dyDescent="0.2">
      <c r="A49" s="60" t="s">
        <v>113</v>
      </c>
      <c r="B49" s="28"/>
      <c r="C49" s="29"/>
      <c r="D49" s="29">
        <f>SUM(D47:D48)</f>
        <v>84.75063732000001</v>
      </c>
      <c r="E49" s="29"/>
      <c r="F49" s="29"/>
      <c r="G49" s="29">
        <f>SUM(G47:G48)</f>
        <v>85.665937319999998</v>
      </c>
      <c r="H49" s="29">
        <f>G49-D49</f>
        <v>0.91529999999998779</v>
      </c>
      <c r="I49" s="32">
        <f t="shared" si="2"/>
        <v>1.0799918784610594E-2</v>
      </c>
      <c r="J49" s="32"/>
      <c r="K49" s="61">
        <f>G49/$G$51</f>
        <v>1.0761904761904761</v>
      </c>
    </row>
    <row r="50" spans="1:11" x14ac:dyDescent="0.2">
      <c r="A50" s="57" t="s">
        <v>110</v>
      </c>
      <c r="B50" s="58"/>
      <c r="C50" s="30">
        <v>-0.08</v>
      </c>
      <c r="D50" s="30">
        <f>D47*C50</f>
        <v>-6.0000451200000011</v>
      </c>
      <c r="E50" s="30"/>
      <c r="F50" s="30">
        <f>C50</f>
        <v>-0.08</v>
      </c>
      <c r="G50" s="30">
        <f>G47*F50</f>
        <v>-6.0648451200000002</v>
      </c>
      <c r="H50" s="30">
        <f>G50-D50</f>
        <v>-6.4799999999999081E-2</v>
      </c>
      <c r="I50" s="31">
        <f t="shared" si="2"/>
        <v>-1.0799918784610585E-2</v>
      </c>
      <c r="J50" s="31"/>
      <c r="K50" s="59">
        <f>G50/$G$51</f>
        <v>-7.6190476190476197E-2</v>
      </c>
    </row>
    <row r="51" spans="1:11" ht="13.5" thickBot="1" x14ac:dyDescent="0.25">
      <c r="A51" s="62" t="s">
        <v>114</v>
      </c>
      <c r="B51" s="63"/>
      <c r="C51" s="64"/>
      <c r="D51" s="64">
        <f>SUM(D49:D50)</f>
        <v>78.750592200000014</v>
      </c>
      <c r="E51" s="64"/>
      <c r="F51" s="64"/>
      <c r="G51" s="64">
        <f>SUM(G49:G50)</f>
        <v>79.601092199999997</v>
      </c>
      <c r="H51" s="64">
        <f>G51-D51</f>
        <v>0.85049999999998249</v>
      </c>
      <c r="I51" s="65">
        <f t="shared" si="2"/>
        <v>1.0799918784610516E-2</v>
      </c>
      <c r="J51" s="65"/>
      <c r="K51" s="66">
        <f>G51/$G$51</f>
        <v>1</v>
      </c>
    </row>
    <row r="52" spans="1:11" x14ac:dyDescent="0.2">
      <c r="C52" s="67"/>
      <c r="F52" s="68"/>
    </row>
    <row r="53" spans="1:11" x14ac:dyDescent="0.2">
      <c r="F53" s="68"/>
    </row>
    <row r="54" spans="1:11" x14ac:dyDescent="0.2">
      <c r="F54" s="68"/>
    </row>
    <row r="55" spans="1:11" x14ac:dyDescent="0.2">
      <c r="A55" s="69"/>
      <c r="B55" s="70"/>
      <c r="F55" s="68"/>
    </row>
    <row r="56" spans="1:11" x14ac:dyDescent="0.2">
      <c r="B56" s="70"/>
      <c r="F56" s="68"/>
    </row>
    <row r="57" spans="1:11" x14ac:dyDescent="0.2">
      <c r="F57" s="68"/>
    </row>
    <row r="58" spans="1:11" x14ac:dyDescent="0.2">
      <c r="D58" s="71"/>
      <c r="F58" s="68"/>
    </row>
    <row r="59" spans="1:11" x14ac:dyDescent="0.2">
      <c r="F59" s="68"/>
    </row>
    <row r="60" spans="1:11" x14ac:dyDescent="0.2">
      <c r="A60" s="69"/>
      <c r="B60" s="70"/>
      <c r="F60" s="68"/>
    </row>
    <row r="61" spans="1:11" x14ac:dyDescent="0.2">
      <c r="B61" s="71"/>
      <c r="D61" s="71"/>
      <c r="F61" s="68"/>
    </row>
    <row r="62" spans="1:11" x14ac:dyDescent="0.2">
      <c r="F62" s="68"/>
    </row>
    <row r="63" spans="1:11" x14ac:dyDescent="0.2">
      <c r="F63" s="68"/>
    </row>
    <row r="64" spans="1:11" x14ac:dyDescent="0.2">
      <c r="F64" s="68"/>
      <c r="K64"/>
    </row>
    <row r="65" spans="6:11" x14ac:dyDescent="0.2">
      <c r="F65" s="68"/>
      <c r="K65"/>
    </row>
    <row r="66" spans="6:11" x14ac:dyDescent="0.2">
      <c r="F66" s="68"/>
      <c r="K66"/>
    </row>
    <row r="67" spans="6:11" x14ac:dyDescent="0.2">
      <c r="F67" s="68"/>
      <c r="K67"/>
    </row>
    <row r="68" spans="6:11" x14ac:dyDescent="0.2">
      <c r="F68" s="68"/>
      <c r="K68"/>
    </row>
  </sheetData>
  <mergeCells count="1">
    <mergeCell ref="A1:K1"/>
  </mergeCells>
  <pageMargins left="0.7" right="0.7" top="0.75" bottom="0.75" header="0.3" footer="0.3"/>
  <pageSetup scale="7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Impacts'!$A$3:$A$22</xm:f>
          </x14:formula1>
          <xm:sqref>B3</xm:sqref>
        </x14:dataValidation>
      </x14:dataValidations>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1" tint="0.499984740745262"/>
    <pageSetUpPr fitToPage="1"/>
  </sheetPr>
  <dimension ref="A1:K68"/>
  <sheetViews>
    <sheetView tabSelected="1" topLeftCell="A34"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3"/>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205" t="s">
        <v>126</v>
      </c>
      <c r="B1" s="206"/>
      <c r="C1" s="206"/>
      <c r="D1" s="206"/>
      <c r="E1" s="206"/>
      <c r="F1" s="206"/>
      <c r="G1" s="206"/>
      <c r="H1" s="206"/>
      <c r="I1" s="206"/>
      <c r="J1" s="206"/>
      <c r="K1" s="207"/>
    </row>
    <row r="3" spans="1:11" x14ac:dyDescent="0.2">
      <c r="A3" s="12" t="s">
        <v>13</v>
      </c>
      <c r="B3" s="12" t="s">
        <v>130</v>
      </c>
    </row>
    <row r="4" spans="1:11" x14ac:dyDescent="0.2">
      <c r="A4" s="14" t="s">
        <v>62</v>
      </c>
      <c r="B4" s="14">
        <v>750</v>
      </c>
    </row>
    <row r="5" spans="1:11" x14ac:dyDescent="0.2">
      <c r="A5" s="14" t="s">
        <v>16</v>
      </c>
      <c r="B5" s="14">
        <f>VLOOKUP($B$3,'Data for Bill Impacts'!$A$3:$Y$25,5,0)</f>
        <v>0</v>
      </c>
    </row>
    <row r="6" spans="1:11" x14ac:dyDescent="0.2">
      <c r="A6" s="14" t="s">
        <v>20</v>
      </c>
      <c r="B6" s="14">
        <f>VLOOKUP($B$3,'Data for Bill Impacts'!$A$3:$Y$25,2,0)</f>
        <v>1.0569999999999999</v>
      </c>
    </row>
    <row r="7" spans="1:11" x14ac:dyDescent="0.2">
      <c r="A7" s="14" t="s">
        <v>15</v>
      </c>
      <c r="B7" s="14">
        <f>VLOOKUP($B$3,'Data for Bill Impacts'!$A$3:$Y$25,4,0)</f>
        <v>600</v>
      </c>
    </row>
    <row r="8" spans="1:11" x14ac:dyDescent="0.2">
      <c r="A8" s="14" t="s">
        <v>82</v>
      </c>
      <c r="B8" s="148">
        <f>B4*B6</f>
        <v>792.75</v>
      </c>
    </row>
    <row r="9" spans="1:11" x14ac:dyDescent="0.2">
      <c r="A9" s="14" t="s">
        <v>21</v>
      </c>
      <c r="B9" s="15" t="str">
        <f>VLOOKUP($B$3,'Data for Bill Impacts'!$A$3:$Y$25,6,0)</f>
        <v>kWh</v>
      </c>
    </row>
    <row r="10" spans="1:11" ht="13.5" thickBot="1" x14ac:dyDescent="0.25"/>
    <row r="11" spans="1:11" s="19" customFormat="1" ht="51.75" thickBot="1" x14ac:dyDescent="0.25">
      <c r="A11" s="16"/>
      <c r="B11" s="17" t="s">
        <v>22</v>
      </c>
      <c r="C11" s="17" t="s">
        <v>23</v>
      </c>
      <c r="D11" s="17" t="s">
        <v>24</v>
      </c>
      <c r="E11" s="17" t="s">
        <v>22</v>
      </c>
      <c r="F11" s="17" t="s">
        <v>25</v>
      </c>
      <c r="G11" s="17" t="s">
        <v>26</v>
      </c>
      <c r="H11" s="17" t="s">
        <v>27</v>
      </c>
      <c r="I11" s="17" t="s">
        <v>28</v>
      </c>
      <c r="J11" s="17" t="s">
        <v>29</v>
      </c>
      <c r="K11" s="18" t="s">
        <v>30</v>
      </c>
    </row>
    <row r="12" spans="1:11" x14ac:dyDescent="0.2">
      <c r="A12" s="100" t="s">
        <v>31</v>
      </c>
      <c r="B12" s="101">
        <f>IF(B4&gt;B7,B7,B4)</f>
        <v>600</v>
      </c>
      <c r="C12" s="102">
        <v>9.0999999999999998E-2</v>
      </c>
      <c r="D12" s="103">
        <f>B12*C12</f>
        <v>54.6</v>
      </c>
      <c r="E12" s="101">
        <f>B12</f>
        <v>600</v>
      </c>
      <c r="F12" s="102">
        <f>C12</f>
        <v>9.0999999999999998E-2</v>
      </c>
      <c r="G12" s="103">
        <f>E12*F12</f>
        <v>54.6</v>
      </c>
      <c r="H12" s="103">
        <f>G12-D12</f>
        <v>0</v>
      </c>
      <c r="I12" s="104">
        <f>IF(ISERROR(H12/ABS(D12)),"N/A",(H12/ABS(D12)))</f>
        <v>0</v>
      </c>
      <c r="J12" s="104">
        <f>G12/$G$46</f>
        <v>0.42316916268657079</v>
      </c>
      <c r="K12" s="105"/>
    </row>
    <row r="13" spans="1:11" x14ac:dyDescent="0.2">
      <c r="A13" s="106" t="s">
        <v>32</v>
      </c>
      <c r="B13" s="72">
        <f>IF(B4&gt;B7,(B4)-B7,0)</f>
        <v>150</v>
      </c>
      <c r="C13" s="20">
        <v>0.106</v>
      </c>
      <c r="D13" s="21">
        <f>B13*C13</f>
        <v>15.9</v>
      </c>
      <c r="E13" s="72">
        <f t="shared" ref="E13" si="0">B13</f>
        <v>150</v>
      </c>
      <c r="F13" s="20">
        <f>C13</f>
        <v>0.106</v>
      </c>
      <c r="G13" s="21">
        <f>E13*F13</f>
        <v>15.9</v>
      </c>
      <c r="H13" s="21">
        <f t="shared" ref="H13:H46" si="1">G13-D13</f>
        <v>0</v>
      </c>
      <c r="I13" s="22">
        <f t="shared" ref="I13:I51" si="2">IF(ISERROR(H13/ABS(D13)),"N/A",(H13/ABS(D13)))</f>
        <v>0</v>
      </c>
      <c r="J13" s="22">
        <f>G13/$G$46</f>
        <v>0.12323058034279259</v>
      </c>
      <c r="K13" s="107"/>
    </row>
    <row r="14" spans="1:11" s="1" customFormat="1" x14ac:dyDescent="0.2">
      <c r="A14" s="45" t="s">
        <v>33</v>
      </c>
      <c r="B14" s="23"/>
      <c r="C14" s="24"/>
      <c r="D14" s="24">
        <f>SUM(D12:D13)</f>
        <v>70.5</v>
      </c>
      <c r="E14" s="75"/>
      <c r="F14" s="24"/>
      <c r="G14" s="24">
        <f>SUM(G12:G13)</f>
        <v>70.5</v>
      </c>
      <c r="H14" s="24">
        <f t="shared" si="1"/>
        <v>0</v>
      </c>
      <c r="I14" s="26">
        <f t="shared" si="2"/>
        <v>0</v>
      </c>
      <c r="J14" s="26">
        <f>G14/$G$46</f>
        <v>0.54639974302936334</v>
      </c>
      <c r="K14" s="107"/>
    </row>
    <row r="15" spans="1:11" s="1" customFormat="1" x14ac:dyDescent="0.2">
      <c r="A15" s="108" t="s">
        <v>34</v>
      </c>
      <c r="B15" s="74">
        <f>B4*0.65</f>
        <v>487.5</v>
      </c>
      <c r="C15" s="27">
        <v>7.6999999999999999E-2</v>
      </c>
      <c r="D15" s="21">
        <f>B15*C15</f>
        <v>37.537500000000001</v>
      </c>
      <c r="E15" s="72">
        <f t="shared" ref="E15:F17" si="3">B15</f>
        <v>487.5</v>
      </c>
      <c r="F15" s="27">
        <f t="shared" si="3"/>
        <v>7.6999999999999999E-2</v>
      </c>
      <c r="G15" s="21">
        <f>E15*F15</f>
        <v>37.537500000000001</v>
      </c>
      <c r="H15" s="21">
        <f t="shared" si="1"/>
        <v>0</v>
      </c>
      <c r="I15" s="22">
        <f t="shared" si="2"/>
        <v>0</v>
      </c>
      <c r="J15" s="22"/>
      <c r="K15" s="107">
        <f t="shared" ref="K15:K41" si="4">G15/$G$51</f>
        <v>0.28563489005813197</v>
      </c>
    </row>
    <row r="16" spans="1:11" s="1" customFormat="1" x14ac:dyDescent="0.2">
      <c r="A16" s="108" t="s">
        <v>35</v>
      </c>
      <c r="B16" s="74">
        <f>B4*0.17</f>
        <v>127.50000000000001</v>
      </c>
      <c r="C16" s="27">
        <v>0.113</v>
      </c>
      <c r="D16" s="21">
        <f>B16*C16</f>
        <v>14.407500000000002</v>
      </c>
      <c r="E16" s="72">
        <f t="shared" si="3"/>
        <v>127.50000000000001</v>
      </c>
      <c r="F16" s="27">
        <f t="shared" si="3"/>
        <v>0.113</v>
      </c>
      <c r="G16" s="21">
        <f>E16*F16</f>
        <v>14.407500000000002</v>
      </c>
      <c r="H16" s="21">
        <f t="shared" si="1"/>
        <v>0</v>
      </c>
      <c r="I16" s="22">
        <f t="shared" si="2"/>
        <v>0</v>
      </c>
      <c r="J16" s="22"/>
      <c r="K16" s="107">
        <f t="shared" si="4"/>
        <v>0.10963129346686747</v>
      </c>
    </row>
    <row r="17" spans="1:11" s="1" customFormat="1" x14ac:dyDescent="0.2">
      <c r="A17" s="108" t="s">
        <v>36</v>
      </c>
      <c r="B17" s="74">
        <f>B4*0.18</f>
        <v>135</v>
      </c>
      <c r="C17" s="27">
        <v>0.157</v>
      </c>
      <c r="D17" s="21">
        <f>B17*C17</f>
        <v>21.195</v>
      </c>
      <c r="E17" s="72">
        <f t="shared" si="3"/>
        <v>135</v>
      </c>
      <c r="F17" s="27">
        <f t="shared" si="3"/>
        <v>0.157</v>
      </c>
      <c r="G17" s="21">
        <f>E17*F17</f>
        <v>21.195</v>
      </c>
      <c r="H17" s="21">
        <f t="shared" si="1"/>
        <v>0</v>
      </c>
      <c r="I17" s="22">
        <f t="shared" si="2"/>
        <v>0</v>
      </c>
      <c r="J17" s="22"/>
      <c r="K17" s="107">
        <f t="shared" si="4"/>
        <v>0.16127956030055565</v>
      </c>
    </row>
    <row r="18" spans="1:11" s="1" customFormat="1" x14ac:dyDescent="0.2">
      <c r="A18" s="60" t="s">
        <v>37</v>
      </c>
      <c r="B18" s="28"/>
      <c r="C18" s="29"/>
      <c r="D18" s="29">
        <f>SUM(D15:D17)</f>
        <v>73.140000000000015</v>
      </c>
      <c r="E18" s="76"/>
      <c r="F18" s="29"/>
      <c r="G18" s="29">
        <f>SUM(G15:G17)</f>
        <v>73.140000000000015</v>
      </c>
      <c r="H18" s="30">
        <f t="shared" si="1"/>
        <v>0</v>
      </c>
      <c r="I18" s="31">
        <f t="shared" si="2"/>
        <v>0</v>
      </c>
      <c r="J18" s="32">
        <f t="shared" ref="J18:J24" si="5">G18/$G$46</f>
        <v>0.566860669576846</v>
      </c>
      <c r="K18" s="61">
        <f t="shared" si="4"/>
        <v>0.55654574382555522</v>
      </c>
    </row>
    <row r="19" spans="1:11" x14ac:dyDescent="0.2">
      <c r="A19" s="106" t="s">
        <v>38</v>
      </c>
      <c r="B19" s="72">
        <v>1</v>
      </c>
      <c r="C19" s="77">
        <f>VLOOKUP($B$3,'Data for Bill Impacts'!$A$3:$Y$25,7,0)</f>
        <v>30.78</v>
      </c>
      <c r="D19" s="21">
        <f>B19*C19</f>
        <v>30.78</v>
      </c>
      <c r="E19" s="72">
        <f t="shared" ref="E19:E41" si="6">B19</f>
        <v>1</v>
      </c>
      <c r="F19" s="77">
        <f>VLOOKUP($B$3,'Data for Bill Impacts'!$A$3:$Y$25,17,0)</f>
        <v>31.59</v>
      </c>
      <c r="G19" s="21">
        <f>E19*F19</f>
        <v>31.59</v>
      </c>
      <c r="H19" s="21">
        <f t="shared" si="1"/>
        <v>0.80999999999999872</v>
      </c>
      <c r="I19" s="22">
        <f t="shared" si="2"/>
        <v>2.6315789473684167E-2</v>
      </c>
      <c r="J19" s="22">
        <f t="shared" si="5"/>
        <v>0.24483358698294452</v>
      </c>
      <c r="K19" s="107">
        <f t="shared" si="4"/>
        <v>0.24037845293203836</v>
      </c>
    </row>
    <row r="20" spans="1:11" hidden="1" x14ac:dyDescent="0.2">
      <c r="A20" s="106" t="s">
        <v>83</v>
      </c>
      <c r="B20" s="72">
        <v>1</v>
      </c>
      <c r="C20" s="77">
        <f>VLOOKUP($B$3,'Data for Bill Impacts'!$A$3:$Y$25,8,0)</f>
        <v>0</v>
      </c>
      <c r="D20" s="21">
        <f>B20*C20</f>
        <v>0</v>
      </c>
      <c r="E20" s="72">
        <f t="shared" si="6"/>
        <v>1</v>
      </c>
      <c r="F20" s="77">
        <v>0</v>
      </c>
      <c r="G20" s="21">
        <f t="shared" ref="G20:G22" si="7">E20*F20</f>
        <v>0</v>
      </c>
      <c r="H20" s="21">
        <f t="shared" si="1"/>
        <v>0</v>
      </c>
      <c r="I20" s="22" t="str">
        <f t="shared" si="2"/>
        <v>N/A</v>
      </c>
      <c r="J20" s="22">
        <f t="shared" si="5"/>
        <v>0</v>
      </c>
      <c r="K20" s="107">
        <f t="shared" si="4"/>
        <v>0</v>
      </c>
    </row>
    <row r="21" spans="1:11" hidden="1" x14ac:dyDescent="0.2">
      <c r="A21" s="106" t="s">
        <v>115</v>
      </c>
      <c r="B21" s="72">
        <v>1</v>
      </c>
      <c r="C21" s="77">
        <f>VLOOKUP($B$3,'Data for Bill Impacts'!$A$3:$Y$25,11,0)</f>
        <v>0</v>
      </c>
      <c r="D21" s="21">
        <f t="shared" ref="D21:D22" si="8">B21*C21</f>
        <v>0</v>
      </c>
      <c r="E21" s="72">
        <f t="shared" si="6"/>
        <v>1</v>
      </c>
      <c r="F21" s="120">
        <f>VLOOKUP($B$3,'Data for Bill Impacts'!$A$3:$Y$25,12,0)</f>
        <v>0</v>
      </c>
      <c r="G21" s="21">
        <f t="shared" si="7"/>
        <v>0</v>
      </c>
      <c r="H21" s="21">
        <f t="shared" si="1"/>
        <v>0</v>
      </c>
      <c r="I21" s="22" t="str">
        <f t="shared" si="2"/>
        <v>N/A</v>
      </c>
      <c r="J21" s="22">
        <f t="shared" si="5"/>
        <v>0</v>
      </c>
      <c r="K21" s="107">
        <f t="shared" si="4"/>
        <v>0</v>
      </c>
    </row>
    <row r="22" spans="1:11" x14ac:dyDescent="0.2">
      <c r="A22" s="106" t="s">
        <v>85</v>
      </c>
      <c r="B22" s="72">
        <v>1</v>
      </c>
      <c r="C22" s="120">
        <f>VLOOKUP($B$3,'Data for Bill Impacts'!$A$3:$Y$25,13,0)</f>
        <v>0</v>
      </c>
      <c r="D22" s="21">
        <f t="shared" si="8"/>
        <v>0</v>
      </c>
      <c r="E22" s="72">
        <f t="shared" si="6"/>
        <v>1</v>
      </c>
      <c r="F22" s="120">
        <f>VLOOKUP($B$3,'Data for Bill Impacts'!$A$3:$Y$25,22,0)</f>
        <v>0</v>
      </c>
      <c r="G22" s="21">
        <f t="shared" si="7"/>
        <v>0</v>
      </c>
      <c r="H22" s="21">
        <f t="shared" si="1"/>
        <v>0</v>
      </c>
      <c r="I22" s="22" t="str">
        <f t="shared" si="2"/>
        <v>N/A</v>
      </c>
      <c r="J22" s="22">
        <f t="shared" si="5"/>
        <v>0</v>
      </c>
      <c r="K22" s="107">
        <f t="shared" si="4"/>
        <v>0</v>
      </c>
    </row>
    <row r="23" spans="1:11" x14ac:dyDescent="0.2">
      <c r="A23" s="106" t="s">
        <v>39</v>
      </c>
      <c r="B23" s="72">
        <f>IF($B$9="kWh",$B$4,$B$5)</f>
        <v>750</v>
      </c>
      <c r="C23" s="124">
        <f>VLOOKUP($B$3,'Data for Bill Impacts'!$A$3:$Y$25,10,0)</f>
        <v>0</v>
      </c>
      <c r="D23" s="21">
        <f>B23*C23</f>
        <v>0</v>
      </c>
      <c r="E23" s="72">
        <f t="shared" si="6"/>
        <v>750</v>
      </c>
      <c r="F23" s="77">
        <f>VLOOKUP($B$3,'Data for Bill Impacts'!$A$3:$Y$25,19,0)</f>
        <v>0</v>
      </c>
      <c r="G23" s="21">
        <f>E23*F23</f>
        <v>0</v>
      </c>
      <c r="H23" s="21">
        <f t="shared" si="1"/>
        <v>0</v>
      </c>
      <c r="I23" s="22" t="str">
        <f t="shared" si="2"/>
        <v>N/A</v>
      </c>
      <c r="J23" s="22">
        <f t="shared" si="5"/>
        <v>0</v>
      </c>
      <c r="K23" s="107">
        <f t="shared" si="4"/>
        <v>0</v>
      </c>
    </row>
    <row r="24" spans="1:11" x14ac:dyDescent="0.2">
      <c r="A24" s="106" t="s">
        <v>129</v>
      </c>
      <c r="B24" s="72">
        <f>IF($B$9="kWh",$B$4,$B$5)</f>
        <v>750</v>
      </c>
      <c r="C24" s="124">
        <f>VLOOKUP($B$3,'Data for Bill Impacts'!$A$3:$Y$25,14,0)</f>
        <v>0</v>
      </c>
      <c r="D24" s="21">
        <f>B24*C24</f>
        <v>0</v>
      </c>
      <c r="E24" s="72">
        <f t="shared" si="6"/>
        <v>750</v>
      </c>
      <c r="F24" s="124">
        <f>VLOOKUP($B$3,'Data for Bill Impacts'!$A$3:$Y$25,23,0)</f>
        <v>0</v>
      </c>
      <c r="G24" s="21">
        <f>E24*F24</f>
        <v>0</v>
      </c>
      <c r="H24" s="21">
        <f t="shared" si="1"/>
        <v>0</v>
      </c>
      <c r="I24" s="22" t="str">
        <f t="shared" si="2"/>
        <v>N/A</v>
      </c>
      <c r="J24" s="22">
        <f t="shared" si="5"/>
        <v>0</v>
      </c>
      <c r="K24" s="107">
        <f t="shared" si="4"/>
        <v>0</v>
      </c>
    </row>
    <row r="25" spans="1:11" s="1" customFormat="1" x14ac:dyDescent="0.2">
      <c r="A25" s="109" t="s">
        <v>72</v>
      </c>
      <c r="B25" s="73"/>
      <c r="C25" s="34"/>
      <c r="D25" s="34">
        <f>SUM(D19:D24)</f>
        <v>30.78</v>
      </c>
      <c r="E25" s="72"/>
      <c r="F25" s="34"/>
      <c r="G25" s="34">
        <f>SUM(G19:G24)</f>
        <v>31.59</v>
      </c>
      <c r="H25" s="34">
        <f t="shared" si="1"/>
        <v>0.80999999999999872</v>
      </c>
      <c r="I25" s="35">
        <f t="shared" si="2"/>
        <v>2.6315789473684167E-2</v>
      </c>
      <c r="J25" s="35">
        <f>G25/$G$46</f>
        <v>0.24483358698294452</v>
      </c>
      <c r="K25" s="110">
        <f t="shared" si="4"/>
        <v>0.24037845293203836</v>
      </c>
    </row>
    <row r="26" spans="1:11" s="1" customFormat="1" x14ac:dyDescent="0.2">
      <c r="A26" s="118" t="s">
        <v>73</v>
      </c>
      <c r="B26" s="119">
        <v>1</v>
      </c>
      <c r="C26" s="77">
        <f>VLOOKUP($B$3,'Data for Bill Impacts'!$A$3:$Y$25,9,0)</f>
        <v>0.79</v>
      </c>
      <c r="D26" s="21">
        <f>B26*C26</f>
        <v>0.79</v>
      </c>
      <c r="E26" s="72">
        <v>1</v>
      </c>
      <c r="F26" s="77">
        <f>VLOOKUP($B$3,'Data for Bill Impacts'!$A$3:$Y$25,18,0)</f>
        <v>0.79</v>
      </c>
      <c r="G26" s="21">
        <f>E26*F26</f>
        <v>0.79</v>
      </c>
      <c r="H26" s="21">
        <f t="shared" si="1"/>
        <v>0</v>
      </c>
      <c r="I26" s="22">
        <f t="shared" si="2"/>
        <v>0</v>
      </c>
      <c r="J26" s="22">
        <f>G26/$G$46</f>
        <v>6.1227772623148515E-3</v>
      </c>
      <c r="K26" s="107">
        <f t="shared" si="4"/>
        <v>6.0113636535710762E-3</v>
      </c>
    </row>
    <row r="27" spans="1:11" s="1" customFormat="1" x14ac:dyDescent="0.2">
      <c r="A27" s="118" t="s">
        <v>75</v>
      </c>
      <c r="B27" s="119">
        <f>B8-B4</f>
        <v>42.75</v>
      </c>
      <c r="C27" s="186">
        <f>IF(B4&gt;B7,C13,C12)</f>
        <v>0.106</v>
      </c>
      <c r="D27" s="21">
        <f>B27*C27</f>
        <v>4.5315000000000003</v>
      </c>
      <c r="E27" s="72">
        <f>B27</f>
        <v>42.75</v>
      </c>
      <c r="F27" s="186">
        <f>C27</f>
        <v>0.106</v>
      </c>
      <c r="G27" s="21">
        <f>E27*F27</f>
        <v>4.5315000000000003</v>
      </c>
      <c r="H27" s="21">
        <f t="shared" si="1"/>
        <v>0</v>
      </c>
      <c r="I27" s="22">
        <f t="shared" si="2"/>
        <v>0</v>
      </c>
      <c r="J27" s="22">
        <f t="shared" ref="J27:J46" si="9">G27/$G$46</f>
        <v>3.5120715397695887E-2</v>
      </c>
      <c r="K27" s="107">
        <f t="shared" si="4"/>
        <v>3.4481638476148525E-2</v>
      </c>
    </row>
    <row r="28" spans="1:11" s="1" customFormat="1" x14ac:dyDescent="0.2">
      <c r="A28" s="118" t="s">
        <v>74</v>
      </c>
      <c r="B28" s="119">
        <f>B8-B4</f>
        <v>42.75</v>
      </c>
      <c r="C28" s="186">
        <f>0.65*C15+0.17*C16+0.18*C17</f>
        <v>9.7519999999999996E-2</v>
      </c>
      <c r="D28" s="21">
        <f>B28*C28</f>
        <v>4.1689799999999995</v>
      </c>
      <c r="E28" s="72">
        <f>B28</f>
        <v>42.75</v>
      </c>
      <c r="F28" s="186">
        <f>C28</f>
        <v>9.7519999999999996E-2</v>
      </c>
      <c r="G28" s="21">
        <f>E28*F28</f>
        <v>4.1689799999999995</v>
      </c>
      <c r="H28" s="21">
        <f t="shared" si="1"/>
        <v>0</v>
      </c>
      <c r="I28" s="22">
        <f t="shared" si="2"/>
        <v>0</v>
      </c>
      <c r="J28" s="22">
        <f t="shared" si="9"/>
        <v>3.2311058165880209E-2</v>
      </c>
      <c r="K28" s="107">
        <f t="shared" si="4"/>
        <v>3.1723107398056637E-2</v>
      </c>
    </row>
    <row r="29" spans="1:11" s="1" customFormat="1" x14ac:dyDescent="0.2">
      <c r="A29" s="109" t="s">
        <v>78</v>
      </c>
      <c r="B29" s="73"/>
      <c r="C29" s="34"/>
      <c r="D29" s="34">
        <f>SUM(D25,D26:D27)</f>
        <v>36.101500000000001</v>
      </c>
      <c r="E29" s="72"/>
      <c r="F29" s="34"/>
      <c r="G29" s="34">
        <f>SUM(G25,G26:G27)</f>
        <v>36.911500000000004</v>
      </c>
      <c r="H29" s="34">
        <f t="shared" si="1"/>
        <v>0.81000000000000227</v>
      </c>
      <c r="I29" s="35">
        <f t="shared" si="2"/>
        <v>2.2436740855643178E-2</v>
      </c>
      <c r="J29" s="35">
        <f t="shared" si="9"/>
        <v>0.28607707964295526</v>
      </c>
      <c r="K29" s="110">
        <f t="shared" si="4"/>
        <v>0.28087145506175798</v>
      </c>
    </row>
    <row r="30" spans="1:11" s="1" customFormat="1" x14ac:dyDescent="0.2">
      <c r="A30" s="109" t="s">
        <v>77</v>
      </c>
      <c r="B30" s="73"/>
      <c r="C30" s="34"/>
      <c r="D30" s="34">
        <f>SUM(D25,D26,D28)</f>
        <v>35.738979999999998</v>
      </c>
      <c r="E30" s="72"/>
      <c r="F30" s="34"/>
      <c r="G30" s="34">
        <f>SUM(G25,G26,G28)</f>
        <v>36.54898</v>
      </c>
      <c r="H30" s="34">
        <f t="shared" si="1"/>
        <v>0.81000000000000227</v>
      </c>
      <c r="I30" s="35">
        <f t="shared" si="2"/>
        <v>2.2664328976372643E-2</v>
      </c>
      <c r="J30" s="35">
        <f t="shared" si="9"/>
        <v>0.28326742241113956</v>
      </c>
      <c r="K30" s="110">
        <f t="shared" si="4"/>
        <v>0.27811292398366605</v>
      </c>
    </row>
    <row r="31" spans="1:11" x14ac:dyDescent="0.2">
      <c r="A31" s="106" t="s">
        <v>40</v>
      </c>
      <c r="B31" s="72">
        <f>B8</f>
        <v>792.75</v>
      </c>
      <c r="C31" s="124">
        <f>VLOOKUP($B$3,'Data for Bill Impacts'!$A$3:$Y$25,15,0)</f>
        <v>7.3000000000000001E-3</v>
      </c>
      <c r="D31" s="21">
        <f>B31*C31</f>
        <v>5.7870749999999997</v>
      </c>
      <c r="E31" s="72">
        <f t="shared" si="6"/>
        <v>792.75</v>
      </c>
      <c r="F31" s="77">
        <f>VLOOKUP($B$3,'Data for Bill Impacts'!$A$3:$Y$25,24,0)</f>
        <v>7.3000000000000001E-3</v>
      </c>
      <c r="G31" s="21">
        <f>E31*F31</f>
        <v>5.7870749999999997</v>
      </c>
      <c r="H31" s="21">
        <f t="shared" si="1"/>
        <v>0</v>
      </c>
      <c r="I31" s="22">
        <f t="shared" si="2"/>
        <v>0</v>
      </c>
      <c r="J31" s="22">
        <f t="shared" si="9"/>
        <v>4.4851862310519894E-2</v>
      </c>
      <c r="K31" s="107">
        <f t="shared" si="4"/>
        <v>4.4035711791759281E-2</v>
      </c>
    </row>
    <row r="32" spans="1:11" x14ac:dyDescent="0.2">
      <c r="A32" s="106" t="s">
        <v>41</v>
      </c>
      <c r="B32" s="72">
        <f>B8</f>
        <v>792.75</v>
      </c>
      <c r="C32" s="124">
        <f>VLOOKUP($B$3,'Data for Bill Impacts'!$A$3:$Y$25,16,0)</f>
        <v>6.1999999999999998E-3</v>
      </c>
      <c r="D32" s="21">
        <f>B32*C32</f>
        <v>4.9150499999999999</v>
      </c>
      <c r="E32" s="72">
        <f t="shared" si="6"/>
        <v>792.75</v>
      </c>
      <c r="F32" s="77">
        <f>VLOOKUP($B$3,'Data for Bill Impacts'!$A$3:$Y$25,25,0)</f>
        <v>6.1999999999999998E-3</v>
      </c>
      <c r="G32" s="21">
        <f>E32*F32</f>
        <v>4.9150499999999999</v>
      </c>
      <c r="H32" s="21">
        <f t="shared" si="1"/>
        <v>0</v>
      </c>
      <c r="I32" s="22">
        <f t="shared" si="2"/>
        <v>0</v>
      </c>
      <c r="J32" s="22">
        <f t="shared" si="9"/>
        <v>3.8093362510304568E-2</v>
      </c>
      <c r="K32" s="107">
        <f t="shared" si="4"/>
        <v>3.7400193576562678E-2</v>
      </c>
    </row>
    <row r="33" spans="1:11" s="1" customFormat="1" x14ac:dyDescent="0.2">
      <c r="A33" s="109" t="s">
        <v>76</v>
      </c>
      <c r="B33" s="73"/>
      <c r="C33" s="34"/>
      <c r="D33" s="34">
        <f>SUM(D31:D32)</f>
        <v>10.702124999999999</v>
      </c>
      <c r="E33" s="72"/>
      <c r="F33" s="34"/>
      <c r="G33" s="34">
        <f>SUM(G31:G32)</f>
        <v>10.702124999999999</v>
      </c>
      <c r="H33" s="34">
        <f t="shared" si="1"/>
        <v>0</v>
      </c>
      <c r="I33" s="35">
        <f t="shared" si="2"/>
        <v>0</v>
      </c>
      <c r="J33" s="35">
        <f t="shared" si="9"/>
        <v>8.2945224820824462E-2</v>
      </c>
      <c r="K33" s="110">
        <f t="shared" si="4"/>
        <v>8.1435905368321959E-2</v>
      </c>
    </row>
    <row r="34" spans="1:11" s="1" customFormat="1" x14ac:dyDescent="0.2">
      <c r="A34" s="109" t="s">
        <v>93</v>
      </c>
      <c r="B34" s="73"/>
      <c r="C34" s="34"/>
      <c r="D34" s="34">
        <f>D29+D33</f>
        <v>46.803624999999997</v>
      </c>
      <c r="E34" s="72"/>
      <c r="F34" s="34"/>
      <c r="G34" s="34">
        <f>G29+G33</f>
        <v>47.613624999999999</v>
      </c>
      <c r="H34" s="34">
        <f t="shared" si="1"/>
        <v>0.81000000000000227</v>
      </c>
      <c r="I34" s="35">
        <f t="shared" si="2"/>
        <v>1.7306351805015153E-2</v>
      </c>
      <c r="J34" s="35">
        <f t="shared" si="9"/>
        <v>0.3690223044637797</v>
      </c>
      <c r="K34" s="110">
        <f t="shared" si="4"/>
        <v>0.36230736043007988</v>
      </c>
    </row>
    <row r="35" spans="1:11" s="1" customFormat="1" x14ac:dyDescent="0.2">
      <c r="A35" s="109" t="s">
        <v>94</v>
      </c>
      <c r="B35" s="73"/>
      <c r="C35" s="34"/>
      <c r="D35" s="34">
        <f>D30+D33</f>
        <v>46.441104999999993</v>
      </c>
      <c r="E35" s="72"/>
      <c r="F35" s="34"/>
      <c r="G35" s="34">
        <f>G30+G33</f>
        <v>47.251104999999995</v>
      </c>
      <c r="H35" s="34">
        <f t="shared" si="1"/>
        <v>0.81000000000000227</v>
      </c>
      <c r="I35" s="35">
        <f t="shared" si="2"/>
        <v>1.7441445460869252E-2</v>
      </c>
      <c r="J35" s="35">
        <f t="shared" si="9"/>
        <v>0.36621264723196401</v>
      </c>
      <c r="K35" s="110">
        <f t="shared" si="4"/>
        <v>0.35954882935198801</v>
      </c>
    </row>
    <row r="36" spans="1:11" x14ac:dyDescent="0.2">
      <c r="A36" s="106" t="s">
        <v>42</v>
      </c>
      <c r="B36" s="72">
        <f>B8</f>
        <v>792.75</v>
      </c>
      <c r="C36" s="33">
        <v>3.5999999999999999E-3</v>
      </c>
      <c r="D36" s="21">
        <f>B36*C36</f>
        <v>2.8538999999999999</v>
      </c>
      <c r="E36" s="72">
        <f t="shared" si="6"/>
        <v>792.75</v>
      </c>
      <c r="F36" s="33">
        <v>3.5999999999999999E-3</v>
      </c>
      <c r="G36" s="21">
        <f>E36*F36</f>
        <v>2.8538999999999999</v>
      </c>
      <c r="H36" s="21">
        <f t="shared" si="1"/>
        <v>0</v>
      </c>
      <c r="I36" s="22">
        <f t="shared" si="2"/>
        <v>0</v>
      </c>
      <c r="J36" s="22">
        <f t="shared" si="9"/>
        <v>2.2118726618886524E-2</v>
      </c>
      <c r="K36" s="107">
        <f t="shared" si="4"/>
        <v>2.1716241431552524E-2</v>
      </c>
    </row>
    <row r="37" spans="1:11" x14ac:dyDescent="0.2">
      <c r="A37" s="106" t="s">
        <v>43</v>
      </c>
      <c r="B37" s="72">
        <f>B8</f>
        <v>792.75</v>
      </c>
      <c r="C37" s="33">
        <v>2.0999999999999999E-3</v>
      </c>
      <c r="D37" s="21">
        <f>B37*C37</f>
        <v>1.6647749999999999</v>
      </c>
      <c r="E37" s="72">
        <f t="shared" si="6"/>
        <v>792.75</v>
      </c>
      <c r="F37" s="33">
        <v>2.0999999999999999E-3</v>
      </c>
      <c r="G37" s="21">
        <f>E37*F37</f>
        <v>1.6647749999999999</v>
      </c>
      <c r="H37" s="21">
        <f>G37-D37</f>
        <v>0</v>
      </c>
      <c r="I37" s="22">
        <f t="shared" si="2"/>
        <v>0</v>
      </c>
      <c r="J37" s="22">
        <f t="shared" si="9"/>
        <v>1.2902590527683807E-2</v>
      </c>
      <c r="K37" s="107">
        <f t="shared" si="4"/>
        <v>1.2667807501738971E-2</v>
      </c>
    </row>
    <row r="38" spans="1:11" x14ac:dyDescent="0.2">
      <c r="A38" s="106" t="s">
        <v>99</v>
      </c>
      <c r="B38" s="72">
        <f>B8</f>
        <v>792.75</v>
      </c>
      <c r="C38" s="33">
        <v>0</v>
      </c>
      <c r="D38" s="21">
        <f>B38*C38</f>
        <v>0</v>
      </c>
      <c r="E38" s="72">
        <f t="shared" si="6"/>
        <v>792.75</v>
      </c>
      <c r="F38" s="33">
        <v>0</v>
      </c>
      <c r="G38" s="21">
        <f>E38*F38</f>
        <v>0</v>
      </c>
      <c r="H38" s="21">
        <f>G38-D38</f>
        <v>0</v>
      </c>
      <c r="I38" s="22" t="str">
        <f t="shared" si="2"/>
        <v>N/A</v>
      </c>
      <c r="J38" s="22">
        <f t="shared" si="9"/>
        <v>0</v>
      </c>
      <c r="K38" s="107">
        <f t="shared" si="4"/>
        <v>0</v>
      </c>
    </row>
    <row r="39" spans="1:11" x14ac:dyDescent="0.2">
      <c r="A39" s="106" t="s">
        <v>44</v>
      </c>
      <c r="B39" s="72">
        <v>1</v>
      </c>
      <c r="C39" s="21">
        <v>0.25</v>
      </c>
      <c r="D39" s="21">
        <f>B39*C39</f>
        <v>0.25</v>
      </c>
      <c r="E39" s="72">
        <f t="shared" si="6"/>
        <v>1</v>
      </c>
      <c r="F39" s="21">
        <f>C39</f>
        <v>0.25</v>
      </c>
      <c r="G39" s="21">
        <f>E39*F39</f>
        <v>0.25</v>
      </c>
      <c r="H39" s="21">
        <f t="shared" si="1"/>
        <v>0</v>
      </c>
      <c r="I39" s="22">
        <f t="shared" si="2"/>
        <v>0</v>
      </c>
      <c r="J39" s="22">
        <f t="shared" si="9"/>
        <v>1.9375877412388771E-3</v>
      </c>
      <c r="K39" s="107">
        <f t="shared" si="4"/>
        <v>1.9023302701174291E-3</v>
      </c>
    </row>
    <row r="40" spans="1:11" s="1" customFormat="1" x14ac:dyDescent="0.2">
      <c r="A40" s="109" t="s">
        <v>45</v>
      </c>
      <c r="B40" s="73"/>
      <c r="C40" s="34"/>
      <c r="D40" s="34">
        <f>SUM(D36:D39)</f>
        <v>4.768675</v>
      </c>
      <c r="E40" s="72"/>
      <c r="F40" s="34"/>
      <c r="G40" s="34">
        <f>SUM(G36:G39)</f>
        <v>4.768675</v>
      </c>
      <c r="H40" s="34">
        <f t="shared" si="1"/>
        <v>0</v>
      </c>
      <c r="I40" s="35">
        <f t="shared" si="2"/>
        <v>0</v>
      </c>
      <c r="J40" s="35">
        <f t="shared" si="9"/>
        <v>3.6958904887809209E-2</v>
      </c>
      <c r="K40" s="110">
        <f t="shared" si="4"/>
        <v>3.6286379203408922E-2</v>
      </c>
    </row>
    <row r="41" spans="1:11" s="1" customFormat="1" ht="13.5" thickBot="1" x14ac:dyDescent="0.25">
      <c r="A41" s="111" t="s">
        <v>46</v>
      </c>
      <c r="B41" s="112">
        <f>B4</f>
        <v>750</v>
      </c>
      <c r="C41" s="113">
        <v>0</v>
      </c>
      <c r="D41" s="114">
        <f>B41*C41</f>
        <v>0</v>
      </c>
      <c r="E41" s="115">
        <f t="shared" si="6"/>
        <v>750</v>
      </c>
      <c r="F41" s="113">
        <f>C41</f>
        <v>0</v>
      </c>
      <c r="G41" s="114">
        <f>E41*F41</f>
        <v>0</v>
      </c>
      <c r="H41" s="114">
        <f t="shared" si="1"/>
        <v>0</v>
      </c>
      <c r="I41" s="116" t="str">
        <f t="shared" si="2"/>
        <v>N/A</v>
      </c>
      <c r="J41" s="116">
        <f t="shared" si="9"/>
        <v>0</v>
      </c>
      <c r="K41" s="117">
        <f t="shared" si="4"/>
        <v>0</v>
      </c>
    </row>
    <row r="42" spans="1:11" s="1" customFormat="1" x14ac:dyDescent="0.2">
      <c r="A42" s="36" t="s">
        <v>107</v>
      </c>
      <c r="B42" s="37"/>
      <c r="C42" s="38"/>
      <c r="D42" s="38">
        <f>SUM(D14,D25,D26,D27,D33,D40,D41)</f>
        <v>122.0723</v>
      </c>
      <c r="E42" s="37"/>
      <c r="F42" s="38"/>
      <c r="G42" s="38">
        <f>SUM(G14,G25,G26,G27,G33,G40,G41)</f>
        <v>122.8823</v>
      </c>
      <c r="H42" s="38">
        <f t="shared" si="1"/>
        <v>0.81000000000000227</v>
      </c>
      <c r="I42" s="39">
        <f t="shared" si="2"/>
        <v>6.6354119648765718E-3</v>
      </c>
      <c r="J42" s="39">
        <f t="shared" si="9"/>
        <v>0.95238095238095233</v>
      </c>
      <c r="K42" s="40"/>
    </row>
    <row r="43" spans="1:11" x14ac:dyDescent="0.2">
      <c r="A43" s="142" t="s">
        <v>108</v>
      </c>
      <c r="B43" s="42"/>
      <c r="C43" s="25">
        <v>0.13</v>
      </c>
      <c r="D43" s="25">
        <f>D42*C43</f>
        <v>15.869399</v>
      </c>
      <c r="E43" s="25"/>
      <c r="F43" s="25">
        <f>C43</f>
        <v>0.13</v>
      </c>
      <c r="G43" s="25">
        <f>G42*F43</f>
        <v>15.974699000000001</v>
      </c>
      <c r="H43" s="25">
        <f t="shared" si="1"/>
        <v>0.1053000000000015</v>
      </c>
      <c r="I43" s="43">
        <f t="shared" si="2"/>
        <v>6.6354119648766472E-3</v>
      </c>
      <c r="J43" s="43">
        <f t="shared" si="9"/>
        <v>0.1238095238095238</v>
      </c>
      <c r="K43" s="44"/>
    </row>
    <row r="44" spans="1:11" s="1" customFormat="1" x14ac:dyDescent="0.2">
      <c r="A44" s="45" t="s">
        <v>109</v>
      </c>
      <c r="B44" s="23"/>
      <c r="C44" s="24"/>
      <c r="D44" s="24">
        <f>SUM(D42:D43)</f>
        <v>137.941699</v>
      </c>
      <c r="E44" s="24"/>
      <c r="F44" s="24"/>
      <c r="G44" s="24">
        <f>SUM(G42:G43)</f>
        <v>138.856999</v>
      </c>
      <c r="H44" s="24">
        <f t="shared" si="1"/>
        <v>0.915300000000002</v>
      </c>
      <c r="I44" s="26">
        <f t="shared" si="2"/>
        <v>6.6354119648765674E-3</v>
      </c>
      <c r="J44" s="26">
        <f t="shared" si="9"/>
        <v>1.0761904761904761</v>
      </c>
      <c r="K44" s="46"/>
    </row>
    <row r="45" spans="1:11" x14ac:dyDescent="0.2">
      <c r="A45" s="41" t="s">
        <v>110</v>
      </c>
      <c r="B45" s="42"/>
      <c r="C45" s="25">
        <v>-0.08</v>
      </c>
      <c r="D45" s="25">
        <f>D42*C45</f>
        <v>-9.765784</v>
      </c>
      <c r="E45" s="25"/>
      <c r="F45" s="25">
        <f>C45</f>
        <v>-0.08</v>
      </c>
      <c r="G45" s="25">
        <f>G42*F45</f>
        <v>-9.830584</v>
      </c>
      <c r="H45" s="25">
        <f t="shared" si="1"/>
        <v>-6.4799999999999969E-2</v>
      </c>
      <c r="I45" s="43">
        <f t="shared" si="2"/>
        <v>-6.6354119648765492E-3</v>
      </c>
      <c r="J45" s="43">
        <f t="shared" si="9"/>
        <v>-7.6190476190476183E-2</v>
      </c>
      <c r="K45" s="44"/>
    </row>
    <row r="46" spans="1:11" s="1" customFormat="1" ht="13.5" thickBot="1" x14ac:dyDescent="0.25">
      <c r="A46" s="47" t="s">
        <v>111</v>
      </c>
      <c r="B46" s="48"/>
      <c r="C46" s="49"/>
      <c r="D46" s="49">
        <f>SUM(D44:D45)</f>
        <v>128.175915</v>
      </c>
      <c r="E46" s="49"/>
      <c r="F46" s="49"/>
      <c r="G46" s="49">
        <f>SUM(G44:G45)</f>
        <v>129.02641500000001</v>
      </c>
      <c r="H46" s="49">
        <f t="shared" si="1"/>
        <v>0.85050000000001091</v>
      </c>
      <c r="I46" s="50">
        <f t="shared" si="2"/>
        <v>6.6354119648766377E-3</v>
      </c>
      <c r="J46" s="50">
        <f t="shared" si="9"/>
        <v>1</v>
      </c>
      <c r="K46" s="51"/>
    </row>
    <row r="47" spans="1:11" x14ac:dyDescent="0.2">
      <c r="A47" s="52" t="s">
        <v>112</v>
      </c>
      <c r="B47" s="53"/>
      <c r="C47" s="54"/>
      <c r="D47" s="54">
        <f>SUM(D18,D25,D26,D28,D33,D40,D41)</f>
        <v>124.34978000000002</v>
      </c>
      <c r="E47" s="54"/>
      <c r="F47" s="54"/>
      <c r="G47" s="54">
        <f>SUM(G18,G25,G26,G28,G33,G40,G41)</f>
        <v>125.15978000000003</v>
      </c>
      <c r="H47" s="54">
        <f>G47-D47</f>
        <v>0.81000000000000227</v>
      </c>
      <c r="I47" s="55">
        <f t="shared" si="2"/>
        <v>6.5138836594644724E-3</v>
      </c>
      <c r="J47" s="55"/>
      <c r="K47" s="56">
        <f>G47/$G$51</f>
        <v>0.95238095238095222</v>
      </c>
    </row>
    <row r="48" spans="1:11" x14ac:dyDescent="0.2">
      <c r="A48" s="57" t="s">
        <v>108</v>
      </c>
      <c r="B48" s="58"/>
      <c r="C48" s="30">
        <v>0.13</v>
      </c>
      <c r="D48" s="30">
        <f>D47*C48</f>
        <v>16.165471400000005</v>
      </c>
      <c r="E48" s="30"/>
      <c r="F48" s="30">
        <f>C48</f>
        <v>0.13</v>
      </c>
      <c r="G48" s="30">
        <f>G47*F48</f>
        <v>16.270771400000005</v>
      </c>
      <c r="H48" s="30">
        <f>G48-D48</f>
        <v>0.10529999999999973</v>
      </c>
      <c r="I48" s="31">
        <f t="shared" si="2"/>
        <v>6.5138836594644369E-3</v>
      </c>
      <c r="J48" s="31"/>
      <c r="K48" s="59">
        <f>G48/$G$51</f>
        <v>0.1238095238095238</v>
      </c>
    </row>
    <row r="49" spans="1:11" x14ac:dyDescent="0.2">
      <c r="A49" s="60" t="s">
        <v>113</v>
      </c>
      <c r="B49" s="28"/>
      <c r="C49" s="29"/>
      <c r="D49" s="29">
        <f>SUM(D47:D48)</f>
        <v>140.51525140000004</v>
      </c>
      <c r="E49" s="29"/>
      <c r="F49" s="29"/>
      <c r="G49" s="29">
        <f>SUM(G47:G48)</f>
        <v>141.43055140000004</v>
      </c>
      <c r="H49" s="29">
        <f>G49-D49</f>
        <v>0.915300000000002</v>
      </c>
      <c r="I49" s="32">
        <f t="shared" si="2"/>
        <v>6.5138836594644681E-3</v>
      </c>
      <c r="J49" s="32"/>
      <c r="K49" s="61">
        <f>G49/$G$51</f>
        <v>1.0761904761904761</v>
      </c>
    </row>
    <row r="50" spans="1:11" x14ac:dyDescent="0.2">
      <c r="A50" s="57" t="s">
        <v>110</v>
      </c>
      <c r="B50" s="58"/>
      <c r="C50" s="30">
        <v>-0.08</v>
      </c>
      <c r="D50" s="30">
        <f>D47*C50</f>
        <v>-9.9479824000000026</v>
      </c>
      <c r="E50" s="30"/>
      <c r="F50" s="30">
        <f>C50</f>
        <v>-0.08</v>
      </c>
      <c r="G50" s="30">
        <f>G47*F50</f>
        <v>-10.012782400000003</v>
      </c>
      <c r="H50" s="30">
        <f>G50-D50</f>
        <v>-6.4799999999999969E-2</v>
      </c>
      <c r="I50" s="31">
        <f t="shared" si="2"/>
        <v>-6.5138836594644508E-3</v>
      </c>
      <c r="J50" s="31"/>
      <c r="K50" s="59">
        <f>G50/$G$51</f>
        <v>-7.6190476190476183E-2</v>
      </c>
    </row>
    <row r="51" spans="1:11" ht="13.5" thickBot="1" x14ac:dyDescent="0.25">
      <c r="A51" s="62" t="s">
        <v>114</v>
      </c>
      <c r="B51" s="63"/>
      <c r="C51" s="64"/>
      <c r="D51" s="64">
        <f>SUM(D49:D50)</f>
        <v>130.56726900000004</v>
      </c>
      <c r="E51" s="64"/>
      <c r="F51" s="64"/>
      <c r="G51" s="64">
        <f>SUM(G49:G50)</f>
        <v>131.41776900000005</v>
      </c>
      <c r="H51" s="64">
        <f>G51-D51</f>
        <v>0.85050000000001091</v>
      </c>
      <c r="I51" s="65">
        <f t="shared" si="2"/>
        <v>6.5138836594645375E-3</v>
      </c>
      <c r="J51" s="65"/>
      <c r="K51" s="66">
        <f>G51/$G$51</f>
        <v>1</v>
      </c>
    </row>
    <row r="52" spans="1:11" x14ac:dyDescent="0.2">
      <c r="C52" s="67"/>
      <c r="F52" s="68"/>
    </row>
    <row r="53" spans="1:11" x14ac:dyDescent="0.2">
      <c r="F53" s="68"/>
    </row>
    <row r="54" spans="1:11" x14ac:dyDescent="0.2">
      <c r="F54" s="68"/>
    </row>
    <row r="55" spans="1:11" x14ac:dyDescent="0.2">
      <c r="A55" s="69"/>
      <c r="B55" s="70"/>
      <c r="F55" s="68"/>
    </row>
    <row r="56" spans="1:11" x14ac:dyDescent="0.2">
      <c r="B56" s="70"/>
      <c r="F56" s="68"/>
    </row>
    <row r="57" spans="1:11" x14ac:dyDescent="0.2">
      <c r="F57" s="68"/>
    </row>
    <row r="58" spans="1:11" x14ac:dyDescent="0.2">
      <c r="D58" s="71"/>
      <c r="F58" s="68"/>
    </row>
    <row r="59" spans="1:11" x14ac:dyDescent="0.2">
      <c r="F59" s="68"/>
    </row>
    <row r="60" spans="1:11" x14ac:dyDescent="0.2">
      <c r="A60" s="69"/>
      <c r="B60" s="70"/>
      <c r="F60" s="68"/>
    </row>
    <row r="61" spans="1:11" x14ac:dyDescent="0.2">
      <c r="B61" s="71"/>
      <c r="D61" s="71"/>
      <c r="F61" s="68"/>
    </row>
    <row r="62" spans="1:11" x14ac:dyDescent="0.2">
      <c r="F62" s="68"/>
    </row>
    <row r="63" spans="1:11" x14ac:dyDescent="0.2">
      <c r="F63" s="68"/>
    </row>
    <row r="64" spans="1:11" x14ac:dyDescent="0.2">
      <c r="F64" s="68"/>
      <c r="K64"/>
    </row>
    <row r="65" spans="6:11" x14ac:dyDescent="0.2">
      <c r="F65" s="68"/>
      <c r="K65"/>
    </row>
    <row r="66" spans="6:11" x14ac:dyDescent="0.2">
      <c r="F66" s="68"/>
      <c r="K66"/>
    </row>
    <row r="67" spans="6:11" x14ac:dyDescent="0.2">
      <c r="F67" s="68"/>
      <c r="K67"/>
    </row>
    <row r="68" spans="6:11" x14ac:dyDescent="0.2">
      <c r="F68" s="68"/>
      <c r="K68"/>
    </row>
  </sheetData>
  <mergeCells count="1">
    <mergeCell ref="A1:K1"/>
  </mergeCells>
  <pageMargins left="0.7" right="0.7" top="0.75" bottom="0.75" header="0.3" footer="0.3"/>
  <pageSetup scale="7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Impacts'!$A$3:$A$22</xm:f>
          </x14:formula1>
          <xm:sqref>B3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1" tint="0.499984740745262"/>
    <pageSetUpPr fitToPage="1"/>
  </sheetPr>
  <dimension ref="A1:K68"/>
  <sheetViews>
    <sheetView tabSelected="1" topLeftCell="A7"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3"/>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205" t="s">
        <v>126</v>
      </c>
      <c r="B1" s="206"/>
      <c r="C1" s="206"/>
      <c r="D1" s="206"/>
      <c r="E1" s="206"/>
      <c r="F1" s="206"/>
      <c r="G1" s="206"/>
      <c r="H1" s="206"/>
      <c r="I1" s="206"/>
      <c r="J1" s="206"/>
      <c r="K1" s="207"/>
    </row>
    <row r="3" spans="1:11" x14ac:dyDescent="0.2">
      <c r="A3" s="12" t="s">
        <v>13</v>
      </c>
      <c r="B3" s="12" t="s">
        <v>0</v>
      </c>
    </row>
    <row r="4" spans="1:11" x14ac:dyDescent="0.2">
      <c r="A4" s="14" t="s">
        <v>62</v>
      </c>
      <c r="B4" s="14">
        <v>750</v>
      </c>
    </row>
    <row r="5" spans="1:11" x14ac:dyDescent="0.2">
      <c r="A5" s="14" t="s">
        <v>16</v>
      </c>
      <c r="B5" s="14">
        <f>VLOOKUP($B$3,'Data for Bill Impacts'!$A$3:$Y$15,5,0)</f>
        <v>0</v>
      </c>
    </row>
    <row r="6" spans="1:11" x14ac:dyDescent="0.2">
      <c r="A6" s="14" t="s">
        <v>20</v>
      </c>
      <c r="B6" s="14">
        <f>VLOOKUP($B$3,'Data for Bill Impacts'!$A$3:$Y$15,2,0)</f>
        <v>1.0569999999999999</v>
      </c>
    </row>
    <row r="7" spans="1:11" x14ac:dyDescent="0.2">
      <c r="A7" s="14" t="s">
        <v>15</v>
      </c>
      <c r="B7" s="14">
        <f>VLOOKUP($B$3,'Data for Bill Impacts'!$A$3:$Y$15,4,0)</f>
        <v>600</v>
      </c>
    </row>
    <row r="8" spans="1:11" x14ac:dyDescent="0.2">
      <c r="A8" s="14" t="s">
        <v>82</v>
      </c>
      <c r="B8" s="148">
        <f>B4*B6</f>
        <v>792.75</v>
      </c>
    </row>
    <row r="9" spans="1:11" x14ac:dyDescent="0.2">
      <c r="A9" s="14" t="s">
        <v>21</v>
      </c>
      <c r="B9" s="15" t="str">
        <f>VLOOKUP($B$3,'Data for Bill Impacts'!$A$3:$Y$15,6,0)</f>
        <v>kWh</v>
      </c>
    </row>
    <row r="10" spans="1:11" ht="13.5" thickBot="1" x14ac:dyDescent="0.25"/>
    <row r="11" spans="1:11" s="19" customFormat="1" ht="39" thickBot="1" x14ac:dyDescent="0.25">
      <c r="A11" s="16"/>
      <c r="B11" s="17" t="s">
        <v>22</v>
      </c>
      <c r="C11" s="17" t="s">
        <v>23</v>
      </c>
      <c r="D11" s="17" t="s">
        <v>24</v>
      </c>
      <c r="E11" s="17" t="s">
        <v>22</v>
      </c>
      <c r="F11" s="17" t="s">
        <v>25</v>
      </c>
      <c r="G11" s="17" t="s">
        <v>26</v>
      </c>
      <c r="H11" s="17" t="s">
        <v>27</v>
      </c>
      <c r="I11" s="17" t="s">
        <v>28</v>
      </c>
      <c r="J11" s="17" t="s">
        <v>29</v>
      </c>
      <c r="K11" s="18" t="s">
        <v>30</v>
      </c>
    </row>
    <row r="12" spans="1:11" x14ac:dyDescent="0.2">
      <c r="A12" s="100" t="s">
        <v>31</v>
      </c>
      <c r="B12" s="101">
        <f>IF(B4&gt;B7,B7,B4)</f>
        <v>600</v>
      </c>
      <c r="C12" s="102">
        <v>9.0999999999999998E-2</v>
      </c>
      <c r="D12" s="103">
        <f>B12*C12</f>
        <v>54.6</v>
      </c>
      <c r="E12" s="101">
        <f>B12</f>
        <v>600</v>
      </c>
      <c r="F12" s="102">
        <f>C12</f>
        <v>9.0999999999999998E-2</v>
      </c>
      <c r="G12" s="103">
        <f>E12*F12</f>
        <v>54.6</v>
      </c>
      <c r="H12" s="103">
        <f>G12-D12</f>
        <v>0</v>
      </c>
      <c r="I12" s="104">
        <f>IF(ISERROR(H12/ABS(D12)),"N/A",(H12/ABS(D12)))</f>
        <v>0</v>
      </c>
      <c r="J12" s="104">
        <f>G12/$G$46</f>
        <v>0.40282543308091551</v>
      </c>
      <c r="K12" s="105"/>
    </row>
    <row r="13" spans="1:11" x14ac:dyDescent="0.2">
      <c r="A13" s="106" t="s">
        <v>32</v>
      </c>
      <c r="B13" s="72">
        <f>IF(B4&gt;B7,(B4)-B7,0)</f>
        <v>150</v>
      </c>
      <c r="C13" s="20">
        <v>0.106</v>
      </c>
      <c r="D13" s="21">
        <f>B13*C13</f>
        <v>15.9</v>
      </c>
      <c r="E13" s="72">
        <f t="shared" ref="E13" si="0">B13</f>
        <v>150</v>
      </c>
      <c r="F13" s="20">
        <f>C13</f>
        <v>0.106</v>
      </c>
      <c r="G13" s="21">
        <f>E13*F13</f>
        <v>15.9</v>
      </c>
      <c r="H13" s="21">
        <f t="shared" ref="H13:H46" si="1">G13-D13</f>
        <v>0</v>
      </c>
      <c r="I13" s="22">
        <f t="shared" ref="I13:I51" si="2">IF(ISERROR(H13/ABS(D13)),"N/A",(H13/ABS(D13)))</f>
        <v>0</v>
      </c>
      <c r="J13" s="22">
        <f>G13/$G$46</f>
        <v>0.11730630743565122</v>
      </c>
      <c r="K13" s="107"/>
    </row>
    <row r="14" spans="1:11" s="1" customFormat="1" x14ac:dyDescent="0.2">
      <c r="A14" s="45" t="s">
        <v>33</v>
      </c>
      <c r="B14" s="23"/>
      <c r="C14" s="24"/>
      <c r="D14" s="24">
        <f>SUM(D12:D13)</f>
        <v>70.5</v>
      </c>
      <c r="E14" s="75"/>
      <c r="F14" s="24"/>
      <c r="G14" s="24">
        <f>SUM(G12:G13)</f>
        <v>70.5</v>
      </c>
      <c r="H14" s="24">
        <f t="shared" si="1"/>
        <v>0</v>
      </c>
      <c r="I14" s="26">
        <f t="shared" si="2"/>
        <v>0</v>
      </c>
      <c r="J14" s="26">
        <f>G14/$G$46</f>
        <v>0.52013174051656674</v>
      </c>
      <c r="K14" s="107"/>
    </row>
    <row r="15" spans="1:11" s="1" customFormat="1" x14ac:dyDescent="0.2">
      <c r="A15" s="108" t="s">
        <v>34</v>
      </c>
      <c r="B15" s="74">
        <f>B4*0.65</f>
        <v>487.5</v>
      </c>
      <c r="C15" s="27">
        <v>7.6999999999999999E-2</v>
      </c>
      <c r="D15" s="21">
        <f>B15*C15</f>
        <v>37.537500000000001</v>
      </c>
      <c r="E15" s="72">
        <f t="shared" ref="E15:F17" si="3">B15</f>
        <v>487.5</v>
      </c>
      <c r="F15" s="27">
        <f t="shared" si="3"/>
        <v>7.6999999999999999E-2</v>
      </c>
      <c r="G15" s="21">
        <f>E15*F15</f>
        <v>37.537500000000001</v>
      </c>
      <c r="H15" s="21">
        <f t="shared" si="1"/>
        <v>0</v>
      </c>
      <c r="I15" s="22">
        <f t="shared" si="2"/>
        <v>0</v>
      </c>
      <c r="J15" s="22"/>
      <c r="K15" s="107">
        <f t="shared" ref="K15:K26" si="4">G15/$G$51</f>
        <v>0.2721411467860454</v>
      </c>
    </row>
    <row r="16" spans="1:11" s="1" customFormat="1" x14ac:dyDescent="0.2">
      <c r="A16" s="108" t="s">
        <v>35</v>
      </c>
      <c r="B16" s="74">
        <f>B4*0.17</f>
        <v>127.50000000000001</v>
      </c>
      <c r="C16" s="27">
        <v>0.113</v>
      </c>
      <c r="D16" s="21">
        <f>B16*C16</f>
        <v>14.407500000000002</v>
      </c>
      <c r="E16" s="72">
        <f t="shared" si="3"/>
        <v>127.50000000000001</v>
      </c>
      <c r="F16" s="27">
        <f t="shared" si="3"/>
        <v>0.113</v>
      </c>
      <c r="G16" s="21">
        <f>E16*F16</f>
        <v>14.407500000000002</v>
      </c>
      <c r="H16" s="21">
        <f t="shared" si="1"/>
        <v>0</v>
      </c>
      <c r="I16" s="22">
        <f t="shared" si="2"/>
        <v>0</v>
      </c>
      <c r="J16" s="22"/>
      <c r="K16" s="107">
        <f t="shared" si="4"/>
        <v>0.10445217641877988</v>
      </c>
    </row>
    <row r="17" spans="1:11" s="1" customFormat="1" x14ac:dyDescent="0.2">
      <c r="A17" s="108" t="s">
        <v>36</v>
      </c>
      <c r="B17" s="74">
        <f>B4*0.18</f>
        <v>135</v>
      </c>
      <c r="C17" s="27">
        <v>0.157</v>
      </c>
      <c r="D17" s="21">
        <f>B17*C17</f>
        <v>21.195</v>
      </c>
      <c r="E17" s="72">
        <f t="shared" si="3"/>
        <v>135</v>
      </c>
      <c r="F17" s="27">
        <f t="shared" si="3"/>
        <v>0.157</v>
      </c>
      <c r="G17" s="21">
        <f>E17*F17</f>
        <v>21.195</v>
      </c>
      <c r="H17" s="21">
        <f t="shared" si="1"/>
        <v>0</v>
      </c>
      <c r="I17" s="22">
        <f t="shared" si="2"/>
        <v>0</v>
      </c>
      <c r="J17" s="22"/>
      <c r="K17" s="107">
        <f t="shared" si="4"/>
        <v>0.15366051564782504</v>
      </c>
    </row>
    <row r="18" spans="1:11" s="1" customFormat="1" x14ac:dyDescent="0.2">
      <c r="A18" s="60" t="s">
        <v>37</v>
      </c>
      <c r="B18" s="28"/>
      <c r="C18" s="29"/>
      <c r="D18" s="29">
        <f>SUM(D15:D17)</f>
        <v>73.140000000000015</v>
      </c>
      <c r="E18" s="76"/>
      <c r="F18" s="29"/>
      <c r="G18" s="29">
        <f>SUM(G15:G17)</f>
        <v>73.140000000000015</v>
      </c>
      <c r="H18" s="30">
        <f t="shared" si="1"/>
        <v>0</v>
      </c>
      <c r="I18" s="31">
        <f t="shared" si="2"/>
        <v>0</v>
      </c>
      <c r="J18" s="32">
        <f t="shared" ref="J18:J23" si="5">G18/$G$46</f>
        <v>0.53960901420399565</v>
      </c>
      <c r="K18" s="61">
        <f t="shared" si="4"/>
        <v>0.53025383885265043</v>
      </c>
    </row>
    <row r="19" spans="1:11" x14ac:dyDescent="0.2">
      <c r="A19" s="106" t="s">
        <v>38</v>
      </c>
      <c r="B19" s="72">
        <v>1</v>
      </c>
      <c r="C19" s="77">
        <f>VLOOKUP($B$3,'Data for Bill Impacts'!$A$3:$Y$15,7,0)</f>
        <v>36.67</v>
      </c>
      <c r="D19" s="21">
        <f>B19*C19</f>
        <v>36.67</v>
      </c>
      <c r="E19" s="72">
        <f t="shared" ref="E19:E41" si="6">B19</f>
        <v>1</v>
      </c>
      <c r="F19" s="77">
        <f>VLOOKUP($B$3,'Data for Bill Impacts'!$A$3:$Y$15,17,0)</f>
        <v>37.369999999999997</v>
      </c>
      <c r="G19" s="21">
        <f>E19*F19</f>
        <v>37.369999999999997</v>
      </c>
      <c r="H19" s="21">
        <f t="shared" si="1"/>
        <v>0.69999999999999574</v>
      </c>
      <c r="I19" s="22">
        <f t="shared" si="2"/>
        <v>1.9089173711480657E-2</v>
      </c>
      <c r="J19" s="22">
        <f t="shared" si="5"/>
        <v>0.27570671124970347</v>
      </c>
      <c r="K19" s="107">
        <f t="shared" si="4"/>
        <v>0.27092679734650721</v>
      </c>
    </row>
    <row r="20" spans="1:11" hidden="1" x14ac:dyDescent="0.2">
      <c r="A20" s="106" t="s">
        <v>83</v>
      </c>
      <c r="B20" s="72">
        <v>1</v>
      </c>
      <c r="C20" s="77">
        <f>VLOOKUP($B$3,'Data for Bill Impacts'!$A$3:$Y$15,8,0)</f>
        <v>0</v>
      </c>
      <c r="D20" s="21">
        <f>B20*C20</f>
        <v>0</v>
      </c>
      <c r="E20" s="72">
        <f t="shared" si="6"/>
        <v>1</v>
      </c>
      <c r="F20" s="77">
        <v>0</v>
      </c>
      <c r="G20" s="21">
        <f t="shared" ref="G20:G22" si="7">E20*F20</f>
        <v>0</v>
      </c>
      <c r="H20" s="21">
        <f t="shared" si="1"/>
        <v>0</v>
      </c>
      <c r="I20" s="22" t="str">
        <f t="shared" si="2"/>
        <v>N/A</v>
      </c>
      <c r="J20" s="22">
        <f t="shared" si="5"/>
        <v>0</v>
      </c>
      <c r="K20" s="107">
        <f t="shared" si="4"/>
        <v>0</v>
      </c>
    </row>
    <row r="21" spans="1:11" hidden="1" x14ac:dyDescent="0.2">
      <c r="A21" s="106" t="s">
        <v>115</v>
      </c>
      <c r="B21" s="72">
        <v>1</v>
      </c>
      <c r="C21" s="77">
        <f>VLOOKUP($B$3,'Data for Bill Impacts'!$A$3:$Y$15,11,0)</f>
        <v>0</v>
      </c>
      <c r="D21" s="21">
        <f t="shared" ref="D21:D22" si="8">B21*C21</f>
        <v>0</v>
      </c>
      <c r="E21" s="72">
        <f t="shared" si="6"/>
        <v>1</v>
      </c>
      <c r="F21" s="120">
        <f>VLOOKUP($B$3,'Data for Bill Impacts'!$A$3:$Y$15,12,0)</f>
        <v>0</v>
      </c>
      <c r="G21" s="21">
        <f t="shared" si="7"/>
        <v>0</v>
      </c>
      <c r="H21" s="21">
        <f t="shared" si="1"/>
        <v>0</v>
      </c>
      <c r="I21" s="22" t="str">
        <f t="shared" si="2"/>
        <v>N/A</v>
      </c>
      <c r="J21" s="22">
        <f t="shared" si="5"/>
        <v>0</v>
      </c>
      <c r="K21" s="107">
        <f t="shared" si="4"/>
        <v>0</v>
      </c>
    </row>
    <row r="22" spans="1:11" x14ac:dyDescent="0.2">
      <c r="A22" s="106" t="s">
        <v>85</v>
      </c>
      <c r="B22" s="72">
        <v>1</v>
      </c>
      <c r="C22" s="120">
        <f>VLOOKUP($B$3,'Data for Bill Impacts'!$A$3:$Y$15,13,0)</f>
        <v>7.0000000000000001E-3</v>
      </c>
      <c r="D22" s="21">
        <f t="shared" si="8"/>
        <v>7.0000000000000001E-3</v>
      </c>
      <c r="E22" s="72">
        <f t="shared" si="6"/>
        <v>1</v>
      </c>
      <c r="F22" s="120">
        <f>VLOOKUP($B$3,'Data for Bill Impacts'!$A$3:$Y$15,22,0)</f>
        <v>7.0000000000000001E-3</v>
      </c>
      <c r="G22" s="21">
        <f t="shared" si="7"/>
        <v>7.0000000000000001E-3</v>
      </c>
      <c r="H22" s="21">
        <f t="shared" si="1"/>
        <v>0</v>
      </c>
      <c r="I22" s="22">
        <f t="shared" si="2"/>
        <v>0</v>
      </c>
      <c r="J22" s="22">
        <f t="shared" si="5"/>
        <v>5.1644286292425065E-5</v>
      </c>
      <c r="K22" s="107">
        <f t="shared" si="4"/>
        <v>5.0748931801593549E-5</v>
      </c>
    </row>
    <row r="23" spans="1:11" x14ac:dyDescent="0.2">
      <c r="A23" s="106" t="s">
        <v>39</v>
      </c>
      <c r="B23" s="72">
        <f>IF($B$9="kWh",$B$4,$B$5)</f>
        <v>750</v>
      </c>
      <c r="C23" s="124">
        <f>VLOOKUP($B$3,'Data for Bill Impacts'!$A$3:$Y$15,10,0)</f>
        <v>0</v>
      </c>
      <c r="D23" s="21">
        <f>B23*C23</f>
        <v>0</v>
      </c>
      <c r="E23" s="72">
        <f t="shared" si="6"/>
        <v>750</v>
      </c>
      <c r="F23" s="77">
        <f>VLOOKUP($B$3,'Data for Bill Impacts'!$A$3:$Y$15,19,0)</f>
        <v>0</v>
      </c>
      <c r="G23" s="21">
        <f>E23*F23</f>
        <v>0</v>
      </c>
      <c r="H23" s="21">
        <f t="shared" si="1"/>
        <v>0</v>
      </c>
      <c r="I23" s="22" t="str">
        <f t="shared" si="2"/>
        <v>N/A</v>
      </c>
      <c r="J23" s="22">
        <f t="shared" si="5"/>
        <v>0</v>
      </c>
      <c r="K23" s="107">
        <f t="shared" si="4"/>
        <v>0</v>
      </c>
    </row>
    <row r="24" spans="1:11" x14ac:dyDescent="0.2">
      <c r="A24" s="106" t="s">
        <v>129</v>
      </c>
      <c r="B24" s="72">
        <f>IF($B$9="kWh",$B$4,$B$5)</f>
        <v>750</v>
      </c>
      <c r="C24" s="124">
        <f>VLOOKUP($B$3,'Data for Bill Impacts'!$A$3:$Y$15,14,0)</f>
        <v>3.0000000000000004E-5</v>
      </c>
      <c r="D24" s="21">
        <f>B24*C24</f>
        <v>2.2500000000000003E-2</v>
      </c>
      <c r="E24" s="72">
        <f t="shared" si="6"/>
        <v>750</v>
      </c>
      <c r="F24" s="124">
        <f>VLOOKUP($B$3,'Data for Bill Impacts'!$A$3:$Y$15,23,0)</f>
        <v>3.0000000000000004E-5</v>
      </c>
      <c r="G24" s="21">
        <f>E24*F24</f>
        <v>2.2500000000000003E-2</v>
      </c>
      <c r="H24" s="21">
        <f t="shared" si="1"/>
        <v>0</v>
      </c>
      <c r="I24" s="22">
        <f t="shared" si="2"/>
        <v>0</v>
      </c>
      <c r="J24" s="22">
        <f t="shared" ref="J24" si="9">G24/$G$46</f>
        <v>1.6599949165422344E-4</v>
      </c>
      <c r="K24" s="107">
        <f t="shared" si="4"/>
        <v>1.6312156650512212E-4</v>
      </c>
    </row>
    <row r="25" spans="1:11" s="1" customFormat="1" x14ac:dyDescent="0.2">
      <c r="A25" s="109" t="s">
        <v>72</v>
      </c>
      <c r="B25" s="73"/>
      <c r="C25" s="34"/>
      <c r="D25" s="34">
        <f>SUM(D19:D24)</f>
        <v>36.6995</v>
      </c>
      <c r="E25" s="72"/>
      <c r="F25" s="34"/>
      <c r="G25" s="34">
        <f>SUM(G19:G24)</f>
        <v>37.399499999999996</v>
      </c>
      <c r="H25" s="34">
        <f t="shared" si="1"/>
        <v>0.69999999999999574</v>
      </c>
      <c r="I25" s="35">
        <f t="shared" si="2"/>
        <v>1.9073829343723911E-2</v>
      </c>
      <c r="J25" s="35">
        <f>G25/$G$46</f>
        <v>0.27592435502765011</v>
      </c>
      <c r="K25" s="110">
        <f t="shared" si="4"/>
        <v>0.27114066784481394</v>
      </c>
    </row>
    <row r="26" spans="1:11" s="1" customFormat="1" x14ac:dyDescent="0.2">
      <c r="A26" s="118" t="s">
        <v>73</v>
      </c>
      <c r="B26" s="119">
        <v>1</v>
      </c>
      <c r="C26" s="77">
        <f>VLOOKUP($B$3,'Data for Bill Impacts'!$A$3:$Y$15,9,0)</f>
        <v>0.79</v>
      </c>
      <c r="D26" s="21">
        <f>B26*C26</f>
        <v>0.79</v>
      </c>
      <c r="E26" s="72">
        <v>1</v>
      </c>
      <c r="F26" s="77">
        <f>VLOOKUP($B$3,'Data for Bill Impacts'!$A$3:$Y$15,18,0)</f>
        <v>0.79</v>
      </c>
      <c r="G26" s="21">
        <f>E26*F26</f>
        <v>0.79</v>
      </c>
      <c r="H26" s="21">
        <f t="shared" si="1"/>
        <v>0</v>
      </c>
      <c r="I26" s="22">
        <f t="shared" si="2"/>
        <v>0</v>
      </c>
      <c r="J26" s="22">
        <f>G26/$G$46</f>
        <v>5.8284265958594003E-3</v>
      </c>
      <c r="K26" s="107">
        <f t="shared" si="4"/>
        <v>5.7273794461798434E-3</v>
      </c>
    </row>
    <row r="27" spans="1:11" s="1" customFormat="1" x14ac:dyDescent="0.2">
      <c r="A27" s="118" t="s">
        <v>75</v>
      </c>
      <c r="B27" s="119">
        <f>B8-B4</f>
        <v>42.75</v>
      </c>
      <c r="C27" s="186">
        <f>IF(B4&gt;B7,C13,C12)</f>
        <v>0.106</v>
      </c>
      <c r="D27" s="21">
        <f>B27*C27</f>
        <v>4.5315000000000003</v>
      </c>
      <c r="E27" s="72">
        <f>B27</f>
        <v>42.75</v>
      </c>
      <c r="F27" s="186">
        <f>C27</f>
        <v>0.106</v>
      </c>
      <c r="G27" s="21">
        <f>E27*F27</f>
        <v>4.5315000000000003</v>
      </c>
      <c r="H27" s="21">
        <f t="shared" si="1"/>
        <v>0</v>
      </c>
      <c r="I27" s="22">
        <f t="shared" si="2"/>
        <v>0</v>
      </c>
      <c r="J27" s="22">
        <f t="shared" ref="J27:J46" si="10">G27/$G$46</f>
        <v>3.3432297619160598E-2</v>
      </c>
      <c r="K27" s="107">
        <f t="shared" ref="K27:K41" si="11">G27/$G$51</f>
        <v>3.2852683494131597E-2</v>
      </c>
    </row>
    <row r="28" spans="1:11" s="1" customFormat="1" x14ac:dyDescent="0.2">
      <c r="A28" s="118" t="s">
        <v>74</v>
      </c>
      <c r="B28" s="119">
        <f>B8-B4</f>
        <v>42.75</v>
      </c>
      <c r="C28" s="186">
        <f>0.65*C15+0.17*C16+0.18*C17</f>
        <v>9.7519999999999996E-2</v>
      </c>
      <c r="D28" s="21">
        <f>B28*C28</f>
        <v>4.1689799999999995</v>
      </c>
      <c r="E28" s="72">
        <f>B28</f>
        <v>42.75</v>
      </c>
      <c r="F28" s="186">
        <f>C28</f>
        <v>9.7519999999999996E-2</v>
      </c>
      <c r="G28" s="21">
        <f>E28*F28</f>
        <v>4.1689799999999995</v>
      </c>
      <c r="H28" s="21">
        <f t="shared" si="1"/>
        <v>0</v>
      </c>
      <c r="I28" s="22">
        <f t="shared" si="2"/>
        <v>0</v>
      </c>
      <c r="J28" s="22">
        <f t="shared" si="10"/>
        <v>3.0757713809627746E-2</v>
      </c>
      <c r="K28" s="107">
        <f t="shared" si="11"/>
        <v>3.0224468814601061E-2</v>
      </c>
    </row>
    <row r="29" spans="1:11" s="1" customFormat="1" x14ac:dyDescent="0.2">
      <c r="A29" s="109" t="s">
        <v>78</v>
      </c>
      <c r="B29" s="73"/>
      <c r="C29" s="34"/>
      <c r="D29" s="34">
        <f>SUM(D25,D26:D27)</f>
        <v>42.021000000000001</v>
      </c>
      <c r="E29" s="72"/>
      <c r="F29" s="34"/>
      <c r="G29" s="34">
        <f>SUM(G25,G26:G27)</f>
        <v>42.720999999999997</v>
      </c>
      <c r="H29" s="34">
        <f t="shared" si="1"/>
        <v>0.69999999999999574</v>
      </c>
      <c r="I29" s="35">
        <f t="shared" si="2"/>
        <v>1.6658337497917605E-2</v>
      </c>
      <c r="J29" s="35">
        <f t="shared" si="10"/>
        <v>0.31518507924267014</v>
      </c>
      <c r="K29" s="110">
        <f t="shared" si="11"/>
        <v>0.30972073078512535</v>
      </c>
    </row>
    <row r="30" spans="1:11" s="1" customFormat="1" x14ac:dyDescent="0.2">
      <c r="A30" s="109" t="s">
        <v>77</v>
      </c>
      <c r="B30" s="73"/>
      <c r="C30" s="34"/>
      <c r="D30" s="34">
        <f>SUM(D25,D26,D28)</f>
        <v>41.658479999999997</v>
      </c>
      <c r="E30" s="72"/>
      <c r="F30" s="34"/>
      <c r="G30" s="34">
        <f>SUM(G25,G26,G28)</f>
        <v>42.358479999999993</v>
      </c>
      <c r="H30" s="34">
        <f t="shared" si="1"/>
        <v>0.69999999999999574</v>
      </c>
      <c r="I30" s="35">
        <f t="shared" si="2"/>
        <v>1.6803301512681109E-2</v>
      </c>
      <c r="J30" s="35">
        <f t="shared" si="10"/>
        <v>0.31251049543313725</v>
      </c>
      <c r="K30" s="110">
        <f t="shared" si="11"/>
        <v>0.30709251610559485</v>
      </c>
    </row>
    <row r="31" spans="1:11" x14ac:dyDescent="0.2">
      <c r="A31" s="106" t="s">
        <v>40</v>
      </c>
      <c r="B31" s="72">
        <f>B8</f>
        <v>792.75</v>
      </c>
      <c r="C31" s="124">
        <f>VLOOKUP($B$3,'Data for Bill Impacts'!$A$3:$Y$15,15,0)</f>
        <v>7.7000000000000002E-3</v>
      </c>
      <c r="D31" s="21">
        <f>B31*C31</f>
        <v>6.1041750000000006</v>
      </c>
      <c r="E31" s="72">
        <f t="shared" si="6"/>
        <v>792.75</v>
      </c>
      <c r="F31" s="77">
        <f>VLOOKUP($B$3,'Data for Bill Impacts'!$A$3:$Y$15,24,0)</f>
        <v>7.7000000000000002E-3</v>
      </c>
      <c r="G31" s="21">
        <f>E31*F31</f>
        <v>6.1041750000000006</v>
      </c>
      <c r="H31" s="21">
        <f t="shared" si="1"/>
        <v>0</v>
      </c>
      <c r="I31" s="22">
        <f t="shared" si="2"/>
        <v>0</v>
      </c>
      <c r="J31" s="22">
        <f t="shared" si="10"/>
        <v>4.5035108754151967E-2</v>
      </c>
      <c r="K31" s="107">
        <f t="shared" si="11"/>
        <v>4.4254337254284612E-2</v>
      </c>
    </row>
    <row r="32" spans="1:11" x14ac:dyDescent="0.2">
      <c r="A32" s="106" t="s">
        <v>41</v>
      </c>
      <c r="B32" s="72">
        <f>B8</f>
        <v>792.75</v>
      </c>
      <c r="C32" s="124">
        <f>VLOOKUP($B$3,'Data for Bill Impacts'!$A$3:$Y$15,16,0)</f>
        <v>6.3E-3</v>
      </c>
      <c r="D32" s="21">
        <f>B32*C32</f>
        <v>4.9943249999999999</v>
      </c>
      <c r="E32" s="72">
        <f t="shared" si="6"/>
        <v>792.75</v>
      </c>
      <c r="F32" s="77">
        <f>VLOOKUP($B$3,'Data for Bill Impacts'!$A$3:$Y$15,25,0)</f>
        <v>6.3E-3</v>
      </c>
      <c r="G32" s="21">
        <f>E32*F32</f>
        <v>4.9943249999999999</v>
      </c>
      <c r="H32" s="21">
        <f t="shared" si="1"/>
        <v>0</v>
      </c>
      <c r="I32" s="22">
        <f t="shared" si="2"/>
        <v>0</v>
      </c>
      <c r="J32" s="22">
        <f t="shared" si="10"/>
        <v>3.6846907162487973E-2</v>
      </c>
      <c r="K32" s="107">
        <f t="shared" si="11"/>
        <v>3.6208094117141952E-2</v>
      </c>
    </row>
    <row r="33" spans="1:11" s="1" customFormat="1" x14ac:dyDescent="0.2">
      <c r="A33" s="109" t="s">
        <v>76</v>
      </c>
      <c r="B33" s="73"/>
      <c r="C33" s="34"/>
      <c r="D33" s="34">
        <f>SUM(D31:D32)</f>
        <v>11.098500000000001</v>
      </c>
      <c r="E33" s="72"/>
      <c r="F33" s="34"/>
      <c r="G33" s="34">
        <f>SUM(G31:G32)</f>
        <v>11.098500000000001</v>
      </c>
      <c r="H33" s="34">
        <f t="shared" si="1"/>
        <v>0</v>
      </c>
      <c r="I33" s="35">
        <f t="shared" si="2"/>
        <v>0</v>
      </c>
      <c r="J33" s="35">
        <f t="shared" si="10"/>
        <v>8.1882015916639947E-2</v>
      </c>
      <c r="K33" s="110">
        <f t="shared" si="11"/>
        <v>8.0462431371426571E-2</v>
      </c>
    </row>
    <row r="34" spans="1:11" s="1" customFormat="1" x14ac:dyDescent="0.2">
      <c r="A34" s="109" t="s">
        <v>93</v>
      </c>
      <c r="B34" s="73"/>
      <c r="C34" s="34"/>
      <c r="D34" s="34">
        <f>D29+D33</f>
        <v>53.119500000000002</v>
      </c>
      <c r="E34" s="72"/>
      <c r="F34" s="34"/>
      <c r="G34" s="34">
        <f>G29+G33</f>
        <v>53.819499999999998</v>
      </c>
      <c r="H34" s="34">
        <f t="shared" si="1"/>
        <v>0.69999999999999574</v>
      </c>
      <c r="I34" s="35">
        <f t="shared" si="2"/>
        <v>1.3177834881728851E-2</v>
      </c>
      <c r="J34" s="35">
        <f t="shared" si="10"/>
        <v>0.3970670951593101</v>
      </c>
      <c r="K34" s="110">
        <f t="shared" si="11"/>
        <v>0.39018316215655197</v>
      </c>
    </row>
    <row r="35" spans="1:11" s="1" customFormat="1" x14ac:dyDescent="0.2">
      <c r="A35" s="109" t="s">
        <v>94</v>
      </c>
      <c r="B35" s="73"/>
      <c r="C35" s="34"/>
      <c r="D35" s="34">
        <f>D30+D33</f>
        <v>52.756979999999999</v>
      </c>
      <c r="E35" s="72"/>
      <c r="F35" s="34"/>
      <c r="G35" s="34">
        <f>G30+G33</f>
        <v>53.456979999999994</v>
      </c>
      <c r="H35" s="34">
        <f t="shared" si="1"/>
        <v>0.69999999999999574</v>
      </c>
      <c r="I35" s="35">
        <f t="shared" si="2"/>
        <v>1.326838647701206E-2</v>
      </c>
      <c r="J35" s="35">
        <f t="shared" si="10"/>
        <v>0.39439251134977721</v>
      </c>
      <c r="K35" s="110">
        <f t="shared" si="11"/>
        <v>0.38755494747702141</v>
      </c>
    </row>
    <row r="36" spans="1:11" x14ac:dyDescent="0.2">
      <c r="A36" s="106" t="s">
        <v>42</v>
      </c>
      <c r="B36" s="72">
        <f>B8</f>
        <v>792.75</v>
      </c>
      <c r="C36" s="33">
        <v>3.5999999999999999E-3</v>
      </c>
      <c r="D36" s="21">
        <f>B36*C36</f>
        <v>2.8538999999999999</v>
      </c>
      <c r="E36" s="72">
        <f t="shared" si="6"/>
        <v>792.75</v>
      </c>
      <c r="F36" s="33">
        <v>3.5999999999999999E-3</v>
      </c>
      <c r="G36" s="21">
        <f>E36*F36</f>
        <v>2.8538999999999999</v>
      </c>
      <c r="H36" s="21">
        <f t="shared" si="1"/>
        <v>0</v>
      </c>
      <c r="I36" s="22">
        <f t="shared" si="2"/>
        <v>0</v>
      </c>
      <c r="J36" s="22">
        <f t="shared" si="10"/>
        <v>2.1055375521421699E-2</v>
      </c>
      <c r="K36" s="107">
        <f t="shared" si="11"/>
        <v>2.0690339495509687E-2</v>
      </c>
    </row>
    <row r="37" spans="1:11" x14ac:dyDescent="0.2">
      <c r="A37" s="106" t="s">
        <v>43</v>
      </c>
      <c r="B37" s="72">
        <f>B8</f>
        <v>792.75</v>
      </c>
      <c r="C37" s="33">
        <v>2.0999999999999999E-3</v>
      </c>
      <c r="D37" s="21">
        <f>B37*C37</f>
        <v>1.6647749999999999</v>
      </c>
      <c r="E37" s="72">
        <f t="shared" si="6"/>
        <v>792.75</v>
      </c>
      <c r="F37" s="33">
        <v>2.0999999999999999E-3</v>
      </c>
      <c r="G37" s="21">
        <f>E37*F37</f>
        <v>1.6647749999999999</v>
      </c>
      <c r="H37" s="21">
        <f>G37-D37</f>
        <v>0</v>
      </c>
      <c r="I37" s="22">
        <f t="shared" si="2"/>
        <v>0</v>
      </c>
      <c r="J37" s="22">
        <f t="shared" si="10"/>
        <v>1.228230238749599E-2</v>
      </c>
      <c r="K37" s="107">
        <f t="shared" si="11"/>
        <v>1.2069364705713985E-2</v>
      </c>
    </row>
    <row r="38" spans="1:11" x14ac:dyDescent="0.2">
      <c r="A38" s="106" t="s">
        <v>99</v>
      </c>
      <c r="B38" s="72">
        <f>B8</f>
        <v>792.75</v>
      </c>
      <c r="C38" s="33">
        <v>0</v>
      </c>
      <c r="D38" s="21">
        <f>B38*C38</f>
        <v>0</v>
      </c>
      <c r="E38" s="72">
        <f t="shared" si="6"/>
        <v>792.75</v>
      </c>
      <c r="F38" s="33">
        <v>0</v>
      </c>
      <c r="G38" s="21">
        <f>E38*F38</f>
        <v>0</v>
      </c>
      <c r="H38" s="21">
        <f>G38-D38</f>
        <v>0</v>
      </c>
      <c r="I38" s="22" t="str">
        <f t="shared" si="2"/>
        <v>N/A</v>
      </c>
      <c r="J38" s="22">
        <f t="shared" ref="J38" si="12">G38/$G$46</f>
        <v>0</v>
      </c>
      <c r="K38" s="107">
        <f t="shared" ref="K38" si="13">G38/$G$51</f>
        <v>0</v>
      </c>
    </row>
    <row r="39" spans="1:11" x14ac:dyDescent="0.2">
      <c r="A39" s="106" t="s">
        <v>44</v>
      </c>
      <c r="B39" s="72">
        <v>1</v>
      </c>
      <c r="C39" s="21">
        <v>0.25</v>
      </c>
      <c r="D39" s="21">
        <f>B39*C39</f>
        <v>0.25</v>
      </c>
      <c r="E39" s="72">
        <f t="shared" si="6"/>
        <v>1</v>
      </c>
      <c r="F39" s="21">
        <f>C39</f>
        <v>0.25</v>
      </c>
      <c r="G39" s="21">
        <f>E39*F39</f>
        <v>0.25</v>
      </c>
      <c r="H39" s="21">
        <f t="shared" si="1"/>
        <v>0</v>
      </c>
      <c r="I39" s="22">
        <f t="shared" si="2"/>
        <v>0</v>
      </c>
      <c r="J39" s="22">
        <f t="shared" si="10"/>
        <v>1.844438796158038E-3</v>
      </c>
      <c r="K39" s="107">
        <f t="shared" si="11"/>
        <v>1.8124618500569123E-3</v>
      </c>
    </row>
    <row r="40" spans="1:11" s="1" customFormat="1" x14ac:dyDescent="0.2">
      <c r="A40" s="109" t="s">
        <v>45</v>
      </c>
      <c r="B40" s="73"/>
      <c r="C40" s="34"/>
      <c r="D40" s="34">
        <f>SUM(D36:D39)</f>
        <v>4.768675</v>
      </c>
      <c r="E40" s="72"/>
      <c r="F40" s="34"/>
      <c r="G40" s="34">
        <f>SUM(G36:G39)</f>
        <v>4.768675</v>
      </c>
      <c r="H40" s="34">
        <f t="shared" si="1"/>
        <v>0</v>
      </c>
      <c r="I40" s="35">
        <f t="shared" si="2"/>
        <v>0</v>
      </c>
      <c r="J40" s="35">
        <f t="shared" si="10"/>
        <v>3.5182116705075726E-2</v>
      </c>
      <c r="K40" s="110">
        <f t="shared" si="11"/>
        <v>3.4572166051280585E-2</v>
      </c>
    </row>
    <row r="41" spans="1:11" s="1" customFormat="1" ht="13.5" thickBot="1" x14ac:dyDescent="0.25">
      <c r="A41" s="111" t="s">
        <v>46</v>
      </c>
      <c r="B41" s="112">
        <f>B4</f>
        <v>750</v>
      </c>
      <c r="C41" s="113">
        <v>0</v>
      </c>
      <c r="D41" s="114">
        <f>B41*C41</f>
        <v>0</v>
      </c>
      <c r="E41" s="115">
        <f t="shared" si="6"/>
        <v>750</v>
      </c>
      <c r="F41" s="113">
        <f>C41</f>
        <v>0</v>
      </c>
      <c r="G41" s="114">
        <f>E41*F41</f>
        <v>0</v>
      </c>
      <c r="H41" s="114">
        <f t="shared" si="1"/>
        <v>0</v>
      </c>
      <c r="I41" s="116" t="str">
        <f t="shared" si="2"/>
        <v>N/A</v>
      </c>
      <c r="J41" s="116">
        <f t="shared" si="10"/>
        <v>0</v>
      </c>
      <c r="K41" s="117">
        <f t="shared" si="11"/>
        <v>0</v>
      </c>
    </row>
    <row r="42" spans="1:11" s="1" customFormat="1" x14ac:dyDescent="0.2">
      <c r="A42" s="36" t="s">
        <v>107</v>
      </c>
      <c r="B42" s="37"/>
      <c r="C42" s="38"/>
      <c r="D42" s="38">
        <f>SUM(D14,D25,D26,D27,D33,D40,D41)</f>
        <v>128.38817499999999</v>
      </c>
      <c r="E42" s="37"/>
      <c r="F42" s="38"/>
      <c r="G42" s="38">
        <f>SUM(G14,G25,G26,G27,G33,G40,G41)</f>
        <v>129.08817499999998</v>
      </c>
      <c r="H42" s="38">
        <f t="shared" si="1"/>
        <v>0.69999999999998863</v>
      </c>
      <c r="I42" s="39">
        <f t="shared" si="2"/>
        <v>5.4522155175115517E-3</v>
      </c>
      <c r="J42" s="39">
        <f t="shared" si="10"/>
        <v>0.95238095238095233</v>
      </c>
      <c r="K42" s="40"/>
    </row>
    <row r="43" spans="1:11" x14ac:dyDescent="0.2">
      <c r="A43" s="142" t="s">
        <v>108</v>
      </c>
      <c r="B43" s="42"/>
      <c r="C43" s="25">
        <v>0.13</v>
      </c>
      <c r="D43" s="25">
        <f>D42*C43</f>
        <v>16.690462749999998</v>
      </c>
      <c r="E43" s="25"/>
      <c r="F43" s="25">
        <f>C43</f>
        <v>0.13</v>
      </c>
      <c r="G43" s="25">
        <f>G42*F43</f>
        <v>16.781462749999999</v>
      </c>
      <c r="H43" s="25">
        <f t="shared" si="1"/>
        <v>9.100000000000108E-2</v>
      </c>
      <c r="I43" s="43">
        <f t="shared" si="2"/>
        <v>5.4522155175117052E-3</v>
      </c>
      <c r="J43" s="43">
        <f t="shared" si="10"/>
        <v>0.12380952380952383</v>
      </c>
      <c r="K43" s="44"/>
    </row>
    <row r="44" spans="1:11" s="1" customFormat="1" x14ac:dyDescent="0.2">
      <c r="A44" s="45" t="s">
        <v>109</v>
      </c>
      <c r="B44" s="23"/>
      <c r="C44" s="24"/>
      <c r="D44" s="24">
        <f>SUM(D42:D43)</f>
        <v>145.07863774999998</v>
      </c>
      <c r="E44" s="24"/>
      <c r="F44" s="24"/>
      <c r="G44" s="24">
        <f>SUM(G42:G43)</f>
        <v>145.86963774999998</v>
      </c>
      <c r="H44" s="24">
        <f t="shared" si="1"/>
        <v>0.79099999999999682</v>
      </c>
      <c r="I44" s="26">
        <f t="shared" si="2"/>
        <v>5.4522155175116185E-3</v>
      </c>
      <c r="J44" s="26">
        <f t="shared" si="10"/>
        <v>1.0761904761904761</v>
      </c>
      <c r="K44" s="46"/>
    </row>
    <row r="45" spans="1:11" x14ac:dyDescent="0.2">
      <c r="A45" s="41" t="s">
        <v>110</v>
      </c>
      <c r="B45" s="42"/>
      <c r="C45" s="25">
        <v>-0.08</v>
      </c>
      <c r="D45" s="25">
        <f>D42*C45</f>
        <v>-10.271053999999999</v>
      </c>
      <c r="E45" s="25"/>
      <c r="F45" s="25">
        <f>C45</f>
        <v>-0.08</v>
      </c>
      <c r="G45" s="25">
        <f>G42*F45</f>
        <v>-10.327053999999999</v>
      </c>
      <c r="H45" s="25">
        <f t="shared" si="1"/>
        <v>-5.5999999999999162E-2</v>
      </c>
      <c r="I45" s="43">
        <f t="shared" si="2"/>
        <v>-5.4522155175115586E-3</v>
      </c>
      <c r="J45" s="43">
        <f t="shared" si="10"/>
        <v>-7.6190476190476197E-2</v>
      </c>
      <c r="K45" s="44"/>
    </row>
    <row r="46" spans="1:11" s="1" customFormat="1" ht="13.5" thickBot="1" x14ac:dyDescent="0.25">
      <c r="A46" s="47" t="s">
        <v>111</v>
      </c>
      <c r="B46" s="48"/>
      <c r="C46" s="49"/>
      <c r="D46" s="49">
        <f>SUM(D44:D45)</f>
        <v>134.80758374999999</v>
      </c>
      <c r="E46" s="49"/>
      <c r="F46" s="49"/>
      <c r="G46" s="49">
        <f>SUM(G44:G45)</f>
        <v>135.54258374999998</v>
      </c>
      <c r="H46" s="49">
        <f t="shared" si="1"/>
        <v>0.73499999999998522</v>
      </c>
      <c r="I46" s="50">
        <f t="shared" si="2"/>
        <v>5.4522155175115309E-3</v>
      </c>
      <c r="J46" s="50">
        <f t="shared" si="10"/>
        <v>1</v>
      </c>
      <c r="K46" s="51"/>
    </row>
    <row r="47" spans="1:11" x14ac:dyDescent="0.2">
      <c r="A47" s="52" t="s">
        <v>112</v>
      </c>
      <c r="B47" s="53"/>
      <c r="C47" s="54"/>
      <c r="D47" s="54">
        <f>SUM(D18,D25,D26,D28,D33,D40,D41)</f>
        <v>130.66565500000002</v>
      </c>
      <c r="E47" s="54"/>
      <c r="F47" s="54"/>
      <c r="G47" s="54">
        <f>SUM(G18,G25,G26,G28,G33,G40,G41)</f>
        <v>131.365655</v>
      </c>
      <c r="H47" s="54">
        <f>G47-D47</f>
        <v>0.69999999999998863</v>
      </c>
      <c r="I47" s="55">
        <f t="shared" si="2"/>
        <v>5.3571843343225012E-3</v>
      </c>
      <c r="J47" s="55"/>
      <c r="K47" s="56">
        <f>G47/$G$51</f>
        <v>0.95238095238095233</v>
      </c>
    </row>
    <row r="48" spans="1:11" x14ac:dyDescent="0.2">
      <c r="A48" s="57" t="s">
        <v>108</v>
      </c>
      <c r="B48" s="58"/>
      <c r="C48" s="30">
        <v>0.13</v>
      </c>
      <c r="D48" s="30">
        <f>D47*C48</f>
        <v>16.986535150000002</v>
      </c>
      <c r="E48" s="30"/>
      <c r="F48" s="30">
        <f>C48</f>
        <v>0.13</v>
      </c>
      <c r="G48" s="30">
        <f>G47*F48</f>
        <v>17.077535150000003</v>
      </c>
      <c r="H48" s="30">
        <f>G48-D48</f>
        <v>9.100000000000108E-2</v>
      </c>
      <c r="I48" s="31">
        <f t="shared" si="2"/>
        <v>5.3571843343226512E-3</v>
      </c>
      <c r="J48" s="31"/>
      <c r="K48" s="59">
        <f>G48/$G$51</f>
        <v>0.12380952380952381</v>
      </c>
    </row>
    <row r="49" spans="1:11" x14ac:dyDescent="0.2">
      <c r="A49" s="60" t="s">
        <v>113</v>
      </c>
      <c r="B49" s="28"/>
      <c r="C49" s="29"/>
      <c r="D49" s="29">
        <f>SUM(D47:D48)</f>
        <v>147.65219015000002</v>
      </c>
      <c r="E49" s="29"/>
      <c r="F49" s="29"/>
      <c r="G49" s="29">
        <f>SUM(G47:G48)</f>
        <v>148.44319015000002</v>
      </c>
      <c r="H49" s="29">
        <f>G49-D49</f>
        <v>0.79099999999999682</v>
      </c>
      <c r="I49" s="32">
        <f t="shared" si="2"/>
        <v>5.3571843343225662E-3</v>
      </c>
      <c r="J49" s="32"/>
      <c r="K49" s="61">
        <f>G49/$G$51</f>
        <v>1.0761904761904761</v>
      </c>
    </row>
    <row r="50" spans="1:11" x14ac:dyDescent="0.2">
      <c r="A50" s="57" t="s">
        <v>110</v>
      </c>
      <c r="B50" s="58"/>
      <c r="C50" s="30">
        <v>-0.08</v>
      </c>
      <c r="D50" s="30">
        <f>D47*C50</f>
        <v>-10.453252400000002</v>
      </c>
      <c r="E50" s="30"/>
      <c r="F50" s="30">
        <f>C50</f>
        <v>-0.08</v>
      </c>
      <c r="G50" s="30">
        <f>G47*F50</f>
        <v>-10.509252400000001</v>
      </c>
      <c r="H50" s="30">
        <f>G50-D50</f>
        <v>-5.5999999999999162E-2</v>
      </c>
      <c r="I50" s="31">
        <f t="shared" si="2"/>
        <v>-5.3571843343225073E-3</v>
      </c>
      <c r="J50" s="31"/>
      <c r="K50" s="59">
        <f>G50/$G$51</f>
        <v>-7.6190476190476197E-2</v>
      </c>
    </row>
    <row r="51" spans="1:11" ht="13.5" thickBot="1" x14ac:dyDescent="0.25">
      <c r="A51" s="62" t="s">
        <v>114</v>
      </c>
      <c r="B51" s="63"/>
      <c r="C51" s="64"/>
      <c r="D51" s="64">
        <f>SUM(D49:D50)</f>
        <v>137.19893775000003</v>
      </c>
      <c r="E51" s="64"/>
      <c r="F51" s="64"/>
      <c r="G51" s="64">
        <f>SUM(G49:G50)</f>
        <v>137.93393775000001</v>
      </c>
      <c r="H51" s="64">
        <f>G51-D51</f>
        <v>0.73499999999998522</v>
      </c>
      <c r="I51" s="65">
        <f t="shared" si="2"/>
        <v>5.3571843343224795E-3</v>
      </c>
      <c r="J51" s="65"/>
      <c r="K51" s="66">
        <f>G51/$G$51</f>
        <v>1</v>
      </c>
    </row>
    <row r="52" spans="1:11" x14ac:dyDescent="0.2">
      <c r="C52" s="67"/>
      <c r="F52" s="68"/>
    </row>
    <row r="53" spans="1:11" x14ac:dyDescent="0.2">
      <c r="F53" s="68"/>
    </row>
    <row r="54" spans="1:11" x14ac:dyDescent="0.2">
      <c r="F54" s="68"/>
    </row>
    <row r="55" spans="1:11" x14ac:dyDescent="0.2">
      <c r="A55" s="69"/>
      <c r="B55" s="70"/>
      <c r="F55" s="68"/>
    </row>
    <row r="56" spans="1:11" x14ac:dyDescent="0.2">
      <c r="B56" s="70"/>
      <c r="F56" s="68"/>
    </row>
    <row r="57" spans="1:11" x14ac:dyDescent="0.2">
      <c r="F57" s="68"/>
    </row>
    <row r="58" spans="1:11" x14ac:dyDescent="0.2">
      <c r="D58" s="71"/>
      <c r="F58" s="68"/>
    </row>
    <row r="59" spans="1:11" x14ac:dyDescent="0.2">
      <c r="F59" s="68"/>
    </row>
    <row r="60" spans="1:11" x14ac:dyDescent="0.2">
      <c r="A60" s="69"/>
      <c r="B60" s="70"/>
      <c r="F60" s="68"/>
    </row>
    <row r="61" spans="1:11" x14ac:dyDescent="0.2">
      <c r="B61" s="71"/>
      <c r="D61" s="71"/>
      <c r="F61" s="68"/>
    </row>
    <row r="62" spans="1:11" x14ac:dyDescent="0.2">
      <c r="F62" s="68"/>
    </row>
    <row r="63" spans="1:11" x14ac:dyDescent="0.2">
      <c r="F63" s="68"/>
    </row>
    <row r="64" spans="1:11" x14ac:dyDescent="0.2">
      <c r="F64" s="68"/>
      <c r="K64"/>
    </row>
    <row r="65" spans="6:11" x14ac:dyDescent="0.2">
      <c r="F65" s="68"/>
      <c r="K65"/>
    </row>
    <row r="66" spans="6:11" x14ac:dyDescent="0.2">
      <c r="F66" s="68"/>
      <c r="K66"/>
    </row>
    <row r="67" spans="6:11" x14ac:dyDescent="0.2">
      <c r="F67" s="68"/>
      <c r="K67"/>
    </row>
    <row r="68" spans="6:11" x14ac:dyDescent="0.2">
      <c r="F68" s="68"/>
      <c r="K68"/>
    </row>
  </sheetData>
  <mergeCells count="1">
    <mergeCell ref="A1:K1"/>
  </mergeCells>
  <pageMargins left="0.7" right="0.7" top="0.75" bottom="0.75" header="0.3" footer="0.3"/>
  <pageSetup scale="7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tabColor theme="1" tint="0.499984740745262"/>
    <pageSetUpPr fitToPage="1"/>
  </sheetPr>
  <dimension ref="A1:K68"/>
  <sheetViews>
    <sheetView tabSelected="1" topLeftCell="A28" zoomScale="110" zoomScaleNormal="11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3"/>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205" t="s">
        <v>127</v>
      </c>
      <c r="B1" s="206"/>
      <c r="C1" s="206"/>
      <c r="D1" s="206"/>
      <c r="E1" s="206"/>
      <c r="F1" s="206"/>
      <c r="G1" s="206"/>
      <c r="H1" s="206"/>
      <c r="I1" s="206"/>
      <c r="J1" s="206"/>
      <c r="K1" s="207"/>
    </row>
    <row r="3" spans="1:11" x14ac:dyDescent="0.2">
      <c r="A3" s="12" t="s">
        <v>13</v>
      </c>
      <c r="B3" s="12" t="s">
        <v>130</v>
      </c>
    </row>
    <row r="4" spans="1:11" x14ac:dyDescent="0.2">
      <c r="A4" s="14" t="s">
        <v>62</v>
      </c>
      <c r="B4" s="78">
        <f>VLOOKUP($B$3,'Data for Bill Impacts_HONI Avg '!$A$2:$F$21,3,FALSE)</f>
        <v>505</v>
      </c>
    </row>
    <row r="5" spans="1:11" x14ac:dyDescent="0.2">
      <c r="A5" s="14" t="s">
        <v>16</v>
      </c>
      <c r="B5" s="14">
        <f>VLOOKUP($B$3,'Data for Bill Impacts'!$A$3:$Y$25,5,0)</f>
        <v>0</v>
      </c>
    </row>
    <row r="6" spans="1:11" x14ac:dyDescent="0.2">
      <c r="A6" s="14" t="s">
        <v>20</v>
      </c>
      <c r="B6" s="14">
        <f>VLOOKUP($B$3,'Data for Bill Impacts'!$A$3:$Y$25,2,0)</f>
        <v>1.0569999999999999</v>
      </c>
    </row>
    <row r="7" spans="1:11" x14ac:dyDescent="0.2">
      <c r="A7" s="14" t="s">
        <v>15</v>
      </c>
      <c r="B7" s="14">
        <f>VLOOKUP($B$3,'Data for Bill Impacts'!$A$3:$Y$25,4,0)</f>
        <v>600</v>
      </c>
    </row>
    <row r="8" spans="1:11" x14ac:dyDescent="0.2">
      <c r="A8" s="14" t="s">
        <v>82</v>
      </c>
      <c r="B8" s="148">
        <f>B4*B6</f>
        <v>533.78499999999997</v>
      </c>
    </row>
    <row r="9" spans="1:11" x14ac:dyDescent="0.2">
      <c r="A9" s="14" t="s">
        <v>21</v>
      </c>
      <c r="B9" s="15" t="str">
        <f>VLOOKUP($B$3,'Data for Bill Impacts'!$A$3:$Y$25,6,0)</f>
        <v>kWh</v>
      </c>
    </row>
    <row r="10" spans="1:11" ht="13.5" thickBot="1" x14ac:dyDescent="0.25"/>
    <row r="11" spans="1:11" s="19" customFormat="1" ht="51.75" thickBot="1" x14ac:dyDescent="0.25">
      <c r="A11" s="16"/>
      <c r="B11" s="17" t="s">
        <v>22</v>
      </c>
      <c r="C11" s="17" t="s">
        <v>23</v>
      </c>
      <c r="D11" s="17" t="s">
        <v>24</v>
      </c>
      <c r="E11" s="17" t="s">
        <v>22</v>
      </c>
      <c r="F11" s="17" t="s">
        <v>25</v>
      </c>
      <c r="G11" s="17" t="s">
        <v>26</v>
      </c>
      <c r="H11" s="17" t="s">
        <v>27</v>
      </c>
      <c r="I11" s="17" t="s">
        <v>28</v>
      </c>
      <c r="J11" s="17" t="s">
        <v>29</v>
      </c>
      <c r="K11" s="18" t="s">
        <v>30</v>
      </c>
    </row>
    <row r="12" spans="1:11" x14ac:dyDescent="0.2">
      <c r="A12" s="100" t="s">
        <v>31</v>
      </c>
      <c r="B12" s="101">
        <f>IF(B4&gt;B7,B7,B4)</f>
        <v>505</v>
      </c>
      <c r="C12" s="102">
        <v>9.0999999999999998E-2</v>
      </c>
      <c r="D12" s="103">
        <f>B12*C12</f>
        <v>45.954999999999998</v>
      </c>
      <c r="E12" s="101">
        <f>B12</f>
        <v>505</v>
      </c>
      <c r="F12" s="102">
        <f>C12</f>
        <v>9.0999999999999998E-2</v>
      </c>
      <c r="G12" s="103">
        <f>E12*F12</f>
        <v>45.954999999999998</v>
      </c>
      <c r="H12" s="103">
        <f>G12-D12</f>
        <v>0</v>
      </c>
      <c r="I12" s="104">
        <f>IF(ISERROR(H12/ABS(D12)),"N/A",(H12/ABS(D12)))</f>
        <v>0</v>
      </c>
      <c r="J12" s="104">
        <f>G12/$G$46</f>
        <v>0.47856948880552158</v>
      </c>
      <c r="K12" s="105"/>
    </row>
    <row r="13" spans="1:11" x14ac:dyDescent="0.2">
      <c r="A13" s="106" t="s">
        <v>32</v>
      </c>
      <c r="B13" s="72">
        <f>IF(B4&gt;B7,(B4)-B7,0)</f>
        <v>0</v>
      </c>
      <c r="C13" s="20">
        <v>0.106</v>
      </c>
      <c r="D13" s="21">
        <f>B13*C13</f>
        <v>0</v>
      </c>
      <c r="E13" s="72">
        <f t="shared" ref="E13" si="0">B13</f>
        <v>0</v>
      </c>
      <c r="F13" s="20">
        <f>C13</f>
        <v>0.106</v>
      </c>
      <c r="G13" s="21">
        <f>E13*F13</f>
        <v>0</v>
      </c>
      <c r="H13" s="21">
        <f t="shared" ref="H13:H46" si="1">G13-D13</f>
        <v>0</v>
      </c>
      <c r="I13" s="22" t="str">
        <f t="shared" ref="I13:I51" si="2">IF(ISERROR(H13/ABS(D13)),"N/A",(H13/ABS(D13)))</f>
        <v>N/A</v>
      </c>
      <c r="J13" s="22">
        <f>G13/$G$46</f>
        <v>0</v>
      </c>
      <c r="K13" s="107"/>
    </row>
    <row r="14" spans="1:11" s="1" customFormat="1" x14ac:dyDescent="0.2">
      <c r="A14" s="45" t="s">
        <v>33</v>
      </c>
      <c r="B14" s="23"/>
      <c r="C14" s="24"/>
      <c r="D14" s="24">
        <f>SUM(D12:D13)</f>
        <v>45.954999999999998</v>
      </c>
      <c r="E14" s="75"/>
      <c r="F14" s="24"/>
      <c r="G14" s="24">
        <f>SUM(G12:G13)</f>
        <v>45.954999999999998</v>
      </c>
      <c r="H14" s="24">
        <f t="shared" si="1"/>
        <v>0</v>
      </c>
      <c r="I14" s="26">
        <f t="shared" si="2"/>
        <v>0</v>
      </c>
      <c r="J14" s="26">
        <f>G14/$G$46</f>
        <v>0.47856948880552158</v>
      </c>
      <c r="K14" s="107"/>
    </row>
    <row r="15" spans="1:11" s="1" customFormat="1" x14ac:dyDescent="0.2">
      <c r="A15" s="108" t="s">
        <v>34</v>
      </c>
      <c r="B15" s="74">
        <f>B4*0.65</f>
        <v>328.25</v>
      </c>
      <c r="C15" s="27">
        <v>7.6999999999999999E-2</v>
      </c>
      <c r="D15" s="21">
        <f>B15*C15</f>
        <v>25.27525</v>
      </c>
      <c r="E15" s="72">
        <f t="shared" ref="E15:F17" si="3">B15</f>
        <v>328.25</v>
      </c>
      <c r="F15" s="27">
        <f t="shared" si="3"/>
        <v>7.6999999999999999E-2</v>
      </c>
      <c r="G15" s="21">
        <f>E15*F15</f>
        <v>25.27525</v>
      </c>
      <c r="H15" s="21">
        <f t="shared" si="1"/>
        <v>0</v>
      </c>
      <c r="I15" s="22">
        <f t="shared" si="2"/>
        <v>0</v>
      </c>
      <c r="J15" s="22"/>
      <c r="K15" s="107">
        <f t="shared" ref="K15:K41" si="4">G15/$G$51</f>
        <v>0.25356376596024588</v>
      </c>
    </row>
    <row r="16" spans="1:11" s="1" customFormat="1" x14ac:dyDescent="0.2">
      <c r="A16" s="108" t="s">
        <v>35</v>
      </c>
      <c r="B16" s="74">
        <f>B4*0.17</f>
        <v>85.850000000000009</v>
      </c>
      <c r="C16" s="27">
        <v>0.113</v>
      </c>
      <c r="D16" s="21">
        <f>B16*C16</f>
        <v>9.7010500000000004</v>
      </c>
      <c r="E16" s="72">
        <f t="shared" si="3"/>
        <v>85.850000000000009</v>
      </c>
      <c r="F16" s="27">
        <f t="shared" si="3"/>
        <v>0.113</v>
      </c>
      <c r="G16" s="21">
        <f>E16*F16</f>
        <v>9.7010500000000004</v>
      </c>
      <c r="H16" s="21">
        <f t="shared" si="1"/>
        <v>0</v>
      </c>
      <c r="I16" s="22">
        <f t="shared" si="2"/>
        <v>0</v>
      </c>
      <c r="J16" s="22"/>
      <c r="K16" s="107">
        <f t="shared" si="4"/>
        <v>9.7321877004921536E-2</v>
      </c>
    </row>
    <row r="17" spans="1:11" s="1" customFormat="1" x14ac:dyDescent="0.2">
      <c r="A17" s="108" t="s">
        <v>36</v>
      </c>
      <c r="B17" s="74">
        <f>B4*0.18</f>
        <v>90.899999999999991</v>
      </c>
      <c r="C17" s="27">
        <v>0.157</v>
      </c>
      <c r="D17" s="21">
        <f>B17*C17</f>
        <v>14.271299999999998</v>
      </c>
      <c r="E17" s="72">
        <f t="shared" si="3"/>
        <v>90.899999999999991</v>
      </c>
      <c r="F17" s="27">
        <f t="shared" si="3"/>
        <v>0.157</v>
      </c>
      <c r="G17" s="21">
        <f>E17*F17</f>
        <v>14.271299999999998</v>
      </c>
      <c r="H17" s="21">
        <f t="shared" si="1"/>
        <v>0</v>
      </c>
      <c r="I17" s="22">
        <f t="shared" si="2"/>
        <v>0</v>
      </c>
      <c r="J17" s="22"/>
      <c r="K17" s="107">
        <f t="shared" si="4"/>
        <v>0.14317106945127966</v>
      </c>
    </row>
    <row r="18" spans="1:11" s="1" customFormat="1" x14ac:dyDescent="0.2">
      <c r="A18" s="60" t="s">
        <v>37</v>
      </c>
      <c r="B18" s="28"/>
      <c r="C18" s="29"/>
      <c r="D18" s="29">
        <f>SUM(D15:D17)</f>
        <v>49.247599999999998</v>
      </c>
      <c r="E18" s="76"/>
      <c r="F18" s="29"/>
      <c r="G18" s="29">
        <f>SUM(G15:G17)</f>
        <v>49.247599999999998</v>
      </c>
      <c r="H18" s="30">
        <f t="shared" si="1"/>
        <v>0</v>
      </c>
      <c r="I18" s="31">
        <f t="shared" si="2"/>
        <v>0</v>
      </c>
      <c r="J18" s="32">
        <f t="shared" ref="J18:J24" si="5">G18/$G$46</f>
        <v>0.51285820382763148</v>
      </c>
      <c r="K18" s="61">
        <f t="shared" si="4"/>
        <v>0.49405671241644705</v>
      </c>
    </row>
    <row r="19" spans="1:11" x14ac:dyDescent="0.2">
      <c r="A19" s="106" t="s">
        <v>38</v>
      </c>
      <c r="B19" s="72">
        <v>1</v>
      </c>
      <c r="C19" s="77">
        <f>VLOOKUP($B$3,'Data for Bill Impacts'!$A$3:$Y$25,7,0)</f>
        <v>30.78</v>
      </c>
      <c r="D19" s="21">
        <f>B19*C19</f>
        <v>30.78</v>
      </c>
      <c r="E19" s="72">
        <f t="shared" ref="E19:E41" si="6">B19</f>
        <v>1</v>
      </c>
      <c r="F19" s="77">
        <f>VLOOKUP($B$3,'Data for Bill Impacts'!$A$3:$Y$25,17,0)</f>
        <v>31.59</v>
      </c>
      <c r="G19" s="21">
        <f>E19*F19</f>
        <v>31.59</v>
      </c>
      <c r="H19" s="21">
        <f t="shared" si="1"/>
        <v>0.80999999999999872</v>
      </c>
      <c r="I19" s="22">
        <f t="shared" si="2"/>
        <v>2.6315789473684167E-2</v>
      </c>
      <c r="J19" s="22">
        <f t="shared" si="5"/>
        <v>0.32897421719870368</v>
      </c>
      <c r="K19" s="107">
        <f t="shared" si="4"/>
        <v>0.31691395205523848</v>
      </c>
    </row>
    <row r="20" spans="1:11" hidden="1" x14ac:dyDescent="0.2">
      <c r="A20" s="106" t="s">
        <v>83</v>
      </c>
      <c r="B20" s="72">
        <v>1</v>
      </c>
      <c r="C20" s="77">
        <f>VLOOKUP($B$3,'Data for Bill Impacts'!$A$3:$Y$25,8,0)</f>
        <v>0</v>
      </c>
      <c r="D20" s="21">
        <f>B20*C20</f>
        <v>0</v>
      </c>
      <c r="E20" s="72">
        <f t="shared" si="6"/>
        <v>1</v>
      </c>
      <c r="F20" s="77">
        <v>0</v>
      </c>
      <c r="G20" s="21">
        <f t="shared" ref="G20:G22" si="7">E20*F20</f>
        <v>0</v>
      </c>
      <c r="H20" s="21">
        <f t="shared" si="1"/>
        <v>0</v>
      </c>
      <c r="I20" s="22" t="str">
        <f t="shared" si="2"/>
        <v>N/A</v>
      </c>
      <c r="J20" s="22">
        <f t="shared" si="5"/>
        <v>0</v>
      </c>
      <c r="K20" s="107">
        <f t="shared" si="4"/>
        <v>0</v>
      </c>
    </row>
    <row r="21" spans="1:11" hidden="1" x14ac:dyDescent="0.2">
      <c r="A21" s="106" t="s">
        <v>115</v>
      </c>
      <c r="B21" s="72">
        <v>1</v>
      </c>
      <c r="C21" s="77">
        <f>VLOOKUP($B$3,'Data for Bill Impacts'!$A$3:$Y$25,11,0)</f>
        <v>0</v>
      </c>
      <c r="D21" s="21">
        <f t="shared" ref="D21:D22" si="8">B21*C21</f>
        <v>0</v>
      </c>
      <c r="E21" s="72">
        <f t="shared" si="6"/>
        <v>1</v>
      </c>
      <c r="F21" s="120">
        <f>VLOOKUP($B$3,'Data for Bill Impacts'!$A$3:$Y$25,12,0)</f>
        <v>0</v>
      </c>
      <c r="G21" s="21">
        <f t="shared" si="7"/>
        <v>0</v>
      </c>
      <c r="H21" s="21">
        <f t="shared" si="1"/>
        <v>0</v>
      </c>
      <c r="I21" s="22" t="str">
        <f t="shared" si="2"/>
        <v>N/A</v>
      </c>
      <c r="J21" s="22">
        <f t="shared" si="5"/>
        <v>0</v>
      </c>
      <c r="K21" s="107">
        <f t="shared" si="4"/>
        <v>0</v>
      </c>
    </row>
    <row r="22" spans="1:11" x14ac:dyDescent="0.2">
      <c r="A22" s="106" t="s">
        <v>85</v>
      </c>
      <c r="B22" s="72">
        <v>1</v>
      </c>
      <c r="C22" s="120">
        <f>VLOOKUP($B$3,'Data for Bill Impacts'!$A$3:$Y$25,13,0)</f>
        <v>0</v>
      </c>
      <c r="D22" s="21">
        <f t="shared" si="8"/>
        <v>0</v>
      </c>
      <c r="E22" s="72">
        <f t="shared" si="6"/>
        <v>1</v>
      </c>
      <c r="F22" s="120">
        <f>VLOOKUP($B$3,'Data for Bill Impacts'!$A$3:$Y$25,22,0)</f>
        <v>0</v>
      </c>
      <c r="G22" s="21">
        <f t="shared" si="7"/>
        <v>0</v>
      </c>
      <c r="H22" s="21">
        <f t="shared" si="1"/>
        <v>0</v>
      </c>
      <c r="I22" s="22" t="str">
        <f t="shared" si="2"/>
        <v>N/A</v>
      </c>
      <c r="J22" s="22">
        <f t="shared" si="5"/>
        <v>0</v>
      </c>
      <c r="K22" s="107">
        <f t="shared" si="4"/>
        <v>0</v>
      </c>
    </row>
    <row r="23" spans="1:11" x14ac:dyDescent="0.2">
      <c r="A23" s="106" t="s">
        <v>39</v>
      </c>
      <c r="B23" s="72">
        <f>IF($B$9="kWh",$B$4,$B$5)</f>
        <v>505</v>
      </c>
      <c r="C23" s="124">
        <f>VLOOKUP($B$3,'Data for Bill Impacts'!$A$3:$Y$25,10,0)</f>
        <v>0</v>
      </c>
      <c r="D23" s="21">
        <f>B23*C23</f>
        <v>0</v>
      </c>
      <c r="E23" s="72">
        <f t="shared" si="6"/>
        <v>505</v>
      </c>
      <c r="F23" s="77">
        <f>VLOOKUP($B$3,'Data for Bill Impacts'!$A$3:$Y$25,19,0)</f>
        <v>0</v>
      </c>
      <c r="G23" s="21">
        <f>E23*F23</f>
        <v>0</v>
      </c>
      <c r="H23" s="21">
        <f t="shared" si="1"/>
        <v>0</v>
      </c>
      <c r="I23" s="22" t="str">
        <f t="shared" si="2"/>
        <v>N/A</v>
      </c>
      <c r="J23" s="22">
        <f t="shared" si="5"/>
        <v>0</v>
      </c>
      <c r="K23" s="107">
        <f t="shared" si="4"/>
        <v>0</v>
      </c>
    </row>
    <row r="24" spans="1:11" x14ac:dyDescent="0.2">
      <c r="A24" s="106" t="s">
        <v>129</v>
      </c>
      <c r="B24" s="72">
        <f>IF($B$9="kWh",$B$4,$B$5)</f>
        <v>505</v>
      </c>
      <c r="C24" s="124">
        <f>VLOOKUP($B$3,'Data for Bill Impacts'!$A$3:$Y$25,14,0)</f>
        <v>0</v>
      </c>
      <c r="D24" s="21">
        <f>B24*C24</f>
        <v>0</v>
      </c>
      <c r="E24" s="72">
        <f t="shared" si="6"/>
        <v>505</v>
      </c>
      <c r="F24" s="124">
        <f>VLOOKUP($B$3,'Data for Bill Impacts'!$A$3:$Y$25,23,0)</f>
        <v>0</v>
      </c>
      <c r="G24" s="21">
        <f>E24*F24</f>
        <v>0</v>
      </c>
      <c r="H24" s="21">
        <f t="shared" si="1"/>
        <v>0</v>
      </c>
      <c r="I24" s="22" t="str">
        <f t="shared" si="2"/>
        <v>N/A</v>
      </c>
      <c r="J24" s="22">
        <f t="shared" si="5"/>
        <v>0</v>
      </c>
      <c r="K24" s="107">
        <f t="shared" si="4"/>
        <v>0</v>
      </c>
    </row>
    <row r="25" spans="1:11" s="1" customFormat="1" x14ac:dyDescent="0.2">
      <c r="A25" s="109" t="s">
        <v>72</v>
      </c>
      <c r="B25" s="73"/>
      <c r="C25" s="34"/>
      <c r="D25" s="34">
        <f>SUM(D19:D24)</f>
        <v>30.78</v>
      </c>
      <c r="E25" s="72"/>
      <c r="F25" s="34"/>
      <c r="G25" s="34">
        <f>SUM(G19:G24)</f>
        <v>31.59</v>
      </c>
      <c r="H25" s="34">
        <f t="shared" si="1"/>
        <v>0.80999999999999872</v>
      </c>
      <c r="I25" s="35">
        <f t="shared" si="2"/>
        <v>2.6315789473684167E-2</v>
      </c>
      <c r="J25" s="35">
        <f>G25/$G$46</f>
        <v>0.32897421719870368</v>
      </c>
      <c r="K25" s="110">
        <f t="shared" si="4"/>
        <v>0.31691395205523848</v>
      </c>
    </row>
    <row r="26" spans="1:11" s="1" customFormat="1" x14ac:dyDescent="0.2">
      <c r="A26" s="118" t="s">
        <v>73</v>
      </c>
      <c r="B26" s="119">
        <v>1</v>
      </c>
      <c r="C26" s="77">
        <f>VLOOKUP($B$3,'Data for Bill Impacts'!$A$3:$Y$25,9,0)</f>
        <v>0.79</v>
      </c>
      <c r="D26" s="21">
        <f>B26*C26</f>
        <v>0.79</v>
      </c>
      <c r="E26" s="72">
        <v>1</v>
      </c>
      <c r="F26" s="77">
        <f>VLOOKUP($B$3,'Data for Bill Impacts'!$A$3:$Y$25,18,0)</f>
        <v>0.79</v>
      </c>
      <c r="G26" s="21">
        <f>E26*F26</f>
        <v>0.79</v>
      </c>
      <c r="H26" s="21">
        <f t="shared" si="1"/>
        <v>0</v>
      </c>
      <c r="I26" s="22">
        <f t="shared" si="2"/>
        <v>0</v>
      </c>
      <c r="J26" s="22">
        <f>G26/$G$46</f>
        <v>8.2269588979732803E-3</v>
      </c>
      <c r="K26" s="107">
        <f t="shared" si="4"/>
        <v>7.9253568256928905E-3</v>
      </c>
    </row>
    <row r="27" spans="1:11" s="1" customFormat="1" x14ac:dyDescent="0.2">
      <c r="A27" s="118" t="s">
        <v>75</v>
      </c>
      <c r="B27" s="119">
        <f>B8-B4</f>
        <v>28.784999999999968</v>
      </c>
      <c r="C27" s="186">
        <f>IF(B4&gt;B7,C13,C12)</f>
        <v>9.0999999999999998E-2</v>
      </c>
      <c r="D27" s="21">
        <f>B27*C27</f>
        <v>2.6194349999999971</v>
      </c>
      <c r="E27" s="72">
        <f>B27</f>
        <v>28.784999999999968</v>
      </c>
      <c r="F27" s="186">
        <f>C27</f>
        <v>9.0999999999999998E-2</v>
      </c>
      <c r="G27" s="21">
        <f>E27*F27</f>
        <v>2.6194349999999971</v>
      </c>
      <c r="H27" s="21">
        <f t="shared" si="1"/>
        <v>0</v>
      </c>
      <c r="I27" s="22">
        <f t="shared" si="2"/>
        <v>0</v>
      </c>
      <c r="J27" s="22">
        <f t="shared" ref="J27:J46" si="9">G27/$G$46</f>
        <v>2.72784608619147E-2</v>
      </c>
      <c r="K27" s="107">
        <f t="shared" si="4"/>
        <v>2.6278426654061816E-2</v>
      </c>
    </row>
    <row r="28" spans="1:11" s="1" customFormat="1" x14ac:dyDescent="0.2">
      <c r="A28" s="118" t="s">
        <v>74</v>
      </c>
      <c r="B28" s="119">
        <f>B8-B4</f>
        <v>28.784999999999968</v>
      </c>
      <c r="C28" s="186">
        <f>0.65*C15+0.17*C16+0.18*C17</f>
        <v>9.7519999999999996E-2</v>
      </c>
      <c r="D28" s="21">
        <f>B28*C28</f>
        <v>2.8071131999999968</v>
      </c>
      <c r="E28" s="72">
        <f>B28</f>
        <v>28.784999999999968</v>
      </c>
      <c r="F28" s="186">
        <f>C28</f>
        <v>9.7519999999999996E-2</v>
      </c>
      <c r="G28" s="21">
        <f>E28*F28</f>
        <v>2.8071131999999968</v>
      </c>
      <c r="H28" s="21">
        <f t="shared" si="1"/>
        <v>0</v>
      </c>
      <c r="I28" s="22">
        <f t="shared" si="2"/>
        <v>0</v>
      </c>
      <c r="J28" s="22">
        <f t="shared" si="9"/>
        <v>2.9232917618174963E-2</v>
      </c>
      <c r="K28" s="107">
        <f t="shared" si="4"/>
        <v>2.8161232607737452E-2</v>
      </c>
    </row>
    <row r="29" spans="1:11" s="1" customFormat="1" x14ac:dyDescent="0.2">
      <c r="A29" s="109" t="s">
        <v>78</v>
      </c>
      <c r="B29" s="73"/>
      <c r="C29" s="34"/>
      <c r="D29" s="34">
        <f>SUM(D25,D26:D27)</f>
        <v>34.189434999999996</v>
      </c>
      <c r="E29" s="72"/>
      <c r="F29" s="34"/>
      <c r="G29" s="34">
        <f>SUM(G25,G26:G27)</f>
        <v>34.999434999999998</v>
      </c>
      <c r="H29" s="34">
        <f t="shared" si="1"/>
        <v>0.81000000000000227</v>
      </c>
      <c r="I29" s="35">
        <f t="shared" si="2"/>
        <v>2.3691529269202677E-2</v>
      </c>
      <c r="J29" s="35">
        <f t="shared" si="9"/>
        <v>0.36447963695859165</v>
      </c>
      <c r="K29" s="110">
        <f t="shared" si="4"/>
        <v>0.3511177355349932</v>
      </c>
    </row>
    <row r="30" spans="1:11" s="1" customFormat="1" x14ac:dyDescent="0.2">
      <c r="A30" s="109" t="s">
        <v>77</v>
      </c>
      <c r="B30" s="73"/>
      <c r="C30" s="34"/>
      <c r="D30" s="34">
        <f>SUM(D25,D26,D28)</f>
        <v>34.377113199999997</v>
      </c>
      <c r="E30" s="72"/>
      <c r="F30" s="34"/>
      <c r="G30" s="34">
        <f>SUM(G25,G26,G28)</f>
        <v>35.187113199999999</v>
      </c>
      <c r="H30" s="34">
        <f t="shared" si="1"/>
        <v>0.81000000000000227</v>
      </c>
      <c r="I30" s="35">
        <f t="shared" si="2"/>
        <v>2.3562187880278508E-2</v>
      </c>
      <c r="J30" s="35">
        <f t="shared" si="9"/>
        <v>0.36643409371485192</v>
      </c>
      <c r="K30" s="110">
        <f t="shared" si="4"/>
        <v>0.35300054148866883</v>
      </c>
    </row>
    <row r="31" spans="1:11" x14ac:dyDescent="0.2">
      <c r="A31" s="106" t="s">
        <v>40</v>
      </c>
      <c r="B31" s="72">
        <f>B8</f>
        <v>533.78499999999997</v>
      </c>
      <c r="C31" s="124">
        <f>VLOOKUP($B$3,'Data for Bill Impacts'!$A$3:$Y$25,15,0)</f>
        <v>7.3000000000000001E-3</v>
      </c>
      <c r="D31" s="21">
        <f>B31*C31</f>
        <v>3.8966304999999997</v>
      </c>
      <c r="E31" s="72">
        <f t="shared" si="6"/>
        <v>533.78499999999997</v>
      </c>
      <c r="F31" s="77">
        <f>VLOOKUP($B$3,'Data for Bill Impacts'!$A$3:$Y$25,24,0)</f>
        <v>7.3000000000000001E-3</v>
      </c>
      <c r="G31" s="21">
        <f>E31*F31</f>
        <v>3.8966304999999997</v>
      </c>
      <c r="H31" s="21">
        <f t="shared" si="1"/>
        <v>0</v>
      </c>
      <c r="I31" s="22">
        <f t="shared" si="2"/>
        <v>0</v>
      </c>
      <c r="J31" s="22">
        <f t="shared" si="9"/>
        <v>4.0579011346948184E-2</v>
      </c>
      <c r="K31" s="107">
        <f t="shared" si="4"/>
        <v>3.9091376114402658E-2</v>
      </c>
    </row>
    <row r="32" spans="1:11" x14ac:dyDescent="0.2">
      <c r="A32" s="106" t="s">
        <v>41</v>
      </c>
      <c r="B32" s="72">
        <f>B8</f>
        <v>533.78499999999997</v>
      </c>
      <c r="C32" s="124">
        <f>VLOOKUP($B$3,'Data for Bill Impacts'!$A$3:$Y$25,16,0)</f>
        <v>6.1999999999999998E-3</v>
      </c>
      <c r="D32" s="21">
        <f>B32*C32</f>
        <v>3.3094669999999997</v>
      </c>
      <c r="E32" s="72">
        <f t="shared" si="6"/>
        <v>533.78499999999997</v>
      </c>
      <c r="F32" s="77">
        <f>VLOOKUP($B$3,'Data for Bill Impacts'!$A$3:$Y$25,25,0)</f>
        <v>6.1999999999999998E-3</v>
      </c>
      <c r="G32" s="21">
        <f>E32*F32</f>
        <v>3.3094669999999997</v>
      </c>
      <c r="H32" s="21">
        <f t="shared" si="1"/>
        <v>0</v>
      </c>
      <c r="I32" s="22">
        <f t="shared" si="2"/>
        <v>0</v>
      </c>
      <c r="J32" s="22">
        <f t="shared" si="9"/>
        <v>3.4464365801517641E-2</v>
      </c>
      <c r="K32" s="107">
        <f t="shared" si="4"/>
        <v>3.3200894782095404E-2</v>
      </c>
    </row>
    <row r="33" spans="1:11" s="1" customFormat="1" x14ac:dyDescent="0.2">
      <c r="A33" s="109" t="s">
        <v>76</v>
      </c>
      <c r="B33" s="73"/>
      <c r="C33" s="34"/>
      <c r="D33" s="34">
        <f>SUM(D31:D32)</f>
        <v>7.2060974999999994</v>
      </c>
      <c r="E33" s="72"/>
      <c r="F33" s="34"/>
      <c r="G33" s="34">
        <f>SUM(G31:G32)</f>
        <v>7.2060974999999994</v>
      </c>
      <c r="H33" s="34">
        <f t="shared" si="1"/>
        <v>0</v>
      </c>
      <c r="I33" s="35">
        <f t="shared" si="2"/>
        <v>0</v>
      </c>
      <c r="J33" s="35">
        <f t="shared" si="9"/>
        <v>7.5043377148465817E-2</v>
      </c>
      <c r="K33" s="110">
        <f t="shared" si="4"/>
        <v>7.2292270896498062E-2</v>
      </c>
    </row>
    <row r="34" spans="1:11" s="1" customFormat="1" x14ac:dyDescent="0.2">
      <c r="A34" s="109" t="s">
        <v>93</v>
      </c>
      <c r="B34" s="73"/>
      <c r="C34" s="34"/>
      <c r="D34" s="34">
        <f>D29+D33</f>
        <v>41.395532499999995</v>
      </c>
      <c r="E34" s="72"/>
      <c r="F34" s="34"/>
      <c r="G34" s="34">
        <f>G29+G33</f>
        <v>42.205532499999997</v>
      </c>
      <c r="H34" s="34">
        <f t="shared" si="1"/>
        <v>0.81000000000000227</v>
      </c>
      <c r="I34" s="35">
        <f t="shared" si="2"/>
        <v>1.9567328914056183E-2</v>
      </c>
      <c r="J34" s="35">
        <f t="shared" si="9"/>
        <v>0.43952301410705746</v>
      </c>
      <c r="K34" s="110">
        <f t="shared" si="4"/>
        <v>0.42341000643149124</v>
      </c>
    </row>
    <row r="35" spans="1:11" s="1" customFormat="1" x14ac:dyDescent="0.2">
      <c r="A35" s="109" t="s">
        <v>94</v>
      </c>
      <c r="B35" s="73"/>
      <c r="C35" s="34"/>
      <c r="D35" s="34">
        <f>D30+D33</f>
        <v>41.583210699999995</v>
      </c>
      <c r="E35" s="72"/>
      <c r="F35" s="34"/>
      <c r="G35" s="34">
        <f>G30+G33</f>
        <v>42.393210699999997</v>
      </c>
      <c r="H35" s="34">
        <f t="shared" si="1"/>
        <v>0.81000000000000227</v>
      </c>
      <c r="I35" s="35">
        <f t="shared" si="2"/>
        <v>1.9479015361360791E-2</v>
      </c>
      <c r="J35" s="35">
        <f t="shared" si="9"/>
        <v>0.44147747086331773</v>
      </c>
      <c r="K35" s="110">
        <f t="shared" si="4"/>
        <v>0.42529281238516692</v>
      </c>
    </row>
    <row r="36" spans="1:11" x14ac:dyDescent="0.2">
      <c r="A36" s="106" t="s">
        <v>42</v>
      </c>
      <c r="B36" s="72">
        <f>B8</f>
        <v>533.78499999999997</v>
      </c>
      <c r="C36" s="33">
        <v>3.5999999999999999E-3</v>
      </c>
      <c r="D36" s="21">
        <f>B36*C36</f>
        <v>1.9216259999999998</v>
      </c>
      <c r="E36" s="72">
        <f t="shared" si="6"/>
        <v>533.78499999999997</v>
      </c>
      <c r="F36" s="33">
        <v>3.5999999999999999E-3</v>
      </c>
      <c r="G36" s="21">
        <f>E36*F36</f>
        <v>1.9216259999999998</v>
      </c>
      <c r="H36" s="21">
        <f t="shared" si="1"/>
        <v>0</v>
      </c>
      <c r="I36" s="22">
        <f t="shared" si="2"/>
        <v>0</v>
      </c>
      <c r="J36" s="22">
        <f t="shared" si="9"/>
        <v>2.0011567239590886E-2</v>
      </c>
      <c r="K36" s="107">
        <f t="shared" si="4"/>
        <v>1.9277938905732817E-2</v>
      </c>
    </row>
    <row r="37" spans="1:11" x14ac:dyDescent="0.2">
      <c r="A37" s="106" t="s">
        <v>43</v>
      </c>
      <c r="B37" s="72">
        <f>B8</f>
        <v>533.78499999999997</v>
      </c>
      <c r="C37" s="33">
        <v>2.0999999999999999E-3</v>
      </c>
      <c r="D37" s="21">
        <f>B37*C37</f>
        <v>1.1209484999999999</v>
      </c>
      <c r="E37" s="72">
        <f t="shared" si="6"/>
        <v>533.78499999999997</v>
      </c>
      <c r="F37" s="33">
        <v>2.0999999999999999E-3</v>
      </c>
      <c r="G37" s="21">
        <f>E37*F37</f>
        <v>1.1209484999999999</v>
      </c>
      <c r="H37" s="21">
        <f>G37-D37</f>
        <v>0</v>
      </c>
      <c r="I37" s="22">
        <f t="shared" si="2"/>
        <v>0</v>
      </c>
      <c r="J37" s="22">
        <f t="shared" si="9"/>
        <v>1.1673414223094683E-2</v>
      </c>
      <c r="K37" s="107">
        <f t="shared" si="4"/>
        <v>1.1245464361677476E-2</v>
      </c>
    </row>
    <row r="38" spans="1:11" x14ac:dyDescent="0.2">
      <c r="A38" s="106" t="s">
        <v>99</v>
      </c>
      <c r="B38" s="72">
        <f>B8</f>
        <v>533.78499999999997</v>
      </c>
      <c r="C38" s="33">
        <v>0</v>
      </c>
      <c r="D38" s="21">
        <f>B38*C38</f>
        <v>0</v>
      </c>
      <c r="E38" s="72">
        <f t="shared" si="6"/>
        <v>533.78499999999997</v>
      </c>
      <c r="F38" s="33">
        <v>0</v>
      </c>
      <c r="G38" s="21">
        <f>E38*F38</f>
        <v>0</v>
      </c>
      <c r="H38" s="21">
        <f>G38-D38</f>
        <v>0</v>
      </c>
      <c r="I38" s="22" t="str">
        <f t="shared" si="2"/>
        <v>N/A</v>
      </c>
      <c r="J38" s="22">
        <f t="shared" si="9"/>
        <v>0</v>
      </c>
      <c r="K38" s="107">
        <f t="shared" si="4"/>
        <v>0</v>
      </c>
    </row>
    <row r="39" spans="1:11" x14ac:dyDescent="0.2">
      <c r="A39" s="106" t="s">
        <v>44</v>
      </c>
      <c r="B39" s="72">
        <v>1</v>
      </c>
      <c r="C39" s="21">
        <v>0.25</v>
      </c>
      <c r="D39" s="21">
        <f>B39*C39</f>
        <v>0.25</v>
      </c>
      <c r="E39" s="72">
        <f t="shared" si="6"/>
        <v>1</v>
      </c>
      <c r="F39" s="21">
        <f>C39</f>
        <v>0.25</v>
      </c>
      <c r="G39" s="21">
        <f>E39*F39</f>
        <v>0.25</v>
      </c>
      <c r="H39" s="21">
        <f t="shared" si="1"/>
        <v>0</v>
      </c>
      <c r="I39" s="22">
        <f t="shared" si="2"/>
        <v>0</v>
      </c>
      <c r="J39" s="22">
        <f t="shared" si="9"/>
        <v>2.6034680056877466E-3</v>
      </c>
      <c r="K39" s="107">
        <f t="shared" si="4"/>
        <v>2.5080243119281298E-3</v>
      </c>
    </row>
    <row r="40" spans="1:11" s="1" customFormat="1" x14ac:dyDescent="0.2">
      <c r="A40" s="109" t="s">
        <v>45</v>
      </c>
      <c r="B40" s="73"/>
      <c r="C40" s="34"/>
      <c r="D40" s="34">
        <f>SUM(D36:D39)</f>
        <v>3.2925744999999997</v>
      </c>
      <c r="E40" s="72"/>
      <c r="F40" s="34"/>
      <c r="G40" s="34">
        <f>SUM(G36:G39)</f>
        <v>3.2925744999999997</v>
      </c>
      <c r="H40" s="34">
        <f t="shared" si="1"/>
        <v>0</v>
      </c>
      <c r="I40" s="35">
        <f t="shared" si="2"/>
        <v>0</v>
      </c>
      <c r="J40" s="35">
        <f t="shared" si="9"/>
        <v>3.4288449468373318E-2</v>
      </c>
      <c r="K40" s="110">
        <f t="shared" si="4"/>
        <v>3.303142757933842E-2</v>
      </c>
    </row>
    <row r="41" spans="1:11" s="1" customFormat="1" ht="13.5" thickBot="1" x14ac:dyDescent="0.25">
      <c r="A41" s="111" t="s">
        <v>46</v>
      </c>
      <c r="B41" s="112">
        <f>B4</f>
        <v>505</v>
      </c>
      <c r="C41" s="113">
        <v>0</v>
      </c>
      <c r="D41" s="114">
        <f>B41*C41</f>
        <v>0</v>
      </c>
      <c r="E41" s="115">
        <f t="shared" si="6"/>
        <v>505</v>
      </c>
      <c r="F41" s="113">
        <f>C41</f>
        <v>0</v>
      </c>
      <c r="G41" s="114">
        <f>E41*F41</f>
        <v>0</v>
      </c>
      <c r="H41" s="114">
        <f t="shared" si="1"/>
        <v>0</v>
      </c>
      <c r="I41" s="116" t="str">
        <f t="shared" si="2"/>
        <v>N/A</v>
      </c>
      <c r="J41" s="116">
        <f t="shared" si="9"/>
        <v>0</v>
      </c>
      <c r="K41" s="117">
        <f t="shared" si="4"/>
        <v>0</v>
      </c>
    </row>
    <row r="42" spans="1:11" s="1" customFormat="1" x14ac:dyDescent="0.2">
      <c r="A42" s="36" t="s">
        <v>107</v>
      </c>
      <c r="B42" s="37"/>
      <c r="C42" s="38"/>
      <c r="D42" s="38">
        <f>SUM(D14,D25,D26,D27,D33,D40,D41)</f>
        <v>90.643107000000001</v>
      </c>
      <c r="E42" s="37"/>
      <c r="F42" s="38"/>
      <c r="G42" s="38">
        <f>SUM(G14,G25,G26,G27,G33,G40,G41)</f>
        <v>91.453107000000003</v>
      </c>
      <c r="H42" s="38">
        <f t="shared" si="1"/>
        <v>0.81000000000000227</v>
      </c>
      <c r="I42" s="39">
        <f t="shared" si="2"/>
        <v>8.9361455802701283E-3</v>
      </c>
      <c r="J42" s="39">
        <f t="shared" si="9"/>
        <v>0.95238095238095244</v>
      </c>
      <c r="K42" s="40"/>
    </row>
    <row r="43" spans="1:11" x14ac:dyDescent="0.2">
      <c r="A43" s="142" t="s">
        <v>108</v>
      </c>
      <c r="B43" s="42"/>
      <c r="C43" s="25">
        <v>0.13</v>
      </c>
      <c r="D43" s="25">
        <f>D42*C43</f>
        <v>11.78360391</v>
      </c>
      <c r="E43" s="25"/>
      <c r="F43" s="25">
        <f>C43</f>
        <v>0.13</v>
      </c>
      <c r="G43" s="25">
        <f>G42*F43</f>
        <v>11.888903910000002</v>
      </c>
      <c r="H43" s="25">
        <f t="shared" si="1"/>
        <v>0.1053000000000015</v>
      </c>
      <c r="I43" s="43">
        <f t="shared" si="2"/>
        <v>8.9361455802702307E-3</v>
      </c>
      <c r="J43" s="43">
        <f t="shared" si="9"/>
        <v>0.12380952380952383</v>
      </c>
      <c r="K43" s="44"/>
    </row>
    <row r="44" spans="1:11" s="1" customFormat="1" x14ac:dyDescent="0.2">
      <c r="A44" s="45" t="s">
        <v>109</v>
      </c>
      <c r="B44" s="23"/>
      <c r="C44" s="24"/>
      <c r="D44" s="24">
        <f>SUM(D42:D43)</f>
        <v>102.42671091</v>
      </c>
      <c r="E44" s="24"/>
      <c r="F44" s="24"/>
      <c r="G44" s="24">
        <f>SUM(G42:G43)</f>
        <v>103.34201091</v>
      </c>
      <c r="H44" s="24">
        <f t="shared" si="1"/>
        <v>0.915300000000002</v>
      </c>
      <c r="I44" s="26">
        <f t="shared" si="2"/>
        <v>8.9361455802701231E-3</v>
      </c>
      <c r="J44" s="26">
        <f t="shared" si="9"/>
        <v>1.0761904761904761</v>
      </c>
      <c r="K44" s="46"/>
    </row>
    <row r="45" spans="1:11" x14ac:dyDescent="0.2">
      <c r="A45" s="41" t="s">
        <v>110</v>
      </c>
      <c r="B45" s="42"/>
      <c r="C45" s="25">
        <v>-0.08</v>
      </c>
      <c r="D45" s="25">
        <f>D42*C45</f>
        <v>-7.25144856</v>
      </c>
      <c r="E45" s="25"/>
      <c r="F45" s="25">
        <f>C45</f>
        <v>-0.08</v>
      </c>
      <c r="G45" s="25">
        <f>G42*F45</f>
        <v>-7.31624856</v>
      </c>
      <c r="H45" s="25">
        <f t="shared" si="1"/>
        <v>-6.4799999999999969E-2</v>
      </c>
      <c r="I45" s="43">
        <f t="shared" si="2"/>
        <v>-8.9361455802700988E-3</v>
      </c>
      <c r="J45" s="43">
        <f t="shared" si="9"/>
        <v>-7.6190476190476197E-2</v>
      </c>
      <c r="K45" s="44"/>
    </row>
    <row r="46" spans="1:11" s="1" customFormat="1" ht="13.5" thickBot="1" x14ac:dyDescent="0.25">
      <c r="A46" s="47" t="s">
        <v>111</v>
      </c>
      <c r="B46" s="48"/>
      <c r="C46" s="49"/>
      <c r="D46" s="49">
        <f>SUM(D44:D45)</f>
        <v>95.175262349999997</v>
      </c>
      <c r="E46" s="49"/>
      <c r="F46" s="49"/>
      <c r="G46" s="49">
        <f>SUM(G44:G45)</f>
        <v>96.025762349999994</v>
      </c>
      <c r="H46" s="49">
        <f t="shared" si="1"/>
        <v>0.8504999999999967</v>
      </c>
      <c r="I46" s="50">
        <f t="shared" si="2"/>
        <v>8.9361455802700676E-3</v>
      </c>
      <c r="J46" s="50">
        <f t="shared" si="9"/>
        <v>1</v>
      </c>
      <c r="K46" s="51"/>
    </row>
    <row r="47" spans="1:11" x14ac:dyDescent="0.2">
      <c r="A47" s="52" t="s">
        <v>112</v>
      </c>
      <c r="B47" s="53"/>
      <c r="C47" s="54"/>
      <c r="D47" s="54">
        <f>SUM(D18,D25,D26,D28,D33,D40,D41)</f>
        <v>94.123385200000016</v>
      </c>
      <c r="E47" s="54"/>
      <c r="F47" s="54"/>
      <c r="G47" s="54">
        <f>SUM(G18,G25,G26,G28,G33,G40,G41)</f>
        <v>94.933385200000004</v>
      </c>
      <c r="H47" s="54">
        <f>G47-D47</f>
        <v>0.80999999999998806</v>
      </c>
      <c r="I47" s="55">
        <f t="shared" si="2"/>
        <v>8.6057253282894874E-3</v>
      </c>
      <c r="J47" s="55"/>
      <c r="K47" s="56">
        <f>G47/$G$51</f>
        <v>0.95238095238095244</v>
      </c>
    </row>
    <row r="48" spans="1:11" x14ac:dyDescent="0.2">
      <c r="A48" s="57" t="s">
        <v>108</v>
      </c>
      <c r="B48" s="58"/>
      <c r="C48" s="30">
        <v>0.13</v>
      </c>
      <c r="D48" s="30">
        <f>D47*C48</f>
        <v>12.236040076000002</v>
      </c>
      <c r="E48" s="30"/>
      <c r="F48" s="30">
        <f>C48</f>
        <v>0.13</v>
      </c>
      <c r="G48" s="30">
        <f>G47*F48</f>
        <v>12.341340076000002</v>
      </c>
      <c r="H48" s="30">
        <f>G48-D48</f>
        <v>0.10529999999999973</v>
      </c>
      <c r="I48" s="31">
        <f t="shared" si="2"/>
        <v>8.6057253282895933E-3</v>
      </c>
      <c r="J48" s="31"/>
      <c r="K48" s="59">
        <f>G48/$G$51</f>
        <v>0.12380952380952383</v>
      </c>
    </row>
    <row r="49" spans="1:11" x14ac:dyDescent="0.2">
      <c r="A49" s="60" t="s">
        <v>113</v>
      </c>
      <c r="B49" s="28"/>
      <c r="C49" s="29"/>
      <c r="D49" s="29">
        <f>SUM(D47:D48)</f>
        <v>106.35942527600002</v>
      </c>
      <c r="E49" s="29"/>
      <c r="F49" s="29"/>
      <c r="G49" s="29">
        <f>SUM(G47:G48)</f>
        <v>107.274725276</v>
      </c>
      <c r="H49" s="29">
        <f>G49-D49</f>
        <v>0.91529999999997358</v>
      </c>
      <c r="I49" s="32">
        <f t="shared" si="2"/>
        <v>8.605725328289366E-3</v>
      </c>
      <c r="J49" s="32"/>
      <c r="K49" s="61">
        <f>G49/$G$51</f>
        <v>1.0761904761904761</v>
      </c>
    </row>
    <row r="50" spans="1:11" x14ac:dyDescent="0.2">
      <c r="A50" s="57" t="s">
        <v>110</v>
      </c>
      <c r="B50" s="58"/>
      <c r="C50" s="30">
        <v>-0.08</v>
      </c>
      <c r="D50" s="30">
        <f>D47*C50</f>
        <v>-7.5298708160000016</v>
      </c>
      <c r="E50" s="30"/>
      <c r="F50" s="30">
        <f>C50</f>
        <v>-0.08</v>
      </c>
      <c r="G50" s="30">
        <f>G47*F50</f>
        <v>-7.5946708160000007</v>
      </c>
      <c r="H50" s="30">
        <f>G50-D50</f>
        <v>-6.4799999999999081E-2</v>
      </c>
      <c r="I50" s="31">
        <f t="shared" si="2"/>
        <v>-8.6057253282894926E-3</v>
      </c>
      <c r="J50" s="31"/>
      <c r="K50" s="59">
        <f>G50/$G$51</f>
        <v>-7.6190476190476197E-2</v>
      </c>
    </row>
    <row r="51" spans="1:11" ht="13.5" thickBot="1" x14ac:dyDescent="0.25">
      <c r="A51" s="62" t="s">
        <v>114</v>
      </c>
      <c r="B51" s="63"/>
      <c r="C51" s="64"/>
      <c r="D51" s="64">
        <f>SUM(D49:D50)</f>
        <v>98.829554460000026</v>
      </c>
      <c r="E51" s="64"/>
      <c r="F51" s="64"/>
      <c r="G51" s="64">
        <f>SUM(G49:G50)</f>
        <v>99.680054459999994</v>
      </c>
      <c r="H51" s="64">
        <f>G51-D51</f>
        <v>0.85049999999996828</v>
      </c>
      <c r="I51" s="65">
        <f t="shared" si="2"/>
        <v>8.6057253282892932E-3</v>
      </c>
      <c r="J51" s="65"/>
      <c r="K51" s="66">
        <f>G51/$G$51</f>
        <v>1</v>
      </c>
    </row>
    <row r="52" spans="1:11" x14ac:dyDescent="0.2">
      <c r="C52" s="67"/>
      <c r="F52" s="68"/>
    </row>
    <row r="53" spans="1:11" x14ac:dyDescent="0.2">
      <c r="F53" s="68"/>
    </row>
    <row r="54" spans="1:11" x14ac:dyDescent="0.2">
      <c r="F54" s="68"/>
    </row>
    <row r="55" spans="1:11" x14ac:dyDescent="0.2">
      <c r="A55" s="69"/>
      <c r="B55" s="70"/>
      <c r="F55" s="68"/>
    </row>
    <row r="56" spans="1:11" x14ac:dyDescent="0.2">
      <c r="B56" s="70"/>
      <c r="F56" s="68"/>
    </row>
    <row r="57" spans="1:11" x14ac:dyDescent="0.2">
      <c r="F57" s="68"/>
    </row>
    <row r="58" spans="1:11" x14ac:dyDescent="0.2">
      <c r="D58" s="71"/>
      <c r="F58" s="68"/>
    </row>
    <row r="59" spans="1:11" x14ac:dyDescent="0.2">
      <c r="F59" s="68"/>
    </row>
    <row r="60" spans="1:11" x14ac:dyDescent="0.2">
      <c r="A60" s="69"/>
      <c r="B60" s="70"/>
      <c r="F60" s="68"/>
    </row>
    <row r="61" spans="1:11" x14ac:dyDescent="0.2">
      <c r="B61" s="71"/>
      <c r="D61" s="71"/>
      <c r="F61" s="68"/>
    </row>
    <row r="62" spans="1:11" x14ac:dyDescent="0.2">
      <c r="F62" s="68"/>
    </row>
    <row r="63" spans="1:11" x14ac:dyDescent="0.2">
      <c r="F63" s="68"/>
    </row>
    <row r="64" spans="1:11" x14ac:dyDescent="0.2">
      <c r="F64" s="68"/>
      <c r="K64"/>
    </row>
    <row r="65" spans="6:11" x14ac:dyDescent="0.2">
      <c r="F65" s="68"/>
      <c r="K65"/>
    </row>
    <row r="66" spans="6:11" x14ac:dyDescent="0.2">
      <c r="F66" s="68"/>
      <c r="K66"/>
    </row>
    <row r="67" spans="6:11" x14ac:dyDescent="0.2">
      <c r="F67" s="68"/>
      <c r="K67"/>
    </row>
    <row r="68" spans="6:11" x14ac:dyDescent="0.2">
      <c r="F68" s="68"/>
      <c r="K68"/>
    </row>
  </sheetData>
  <mergeCells count="1">
    <mergeCell ref="A1:K1"/>
  </mergeCells>
  <pageMargins left="0.7" right="0.7" top="0.75" bottom="0.75" header="0.3" footer="0.3"/>
  <pageSetup scale="7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Impacts'!$A$3:$A$22</xm:f>
          </x14:formula1>
          <xm:sqref>B3</xm:sqref>
        </x14:dataValidation>
      </x14:dataValidations>
    </ext>
  </extLs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tabColor theme="1" tint="0.499984740745262"/>
    <pageSetUpPr fitToPage="1"/>
  </sheetPr>
  <dimension ref="A1:K68"/>
  <sheetViews>
    <sheetView tabSelected="1" topLeftCell="A22"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3"/>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205" t="s">
        <v>128</v>
      </c>
      <c r="B1" s="206"/>
      <c r="C1" s="206"/>
      <c r="D1" s="206"/>
      <c r="E1" s="206"/>
      <c r="F1" s="206"/>
      <c r="G1" s="206"/>
      <c r="H1" s="206"/>
      <c r="I1" s="206"/>
      <c r="J1" s="206"/>
      <c r="K1" s="207"/>
    </row>
    <row r="3" spans="1:11" ht="12" customHeight="1" x14ac:dyDescent="0.2">
      <c r="A3" s="12" t="s">
        <v>13</v>
      </c>
      <c r="B3" s="12" t="s">
        <v>130</v>
      </c>
    </row>
    <row r="4" spans="1:11" x14ac:dyDescent="0.2">
      <c r="A4" s="14" t="s">
        <v>62</v>
      </c>
      <c r="B4" s="14">
        <v>1400</v>
      </c>
    </row>
    <row r="5" spans="1:11" x14ac:dyDescent="0.2">
      <c r="A5" s="14" t="s">
        <v>16</v>
      </c>
      <c r="B5" s="14">
        <f>VLOOKUP($B$3,'Data for Bill Impacts'!$A$3:$Y$25,5,0)</f>
        <v>0</v>
      </c>
    </row>
    <row r="6" spans="1:11" x14ac:dyDescent="0.2">
      <c r="A6" s="14" t="s">
        <v>20</v>
      </c>
      <c r="B6" s="14">
        <f>VLOOKUP($B$3,'Data for Bill Impacts'!$A$3:$Y$25,2,0)</f>
        <v>1.0569999999999999</v>
      </c>
    </row>
    <row r="7" spans="1:11" x14ac:dyDescent="0.2">
      <c r="A7" s="14" t="s">
        <v>15</v>
      </c>
      <c r="B7" s="14">
        <f>VLOOKUP($B$3,'Data for Bill Impacts'!$A$3:$Y$25,4,0)</f>
        <v>600</v>
      </c>
    </row>
    <row r="8" spans="1:11" x14ac:dyDescent="0.2">
      <c r="A8" s="14" t="s">
        <v>82</v>
      </c>
      <c r="B8" s="148">
        <f>B4*B6</f>
        <v>1479.8</v>
      </c>
    </row>
    <row r="9" spans="1:11" x14ac:dyDescent="0.2">
      <c r="A9" s="14" t="s">
        <v>21</v>
      </c>
      <c r="B9" s="15" t="str">
        <f>VLOOKUP($B$3,'Data for Bill Impacts'!$A$3:$Y$25,6,0)</f>
        <v>kWh</v>
      </c>
    </row>
    <row r="10" spans="1:11" ht="13.5" thickBot="1" x14ac:dyDescent="0.25"/>
    <row r="11" spans="1:11" s="19" customFormat="1" ht="51.75" thickBot="1" x14ac:dyDescent="0.25">
      <c r="A11" s="16"/>
      <c r="B11" s="17" t="s">
        <v>22</v>
      </c>
      <c r="C11" s="17" t="s">
        <v>23</v>
      </c>
      <c r="D11" s="17" t="s">
        <v>24</v>
      </c>
      <c r="E11" s="17" t="s">
        <v>22</v>
      </c>
      <c r="F11" s="17" t="s">
        <v>25</v>
      </c>
      <c r="G11" s="17" t="s">
        <v>26</v>
      </c>
      <c r="H11" s="17" t="s">
        <v>27</v>
      </c>
      <c r="I11" s="17" t="s">
        <v>28</v>
      </c>
      <c r="J11" s="17" t="s">
        <v>29</v>
      </c>
      <c r="K11" s="18" t="s">
        <v>30</v>
      </c>
    </row>
    <row r="12" spans="1:11" x14ac:dyDescent="0.2">
      <c r="A12" s="100" t="s">
        <v>31</v>
      </c>
      <c r="B12" s="101">
        <f>IF(B4&gt;B7,B7,B4)</f>
        <v>600</v>
      </c>
      <c r="C12" s="102">
        <v>9.0999999999999998E-2</v>
      </c>
      <c r="D12" s="103">
        <f>B12*C12</f>
        <v>54.6</v>
      </c>
      <c r="E12" s="101">
        <f>B12</f>
        <v>600</v>
      </c>
      <c r="F12" s="102">
        <f>C12</f>
        <v>9.0999999999999998E-2</v>
      </c>
      <c r="G12" s="103">
        <f>E12*F12</f>
        <v>54.6</v>
      </c>
      <c r="H12" s="103">
        <f>G12-D12</f>
        <v>0</v>
      </c>
      <c r="I12" s="104">
        <f>IF(ISERROR(H12/ABS(D12)),"N/A",(H12/ABS(D12)))</f>
        <v>0</v>
      </c>
      <c r="J12" s="104">
        <f>G12/$G$46</f>
        <v>0.24892178571127679</v>
      </c>
      <c r="K12" s="105"/>
    </row>
    <row r="13" spans="1:11" x14ac:dyDescent="0.2">
      <c r="A13" s="106" t="s">
        <v>32</v>
      </c>
      <c r="B13" s="72">
        <f>IF(B4&gt;B7,(B4)-B7,0)</f>
        <v>800</v>
      </c>
      <c r="C13" s="20">
        <v>0.106</v>
      </c>
      <c r="D13" s="21">
        <f>B13*C13</f>
        <v>84.8</v>
      </c>
      <c r="E13" s="72">
        <f t="shared" ref="E13" si="0">B13</f>
        <v>800</v>
      </c>
      <c r="F13" s="20">
        <f>C13</f>
        <v>0.106</v>
      </c>
      <c r="G13" s="21">
        <f>E13*F13</f>
        <v>84.8</v>
      </c>
      <c r="H13" s="21">
        <f t="shared" ref="H13:H46" si="1">G13-D13</f>
        <v>0</v>
      </c>
      <c r="I13" s="22">
        <f t="shared" ref="I13:I51" si="2">IF(ISERROR(H13/ABS(D13)),"N/A",(H13/ABS(D13)))</f>
        <v>0</v>
      </c>
      <c r="J13" s="22">
        <f>G13/$G$46</f>
        <v>0.38660379905341158</v>
      </c>
      <c r="K13" s="107"/>
    </row>
    <row r="14" spans="1:11" s="1" customFormat="1" x14ac:dyDescent="0.2">
      <c r="A14" s="45" t="s">
        <v>33</v>
      </c>
      <c r="B14" s="23"/>
      <c r="C14" s="24"/>
      <c r="D14" s="24">
        <f>SUM(D12:D13)</f>
        <v>139.4</v>
      </c>
      <c r="E14" s="75"/>
      <c r="F14" s="24"/>
      <c r="G14" s="24">
        <f>SUM(G12:G13)</f>
        <v>139.4</v>
      </c>
      <c r="H14" s="24">
        <f t="shared" si="1"/>
        <v>0</v>
      </c>
      <c r="I14" s="26">
        <f t="shared" si="2"/>
        <v>0</v>
      </c>
      <c r="J14" s="26">
        <f>G14/$G$46</f>
        <v>0.63552558476468834</v>
      </c>
      <c r="K14" s="107"/>
    </row>
    <row r="15" spans="1:11" s="1" customFormat="1" x14ac:dyDescent="0.2">
      <c r="A15" s="108" t="s">
        <v>34</v>
      </c>
      <c r="B15" s="74">
        <f>B4*0.65</f>
        <v>910</v>
      </c>
      <c r="C15" s="27">
        <v>7.6999999999999999E-2</v>
      </c>
      <c r="D15" s="21">
        <f>B15*C15</f>
        <v>70.069999999999993</v>
      </c>
      <c r="E15" s="72">
        <f t="shared" ref="E15:F17" si="3">B15</f>
        <v>910</v>
      </c>
      <c r="F15" s="27">
        <f t="shared" si="3"/>
        <v>7.6999999999999999E-2</v>
      </c>
      <c r="G15" s="21">
        <f>E15*F15</f>
        <v>70.069999999999993</v>
      </c>
      <c r="H15" s="21">
        <f t="shared" si="1"/>
        <v>0</v>
      </c>
      <c r="I15" s="22">
        <f t="shared" si="2"/>
        <v>0</v>
      </c>
      <c r="J15" s="22"/>
      <c r="K15" s="107">
        <f t="shared" ref="K15:K41" si="4">G15/$G$51</f>
        <v>0.32497005211052232</v>
      </c>
    </row>
    <row r="16" spans="1:11" s="1" customFormat="1" x14ac:dyDescent="0.2">
      <c r="A16" s="108" t="s">
        <v>35</v>
      </c>
      <c r="B16" s="74">
        <f>B4*0.17</f>
        <v>238.00000000000003</v>
      </c>
      <c r="C16" s="27">
        <v>0.113</v>
      </c>
      <c r="D16" s="21">
        <f>B16*C16</f>
        <v>26.894000000000005</v>
      </c>
      <c r="E16" s="72">
        <f t="shared" si="3"/>
        <v>238.00000000000003</v>
      </c>
      <c r="F16" s="27">
        <f t="shared" si="3"/>
        <v>0.113</v>
      </c>
      <c r="G16" s="21">
        <f>E16*F16</f>
        <v>26.894000000000005</v>
      </c>
      <c r="H16" s="21">
        <f t="shared" si="1"/>
        <v>0</v>
      </c>
      <c r="I16" s="22">
        <f t="shared" si="2"/>
        <v>0</v>
      </c>
      <c r="J16" s="22"/>
      <c r="K16" s="107">
        <f t="shared" si="4"/>
        <v>0.12472876525560711</v>
      </c>
    </row>
    <row r="17" spans="1:11" s="1" customFormat="1" x14ac:dyDescent="0.2">
      <c r="A17" s="108" t="s">
        <v>36</v>
      </c>
      <c r="B17" s="74">
        <f>B4*0.18</f>
        <v>252</v>
      </c>
      <c r="C17" s="27">
        <v>0.157</v>
      </c>
      <c r="D17" s="21">
        <f>B17*C17</f>
        <v>39.564</v>
      </c>
      <c r="E17" s="72">
        <f t="shared" si="3"/>
        <v>252</v>
      </c>
      <c r="F17" s="27">
        <f t="shared" si="3"/>
        <v>0.157</v>
      </c>
      <c r="G17" s="21">
        <f>E17*F17</f>
        <v>39.564</v>
      </c>
      <c r="H17" s="21">
        <f t="shared" si="1"/>
        <v>0</v>
      </c>
      <c r="I17" s="22">
        <f t="shared" si="2"/>
        <v>0</v>
      </c>
      <c r="J17" s="22"/>
      <c r="K17" s="107">
        <f t="shared" si="4"/>
        <v>0.18348958386899825</v>
      </c>
    </row>
    <row r="18" spans="1:11" s="1" customFormat="1" x14ac:dyDescent="0.2">
      <c r="A18" s="60" t="s">
        <v>37</v>
      </c>
      <c r="B18" s="28"/>
      <c r="C18" s="29"/>
      <c r="D18" s="29">
        <f>SUM(D15:D17)</f>
        <v>136.52799999999999</v>
      </c>
      <c r="E18" s="76"/>
      <c r="F18" s="29"/>
      <c r="G18" s="29">
        <f>SUM(G15:G17)</f>
        <v>136.52799999999999</v>
      </c>
      <c r="H18" s="30">
        <f t="shared" si="1"/>
        <v>0</v>
      </c>
      <c r="I18" s="31">
        <f t="shared" si="2"/>
        <v>0</v>
      </c>
      <c r="J18" s="32">
        <f t="shared" ref="J18:J24" si="5">G18/$G$46</f>
        <v>0.62243211647599261</v>
      </c>
      <c r="K18" s="61">
        <f t="shared" si="4"/>
        <v>0.63318840123512765</v>
      </c>
    </row>
    <row r="19" spans="1:11" x14ac:dyDescent="0.2">
      <c r="A19" s="106" t="s">
        <v>38</v>
      </c>
      <c r="B19" s="72">
        <v>1</v>
      </c>
      <c r="C19" s="77">
        <f>VLOOKUP($B$3,'Data for Bill Impacts'!$A$3:$Y$25,7,0)</f>
        <v>30.78</v>
      </c>
      <c r="D19" s="21">
        <f>B19*C19</f>
        <v>30.78</v>
      </c>
      <c r="E19" s="72">
        <f t="shared" ref="E19:E41" si="6">B19</f>
        <v>1</v>
      </c>
      <c r="F19" s="77">
        <f>VLOOKUP($B$3,'Data for Bill Impacts'!$A$3:$Y$25,17,0)</f>
        <v>31.59</v>
      </c>
      <c r="G19" s="21">
        <f>E19*F19</f>
        <v>31.59</v>
      </c>
      <c r="H19" s="21">
        <f t="shared" si="1"/>
        <v>0.80999999999999872</v>
      </c>
      <c r="I19" s="22">
        <f t="shared" si="2"/>
        <v>2.6315789473684167E-2</v>
      </c>
      <c r="J19" s="22">
        <f t="shared" si="5"/>
        <v>0.14401903316152442</v>
      </c>
      <c r="K19" s="107">
        <f t="shared" si="4"/>
        <v>0.14650783425390898</v>
      </c>
    </row>
    <row r="20" spans="1:11" hidden="1" x14ac:dyDescent="0.2">
      <c r="A20" s="106" t="s">
        <v>83</v>
      </c>
      <c r="B20" s="72">
        <v>1</v>
      </c>
      <c r="C20" s="77">
        <f>VLOOKUP($B$3,'Data for Bill Impacts'!$A$3:$Y$25,8,0)</f>
        <v>0</v>
      </c>
      <c r="D20" s="21">
        <f>B20*C20</f>
        <v>0</v>
      </c>
      <c r="E20" s="72">
        <f t="shared" si="6"/>
        <v>1</v>
      </c>
      <c r="F20" s="77">
        <v>0</v>
      </c>
      <c r="G20" s="21">
        <f t="shared" ref="G20:G22" si="7">E20*F20</f>
        <v>0</v>
      </c>
      <c r="H20" s="21">
        <f t="shared" si="1"/>
        <v>0</v>
      </c>
      <c r="I20" s="22" t="str">
        <f t="shared" si="2"/>
        <v>N/A</v>
      </c>
      <c r="J20" s="22">
        <f t="shared" si="5"/>
        <v>0</v>
      </c>
      <c r="K20" s="107">
        <f t="shared" si="4"/>
        <v>0</v>
      </c>
    </row>
    <row r="21" spans="1:11" hidden="1" x14ac:dyDescent="0.2">
      <c r="A21" s="106" t="s">
        <v>115</v>
      </c>
      <c r="B21" s="72">
        <v>1</v>
      </c>
      <c r="C21" s="77">
        <f>VLOOKUP($B$3,'Data for Bill Impacts'!$A$3:$Y$25,11,0)</f>
        <v>0</v>
      </c>
      <c r="D21" s="21">
        <f t="shared" ref="D21:D22" si="8">B21*C21</f>
        <v>0</v>
      </c>
      <c r="E21" s="72">
        <f t="shared" si="6"/>
        <v>1</v>
      </c>
      <c r="F21" s="120">
        <f>VLOOKUP($B$3,'Data for Bill Impacts'!$A$3:$Y$25,12,0)</f>
        <v>0</v>
      </c>
      <c r="G21" s="21">
        <f t="shared" si="7"/>
        <v>0</v>
      </c>
      <c r="H21" s="21">
        <f t="shared" si="1"/>
        <v>0</v>
      </c>
      <c r="I21" s="22" t="str">
        <f t="shared" si="2"/>
        <v>N/A</v>
      </c>
      <c r="J21" s="22">
        <f t="shared" si="5"/>
        <v>0</v>
      </c>
      <c r="K21" s="107">
        <f t="shared" si="4"/>
        <v>0</v>
      </c>
    </row>
    <row r="22" spans="1:11" x14ac:dyDescent="0.2">
      <c r="A22" s="106" t="s">
        <v>85</v>
      </c>
      <c r="B22" s="72">
        <v>1</v>
      </c>
      <c r="C22" s="120">
        <f>VLOOKUP($B$3,'Data for Bill Impacts'!$A$3:$Y$25,13,0)</f>
        <v>0</v>
      </c>
      <c r="D22" s="21">
        <f t="shared" si="8"/>
        <v>0</v>
      </c>
      <c r="E22" s="72">
        <f t="shared" si="6"/>
        <v>1</v>
      </c>
      <c r="F22" s="120">
        <f>VLOOKUP($B$3,'Data for Bill Impacts'!$A$3:$Y$25,22,0)</f>
        <v>0</v>
      </c>
      <c r="G22" s="21">
        <f t="shared" si="7"/>
        <v>0</v>
      </c>
      <c r="H22" s="21">
        <f t="shared" si="1"/>
        <v>0</v>
      </c>
      <c r="I22" s="22" t="str">
        <f t="shared" si="2"/>
        <v>N/A</v>
      </c>
      <c r="J22" s="22">
        <f t="shared" si="5"/>
        <v>0</v>
      </c>
      <c r="K22" s="107">
        <f t="shared" si="4"/>
        <v>0</v>
      </c>
    </row>
    <row r="23" spans="1:11" x14ac:dyDescent="0.2">
      <c r="A23" s="106" t="s">
        <v>39</v>
      </c>
      <c r="B23" s="72">
        <f>IF($B$9="kWh",$B$4,$B$5)</f>
        <v>1400</v>
      </c>
      <c r="C23" s="124">
        <f>VLOOKUP($B$3,'Data for Bill Impacts'!$A$3:$Y$25,10,0)</f>
        <v>0</v>
      </c>
      <c r="D23" s="21">
        <f>B23*C23</f>
        <v>0</v>
      </c>
      <c r="E23" s="72">
        <f t="shared" si="6"/>
        <v>1400</v>
      </c>
      <c r="F23" s="77">
        <f>VLOOKUP($B$3,'Data for Bill Impacts'!$A$3:$Y$25,19,0)</f>
        <v>0</v>
      </c>
      <c r="G23" s="21">
        <f>E23*F23</f>
        <v>0</v>
      </c>
      <c r="H23" s="21">
        <f t="shared" si="1"/>
        <v>0</v>
      </c>
      <c r="I23" s="22" t="str">
        <f t="shared" si="2"/>
        <v>N/A</v>
      </c>
      <c r="J23" s="22">
        <f t="shared" si="5"/>
        <v>0</v>
      </c>
      <c r="K23" s="107">
        <f t="shared" si="4"/>
        <v>0</v>
      </c>
    </row>
    <row r="24" spans="1:11" x14ac:dyDescent="0.2">
      <c r="A24" s="106" t="s">
        <v>129</v>
      </c>
      <c r="B24" s="72">
        <f>IF($B$9="kWh",$B$4,$B$5)</f>
        <v>1400</v>
      </c>
      <c r="C24" s="124">
        <f>VLOOKUP($B$3,'Data for Bill Impacts'!$A$3:$Y$25,14,0)</f>
        <v>0</v>
      </c>
      <c r="D24" s="21">
        <f>B24*C24</f>
        <v>0</v>
      </c>
      <c r="E24" s="72">
        <f t="shared" si="6"/>
        <v>1400</v>
      </c>
      <c r="F24" s="124">
        <f>VLOOKUP($B$3,'Data for Bill Impacts'!$A$3:$Y$25,23,0)</f>
        <v>0</v>
      </c>
      <c r="G24" s="21">
        <f>E24*F24</f>
        <v>0</v>
      </c>
      <c r="H24" s="21">
        <f t="shared" si="1"/>
        <v>0</v>
      </c>
      <c r="I24" s="22" t="str">
        <f t="shared" si="2"/>
        <v>N/A</v>
      </c>
      <c r="J24" s="22">
        <f t="shared" si="5"/>
        <v>0</v>
      </c>
      <c r="K24" s="107">
        <f t="shared" si="4"/>
        <v>0</v>
      </c>
    </row>
    <row r="25" spans="1:11" s="1" customFormat="1" x14ac:dyDescent="0.2">
      <c r="A25" s="109" t="s">
        <v>72</v>
      </c>
      <c r="B25" s="73"/>
      <c r="C25" s="34"/>
      <c r="D25" s="34">
        <f>SUM(D19:D24)</f>
        <v>30.78</v>
      </c>
      <c r="E25" s="72"/>
      <c r="F25" s="34"/>
      <c r="G25" s="34">
        <f>SUM(G19:G24)</f>
        <v>31.59</v>
      </c>
      <c r="H25" s="34">
        <f t="shared" si="1"/>
        <v>0.80999999999999872</v>
      </c>
      <c r="I25" s="35">
        <f t="shared" si="2"/>
        <v>2.6315789473684167E-2</v>
      </c>
      <c r="J25" s="35">
        <f>G25/$G$46</f>
        <v>0.14401903316152442</v>
      </c>
      <c r="K25" s="110">
        <f t="shared" si="4"/>
        <v>0.14650783425390898</v>
      </c>
    </row>
    <row r="26" spans="1:11" s="1" customFormat="1" x14ac:dyDescent="0.2">
      <c r="A26" s="118" t="s">
        <v>73</v>
      </c>
      <c r="B26" s="119">
        <v>1</v>
      </c>
      <c r="C26" s="77">
        <f>VLOOKUP($B$3,'Data for Bill Impacts'!$A$3:$Y$25,9,0)</f>
        <v>0.79</v>
      </c>
      <c r="D26" s="21">
        <f>B26*C26</f>
        <v>0.79</v>
      </c>
      <c r="E26" s="72">
        <v>1</v>
      </c>
      <c r="F26" s="77">
        <f>VLOOKUP($B$3,'Data for Bill Impacts'!$A$3:$Y$25,18,0)</f>
        <v>0.79</v>
      </c>
      <c r="G26" s="21">
        <f>E26*F26</f>
        <v>0.79</v>
      </c>
      <c r="H26" s="21">
        <f t="shared" si="1"/>
        <v>0</v>
      </c>
      <c r="I26" s="22">
        <f t="shared" si="2"/>
        <v>0</v>
      </c>
      <c r="J26" s="22">
        <f>G26/$G$46</f>
        <v>3.601615580804188E-3</v>
      </c>
      <c r="K26" s="107">
        <f t="shared" si="4"/>
        <v>3.6638553042288094E-3</v>
      </c>
    </row>
    <row r="27" spans="1:11" s="1" customFormat="1" x14ac:dyDescent="0.2">
      <c r="A27" s="118" t="s">
        <v>75</v>
      </c>
      <c r="B27" s="119">
        <f>B8-B4</f>
        <v>79.799999999999955</v>
      </c>
      <c r="C27" s="186">
        <f>IF(B4&gt;B7,C13,C12)</f>
        <v>0.106</v>
      </c>
      <c r="D27" s="21">
        <f>B27*C27</f>
        <v>8.4587999999999948</v>
      </c>
      <c r="E27" s="72">
        <f>B27</f>
        <v>79.799999999999955</v>
      </c>
      <c r="F27" s="186">
        <f>C27</f>
        <v>0.106</v>
      </c>
      <c r="G27" s="21">
        <f>E27*F27</f>
        <v>8.4587999999999948</v>
      </c>
      <c r="H27" s="21">
        <f t="shared" si="1"/>
        <v>0</v>
      </c>
      <c r="I27" s="22">
        <f t="shared" si="2"/>
        <v>0</v>
      </c>
      <c r="J27" s="22">
        <f t="shared" ref="J27:J46" si="9">G27/$G$46</f>
        <v>3.8563728955577782E-2</v>
      </c>
      <c r="K27" s="107">
        <f t="shared" si="4"/>
        <v>3.9230150946089413E-2</v>
      </c>
    </row>
    <row r="28" spans="1:11" s="1" customFormat="1" x14ac:dyDescent="0.2">
      <c r="A28" s="118" t="s">
        <v>74</v>
      </c>
      <c r="B28" s="119">
        <f>B8-B4</f>
        <v>79.799999999999955</v>
      </c>
      <c r="C28" s="186">
        <f>0.65*C15+0.17*C16+0.18*C17</f>
        <v>9.7519999999999996E-2</v>
      </c>
      <c r="D28" s="21">
        <f>B28*C28</f>
        <v>7.7820959999999948</v>
      </c>
      <c r="E28" s="72">
        <f>B28</f>
        <v>79.799999999999955</v>
      </c>
      <c r="F28" s="186">
        <f>C28</f>
        <v>9.7519999999999996E-2</v>
      </c>
      <c r="G28" s="21">
        <f>E28*F28</f>
        <v>7.7820959999999948</v>
      </c>
      <c r="H28" s="21">
        <f t="shared" si="1"/>
        <v>0</v>
      </c>
      <c r="I28" s="22">
        <f t="shared" si="2"/>
        <v>0</v>
      </c>
      <c r="J28" s="22">
        <f t="shared" si="9"/>
        <v>3.5478630639131557E-2</v>
      </c>
      <c r="K28" s="107">
        <f t="shared" si="4"/>
        <v>3.6091738870402255E-2</v>
      </c>
    </row>
    <row r="29" spans="1:11" s="1" customFormat="1" x14ac:dyDescent="0.2">
      <c r="A29" s="109" t="s">
        <v>78</v>
      </c>
      <c r="B29" s="73"/>
      <c r="C29" s="34"/>
      <c r="D29" s="34">
        <f>SUM(D25,D26:D27)</f>
        <v>40.028799999999997</v>
      </c>
      <c r="E29" s="72"/>
      <c r="F29" s="34"/>
      <c r="G29" s="34">
        <f>SUM(G25,G26:G27)</f>
        <v>40.838799999999999</v>
      </c>
      <c r="H29" s="34">
        <f t="shared" si="1"/>
        <v>0.81000000000000227</v>
      </c>
      <c r="I29" s="35">
        <f t="shared" si="2"/>
        <v>2.0235430490047224E-2</v>
      </c>
      <c r="J29" s="35">
        <f t="shared" si="9"/>
        <v>0.18618437769790641</v>
      </c>
      <c r="K29" s="110">
        <f t="shared" si="4"/>
        <v>0.1894018405042272</v>
      </c>
    </row>
    <row r="30" spans="1:11" s="1" customFormat="1" x14ac:dyDescent="0.2">
      <c r="A30" s="109" t="s">
        <v>77</v>
      </c>
      <c r="B30" s="73"/>
      <c r="C30" s="34"/>
      <c r="D30" s="34">
        <f>SUM(D25,D26,D28)</f>
        <v>39.352095999999996</v>
      </c>
      <c r="E30" s="72"/>
      <c r="F30" s="34"/>
      <c r="G30" s="34">
        <f>SUM(G25,G26,G28)</f>
        <v>40.162095999999998</v>
      </c>
      <c r="H30" s="34">
        <f t="shared" si="1"/>
        <v>0.81000000000000227</v>
      </c>
      <c r="I30" s="35">
        <f t="shared" si="2"/>
        <v>2.0583401707497419E-2</v>
      </c>
      <c r="J30" s="35">
        <f t="shared" si="9"/>
        <v>0.1830992793814602</v>
      </c>
      <c r="K30" s="110">
        <f t="shared" si="4"/>
        <v>0.18626342842854005</v>
      </c>
    </row>
    <row r="31" spans="1:11" x14ac:dyDescent="0.2">
      <c r="A31" s="106" t="s">
        <v>40</v>
      </c>
      <c r="B31" s="72">
        <f>B8</f>
        <v>1479.8</v>
      </c>
      <c r="C31" s="124">
        <f>VLOOKUP($B$3,'Data for Bill Impacts'!$A$3:$Y$25,15,0)</f>
        <v>7.3000000000000001E-3</v>
      </c>
      <c r="D31" s="21">
        <f>B31*C31</f>
        <v>10.80254</v>
      </c>
      <c r="E31" s="72">
        <f t="shared" si="6"/>
        <v>1479.8</v>
      </c>
      <c r="F31" s="77">
        <f>VLOOKUP($B$3,'Data for Bill Impacts'!$A$3:$Y$25,24,0)</f>
        <v>7.3000000000000001E-3</v>
      </c>
      <c r="G31" s="21">
        <f>E31*F31</f>
        <v>10.80254</v>
      </c>
      <c r="H31" s="21">
        <f t="shared" si="1"/>
        <v>0</v>
      </c>
      <c r="I31" s="22">
        <f t="shared" si="2"/>
        <v>0</v>
      </c>
      <c r="J31" s="22">
        <f t="shared" si="9"/>
        <v>4.9248856172481613E-2</v>
      </c>
      <c r="K31" s="107">
        <f t="shared" si="4"/>
        <v>5.0099928453346688E-2</v>
      </c>
    </row>
    <row r="32" spans="1:11" x14ac:dyDescent="0.2">
      <c r="A32" s="106" t="s">
        <v>41</v>
      </c>
      <c r="B32" s="72">
        <f>B8</f>
        <v>1479.8</v>
      </c>
      <c r="C32" s="124">
        <f>VLOOKUP($B$3,'Data for Bill Impacts'!$A$3:$Y$25,16,0)</f>
        <v>6.1999999999999998E-3</v>
      </c>
      <c r="D32" s="21">
        <f>B32*C32</f>
        <v>9.1747599999999991</v>
      </c>
      <c r="E32" s="72">
        <f t="shared" si="6"/>
        <v>1479.8</v>
      </c>
      <c r="F32" s="77">
        <f>VLOOKUP($B$3,'Data for Bill Impacts'!$A$3:$Y$25,25,0)</f>
        <v>6.1999999999999998E-3</v>
      </c>
      <c r="G32" s="21">
        <f>E32*F32</f>
        <v>9.1747599999999991</v>
      </c>
      <c r="H32" s="21">
        <f t="shared" si="1"/>
        <v>0</v>
      </c>
      <c r="I32" s="22">
        <f t="shared" si="2"/>
        <v>0</v>
      </c>
      <c r="J32" s="22">
        <f t="shared" si="9"/>
        <v>4.1827795653340542E-2</v>
      </c>
      <c r="K32" s="107">
        <f t="shared" si="4"/>
        <v>4.2550624165856088E-2</v>
      </c>
    </row>
    <row r="33" spans="1:11" s="1" customFormat="1" x14ac:dyDescent="0.2">
      <c r="A33" s="109" t="s">
        <v>76</v>
      </c>
      <c r="B33" s="73"/>
      <c r="C33" s="34"/>
      <c r="D33" s="34">
        <f>SUM(D31:D32)</f>
        <v>19.9773</v>
      </c>
      <c r="E33" s="72"/>
      <c r="F33" s="34"/>
      <c r="G33" s="34">
        <f>SUM(G31:G32)</f>
        <v>19.9773</v>
      </c>
      <c r="H33" s="34">
        <f t="shared" si="1"/>
        <v>0</v>
      </c>
      <c r="I33" s="35">
        <f t="shared" si="2"/>
        <v>0</v>
      </c>
      <c r="J33" s="35">
        <f t="shared" si="9"/>
        <v>9.1076651825822155E-2</v>
      </c>
      <c r="K33" s="110">
        <f t="shared" si="4"/>
        <v>9.2650552619202783E-2</v>
      </c>
    </row>
    <row r="34" spans="1:11" s="1" customFormat="1" x14ac:dyDescent="0.2">
      <c r="A34" s="109" t="s">
        <v>93</v>
      </c>
      <c r="B34" s="73"/>
      <c r="C34" s="34"/>
      <c r="D34" s="34">
        <f>D29+D33</f>
        <v>60.006099999999996</v>
      </c>
      <c r="E34" s="72"/>
      <c r="F34" s="34"/>
      <c r="G34" s="34">
        <f>G29+G33</f>
        <v>60.816099999999999</v>
      </c>
      <c r="H34" s="34">
        <f t="shared" si="1"/>
        <v>0.81000000000000227</v>
      </c>
      <c r="I34" s="35">
        <f t="shared" si="2"/>
        <v>1.3498627639523354E-2</v>
      </c>
      <c r="J34" s="35">
        <f t="shared" si="9"/>
        <v>0.27726102952372855</v>
      </c>
      <c r="K34" s="110">
        <f t="shared" si="4"/>
        <v>0.28205239312343</v>
      </c>
    </row>
    <row r="35" spans="1:11" s="1" customFormat="1" x14ac:dyDescent="0.2">
      <c r="A35" s="109" t="s">
        <v>94</v>
      </c>
      <c r="B35" s="73"/>
      <c r="C35" s="34"/>
      <c r="D35" s="34">
        <f>D30+D33</f>
        <v>59.329395999999996</v>
      </c>
      <c r="E35" s="72"/>
      <c r="F35" s="34"/>
      <c r="G35" s="34">
        <f>G30+G33</f>
        <v>60.139395999999998</v>
      </c>
      <c r="H35" s="34">
        <f t="shared" si="1"/>
        <v>0.81000000000000227</v>
      </c>
      <c r="I35" s="35">
        <f t="shared" si="2"/>
        <v>1.3652591373085988E-2</v>
      </c>
      <c r="J35" s="35">
        <f t="shared" si="9"/>
        <v>0.27417593120728234</v>
      </c>
      <c r="K35" s="110">
        <f t="shared" si="4"/>
        <v>0.27891398104774284</v>
      </c>
    </row>
    <row r="36" spans="1:11" x14ac:dyDescent="0.2">
      <c r="A36" s="106" t="s">
        <v>42</v>
      </c>
      <c r="B36" s="72">
        <f>B8</f>
        <v>1479.8</v>
      </c>
      <c r="C36" s="33">
        <v>3.5999999999999999E-3</v>
      </c>
      <c r="D36" s="21">
        <f>B36*C36</f>
        <v>5.32728</v>
      </c>
      <c r="E36" s="72">
        <f t="shared" si="6"/>
        <v>1479.8</v>
      </c>
      <c r="F36" s="33">
        <v>3.5999999999999999E-3</v>
      </c>
      <c r="G36" s="21">
        <f>E36*F36</f>
        <v>5.32728</v>
      </c>
      <c r="H36" s="21">
        <f t="shared" si="1"/>
        <v>0</v>
      </c>
      <c r="I36" s="22">
        <f t="shared" si="2"/>
        <v>0</v>
      </c>
      <c r="J36" s="22">
        <f t="shared" si="9"/>
        <v>2.4287107153552576E-2</v>
      </c>
      <c r="K36" s="107">
        <f t="shared" si="4"/>
        <v>2.4706814031787407E-2</v>
      </c>
    </row>
    <row r="37" spans="1:11" x14ac:dyDescent="0.2">
      <c r="A37" s="106" t="s">
        <v>43</v>
      </c>
      <c r="B37" s="72">
        <f>B8</f>
        <v>1479.8</v>
      </c>
      <c r="C37" s="33">
        <v>2.0999999999999999E-3</v>
      </c>
      <c r="D37" s="21">
        <f>B37*C37</f>
        <v>3.1075799999999996</v>
      </c>
      <c r="E37" s="72">
        <f t="shared" si="6"/>
        <v>1479.8</v>
      </c>
      <c r="F37" s="33">
        <v>2.0999999999999999E-3</v>
      </c>
      <c r="G37" s="21">
        <f>E37*F37</f>
        <v>3.1075799999999996</v>
      </c>
      <c r="H37" s="21">
        <f>G37-D37</f>
        <v>0</v>
      </c>
      <c r="I37" s="22">
        <f t="shared" si="2"/>
        <v>0</v>
      </c>
      <c r="J37" s="22">
        <f t="shared" si="9"/>
        <v>1.4167479172905667E-2</v>
      </c>
      <c r="K37" s="107">
        <f t="shared" si="4"/>
        <v>1.4412308185209319E-2</v>
      </c>
    </row>
    <row r="38" spans="1:11" x14ac:dyDescent="0.2">
      <c r="A38" s="106" t="s">
        <v>99</v>
      </c>
      <c r="B38" s="72">
        <f>B8</f>
        <v>1479.8</v>
      </c>
      <c r="C38" s="33">
        <v>0</v>
      </c>
      <c r="D38" s="21">
        <f>B38*C38</f>
        <v>0</v>
      </c>
      <c r="E38" s="72">
        <f t="shared" si="6"/>
        <v>1479.8</v>
      </c>
      <c r="F38" s="33">
        <v>0</v>
      </c>
      <c r="G38" s="21">
        <f>E38*F38</f>
        <v>0</v>
      </c>
      <c r="H38" s="21">
        <f>G38-D38</f>
        <v>0</v>
      </c>
      <c r="I38" s="22" t="str">
        <f t="shared" si="2"/>
        <v>N/A</v>
      </c>
      <c r="J38" s="22">
        <f t="shared" si="9"/>
        <v>0</v>
      </c>
      <c r="K38" s="107">
        <f t="shared" si="4"/>
        <v>0</v>
      </c>
    </row>
    <row r="39" spans="1:11" x14ac:dyDescent="0.2">
      <c r="A39" s="106" t="s">
        <v>44</v>
      </c>
      <c r="B39" s="72">
        <v>1</v>
      </c>
      <c r="C39" s="21">
        <v>0.25</v>
      </c>
      <c r="D39" s="21">
        <f>B39*C39</f>
        <v>0.25</v>
      </c>
      <c r="E39" s="72">
        <f t="shared" si="6"/>
        <v>1</v>
      </c>
      <c r="F39" s="21">
        <f>C39</f>
        <v>0.25</v>
      </c>
      <c r="G39" s="21">
        <f>E39*F39</f>
        <v>0.25</v>
      </c>
      <c r="H39" s="21">
        <f t="shared" si="1"/>
        <v>0</v>
      </c>
      <c r="I39" s="22">
        <f t="shared" si="2"/>
        <v>0</v>
      </c>
      <c r="J39" s="22">
        <f t="shared" si="9"/>
        <v>1.1397517660772746E-3</v>
      </c>
      <c r="K39" s="107">
        <f t="shared" si="4"/>
        <v>1.1594478810850663E-3</v>
      </c>
    </row>
    <row r="40" spans="1:11" s="1" customFormat="1" x14ac:dyDescent="0.2">
      <c r="A40" s="109" t="s">
        <v>45</v>
      </c>
      <c r="B40" s="73"/>
      <c r="C40" s="34"/>
      <c r="D40" s="34">
        <f>SUM(D36:D39)</f>
        <v>8.6848600000000005</v>
      </c>
      <c r="E40" s="72"/>
      <c r="F40" s="34"/>
      <c r="G40" s="34">
        <f>SUM(G36:G39)</f>
        <v>8.6848600000000005</v>
      </c>
      <c r="H40" s="34">
        <f t="shared" si="1"/>
        <v>0</v>
      </c>
      <c r="I40" s="35">
        <f t="shared" si="2"/>
        <v>0</v>
      </c>
      <c r="J40" s="35">
        <f t="shared" si="9"/>
        <v>3.9594338092535521E-2</v>
      </c>
      <c r="K40" s="110">
        <f t="shared" si="4"/>
        <v>4.0278570098081799E-2</v>
      </c>
    </row>
    <row r="41" spans="1:11" s="1" customFormat="1" ht="13.5" thickBot="1" x14ac:dyDescent="0.25">
      <c r="A41" s="111" t="s">
        <v>46</v>
      </c>
      <c r="B41" s="112">
        <f>B4</f>
        <v>1400</v>
      </c>
      <c r="C41" s="113">
        <v>0</v>
      </c>
      <c r="D41" s="114">
        <f>B41*C41</f>
        <v>0</v>
      </c>
      <c r="E41" s="115">
        <f t="shared" si="6"/>
        <v>1400</v>
      </c>
      <c r="F41" s="113">
        <f>C41</f>
        <v>0</v>
      </c>
      <c r="G41" s="114">
        <f>E41*F41</f>
        <v>0</v>
      </c>
      <c r="H41" s="114">
        <f t="shared" si="1"/>
        <v>0</v>
      </c>
      <c r="I41" s="116" t="str">
        <f t="shared" si="2"/>
        <v>N/A</v>
      </c>
      <c r="J41" s="116">
        <f t="shared" si="9"/>
        <v>0</v>
      </c>
      <c r="K41" s="117">
        <f t="shared" si="4"/>
        <v>0</v>
      </c>
    </row>
    <row r="42" spans="1:11" s="1" customFormat="1" x14ac:dyDescent="0.2">
      <c r="A42" s="36" t="s">
        <v>107</v>
      </c>
      <c r="B42" s="37"/>
      <c r="C42" s="38"/>
      <c r="D42" s="38">
        <f>SUM(D14,D25,D26,D27,D33,D40,D41)</f>
        <v>208.09096</v>
      </c>
      <c r="E42" s="37"/>
      <c r="F42" s="38"/>
      <c r="G42" s="38">
        <f>SUM(G14,G25,G26,G27,G33,G40,G41)</f>
        <v>208.90096</v>
      </c>
      <c r="H42" s="38">
        <f t="shared" si="1"/>
        <v>0.81000000000000227</v>
      </c>
      <c r="I42" s="39">
        <f t="shared" si="2"/>
        <v>3.8925285365592156E-3</v>
      </c>
      <c r="J42" s="39">
        <f t="shared" si="9"/>
        <v>0.95238095238095244</v>
      </c>
      <c r="K42" s="40"/>
    </row>
    <row r="43" spans="1:11" x14ac:dyDescent="0.2">
      <c r="A43" s="142" t="s">
        <v>108</v>
      </c>
      <c r="B43" s="42"/>
      <c r="C43" s="25">
        <v>0.13</v>
      </c>
      <c r="D43" s="25">
        <f>D42*C43</f>
        <v>27.051824799999999</v>
      </c>
      <c r="E43" s="25"/>
      <c r="F43" s="25">
        <f>C43</f>
        <v>0.13</v>
      </c>
      <c r="G43" s="25">
        <f>G42*F43</f>
        <v>27.157124800000002</v>
      </c>
      <c r="H43" s="25">
        <f t="shared" si="1"/>
        <v>0.10530000000000328</v>
      </c>
      <c r="I43" s="43">
        <f t="shared" si="2"/>
        <v>3.8925285365593262E-3</v>
      </c>
      <c r="J43" s="43">
        <f t="shared" si="9"/>
        <v>0.12380952380952383</v>
      </c>
      <c r="K43" s="44"/>
    </row>
    <row r="44" spans="1:11" s="1" customFormat="1" x14ac:dyDescent="0.2">
      <c r="A44" s="45" t="s">
        <v>109</v>
      </c>
      <c r="B44" s="23"/>
      <c r="C44" s="24"/>
      <c r="D44" s="24">
        <f>SUM(D42:D43)</f>
        <v>235.14278479999999</v>
      </c>
      <c r="E44" s="24"/>
      <c r="F44" s="24"/>
      <c r="G44" s="24">
        <f>SUM(G42:G43)</f>
        <v>236.05808479999999</v>
      </c>
      <c r="H44" s="24">
        <f t="shared" si="1"/>
        <v>0.915300000000002</v>
      </c>
      <c r="I44" s="26">
        <f t="shared" si="2"/>
        <v>3.8925285365592134E-3</v>
      </c>
      <c r="J44" s="26">
        <f t="shared" si="9"/>
        <v>1.0761904761904761</v>
      </c>
      <c r="K44" s="46"/>
    </row>
    <row r="45" spans="1:11" x14ac:dyDescent="0.2">
      <c r="A45" s="41" t="s">
        <v>110</v>
      </c>
      <c r="B45" s="42"/>
      <c r="C45" s="25">
        <v>-0.08</v>
      </c>
      <c r="D45" s="25">
        <f>D42*C45</f>
        <v>-16.6472768</v>
      </c>
      <c r="E45" s="25"/>
      <c r="F45" s="25">
        <f>C45</f>
        <v>-0.08</v>
      </c>
      <c r="G45" s="25">
        <f>G42*F45</f>
        <v>-16.712076799999998</v>
      </c>
      <c r="H45" s="25">
        <f t="shared" si="1"/>
        <v>-6.4799999999998192E-2</v>
      </c>
      <c r="I45" s="43">
        <f t="shared" si="2"/>
        <v>-3.8925285365590959E-3</v>
      </c>
      <c r="J45" s="43">
        <f t="shared" si="9"/>
        <v>-7.6190476190476183E-2</v>
      </c>
      <c r="K45" s="44"/>
    </row>
    <row r="46" spans="1:11" s="1" customFormat="1" ht="13.5" thickBot="1" x14ac:dyDescent="0.25">
      <c r="A46" s="47" t="s">
        <v>111</v>
      </c>
      <c r="B46" s="48"/>
      <c r="C46" s="49"/>
      <c r="D46" s="49">
        <f>SUM(D44:D45)</f>
        <v>218.49550799999997</v>
      </c>
      <c r="E46" s="49"/>
      <c r="F46" s="49"/>
      <c r="G46" s="49">
        <f>SUM(G44:G45)</f>
        <v>219.34600799999998</v>
      </c>
      <c r="H46" s="49">
        <f t="shared" si="1"/>
        <v>0.85050000000001091</v>
      </c>
      <c r="I46" s="50">
        <f t="shared" si="2"/>
        <v>3.8925285365592551E-3</v>
      </c>
      <c r="J46" s="50">
        <f t="shared" si="9"/>
        <v>1</v>
      </c>
      <c r="K46" s="51"/>
    </row>
    <row r="47" spans="1:11" x14ac:dyDescent="0.2">
      <c r="A47" s="52" t="s">
        <v>112</v>
      </c>
      <c r="B47" s="53"/>
      <c r="C47" s="54"/>
      <c r="D47" s="54">
        <f>SUM(D18,D25,D26,D28,D33,D40,D41)</f>
        <v>204.54225600000001</v>
      </c>
      <c r="E47" s="54"/>
      <c r="F47" s="54"/>
      <c r="G47" s="54">
        <f>SUM(G18,G25,G26,G28,G33,G40,G41)</f>
        <v>205.35225600000001</v>
      </c>
      <c r="H47" s="54">
        <f>G47-D47</f>
        <v>0.81000000000000227</v>
      </c>
      <c r="I47" s="55">
        <f t="shared" si="2"/>
        <v>3.9600619248083497E-3</v>
      </c>
      <c r="J47" s="55"/>
      <c r="K47" s="56">
        <f>G47/$G$51</f>
        <v>0.95238095238095244</v>
      </c>
    </row>
    <row r="48" spans="1:11" x14ac:dyDescent="0.2">
      <c r="A48" s="57" t="s">
        <v>108</v>
      </c>
      <c r="B48" s="58"/>
      <c r="C48" s="30">
        <v>0.13</v>
      </c>
      <c r="D48" s="30">
        <f>D47*C48</f>
        <v>26.59049328</v>
      </c>
      <c r="E48" s="30"/>
      <c r="F48" s="30">
        <f>C48</f>
        <v>0.13</v>
      </c>
      <c r="G48" s="30">
        <f>G47*F48</f>
        <v>26.695793280000004</v>
      </c>
      <c r="H48" s="30">
        <f>G48-D48</f>
        <v>0.10530000000000328</v>
      </c>
      <c r="I48" s="31">
        <f t="shared" si="2"/>
        <v>3.9600619248084624E-3</v>
      </c>
      <c r="J48" s="31"/>
      <c r="K48" s="59">
        <f>G48/$G$51</f>
        <v>0.12380952380952383</v>
      </c>
    </row>
    <row r="49" spans="1:11" x14ac:dyDescent="0.2">
      <c r="A49" s="60" t="s">
        <v>113</v>
      </c>
      <c r="B49" s="28"/>
      <c r="C49" s="29"/>
      <c r="D49" s="29">
        <f>SUM(D47:D48)</f>
        <v>231.13274928000001</v>
      </c>
      <c r="E49" s="29"/>
      <c r="F49" s="29"/>
      <c r="G49" s="29">
        <f>SUM(G47:G48)</f>
        <v>232.04804928000001</v>
      </c>
      <c r="H49" s="29">
        <f>G49-D49</f>
        <v>0.915300000000002</v>
      </c>
      <c r="I49" s="32">
        <f t="shared" si="2"/>
        <v>3.9600619248083471E-3</v>
      </c>
      <c r="J49" s="32"/>
      <c r="K49" s="61">
        <f>G49/$G$51</f>
        <v>1.0761904761904761</v>
      </c>
    </row>
    <row r="50" spans="1:11" x14ac:dyDescent="0.2">
      <c r="A50" s="57" t="s">
        <v>110</v>
      </c>
      <c r="B50" s="58"/>
      <c r="C50" s="30">
        <v>-0.08</v>
      </c>
      <c r="D50" s="30">
        <f>D47*C50</f>
        <v>-16.36338048</v>
      </c>
      <c r="E50" s="30"/>
      <c r="F50" s="30">
        <f>C50</f>
        <v>-0.08</v>
      </c>
      <c r="G50" s="30">
        <f>G47*F50</f>
        <v>-16.428180480000002</v>
      </c>
      <c r="H50" s="30">
        <f>G50-D50</f>
        <v>-6.4800000000001745E-2</v>
      </c>
      <c r="I50" s="31">
        <f t="shared" si="2"/>
        <v>-3.9600619248084459E-3</v>
      </c>
      <c r="J50" s="31"/>
      <c r="K50" s="59">
        <f>G50/$G$51</f>
        <v>-7.6190476190476197E-2</v>
      </c>
    </row>
    <row r="51" spans="1:11" ht="13.5" thickBot="1" x14ac:dyDescent="0.25">
      <c r="A51" s="62" t="s">
        <v>114</v>
      </c>
      <c r="B51" s="63"/>
      <c r="C51" s="64"/>
      <c r="D51" s="64">
        <f>SUM(D49:D50)</f>
        <v>214.76936880000002</v>
      </c>
      <c r="E51" s="64"/>
      <c r="F51" s="64"/>
      <c r="G51" s="64">
        <f>SUM(G49:G50)</f>
        <v>215.61986880000001</v>
      </c>
      <c r="H51" s="64">
        <f>G51-D51</f>
        <v>0.85049999999998249</v>
      </c>
      <c r="I51" s="65">
        <f t="shared" si="2"/>
        <v>3.9600619248082568E-3</v>
      </c>
      <c r="J51" s="65"/>
      <c r="K51" s="66">
        <f>G51/$G$51</f>
        <v>1</v>
      </c>
    </row>
    <row r="52" spans="1:11" x14ac:dyDescent="0.2">
      <c r="C52" s="67"/>
      <c r="F52" s="68"/>
    </row>
    <row r="53" spans="1:11" x14ac:dyDescent="0.2">
      <c r="F53" s="68"/>
    </row>
    <row r="54" spans="1:11" x14ac:dyDescent="0.2">
      <c r="F54" s="68"/>
    </row>
    <row r="55" spans="1:11" x14ac:dyDescent="0.2">
      <c r="A55" s="69"/>
      <c r="B55" s="70"/>
      <c r="F55" s="68"/>
    </row>
    <row r="56" spans="1:11" x14ac:dyDescent="0.2">
      <c r="B56" s="70"/>
      <c r="F56" s="68"/>
    </row>
    <row r="57" spans="1:11" x14ac:dyDescent="0.2">
      <c r="F57" s="68"/>
    </row>
    <row r="58" spans="1:11" x14ac:dyDescent="0.2">
      <c r="D58" s="71"/>
      <c r="F58" s="68"/>
    </row>
    <row r="59" spans="1:11" x14ac:dyDescent="0.2">
      <c r="F59" s="68"/>
    </row>
    <row r="60" spans="1:11" x14ac:dyDescent="0.2">
      <c r="A60" s="69"/>
      <c r="B60" s="70"/>
      <c r="F60" s="68"/>
    </row>
    <row r="61" spans="1:11" x14ac:dyDescent="0.2">
      <c r="B61" s="71"/>
      <c r="D61" s="71"/>
      <c r="F61" s="68"/>
    </row>
    <row r="62" spans="1:11" x14ac:dyDescent="0.2">
      <c r="F62" s="68"/>
    </row>
    <row r="63" spans="1:11" x14ac:dyDescent="0.2">
      <c r="F63" s="68"/>
    </row>
    <row r="64" spans="1:11" x14ac:dyDescent="0.2">
      <c r="F64" s="68"/>
    </row>
    <row r="65" spans="6:6" x14ac:dyDescent="0.2">
      <c r="F65" s="68"/>
    </row>
    <row r="66" spans="6:6" x14ac:dyDescent="0.2">
      <c r="F66" s="68"/>
    </row>
    <row r="67" spans="6:6" x14ac:dyDescent="0.2">
      <c r="F67" s="68"/>
    </row>
    <row r="68" spans="6:6" x14ac:dyDescent="0.2">
      <c r="F68" s="68"/>
    </row>
  </sheetData>
  <mergeCells count="1">
    <mergeCell ref="A1:K1"/>
  </mergeCells>
  <pageMargins left="0.7" right="0.7" top="0.75" bottom="0.75" header="0.3" footer="0.3"/>
  <pageSetup scale="7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Impacts'!$A$3:$A$22</xm:f>
          </x14:formula1>
          <xm:sqref>B3</xm:sqref>
        </x14:dataValidation>
      </x14:dataValidations>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tabColor theme="1" tint="0.499984740745262"/>
    <pageSetUpPr fitToPage="1"/>
  </sheetPr>
  <dimension ref="A1:K68"/>
  <sheetViews>
    <sheetView tabSelected="1" topLeftCell="A7"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3"/>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205" t="s">
        <v>124</v>
      </c>
      <c r="B1" s="206"/>
      <c r="C1" s="206"/>
      <c r="D1" s="206"/>
      <c r="E1" s="206"/>
      <c r="F1" s="206"/>
      <c r="G1" s="206"/>
      <c r="H1" s="206"/>
      <c r="I1" s="206"/>
      <c r="J1" s="206"/>
      <c r="K1" s="207"/>
    </row>
    <row r="3" spans="1:11" x14ac:dyDescent="0.2">
      <c r="A3" s="12" t="s">
        <v>13</v>
      </c>
      <c r="B3" s="12" t="s">
        <v>119</v>
      </c>
    </row>
    <row r="4" spans="1:11" x14ac:dyDescent="0.2">
      <c r="A4" s="14" t="s">
        <v>62</v>
      </c>
      <c r="B4" s="14">
        <v>400</v>
      </c>
    </row>
    <row r="5" spans="1:11" x14ac:dyDescent="0.2">
      <c r="A5" s="14" t="s">
        <v>16</v>
      </c>
      <c r="B5" s="14">
        <f>VLOOKUP($B$3,'Data for Bill Impacts'!$A$3:$Y$25,5,0)</f>
        <v>0</v>
      </c>
    </row>
    <row r="6" spans="1:11" x14ac:dyDescent="0.2">
      <c r="A6" s="14" t="s">
        <v>20</v>
      </c>
      <c r="B6" s="14">
        <f>VLOOKUP($B$3,'Data for Bill Impacts'!$A$3:$Y$25,2,0)</f>
        <v>1.0667</v>
      </c>
    </row>
    <row r="7" spans="1:11" x14ac:dyDescent="0.2">
      <c r="A7" s="14" t="s">
        <v>15</v>
      </c>
      <c r="B7" s="14">
        <f>VLOOKUP($B$3,'Data for Bill Impacts'!$A$3:$Y$25,4,0)</f>
        <v>600</v>
      </c>
    </row>
    <row r="8" spans="1:11" x14ac:dyDescent="0.2">
      <c r="A8" s="14" t="s">
        <v>82</v>
      </c>
      <c r="B8" s="148">
        <f>B4*B6</f>
        <v>426.68</v>
      </c>
    </row>
    <row r="9" spans="1:11" x14ac:dyDescent="0.2">
      <c r="A9" s="14" t="s">
        <v>21</v>
      </c>
      <c r="B9" s="15" t="str">
        <f>VLOOKUP($B$3,'Data for Bill Impacts'!$A$3:$Y$25,6,0)</f>
        <v>kWh</v>
      </c>
    </row>
    <row r="10" spans="1:11" ht="13.5" thickBot="1" x14ac:dyDescent="0.25"/>
    <row r="11" spans="1:11" s="19" customFormat="1" ht="51.75" thickBot="1" x14ac:dyDescent="0.25">
      <c r="A11" s="16"/>
      <c r="B11" s="17" t="s">
        <v>22</v>
      </c>
      <c r="C11" s="17" t="s">
        <v>23</v>
      </c>
      <c r="D11" s="17" t="s">
        <v>24</v>
      </c>
      <c r="E11" s="17" t="s">
        <v>22</v>
      </c>
      <c r="F11" s="17" t="s">
        <v>25</v>
      </c>
      <c r="G11" s="17" t="s">
        <v>26</v>
      </c>
      <c r="H11" s="17" t="s">
        <v>27</v>
      </c>
      <c r="I11" s="17" t="s">
        <v>28</v>
      </c>
      <c r="J11" s="17" t="s">
        <v>29</v>
      </c>
      <c r="K11" s="18" t="s">
        <v>30</v>
      </c>
    </row>
    <row r="12" spans="1:11" x14ac:dyDescent="0.2">
      <c r="A12" s="100" t="s">
        <v>31</v>
      </c>
      <c r="B12" s="101">
        <f>IF(B4&gt;B7,B7,B4)</f>
        <v>400</v>
      </c>
      <c r="C12" s="102">
        <v>9.0999999999999998E-2</v>
      </c>
      <c r="D12" s="103">
        <f>B12*C12</f>
        <v>36.4</v>
      </c>
      <c r="E12" s="101">
        <f>B12</f>
        <v>400</v>
      </c>
      <c r="F12" s="102">
        <f>C12</f>
        <v>9.0999999999999998E-2</v>
      </c>
      <c r="G12" s="103">
        <f>E12*F12</f>
        <v>36.4</v>
      </c>
      <c r="H12" s="103">
        <f>G12-D12</f>
        <v>0</v>
      </c>
      <c r="I12" s="104">
        <f>IF(ISERROR(H12/ABS(D12)),"N/A",(H12/ABS(D12)))</f>
        <v>0</v>
      </c>
      <c r="J12" s="104">
        <f>G12/$G$46</f>
        <v>0.38785941552151915</v>
      </c>
      <c r="K12" s="105"/>
    </row>
    <row r="13" spans="1:11" x14ac:dyDescent="0.2">
      <c r="A13" s="106" t="s">
        <v>32</v>
      </c>
      <c r="B13" s="72">
        <f>IF(B4&gt;B7,(B4)-B7,0)</f>
        <v>0</v>
      </c>
      <c r="C13" s="20">
        <v>0.106</v>
      </c>
      <c r="D13" s="21">
        <f>B13*C13</f>
        <v>0</v>
      </c>
      <c r="E13" s="72">
        <f t="shared" ref="E13" si="0">B13</f>
        <v>0</v>
      </c>
      <c r="F13" s="20">
        <f>C13</f>
        <v>0.106</v>
      </c>
      <c r="G13" s="21">
        <f>E13*F13</f>
        <v>0</v>
      </c>
      <c r="H13" s="21">
        <f t="shared" ref="H13:H46" si="1">G13-D13</f>
        <v>0</v>
      </c>
      <c r="I13" s="22" t="str">
        <f t="shared" ref="I13:I51" si="2">IF(ISERROR(H13/ABS(D13)),"N/A",(H13/ABS(D13)))</f>
        <v>N/A</v>
      </c>
      <c r="J13" s="22">
        <f>G13/$G$46</f>
        <v>0</v>
      </c>
      <c r="K13" s="107"/>
    </row>
    <row r="14" spans="1:11" s="1" customFormat="1" x14ac:dyDescent="0.2">
      <c r="A14" s="45" t="s">
        <v>33</v>
      </c>
      <c r="B14" s="23"/>
      <c r="C14" s="24"/>
      <c r="D14" s="24">
        <f>SUM(D12:D13)</f>
        <v>36.4</v>
      </c>
      <c r="E14" s="75"/>
      <c r="F14" s="24"/>
      <c r="G14" s="24">
        <f>SUM(G12:G13)</f>
        <v>36.4</v>
      </c>
      <c r="H14" s="24">
        <f t="shared" si="1"/>
        <v>0</v>
      </c>
      <c r="I14" s="26">
        <f t="shared" si="2"/>
        <v>0</v>
      </c>
      <c r="J14" s="26">
        <f>G14/$G$46</f>
        <v>0.38785941552151915</v>
      </c>
      <c r="K14" s="107"/>
    </row>
    <row r="15" spans="1:11" s="1" customFormat="1" x14ac:dyDescent="0.2">
      <c r="A15" s="108" t="s">
        <v>34</v>
      </c>
      <c r="B15" s="74">
        <f>B4*0.65</f>
        <v>260</v>
      </c>
      <c r="C15" s="27">
        <v>7.6999999999999999E-2</v>
      </c>
      <c r="D15" s="21">
        <f>B15*C15</f>
        <v>20.02</v>
      </c>
      <c r="E15" s="72">
        <f t="shared" ref="E15:F17" si="3">B15</f>
        <v>260</v>
      </c>
      <c r="F15" s="27">
        <f t="shared" si="3"/>
        <v>7.6999999999999999E-2</v>
      </c>
      <c r="G15" s="21">
        <f>E15*F15</f>
        <v>20.02</v>
      </c>
      <c r="H15" s="21">
        <f t="shared" si="1"/>
        <v>0</v>
      </c>
      <c r="I15" s="22">
        <f t="shared" si="2"/>
        <v>0</v>
      </c>
      <c r="J15" s="22"/>
      <c r="K15" s="107">
        <f t="shared" ref="K15:K41" si="4">G15/$G$51</f>
        <v>0.20688339180523482</v>
      </c>
    </row>
    <row r="16" spans="1:11" s="1" customFormat="1" x14ac:dyDescent="0.2">
      <c r="A16" s="108" t="s">
        <v>35</v>
      </c>
      <c r="B16" s="74">
        <f>B4*0.17</f>
        <v>68</v>
      </c>
      <c r="C16" s="27">
        <v>0.113</v>
      </c>
      <c r="D16" s="21">
        <f>B16*C16</f>
        <v>7.6840000000000002</v>
      </c>
      <c r="E16" s="72">
        <f t="shared" si="3"/>
        <v>68</v>
      </c>
      <c r="F16" s="27">
        <f t="shared" si="3"/>
        <v>0.113</v>
      </c>
      <c r="G16" s="21">
        <f>E16*F16</f>
        <v>7.6840000000000002</v>
      </c>
      <c r="H16" s="21">
        <f t="shared" si="1"/>
        <v>0</v>
      </c>
      <c r="I16" s="22">
        <f t="shared" si="2"/>
        <v>0</v>
      </c>
      <c r="J16" s="22"/>
      <c r="K16" s="107">
        <f t="shared" si="4"/>
        <v>7.9405193937633595E-2</v>
      </c>
    </row>
    <row r="17" spans="1:11" s="1" customFormat="1" x14ac:dyDescent="0.2">
      <c r="A17" s="108" t="s">
        <v>36</v>
      </c>
      <c r="B17" s="74">
        <f>B4*0.18</f>
        <v>72</v>
      </c>
      <c r="C17" s="27">
        <v>0.157</v>
      </c>
      <c r="D17" s="21">
        <f>B17*C17</f>
        <v>11.304</v>
      </c>
      <c r="E17" s="72">
        <f t="shared" si="3"/>
        <v>72</v>
      </c>
      <c r="F17" s="27">
        <f t="shared" si="3"/>
        <v>0.157</v>
      </c>
      <c r="G17" s="21">
        <f>E17*F17</f>
        <v>11.304</v>
      </c>
      <c r="H17" s="21">
        <f t="shared" si="1"/>
        <v>0</v>
      </c>
      <c r="I17" s="22">
        <f t="shared" si="2"/>
        <v>0</v>
      </c>
      <c r="J17" s="22"/>
      <c r="K17" s="107">
        <f t="shared" si="4"/>
        <v>0.11681367936894978</v>
      </c>
    </row>
    <row r="18" spans="1:11" s="1" customFormat="1" x14ac:dyDescent="0.2">
      <c r="A18" s="60" t="s">
        <v>37</v>
      </c>
      <c r="B18" s="28"/>
      <c r="C18" s="29"/>
      <c r="D18" s="29">
        <f>SUM(D15:D17)</f>
        <v>39.008000000000003</v>
      </c>
      <c r="E18" s="76"/>
      <c r="F18" s="29"/>
      <c r="G18" s="29">
        <f>SUM(G15:G17)</f>
        <v>39.008000000000003</v>
      </c>
      <c r="H18" s="30">
        <f t="shared" si="1"/>
        <v>0</v>
      </c>
      <c r="I18" s="31">
        <f t="shared" si="2"/>
        <v>0</v>
      </c>
      <c r="J18" s="32">
        <f t="shared" ref="J18:J24" si="5">G18/$G$46</f>
        <v>0.41564890331492915</v>
      </c>
      <c r="K18" s="61">
        <f t="shared" si="4"/>
        <v>0.40310226511181824</v>
      </c>
    </row>
    <row r="19" spans="1:11" x14ac:dyDescent="0.2">
      <c r="A19" s="106" t="s">
        <v>38</v>
      </c>
      <c r="B19" s="72">
        <v>1</v>
      </c>
      <c r="C19" s="77">
        <f>VLOOKUP($B$3,'Data for Bill Impacts'!$A$3:$Y$25,7,0)</f>
        <v>40.43</v>
      </c>
      <c r="D19" s="21">
        <f>B19*C19</f>
        <v>40.43</v>
      </c>
      <c r="E19" s="72">
        <f t="shared" ref="E19:E41" si="6">B19</f>
        <v>1</v>
      </c>
      <c r="F19" s="77">
        <f>VLOOKUP($B$3,'Data for Bill Impacts'!$A$3:$Y$25,17,0)</f>
        <v>41.49</v>
      </c>
      <c r="G19" s="21">
        <f>E19*F19</f>
        <v>41.49</v>
      </c>
      <c r="H19" s="21">
        <f t="shared" si="1"/>
        <v>1.0600000000000023</v>
      </c>
      <c r="I19" s="22">
        <f t="shared" si="2"/>
        <v>2.6218154835518235E-2</v>
      </c>
      <c r="J19" s="22">
        <f t="shared" si="5"/>
        <v>0.44209580082384153</v>
      </c>
      <c r="K19" s="107">
        <f t="shared" si="4"/>
        <v>0.4287508454545052</v>
      </c>
    </row>
    <row r="20" spans="1:11" hidden="1" x14ac:dyDescent="0.2">
      <c r="A20" s="106" t="s">
        <v>83</v>
      </c>
      <c r="B20" s="72">
        <v>1</v>
      </c>
      <c r="C20" s="77">
        <f>VLOOKUP($B$3,'Data for Bill Impacts'!$A$3:$Y$25,8,0)</f>
        <v>0</v>
      </c>
      <c r="D20" s="21">
        <f>B20*C20</f>
        <v>0</v>
      </c>
      <c r="E20" s="72">
        <f t="shared" si="6"/>
        <v>1</v>
      </c>
      <c r="F20" s="77">
        <v>0</v>
      </c>
      <c r="G20" s="21">
        <f t="shared" ref="G20:G22" si="7">E20*F20</f>
        <v>0</v>
      </c>
      <c r="H20" s="21">
        <f t="shared" si="1"/>
        <v>0</v>
      </c>
      <c r="I20" s="22" t="str">
        <f t="shared" si="2"/>
        <v>N/A</v>
      </c>
      <c r="J20" s="22">
        <f t="shared" si="5"/>
        <v>0</v>
      </c>
      <c r="K20" s="107">
        <f t="shared" si="4"/>
        <v>0</v>
      </c>
    </row>
    <row r="21" spans="1:11" hidden="1" x14ac:dyDescent="0.2">
      <c r="A21" s="106" t="s">
        <v>115</v>
      </c>
      <c r="B21" s="72">
        <v>1</v>
      </c>
      <c r="C21" s="77">
        <f>VLOOKUP($B$3,'Data for Bill Impacts'!$A$3:$Y$25,11,0)</f>
        <v>0</v>
      </c>
      <c r="D21" s="21">
        <f t="shared" ref="D21:D22" si="8">B21*C21</f>
        <v>0</v>
      </c>
      <c r="E21" s="72">
        <f t="shared" si="6"/>
        <v>1</v>
      </c>
      <c r="F21" s="120">
        <f>VLOOKUP($B$3,'Data for Bill Impacts'!$A$3:$Y$25,12,0)</f>
        <v>0</v>
      </c>
      <c r="G21" s="21">
        <f t="shared" si="7"/>
        <v>0</v>
      </c>
      <c r="H21" s="21">
        <f t="shared" si="1"/>
        <v>0</v>
      </c>
      <c r="I21" s="22" t="str">
        <f t="shared" si="2"/>
        <v>N/A</v>
      </c>
      <c r="J21" s="22">
        <f t="shared" si="5"/>
        <v>0</v>
      </c>
      <c r="K21" s="107">
        <f t="shared" si="4"/>
        <v>0</v>
      </c>
    </row>
    <row r="22" spans="1:11" x14ac:dyDescent="0.2">
      <c r="A22" s="106" t="s">
        <v>85</v>
      </c>
      <c r="B22" s="72">
        <v>1</v>
      </c>
      <c r="C22" s="120">
        <f>VLOOKUP($B$3,'Data for Bill Impacts'!$A$3:$Y$25,13,0)</f>
        <v>0</v>
      </c>
      <c r="D22" s="21">
        <f t="shared" si="8"/>
        <v>0</v>
      </c>
      <c r="E22" s="72">
        <f t="shared" si="6"/>
        <v>1</v>
      </c>
      <c r="F22" s="120">
        <f>VLOOKUP($B$3,'Data for Bill Impacts'!$A$3:$Y$25,22,0)</f>
        <v>0</v>
      </c>
      <c r="G22" s="21">
        <f t="shared" si="7"/>
        <v>0</v>
      </c>
      <c r="H22" s="21">
        <f t="shared" si="1"/>
        <v>0</v>
      </c>
      <c r="I22" s="22" t="str">
        <f t="shared" si="2"/>
        <v>N/A</v>
      </c>
      <c r="J22" s="22">
        <f t="shared" si="5"/>
        <v>0</v>
      </c>
      <c r="K22" s="107">
        <f t="shared" si="4"/>
        <v>0</v>
      </c>
    </row>
    <row r="23" spans="1:11" x14ac:dyDescent="0.2">
      <c r="A23" s="106" t="s">
        <v>39</v>
      </c>
      <c r="B23" s="72">
        <f>IF($B$9="kWh",$B$4,$B$5)</f>
        <v>400</v>
      </c>
      <c r="C23" s="124">
        <f>VLOOKUP($B$3,'Data for Bill Impacts'!$A$3:$Y$25,10,0)</f>
        <v>0</v>
      </c>
      <c r="D23" s="21">
        <f>B23*C23</f>
        <v>0</v>
      </c>
      <c r="E23" s="72">
        <f t="shared" si="6"/>
        <v>400</v>
      </c>
      <c r="F23" s="124">
        <f>VLOOKUP($B$3,'Data for Bill Impacts'!$A$3:$Y$25,19,0)</f>
        <v>0</v>
      </c>
      <c r="G23" s="21">
        <f>E23*F23</f>
        <v>0</v>
      </c>
      <c r="H23" s="21">
        <f t="shared" si="1"/>
        <v>0</v>
      </c>
      <c r="I23" s="22" t="str">
        <f t="shared" si="2"/>
        <v>N/A</v>
      </c>
      <c r="J23" s="22">
        <f t="shared" si="5"/>
        <v>0</v>
      </c>
      <c r="K23" s="107">
        <f t="shared" si="4"/>
        <v>0</v>
      </c>
    </row>
    <row r="24" spans="1:11" x14ac:dyDescent="0.2">
      <c r="A24" s="106" t="s">
        <v>129</v>
      </c>
      <c r="B24" s="72">
        <f>IF($B$9="kWh",$B$4,$B$5)</f>
        <v>400</v>
      </c>
      <c r="C24" s="124">
        <f>VLOOKUP($B$3,'Data for Bill Impacts'!$A$3:$Y$25,14,0)</f>
        <v>0</v>
      </c>
      <c r="D24" s="21">
        <f>B24*C24</f>
        <v>0</v>
      </c>
      <c r="E24" s="72">
        <f t="shared" si="6"/>
        <v>400</v>
      </c>
      <c r="F24" s="124">
        <f>VLOOKUP($B$3,'Data for Bill Impacts'!$A$3:$Y$25,23,0)</f>
        <v>0</v>
      </c>
      <c r="G24" s="21">
        <f>E24*F24</f>
        <v>0</v>
      </c>
      <c r="H24" s="21">
        <f t="shared" si="1"/>
        <v>0</v>
      </c>
      <c r="I24" s="22" t="str">
        <f t="shared" si="2"/>
        <v>N/A</v>
      </c>
      <c r="J24" s="22">
        <f t="shared" si="5"/>
        <v>0</v>
      </c>
      <c r="K24" s="107">
        <f t="shared" si="4"/>
        <v>0</v>
      </c>
    </row>
    <row r="25" spans="1:11" s="1" customFormat="1" x14ac:dyDescent="0.2">
      <c r="A25" s="109" t="s">
        <v>72</v>
      </c>
      <c r="B25" s="73"/>
      <c r="C25" s="34"/>
      <c r="D25" s="34">
        <f>SUM(D19:D24)</f>
        <v>40.43</v>
      </c>
      <c r="E25" s="72"/>
      <c r="F25" s="34"/>
      <c r="G25" s="34">
        <f>SUM(G19:G24)</f>
        <v>41.49</v>
      </c>
      <c r="H25" s="34">
        <f t="shared" si="1"/>
        <v>1.0600000000000023</v>
      </c>
      <c r="I25" s="35">
        <f t="shared" si="2"/>
        <v>2.6218154835518235E-2</v>
      </c>
      <c r="J25" s="35">
        <f>G25/$G$46</f>
        <v>0.44209580082384153</v>
      </c>
      <c r="K25" s="110">
        <f t="shared" si="4"/>
        <v>0.4287508454545052</v>
      </c>
    </row>
    <row r="26" spans="1:11" s="1" customFormat="1" x14ac:dyDescent="0.2">
      <c r="A26" s="118" t="s">
        <v>73</v>
      </c>
      <c r="B26" s="119">
        <v>1</v>
      </c>
      <c r="C26" s="77">
        <f>VLOOKUP($B$3,'Data for Bill Impacts'!$A$3:$Y$25,9,0)</f>
        <v>0.79</v>
      </c>
      <c r="D26" s="21">
        <f>B26*C26</f>
        <v>0.79</v>
      </c>
      <c r="E26" s="72">
        <v>1</v>
      </c>
      <c r="F26" s="77">
        <f>VLOOKUP($B$3,'Data for Bill Impacts'!$A$3:$Y$25,18,0)</f>
        <v>0.79</v>
      </c>
      <c r="G26" s="21">
        <f>E26*F26</f>
        <v>0.79</v>
      </c>
      <c r="H26" s="21">
        <f t="shared" si="1"/>
        <v>0</v>
      </c>
      <c r="I26" s="22">
        <f t="shared" si="2"/>
        <v>0</v>
      </c>
      <c r="J26" s="22">
        <f>G26/$G$46</f>
        <v>8.4178279742307734E-3</v>
      </c>
      <c r="K26" s="107">
        <f t="shared" si="4"/>
        <v>8.1637302460607162E-3</v>
      </c>
    </row>
    <row r="27" spans="1:11" s="1" customFormat="1" x14ac:dyDescent="0.2">
      <c r="A27" s="118" t="s">
        <v>75</v>
      </c>
      <c r="B27" s="119">
        <f>B8-B4</f>
        <v>26.680000000000007</v>
      </c>
      <c r="C27" s="186">
        <f>IF(B4&gt;B7,C13,C12)</f>
        <v>9.0999999999999998E-2</v>
      </c>
      <c r="D27" s="21">
        <f>B27*C27</f>
        <v>2.4278800000000005</v>
      </c>
      <c r="E27" s="72">
        <f>B27</f>
        <v>26.680000000000007</v>
      </c>
      <c r="F27" s="186">
        <f>C27</f>
        <v>9.0999999999999998E-2</v>
      </c>
      <c r="G27" s="21">
        <f>E27*F27</f>
        <v>2.4278800000000005</v>
      </c>
      <c r="H27" s="21">
        <f t="shared" si="1"/>
        <v>0</v>
      </c>
      <c r="I27" s="22">
        <f t="shared" si="2"/>
        <v>0</v>
      </c>
      <c r="J27" s="22">
        <f t="shared" ref="J27:J46" si="9">G27/$G$46</f>
        <v>2.5870223015285333E-2</v>
      </c>
      <c r="K27" s="107">
        <f t="shared" si="4"/>
        <v>2.5089313151653029E-2</v>
      </c>
    </row>
    <row r="28" spans="1:11" s="1" customFormat="1" x14ac:dyDescent="0.2">
      <c r="A28" s="118" t="s">
        <v>74</v>
      </c>
      <c r="B28" s="119">
        <f>B8-B4</f>
        <v>26.680000000000007</v>
      </c>
      <c r="C28" s="186">
        <f>0.65*C15+0.17*C16+0.18*C17</f>
        <v>9.7519999999999996E-2</v>
      </c>
      <c r="D28" s="21">
        <f>B28*C28</f>
        <v>2.6018336000000004</v>
      </c>
      <c r="E28" s="72">
        <f>B28</f>
        <v>26.680000000000007</v>
      </c>
      <c r="F28" s="186">
        <f>C28</f>
        <v>9.7519999999999996E-2</v>
      </c>
      <c r="G28" s="21">
        <f>E28*F28</f>
        <v>2.6018336000000004</v>
      </c>
      <c r="H28" s="21">
        <f t="shared" si="1"/>
        <v>0</v>
      </c>
      <c r="I28" s="22">
        <f t="shared" si="2"/>
        <v>0</v>
      </c>
      <c r="J28" s="22">
        <f t="shared" si="9"/>
        <v>2.7723781851105776E-2</v>
      </c>
      <c r="K28" s="107">
        <f t="shared" si="4"/>
        <v>2.6886921082958277E-2</v>
      </c>
    </row>
    <row r="29" spans="1:11" s="1" customFormat="1" x14ac:dyDescent="0.2">
      <c r="A29" s="109" t="s">
        <v>78</v>
      </c>
      <c r="B29" s="73"/>
      <c r="C29" s="34"/>
      <c r="D29" s="34">
        <f>SUM(D25,D26:D27)</f>
        <v>43.647880000000001</v>
      </c>
      <c r="E29" s="72"/>
      <c r="F29" s="34"/>
      <c r="G29" s="34">
        <f>SUM(G25,G26:G27)</f>
        <v>44.707880000000003</v>
      </c>
      <c r="H29" s="34">
        <f t="shared" si="1"/>
        <v>1.0600000000000023</v>
      </c>
      <c r="I29" s="35">
        <f t="shared" si="2"/>
        <v>2.4285257382489191E-2</v>
      </c>
      <c r="J29" s="35">
        <f t="shared" si="9"/>
        <v>0.47638385181335763</v>
      </c>
      <c r="K29" s="110">
        <f t="shared" si="4"/>
        <v>0.46200388885221894</v>
      </c>
    </row>
    <row r="30" spans="1:11" s="1" customFormat="1" x14ac:dyDescent="0.2">
      <c r="A30" s="109" t="s">
        <v>77</v>
      </c>
      <c r="B30" s="73"/>
      <c r="C30" s="34"/>
      <c r="D30" s="34">
        <f>SUM(D25,D26,D28)</f>
        <v>43.821833599999998</v>
      </c>
      <c r="E30" s="72"/>
      <c r="F30" s="34"/>
      <c r="G30" s="34">
        <f>SUM(G25,G26,G28)</f>
        <v>44.8818336</v>
      </c>
      <c r="H30" s="34">
        <f t="shared" si="1"/>
        <v>1.0600000000000023</v>
      </c>
      <c r="I30" s="35">
        <f t="shared" si="2"/>
        <v>2.4188855484130228E-2</v>
      </c>
      <c r="J30" s="35">
        <f t="shared" si="9"/>
        <v>0.47823741064917807</v>
      </c>
      <c r="K30" s="110">
        <f t="shared" si="4"/>
        <v>0.46380149678352417</v>
      </c>
    </row>
    <row r="31" spans="1:11" x14ac:dyDescent="0.2">
      <c r="A31" s="106" t="s">
        <v>40</v>
      </c>
      <c r="B31" s="72">
        <f>B8</f>
        <v>426.68</v>
      </c>
      <c r="C31" s="124">
        <f>VLOOKUP($B$3,'Data for Bill Impacts'!$A$3:$Y$25,15,0)</f>
        <v>7.1000000000000004E-3</v>
      </c>
      <c r="D31" s="21">
        <f>B31*C31</f>
        <v>3.0294280000000002</v>
      </c>
      <c r="E31" s="72">
        <f t="shared" si="6"/>
        <v>426.68</v>
      </c>
      <c r="F31" s="77">
        <f>VLOOKUP($B$3,'Data for Bill Impacts'!$A$3:$Y$25,24,0)</f>
        <v>7.1000000000000004E-3</v>
      </c>
      <c r="G31" s="21">
        <f>E31*F31</f>
        <v>3.0294280000000002</v>
      </c>
      <c r="H31" s="21">
        <f t="shared" si="1"/>
        <v>0</v>
      </c>
      <c r="I31" s="22">
        <f t="shared" si="2"/>
        <v>0</v>
      </c>
      <c r="J31" s="22">
        <f t="shared" si="9"/>
        <v>3.2280004764959472E-2</v>
      </c>
      <c r="K31" s="107">
        <f t="shared" si="4"/>
        <v>3.1305611382105344E-2</v>
      </c>
    </row>
    <row r="32" spans="1:11" x14ac:dyDescent="0.2">
      <c r="A32" s="106" t="s">
        <v>41</v>
      </c>
      <c r="B32" s="72">
        <f>B8</f>
        <v>426.68</v>
      </c>
      <c r="C32" s="124">
        <f>VLOOKUP($B$3,'Data for Bill Impacts'!$A$3:$Y$25,16,0)</f>
        <v>6.0000000000000001E-3</v>
      </c>
      <c r="D32" s="21">
        <f>B32*C32</f>
        <v>2.5600800000000001</v>
      </c>
      <c r="E32" s="72">
        <f t="shared" si="6"/>
        <v>426.68</v>
      </c>
      <c r="F32" s="77">
        <f>VLOOKUP($B$3,'Data for Bill Impacts'!$A$3:$Y$25,25,0)</f>
        <v>6.0000000000000001E-3</v>
      </c>
      <c r="G32" s="21">
        <f>E32*F32</f>
        <v>2.5600800000000001</v>
      </c>
      <c r="H32" s="21">
        <f t="shared" si="1"/>
        <v>0</v>
      </c>
      <c r="I32" s="22">
        <f t="shared" si="2"/>
        <v>0</v>
      </c>
      <c r="J32" s="22">
        <f t="shared" si="9"/>
        <v>2.7278877266162935E-2</v>
      </c>
      <c r="K32" s="107">
        <f t="shared" si="4"/>
        <v>2.6455446238398881E-2</v>
      </c>
    </row>
    <row r="33" spans="1:11" s="1" customFormat="1" x14ac:dyDescent="0.2">
      <c r="A33" s="109" t="s">
        <v>76</v>
      </c>
      <c r="B33" s="73"/>
      <c r="C33" s="34"/>
      <c r="D33" s="34">
        <f>SUM(D31:D32)</f>
        <v>5.5895080000000004</v>
      </c>
      <c r="E33" s="72"/>
      <c r="F33" s="34"/>
      <c r="G33" s="34">
        <f>SUM(G31:G32)</f>
        <v>5.5895080000000004</v>
      </c>
      <c r="H33" s="34">
        <f t="shared" si="1"/>
        <v>0</v>
      </c>
      <c r="I33" s="35">
        <f t="shared" si="2"/>
        <v>0</v>
      </c>
      <c r="J33" s="35">
        <f t="shared" si="9"/>
        <v>5.9558882031122411E-2</v>
      </c>
      <c r="K33" s="110">
        <f t="shared" si="4"/>
        <v>5.7761057620504229E-2</v>
      </c>
    </row>
    <row r="34" spans="1:11" s="1" customFormat="1" x14ac:dyDescent="0.2">
      <c r="A34" s="109" t="s">
        <v>93</v>
      </c>
      <c r="B34" s="73"/>
      <c r="C34" s="34"/>
      <c r="D34" s="34">
        <f>D29+D33</f>
        <v>49.237388000000003</v>
      </c>
      <c r="E34" s="72"/>
      <c r="F34" s="34"/>
      <c r="G34" s="34">
        <f>G29+G33</f>
        <v>50.297388000000005</v>
      </c>
      <c r="H34" s="34">
        <f t="shared" si="1"/>
        <v>1.0600000000000023</v>
      </c>
      <c r="I34" s="35">
        <f t="shared" si="2"/>
        <v>2.1528355647135511E-2</v>
      </c>
      <c r="J34" s="35">
        <f t="shared" si="9"/>
        <v>0.5359427338444801</v>
      </c>
      <c r="K34" s="110">
        <f t="shared" si="4"/>
        <v>0.5197649464727232</v>
      </c>
    </row>
    <row r="35" spans="1:11" s="1" customFormat="1" x14ac:dyDescent="0.2">
      <c r="A35" s="109" t="s">
        <v>94</v>
      </c>
      <c r="B35" s="73"/>
      <c r="C35" s="34"/>
      <c r="D35" s="34">
        <f>D30+D33</f>
        <v>49.4113416</v>
      </c>
      <c r="E35" s="72"/>
      <c r="F35" s="34"/>
      <c r="G35" s="34">
        <f>G30+G33</f>
        <v>50.471341600000002</v>
      </c>
      <c r="H35" s="34">
        <f t="shared" si="1"/>
        <v>1.0600000000000023</v>
      </c>
      <c r="I35" s="35">
        <f t="shared" si="2"/>
        <v>2.1452564647627424E-2</v>
      </c>
      <c r="J35" s="35">
        <f t="shared" si="9"/>
        <v>0.53779629268030049</v>
      </c>
      <c r="K35" s="110">
        <f t="shared" si="4"/>
        <v>0.52156255440402843</v>
      </c>
    </row>
    <row r="36" spans="1:11" x14ac:dyDescent="0.2">
      <c r="A36" s="106" t="s">
        <v>42</v>
      </c>
      <c r="B36" s="72">
        <f>B8</f>
        <v>426.68</v>
      </c>
      <c r="C36" s="33">
        <v>3.5999999999999999E-3</v>
      </c>
      <c r="D36" s="21">
        <f>B36*C36</f>
        <v>1.5360480000000001</v>
      </c>
      <c r="E36" s="72">
        <f t="shared" si="6"/>
        <v>426.68</v>
      </c>
      <c r="F36" s="33">
        <v>3.5999999999999999E-3</v>
      </c>
      <c r="G36" s="21">
        <f>E36*F36</f>
        <v>1.5360480000000001</v>
      </c>
      <c r="H36" s="21">
        <f t="shared" si="1"/>
        <v>0</v>
      </c>
      <c r="I36" s="22">
        <f t="shared" si="2"/>
        <v>0</v>
      </c>
      <c r="J36" s="22">
        <f t="shared" si="9"/>
        <v>1.6367326359697763E-2</v>
      </c>
      <c r="K36" s="107">
        <f t="shared" si="4"/>
        <v>1.5873267743039328E-2</v>
      </c>
    </row>
    <row r="37" spans="1:11" x14ac:dyDescent="0.2">
      <c r="A37" s="106" t="s">
        <v>43</v>
      </c>
      <c r="B37" s="72">
        <f>B8</f>
        <v>426.68</v>
      </c>
      <c r="C37" s="33">
        <v>2.0999999999999999E-3</v>
      </c>
      <c r="D37" s="21">
        <f>B37*C37</f>
        <v>0.89602799999999994</v>
      </c>
      <c r="E37" s="72">
        <f t="shared" si="6"/>
        <v>426.68</v>
      </c>
      <c r="F37" s="33">
        <v>2.0999999999999999E-3</v>
      </c>
      <c r="G37" s="21">
        <f>E37*F37</f>
        <v>0.89602799999999994</v>
      </c>
      <c r="H37" s="21">
        <f>G37-D37</f>
        <v>0</v>
      </c>
      <c r="I37" s="22">
        <f t="shared" si="2"/>
        <v>0</v>
      </c>
      <c r="J37" s="22">
        <f t="shared" si="9"/>
        <v>9.5476070431570262E-3</v>
      </c>
      <c r="K37" s="107">
        <f t="shared" si="4"/>
        <v>9.2594061834396068E-3</v>
      </c>
    </row>
    <row r="38" spans="1:11" x14ac:dyDescent="0.2">
      <c r="A38" s="106" t="s">
        <v>99</v>
      </c>
      <c r="B38" s="72">
        <f>B8</f>
        <v>426.68</v>
      </c>
      <c r="C38" s="33">
        <v>0</v>
      </c>
      <c r="D38" s="21">
        <f>B38*C38</f>
        <v>0</v>
      </c>
      <c r="E38" s="72">
        <f t="shared" si="6"/>
        <v>426.68</v>
      </c>
      <c r="F38" s="33">
        <v>0</v>
      </c>
      <c r="G38" s="21">
        <f>E38*F38</f>
        <v>0</v>
      </c>
      <c r="H38" s="21">
        <f>G38-D38</f>
        <v>0</v>
      </c>
      <c r="I38" s="22" t="str">
        <f t="shared" si="2"/>
        <v>N/A</v>
      </c>
      <c r="J38" s="22">
        <f t="shared" si="9"/>
        <v>0</v>
      </c>
      <c r="K38" s="107">
        <f t="shared" si="4"/>
        <v>0</v>
      </c>
    </row>
    <row r="39" spans="1:11" x14ac:dyDescent="0.2">
      <c r="A39" s="106" t="s">
        <v>44</v>
      </c>
      <c r="B39" s="72">
        <v>1</v>
      </c>
      <c r="C39" s="21">
        <v>0.25</v>
      </c>
      <c r="D39" s="21">
        <f>B39*C39</f>
        <v>0.25</v>
      </c>
      <c r="E39" s="72">
        <f t="shared" si="6"/>
        <v>1</v>
      </c>
      <c r="F39" s="21">
        <f>C39</f>
        <v>0.25</v>
      </c>
      <c r="G39" s="21">
        <f>E39*F39</f>
        <v>0.25</v>
      </c>
      <c r="H39" s="21">
        <f t="shared" si="1"/>
        <v>0</v>
      </c>
      <c r="I39" s="22">
        <f t="shared" si="2"/>
        <v>0</v>
      </c>
      <c r="J39" s="22">
        <f t="shared" si="9"/>
        <v>2.6638696120983461E-3</v>
      </c>
      <c r="K39" s="107">
        <f t="shared" si="4"/>
        <v>2.5834589386268085E-3</v>
      </c>
    </row>
    <row r="40" spans="1:11" s="1" customFormat="1" x14ac:dyDescent="0.2">
      <c r="A40" s="109" t="s">
        <v>45</v>
      </c>
      <c r="B40" s="73"/>
      <c r="C40" s="34"/>
      <c r="D40" s="34">
        <f>SUM(D36:D39)</f>
        <v>2.6820759999999999</v>
      </c>
      <c r="E40" s="72"/>
      <c r="F40" s="34"/>
      <c r="G40" s="34">
        <f>SUM(G36:G39)</f>
        <v>2.6820759999999999</v>
      </c>
      <c r="H40" s="34">
        <f t="shared" si="1"/>
        <v>0</v>
      </c>
      <c r="I40" s="35">
        <f t="shared" si="2"/>
        <v>0</v>
      </c>
      <c r="J40" s="35">
        <f t="shared" si="9"/>
        <v>2.8578803014953132E-2</v>
      </c>
      <c r="K40" s="110">
        <f t="shared" si="4"/>
        <v>2.7716132865105745E-2</v>
      </c>
    </row>
    <row r="41" spans="1:11" s="1" customFormat="1" ht="13.5" thickBot="1" x14ac:dyDescent="0.25">
      <c r="A41" s="111" t="s">
        <v>46</v>
      </c>
      <c r="B41" s="112">
        <f>B4</f>
        <v>400</v>
      </c>
      <c r="C41" s="113">
        <v>0</v>
      </c>
      <c r="D41" s="114">
        <f>B41*C41</f>
        <v>0</v>
      </c>
      <c r="E41" s="115">
        <f t="shared" si="6"/>
        <v>400</v>
      </c>
      <c r="F41" s="113">
        <f>C41</f>
        <v>0</v>
      </c>
      <c r="G41" s="114">
        <f>E41*F41</f>
        <v>0</v>
      </c>
      <c r="H41" s="114">
        <f t="shared" si="1"/>
        <v>0</v>
      </c>
      <c r="I41" s="116" t="str">
        <f t="shared" si="2"/>
        <v>N/A</v>
      </c>
      <c r="J41" s="116">
        <f t="shared" si="9"/>
        <v>0</v>
      </c>
      <c r="K41" s="117">
        <f t="shared" si="4"/>
        <v>0</v>
      </c>
    </row>
    <row r="42" spans="1:11" s="1" customFormat="1" x14ac:dyDescent="0.2">
      <c r="A42" s="36" t="s">
        <v>107</v>
      </c>
      <c r="B42" s="37"/>
      <c r="C42" s="38"/>
      <c r="D42" s="38">
        <f>SUM(D14,D25,D26,D27,D33,D40,D41)</f>
        <v>88.319463999999996</v>
      </c>
      <c r="E42" s="37"/>
      <c r="F42" s="38"/>
      <c r="G42" s="38">
        <f>SUM(G14,G25,G26,G27,G33,G40,G41)</f>
        <v>89.379463999999999</v>
      </c>
      <c r="H42" s="38">
        <f t="shared" si="1"/>
        <v>1.0600000000000023</v>
      </c>
      <c r="I42" s="39">
        <f t="shared" si="2"/>
        <v>1.2001884431726197E-2</v>
      </c>
      <c r="J42" s="39">
        <f t="shared" si="9"/>
        <v>0.95238095238095233</v>
      </c>
      <c r="K42" s="40"/>
    </row>
    <row r="43" spans="1:11" x14ac:dyDescent="0.2">
      <c r="A43" s="142" t="s">
        <v>108</v>
      </c>
      <c r="B43" s="42"/>
      <c r="C43" s="25">
        <v>0.13</v>
      </c>
      <c r="D43" s="25">
        <f>D42*C43</f>
        <v>11.481530319999999</v>
      </c>
      <c r="E43" s="25"/>
      <c r="F43" s="25">
        <f>C43</f>
        <v>0.13</v>
      </c>
      <c r="G43" s="25">
        <f>G42*F43</f>
        <v>11.61933032</v>
      </c>
      <c r="H43" s="25">
        <f t="shared" si="1"/>
        <v>0.13780000000000037</v>
      </c>
      <c r="I43" s="43">
        <f t="shared" si="2"/>
        <v>1.2001884431726204E-2</v>
      </c>
      <c r="J43" s="43">
        <f t="shared" si="9"/>
        <v>0.1238095238095238</v>
      </c>
      <c r="K43" s="44"/>
    </row>
    <row r="44" spans="1:11" s="1" customFormat="1" x14ac:dyDescent="0.2">
      <c r="A44" s="45" t="s">
        <v>109</v>
      </c>
      <c r="B44" s="23"/>
      <c r="C44" s="24"/>
      <c r="D44" s="24">
        <f>SUM(D42:D43)</f>
        <v>99.800994320000001</v>
      </c>
      <c r="E44" s="24"/>
      <c r="F44" s="24"/>
      <c r="G44" s="24">
        <f>SUM(G42:G43)</f>
        <v>100.99879432</v>
      </c>
      <c r="H44" s="24">
        <f t="shared" si="1"/>
        <v>1.1978000000000009</v>
      </c>
      <c r="I44" s="26">
        <f t="shared" si="2"/>
        <v>1.200188443172618E-2</v>
      </c>
      <c r="J44" s="26">
        <f t="shared" si="9"/>
        <v>1.0761904761904761</v>
      </c>
      <c r="K44" s="46"/>
    </row>
    <row r="45" spans="1:11" x14ac:dyDescent="0.2">
      <c r="A45" s="41" t="s">
        <v>110</v>
      </c>
      <c r="B45" s="42"/>
      <c r="C45" s="25">
        <v>-0.08</v>
      </c>
      <c r="D45" s="25">
        <f>D42*C45</f>
        <v>-7.0655571200000002</v>
      </c>
      <c r="E45" s="25"/>
      <c r="F45" s="25">
        <f>C45</f>
        <v>-0.08</v>
      </c>
      <c r="G45" s="25">
        <f>G42*F45</f>
        <v>-7.1503571199999998</v>
      </c>
      <c r="H45" s="25">
        <f t="shared" si="1"/>
        <v>-8.4799999999999542E-2</v>
      </c>
      <c r="I45" s="43">
        <f t="shared" si="2"/>
        <v>-1.2001884431726105E-2</v>
      </c>
      <c r="J45" s="43">
        <f t="shared" si="9"/>
        <v>-7.6190476190476183E-2</v>
      </c>
      <c r="K45" s="44"/>
    </row>
    <row r="46" spans="1:11" s="1" customFormat="1" ht="13.5" thickBot="1" x14ac:dyDescent="0.25">
      <c r="A46" s="47" t="s">
        <v>111</v>
      </c>
      <c r="B46" s="48"/>
      <c r="C46" s="49"/>
      <c r="D46" s="49">
        <f>SUM(D44:D45)</f>
        <v>92.735437200000007</v>
      </c>
      <c r="E46" s="49"/>
      <c r="F46" s="49"/>
      <c r="G46" s="49">
        <f>SUM(G44:G45)</f>
        <v>93.848437200000006</v>
      </c>
      <c r="H46" s="49">
        <f t="shared" si="1"/>
        <v>1.1129999999999995</v>
      </c>
      <c r="I46" s="50">
        <f t="shared" si="2"/>
        <v>1.2001884431726164E-2</v>
      </c>
      <c r="J46" s="50">
        <f t="shared" si="9"/>
        <v>1</v>
      </c>
      <c r="K46" s="51"/>
    </row>
    <row r="47" spans="1:11" x14ac:dyDescent="0.2">
      <c r="A47" s="52" t="s">
        <v>112</v>
      </c>
      <c r="B47" s="53"/>
      <c r="C47" s="54"/>
      <c r="D47" s="54">
        <f>SUM(D18,D25,D26,D28,D33,D40,D41)</f>
        <v>91.101417600000005</v>
      </c>
      <c r="E47" s="54"/>
      <c r="F47" s="54"/>
      <c r="G47" s="54">
        <f>SUM(G18,G25,G26,G28,G33,G40,G41)</f>
        <v>92.161417600000007</v>
      </c>
      <c r="H47" s="54">
        <f>G47-D47</f>
        <v>1.0600000000000023</v>
      </c>
      <c r="I47" s="55">
        <f t="shared" si="2"/>
        <v>1.1635384255535473E-2</v>
      </c>
      <c r="J47" s="55"/>
      <c r="K47" s="56">
        <f>G47/$G$51</f>
        <v>0.95238095238095244</v>
      </c>
    </row>
    <row r="48" spans="1:11" x14ac:dyDescent="0.2">
      <c r="A48" s="143" t="s">
        <v>108</v>
      </c>
      <c r="B48" s="58"/>
      <c r="C48" s="30">
        <v>0.13</v>
      </c>
      <c r="D48" s="30">
        <f>D47*C48</f>
        <v>11.843184288000002</v>
      </c>
      <c r="E48" s="30"/>
      <c r="F48" s="30">
        <f>C48</f>
        <v>0.13</v>
      </c>
      <c r="G48" s="30">
        <f>G47*F48</f>
        <v>11.980984288000002</v>
      </c>
      <c r="H48" s="30">
        <f>G48-D48</f>
        <v>0.13780000000000037</v>
      </c>
      <c r="I48" s="31">
        <f t="shared" si="2"/>
        <v>1.1635384255535479E-2</v>
      </c>
      <c r="J48" s="31"/>
      <c r="K48" s="59">
        <f>G48/$G$51</f>
        <v>0.12380952380952383</v>
      </c>
    </row>
    <row r="49" spans="1:11" x14ac:dyDescent="0.2">
      <c r="A49" s="60" t="s">
        <v>113</v>
      </c>
      <c r="B49" s="28"/>
      <c r="C49" s="29"/>
      <c r="D49" s="29">
        <f>SUM(D47:D48)</f>
        <v>102.94460188800001</v>
      </c>
      <c r="E49" s="29"/>
      <c r="F49" s="29"/>
      <c r="G49" s="29">
        <f>SUM(G47:G48)</f>
        <v>104.14240188800001</v>
      </c>
      <c r="H49" s="29">
        <f>G49-D49</f>
        <v>1.1978000000000009</v>
      </c>
      <c r="I49" s="32">
        <f t="shared" si="2"/>
        <v>1.1635384255535456E-2</v>
      </c>
      <c r="J49" s="32"/>
      <c r="K49" s="61">
        <f>G49/$G$51</f>
        <v>1.0761904761904761</v>
      </c>
    </row>
    <row r="50" spans="1:11" x14ac:dyDescent="0.2">
      <c r="A50" s="57" t="s">
        <v>110</v>
      </c>
      <c r="B50" s="58"/>
      <c r="C50" s="30">
        <v>-0.08</v>
      </c>
      <c r="D50" s="30">
        <f>D47*C50</f>
        <v>-7.288113408000001</v>
      </c>
      <c r="E50" s="30"/>
      <c r="F50" s="30">
        <f>C50</f>
        <v>-0.08</v>
      </c>
      <c r="G50" s="30">
        <f>G47*F50</f>
        <v>-7.3729134080000005</v>
      </c>
      <c r="H50" s="30">
        <f>G50-D50</f>
        <v>-8.4799999999999542E-2</v>
      </c>
      <c r="I50" s="31">
        <f t="shared" si="2"/>
        <v>-1.1635384255535385E-2</v>
      </c>
      <c r="J50" s="31"/>
      <c r="K50" s="59">
        <f>G50/$G$51</f>
        <v>-7.6190476190476183E-2</v>
      </c>
    </row>
    <row r="51" spans="1:11" ht="13.5" thickBot="1" x14ac:dyDescent="0.25">
      <c r="A51" s="62" t="s">
        <v>114</v>
      </c>
      <c r="B51" s="63"/>
      <c r="C51" s="64"/>
      <c r="D51" s="64">
        <f>SUM(D49:D50)</f>
        <v>95.656488480000007</v>
      </c>
      <c r="E51" s="64"/>
      <c r="F51" s="64"/>
      <c r="G51" s="64">
        <f>SUM(G49:G50)</f>
        <v>96.769488480000007</v>
      </c>
      <c r="H51" s="64">
        <f>G51-D51</f>
        <v>1.1129999999999995</v>
      </c>
      <c r="I51" s="65">
        <f t="shared" si="2"/>
        <v>1.1635384255535442E-2</v>
      </c>
      <c r="J51" s="65"/>
      <c r="K51" s="66">
        <f>G51/$G$51</f>
        <v>1</v>
      </c>
    </row>
    <row r="52" spans="1:11" x14ac:dyDescent="0.2">
      <c r="C52" s="67"/>
      <c r="F52" s="68"/>
    </row>
    <row r="53" spans="1:11" x14ac:dyDescent="0.2">
      <c r="F53" s="68"/>
    </row>
    <row r="54" spans="1:11" x14ac:dyDescent="0.2">
      <c r="F54" s="68"/>
    </row>
    <row r="55" spans="1:11" x14ac:dyDescent="0.2">
      <c r="A55" s="69"/>
      <c r="B55" s="70"/>
      <c r="F55" s="68"/>
    </row>
    <row r="56" spans="1:11" x14ac:dyDescent="0.2">
      <c r="B56" s="70"/>
      <c r="F56" s="68"/>
    </row>
    <row r="57" spans="1:11" x14ac:dyDescent="0.2">
      <c r="F57" s="68"/>
    </row>
    <row r="58" spans="1:11" x14ac:dyDescent="0.2">
      <c r="D58" s="71"/>
      <c r="F58" s="68"/>
    </row>
    <row r="59" spans="1:11" x14ac:dyDescent="0.2">
      <c r="F59" s="68"/>
    </row>
    <row r="60" spans="1:11" x14ac:dyDescent="0.2">
      <c r="A60" s="69"/>
      <c r="B60" s="70"/>
      <c r="F60" s="68"/>
    </row>
    <row r="61" spans="1:11" x14ac:dyDescent="0.2">
      <c r="B61" s="71"/>
      <c r="D61" s="71"/>
      <c r="F61" s="68"/>
    </row>
    <row r="62" spans="1:11" x14ac:dyDescent="0.2">
      <c r="F62" s="68"/>
    </row>
    <row r="63" spans="1:11" x14ac:dyDescent="0.2">
      <c r="F63" s="68"/>
    </row>
    <row r="64" spans="1:11" x14ac:dyDescent="0.2">
      <c r="F64" s="68"/>
    </row>
    <row r="65" spans="6:6" x14ac:dyDescent="0.2">
      <c r="F65" s="68"/>
    </row>
    <row r="66" spans="6:6" x14ac:dyDescent="0.2">
      <c r="F66" s="68"/>
    </row>
    <row r="67" spans="6:6" x14ac:dyDescent="0.2">
      <c r="F67" s="68"/>
    </row>
    <row r="68" spans="6:6" x14ac:dyDescent="0.2">
      <c r="F68" s="68"/>
    </row>
  </sheetData>
  <mergeCells count="1">
    <mergeCell ref="A1:K1"/>
  </mergeCells>
  <pageMargins left="0.7" right="0.7" top="0.75" bottom="0.75" header="0.3" footer="0.3"/>
  <pageSetup scale="7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Impacts'!$A$3:$A$22</xm:f>
          </x14:formula1>
          <xm:sqref>B3</xm:sqref>
        </x14:dataValidation>
      </x14:dataValidations>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tabColor theme="1" tint="0.499984740745262"/>
    <pageSetUpPr fitToPage="1"/>
  </sheetPr>
  <dimension ref="A1:K68"/>
  <sheetViews>
    <sheetView tabSelected="1" topLeftCell="A49"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3"/>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205" t="s">
        <v>126</v>
      </c>
      <c r="B1" s="206"/>
      <c r="C1" s="206"/>
      <c r="D1" s="206"/>
      <c r="E1" s="206"/>
      <c r="F1" s="206"/>
      <c r="G1" s="206"/>
      <c r="H1" s="206"/>
      <c r="I1" s="206"/>
      <c r="J1" s="206"/>
      <c r="K1" s="207"/>
    </row>
    <row r="3" spans="1:11" x14ac:dyDescent="0.2">
      <c r="A3" s="12" t="s">
        <v>13</v>
      </c>
      <c r="B3" s="12" t="s">
        <v>119</v>
      </c>
    </row>
    <row r="4" spans="1:11" x14ac:dyDescent="0.2">
      <c r="A4" s="14" t="s">
        <v>62</v>
      </c>
      <c r="B4" s="14">
        <v>750</v>
      </c>
    </row>
    <row r="5" spans="1:11" x14ac:dyDescent="0.2">
      <c r="A5" s="14" t="s">
        <v>16</v>
      </c>
      <c r="B5" s="14">
        <f>VLOOKUP($B$3,'Data for Bill Impacts'!$A$3:$Y$25,5,0)</f>
        <v>0</v>
      </c>
    </row>
    <row r="6" spans="1:11" x14ac:dyDescent="0.2">
      <c r="A6" s="14" t="s">
        <v>20</v>
      </c>
      <c r="B6" s="14">
        <f>VLOOKUP($B$3,'Data for Bill Impacts'!$A$3:$Y$25,2,0)</f>
        <v>1.0667</v>
      </c>
    </row>
    <row r="7" spans="1:11" x14ac:dyDescent="0.2">
      <c r="A7" s="14" t="s">
        <v>15</v>
      </c>
      <c r="B7" s="14">
        <f>VLOOKUP($B$3,'Data for Bill Impacts'!$A$3:$Y$25,4,0)</f>
        <v>600</v>
      </c>
    </row>
    <row r="8" spans="1:11" x14ac:dyDescent="0.2">
      <c r="A8" s="14" t="s">
        <v>82</v>
      </c>
      <c r="B8" s="148">
        <f>B4*B6</f>
        <v>800.02499999999998</v>
      </c>
    </row>
    <row r="9" spans="1:11" x14ac:dyDescent="0.2">
      <c r="A9" s="14" t="s">
        <v>21</v>
      </c>
      <c r="B9" s="15" t="str">
        <f>VLOOKUP($B$3,'Data for Bill Impacts'!$A$3:$Y$25,6,0)</f>
        <v>kWh</v>
      </c>
    </row>
    <row r="10" spans="1:11" ht="13.5" thickBot="1" x14ac:dyDescent="0.25"/>
    <row r="11" spans="1:11" s="19" customFormat="1" ht="51.75" thickBot="1" x14ac:dyDescent="0.25">
      <c r="A11" s="16"/>
      <c r="B11" s="17" t="s">
        <v>22</v>
      </c>
      <c r="C11" s="17" t="s">
        <v>23</v>
      </c>
      <c r="D11" s="17" t="s">
        <v>24</v>
      </c>
      <c r="E11" s="17" t="s">
        <v>22</v>
      </c>
      <c r="F11" s="17" t="s">
        <v>25</v>
      </c>
      <c r="G11" s="17" t="s">
        <v>26</v>
      </c>
      <c r="H11" s="17" t="s">
        <v>27</v>
      </c>
      <c r="I11" s="17" t="s">
        <v>28</v>
      </c>
      <c r="J11" s="17" t="s">
        <v>29</v>
      </c>
      <c r="K11" s="18" t="s">
        <v>30</v>
      </c>
    </row>
    <row r="12" spans="1:11" x14ac:dyDescent="0.2">
      <c r="A12" s="100" t="s">
        <v>31</v>
      </c>
      <c r="B12" s="101">
        <f>IF(B4&gt;B7,B7,B4)</f>
        <v>600</v>
      </c>
      <c r="C12" s="102">
        <v>9.0999999999999998E-2</v>
      </c>
      <c r="D12" s="103">
        <f>B12*C12</f>
        <v>54.6</v>
      </c>
      <c r="E12" s="101">
        <f>B12</f>
        <v>600</v>
      </c>
      <c r="F12" s="102">
        <f>C12</f>
        <v>9.0999999999999998E-2</v>
      </c>
      <c r="G12" s="103">
        <f>E12*F12</f>
        <v>54.6</v>
      </c>
      <c r="H12" s="103">
        <f>G12-D12</f>
        <v>0</v>
      </c>
      <c r="I12" s="104">
        <f>IF(ISERROR(H12/ABS(D12)),"N/A",(H12/ABS(D12)))</f>
        <v>0</v>
      </c>
      <c r="J12" s="104">
        <f>G12/$G$46</f>
        <v>0.38988365871623892</v>
      </c>
      <c r="K12" s="105"/>
    </row>
    <row r="13" spans="1:11" x14ac:dyDescent="0.2">
      <c r="A13" s="106" t="s">
        <v>32</v>
      </c>
      <c r="B13" s="72">
        <f>IF(B4&gt;B7,(B4)-B7,0)</f>
        <v>150</v>
      </c>
      <c r="C13" s="20">
        <v>0.106</v>
      </c>
      <c r="D13" s="21">
        <f>B13*C13</f>
        <v>15.9</v>
      </c>
      <c r="E13" s="72">
        <f t="shared" ref="E13" si="0">B13</f>
        <v>150</v>
      </c>
      <c r="F13" s="20">
        <f>C13</f>
        <v>0.106</v>
      </c>
      <c r="G13" s="21">
        <f>E13*F13</f>
        <v>15.9</v>
      </c>
      <c r="H13" s="21">
        <f t="shared" ref="H13:H46" si="1">G13-D13</f>
        <v>0</v>
      </c>
      <c r="I13" s="22">
        <f t="shared" ref="I13:I51" si="2">IF(ISERROR(H13/ABS(D13)),"N/A",(H13/ABS(D13)))</f>
        <v>0</v>
      </c>
      <c r="J13" s="22">
        <f>G13/$G$46</f>
        <v>0.11353754896681684</v>
      </c>
      <c r="K13" s="107"/>
    </row>
    <row r="14" spans="1:11" s="1" customFormat="1" x14ac:dyDescent="0.2">
      <c r="A14" s="45" t="s">
        <v>33</v>
      </c>
      <c r="B14" s="23"/>
      <c r="C14" s="24"/>
      <c r="D14" s="24">
        <f>SUM(D12:D13)</f>
        <v>70.5</v>
      </c>
      <c r="E14" s="75"/>
      <c r="F14" s="24"/>
      <c r="G14" s="24">
        <f>SUM(G12:G13)</f>
        <v>70.5</v>
      </c>
      <c r="H14" s="24">
        <f t="shared" si="1"/>
        <v>0</v>
      </c>
      <c r="I14" s="26">
        <f t="shared" si="2"/>
        <v>0</v>
      </c>
      <c r="J14" s="26">
        <f>G14/$G$46</f>
        <v>0.50342120768305576</v>
      </c>
      <c r="K14" s="107"/>
    </row>
    <row r="15" spans="1:11" s="1" customFormat="1" x14ac:dyDescent="0.2">
      <c r="A15" s="108" t="s">
        <v>34</v>
      </c>
      <c r="B15" s="74">
        <f>B4*0.65</f>
        <v>487.5</v>
      </c>
      <c r="C15" s="27">
        <v>7.6999999999999999E-2</v>
      </c>
      <c r="D15" s="21">
        <f>B15*C15</f>
        <v>37.537500000000001</v>
      </c>
      <c r="E15" s="72">
        <f t="shared" ref="E15:F17" si="3">B15</f>
        <v>487.5</v>
      </c>
      <c r="F15" s="27">
        <f t="shared" si="3"/>
        <v>7.6999999999999999E-2</v>
      </c>
      <c r="G15" s="21">
        <f>E15*F15</f>
        <v>37.537500000000001</v>
      </c>
      <c r="H15" s="21">
        <f t="shared" si="1"/>
        <v>0</v>
      </c>
      <c r="I15" s="22">
        <f t="shared" si="2"/>
        <v>0</v>
      </c>
      <c r="J15" s="22"/>
      <c r="K15" s="107">
        <f t="shared" ref="K15:K41" si="4">G15/$G$51</f>
        <v>0.26366463545823376</v>
      </c>
    </row>
    <row r="16" spans="1:11" s="1" customFormat="1" x14ac:dyDescent="0.2">
      <c r="A16" s="108" t="s">
        <v>35</v>
      </c>
      <c r="B16" s="74">
        <f>B4*0.17</f>
        <v>127.50000000000001</v>
      </c>
      <c r="C16" s="27">
        <v>0.113</v>
      </c>
      <c r="D16" s="21">
        <f>B16*C16</f>
        <v>14.407500000000002</v>
      </c>
      <c r="E16" s="72">
        <f t="shared" si="3"/>
        <v>127.50000000000001</v>
      </c>
      <c r="F16" s="27">
        <f t="shared" si="3"/>
        <v>0.113</v>
      </c>
      <c r="G16" s="21">
        <f>E16*F16</f>
        <v>14.407500000000002</v>
      </c>
      <c r="H16" s="21">
        <f t="shared" si="1"/>
        <v>0</v>
      </c>
      <c r="I16" s="22">
        <f t="shared" si="2"/>
        <v>0</v>
      </c>
      <c r="J16" s="22"/>
      <c r="K16" s="107">
        <f t="shared" si="4"/>
        <v>0.10119875418886456</v>
      </c>
    </row>
    <row r="17" spans="1:11" s="1" customFormat="1" x14ac:dyDescent="0.2">
      <c r="A17" s="108" t="s">
        <v>36</v>
      </c>
      <c r="B17" s="74">
        <f>B4*0.18</f>
        <v>135</v>
      </c>
      <c r="C17" s="27">
        <v>0.157</v>
      </c>
      <c r="D17" s="21">
        <f>B17*C17</f>
        <v>21.195</v>
      </c>
      <c r="E17" s="72">
        <f t="shared" si="3"/>
        <v>135</v>
      </c>
      <c r="F17" s="27">
        <f t="shared" si="3"/>
        <v>0.157</v>
      </c>
      <c r="G17" s="21">
        <f>E17*F17</f>
        <v>21.195</v>
      </c>
      <c r="H17" s="21">
        <f t="shared" si="1"/>
        <v>0</v>
      </c>
      <c r="I17" s="22">
        <f t="shared" si="2"/>
        <v>0</v>
      </c>
      <c r="J17" s="22"/>
      <c r="K17" s="107">
        <f t="shared" si="4"/>
        <v>0.14887437758341032</v>
      </c>
    </row>
    <row r="18" spans="1:11" s="1" customFormat="1" x14ac:dyDescent="0.2">
      <c r="A18" s="60" t="s">
        <v>37</v>
      </c>
      <c r="B18" s="28"/>
      <c r="C18" s="29"/>
      <c r="D18" s="29">
        <f>SUM(D15:D17)</f>
        <v>73.140000000000015</v>
      </c>
      <c r="E18" s="76"/>
      <c r="F18" s="29"/>
      <c r="G18" s="29">
        <f>SUM(G15:G17)</f>
        <v>73.140000000000015</v>
      </c>
      <c r="H18" s="30">
        <f t="shared" si="1"/>
        <v>0</v>
      </c>
      <c r="I18" s="31">
        <f t="shared" si="2"/>
        <v>0</v>
      </c>
      <c r="J18" s="32">
        <f t="shared" ref="J18:J24" si="5">G18/$G$46</f>
        <v>0.52227272524735746</v>
      </c>
      <c r="K18" s="61">
        <f t="shared" si="4"/>
        <v>0.51373776723050868</v>
      </c>
    </row>
    <row r="19" spans="1:11" x14ac:dyDescent="0.2">
      <c r="A19" s="106" t="s">
        <v>38</v>
      </c>
      <c r="B19" s="72">
        <v>1</v>
      </c>
      <c r="C19" s="77">
        <f>VLOOKUP($B$3,'Data for Bill Impacts'!$A$3:$Y$25,7,0)</f>
        <v>40.43</v>
      </c>
      <c r="D19" s="21">
        <f>B19*C19</f>
        <v>40.43</v>
      </c>
      <c r="E19" s="72">
        <f t="shared" ref="E19:E41" si="6">B19</f>
        <v>1</v>
      </c>
      <c r="F19" s="77">
        <f>VLOOKUP($B$3,'Data for Bill Impacts'!$A$3:$Y$25,17,0)</f>
        <v>41.49</v>
      </c>
      <c r="G19" s="21">
        <f>E19*F19</f>
        <v>41.49</v>
      </c>
      <c r="H19" s="21">
        <f t="shared" si="1"/>
        <v>1.0600000000000023</v>
      </c>
      <c r="I19" s="22">
        <f t="shared" si="2"/>
        <v>2.6218154835518235E-2</v>
      </c>
      <c r="J19" s="22">
        <f t="shared" si="5"/>
        <v>0.2962687362662409</v>
      </c>
      <c r="K19" s="107">
        <f t="shared" si="4"/>
        <v>0.29142712554544442</v>
      </c>
    </row>
    <row r="20" spans="1:11" hidden="1" x14ac:dyDescent="0.2">
      <c r="A20" s="106" t="s">
        <v>83</v>
      </c>
      <c r="B20" s="72">
        <v>1</v>
      </c>
      <c r="C20" s="77">
        <f>VLOOKUP($B$3,'Data for Bill Impacts'!$A$3:$Y$25,8,0)</f>
        <v>0</v>
      </c>
      <c r="D20" s="21">
        <f>B20*C20</f>
        <v>0</v>
      </c>
      <c r="E20" s="72">
        <f t="shared" si="6"/>
        <v>1</v>
      </c>
      <c r="F20" s="77">
        <v>0</v>
      </c>
      <c r="G20" s="21">
        <f t="shared" ref="G20:G22" si="7">E20*F20</f>
        <v>0</v>
      </c>
      <c r="H20" s="21">
        <f t="shared" si="1"/>
        <v>0</v>
      </c>
      <c r="I20" s="22" t="str">
        <f t="shared" si="2"/>
        <v>N/A</v>
      </c>
      <c r="J20" s="22">
        <f t="shared" si="5"/>
        <v>0</v>
      </c>
      <c r="K20" s="107">
        <f t="shared" si="4"/>
        <v>0</v>
      </c>
    </row>
    <row r="21" spans="1:11" hidden="1" x14ac:dyDescent="0.2">
      <c r="A21" s="106" t="s">
        <v>115</v>
      </c>
      <c r="B21" s="72">
        <v>1</v>
      </c>
      <c r="C21" s="77">
        <f>VLOOKUP($B$3,'Data for Bill Impacts'!$A$3:$Y$25,11,0)</f>
        <v>0</v>
      </c>
      <c r="D21" s="21">
        <f t="shared" ref="D21:D22" si="8">B21*C21</f>
        <v>0</v>
      </c>
      <c r="E21" s="72">
        <f t="shared" si="6"/>
        <v>1</v>
      </c>
      <c r="F21" s="120">
        <f>VLOOKUP($B$3,'Data for Bill Impacts'!$A$3:$Y$25,12,0)</f>
        <v>0</v>
      </c>
      <c r="G21" s="21">
        <f t="shared" si="7"/>
        <v>0</v>
      </c>
      <c r="H21" s="21">
        <f t="shared" si="1"/>
        <v>0</v>
      </c>
      <c r="I21" s="22" t="str">
        <f t="shared" si="2"/>
        <v>N/A</v>
      </c>
      <c r="J21" s="22">
        <f t="shared" si="5"/>
        <v>0</v>
      </c>
      <c r="K21" s="107">
        <f t="shared" si="4"/>
        <v>0</v>
      </c>
    </row>
    <row r="22" spans="1:11" x14ac:dyDescent="0.2">
      <c r="A22" s="106" t="s">
        <v>85</v>
      </c>
      <c r="B22" s="72">
        <v>1</v>
      </c>
      <c r="C22" s="120">
        <f>VLOOKUP($B$3,'Data for Bill Impacts'!$A$3:$Y$25,13,0)</f>
        <v>0</v>
      </c>
      <c r="D22" s="21">
        <f t="shared" si="8"/>
        <v>0</v>
      </c>
      <c r="E22" s="72">
        <f t="shared" si="6"/>
        <v>1</v>
      </c>
      <c r="F22" s="120">
        <f>VLOOKUP($B$3,'Data for Bill Impacts'!$A$3:$Y$25,22,0)</f>
        <v>0</v>
      </c>
      <c r="G22" s="21">
        <f t="shared" si="7"/>
        <v>0</v>
      </c>
      <c r="H22" s="21">
        <f t="shared" si="1"/>
        <v>0</v>
      </c>
      <c r="I22" s="22" t="str">
        <f t="shared" si="2"/>
        <v>N/A</v>
      </c>
      <c r="J22" s="22">
        <f t="shared" si="5"/>
        <v>0</v>
      </c>
      <c r="K22" s="107">
        <f t="shared" si="4"/>
        <v>0</v>
      </c>
    </row>
    <row r="23" spans="1:11" x14ac:dyDescent="0.2">
      <c r="A23" s="106" t="s">
        <v>39</v>
      </c>
      <c r="B23" s="72">
        <f>IF($B$9="kWh",$B$4,$B$5)</f>
        <v>750</v>
      </c>
      <c r="C23" s="124">
        <f>VLOOKUP($B$3,'Data for Bill Impacts'!$A$3:$Y$25,10,0)</f>
        <v>0</v>
      </c>
      <c r="D23" s="21">
        <f>B23*C23</f>
        <v>0</v>
      </c>
      <c r="E23" s="72">
        <f t="shared" si="6"/>
        <v>750</v>
      </c>
      <c r="F23" s="124">
        <f>VLOOKUP($B$3,'Data for Bill Impacts'!$A$3:$Y$25,19,0)</f>
        <v>0</v>
      </c>
      <c r="G23" s="21">
        <f>E23*F23</f>
        <v>0</v>
      </c>
      <c r="H23" s="21">
        <f t="shared" si="1"/>
        <v>0</v>
      </c>
      <c r="I23" s="22" t="str">
        <f t="shared" si="2"/>
        <v>N/A</v>
      </c>
      <c r="J23" s="22">
        <f t="shared" si="5"/>
        <v>0</v>
      </c>
      <c r="K23" s="107">
        <f t="shared" si="4"/>
        <v>0</v>
      </c>
    </row>
    <row r="24" spans="1:11" x14ac:dyDescent="0.2">
      <c r="A24" s="106" t="s">
        <v>129</v>
      </c>
      <c r="B24" s="72">
        <f>IF($B$9="kWh",$B$4,$B$5)</f>
        <v>750</v>
      </c>
      <c r="C24" s="124">
        <f>VLOOKUP($B$3,'Data for Bill Impacts'!$A$3:$Y$25,14,0)</f>
        <v>0</v>
      </c>
      <c r="D24" s="21">
        <f>B24*C24</f>
        <v>0</v>
      </c>
      <c r="E24" s="72">
        <f t="shared" si="6"/>
        <v>750</v>
      </c>
      <c r="F24" s="124">
        <f>VLOOKUP($B$3,'Data for Bill Impacts'!$A$3:$Y$25,23,0)</f>
        <v>0</v>
      </c>
      <c r="G24" s="21">
        <f>E24*F24</f>
        <v>0</v>
      </c>
      <c r="H24" s="21">
        <f t="shared" si="1"/>
        <v>0</v>
      </c>
      <c r="I24" s="22" t="str">
        <f t="shared" si="2"/>
        <v>N/A</v>
      </c>
      <c r="J24" s="22">
        <f t="shared" si="5"/>
        <v>0</v>
      </c>
      <c r="K24" s="107">
        <f t="shared" si="4"/>
        <v>0</v>
      </c>
    </row>
    <row r="25" spans="1:11" s="1" customFormat="1" x14ac:dyDescent="0.2">
      <c r="A25" s="109" t="s">
        <v>72</v>
      </c>
      <c r="B25" s="73"/>
      <c r="C25" s="34"/>
      <c r="D25" s="34">
        <f>SUM(D19:D24)</f>
        <v>40.43</v>
      </c>
      <c r="E25" s="72"/>
      <c r="F25" s="34"/>
      <c r="G25" s="34">
        <f>SUM(G19:G24)</f>
        <v>41.49</v>
      </c>
      <c r="H25" s="34">
        <f t="shared" si="1"/>
        <v>1.0600000000000023</v>
      </c>
      <c r="I25" s="35">
        <f t="shared" si="2"/>
        <v>2.6218154835518235E-2</v>
      </c>
      <c r="J25" s="35">
        <f>G25/$G$46</f>
        <v>0.2962687362662409</v>
      </c>
      <c r="K25" s="110">
        <f t="shared" si="4"/>
        <v>0.29142712554544442</v>
      </c>
    </row>
    <row r="26" spans="1:11" s="1" customFormat="1" x14ac:dyDescent="0.2">
      <c r="A26" s="118" t="s">
        <v>73</v>
      </c>
      <c r="B26" s="119">
        <v>1</v>
      </c>
      <c r="C26" s="77">
        <f>VLOOKUP($B$3,'Data for Bill Impacts'!$A$3:$Y$25,9,0)</f>
        <v>0.79</v>
      </c>
      <c r="D26" s="21">
        <f>B26*C26</f>
        <v>0.79</v>
      </c>
      <c r="E26" s="72">
        <v>1</v>
      </c>
      <c r="F26" s="77">
        <f>VLOOKUP($B$3,'Data for Bill Impacts'!$A$3:$Y$25,18,0)</f>
        <v>0.79</v>
      </c>
      <c r="G26" s="21">
        <f>E26*F26</f>
        <v>0.79</v>
      </c>
      <c r="H26" s="21">
        <f t="shared" si="1"/>
        <v>0</v>
      </c>
      <c r="I26" s="22">
        <f t="shared" si="2"/>
        <v>0</v>
      </c>
      <c r="J26" s="22">
        <f>G26/$G$46</f>
        <v>5.6411738165902704E-3</v>
      </c>
      <c r="K26" s="107">
        <f t="shared" si="4"/>
        <v>5.5489860009858057E-3</v>
      </c>
    </row>
    <row r="27" spans="1:11" s="1" customFormat="1" x14ac:dyDescent="0.2">
      <c r="A27" s="118" t="s">
        <v>75</v>
      </c>
      <c r="B27" s="119">
        <f>B8-B4</f>
        <v>50.024999999999977</v>
      </c>
      <c r="C27" s="186">
        <f>IF(B4&gt;B7,C13,C12)</f>
        <v>0.106</v>
      </c>
      <c r="D27" s="21">
        <f>B27*C27</f>
        <v>5.3026499999999972</v>
      </c>
      <c r="E27" s="72">
        <f>B27</f>
        <v>50.024999999999977</v>
      </c>
      <c r="F27" s="186">
        <f>C27</f>
        <v>0.106</v>
      </c>
      <c r="G27" s="21">
        <f>E27*F27</f>
        <v>5.3026499999999972</v>
      </c>
      <c r="H27" s="21">
        <f t="shared" si="1"/>
        <v>0</v>
      </c>
      <c r="I27" s="22">
        <f t="shared" si="2"/>
        <v>0</v>
      </c>
      <c r="J27" s="22">
        <f t="shared" ref="J27:J46" si="9">G27/$G$46</f>
        <v>3.7864772580433394E-2</v>
      </c>
      <c r="K27" s="107">
        <f t="shared" si="4"/>
        <v>3.7245988124211857E-2</v>
      </c>
    </row>
    <row r="28" spans="1:11" s="1" customFormat="1" x14ac:dyDescent="0.2">
      <c r="A28" s="118" t="s">
        <v>74</v>
      </c>
      <c r="B28" s="119">
        <f>B8-B4</f>
        <v>50.024999999999977</v>
      </c>
      <c r="C28" s="186">
        <f>0.65*C15+0.17*C16+0.18*C17</f>
        <v>9.7519999999999996E-2</v>
      </c>
      <c r="D28" s="21">
        <f>B28*C28</f>
        <v>4.8784379999999974</v>
      </c>
      <c r="E28" s="72">
        <f>B28</f>
        <v>50.024999999999977</v>
      </c>
      <c r="F28" s="186">
        <f>C28</f>
        <v>9.7519999999999996E-2</v>
      </c>
      <c r="G28" s="21">
        <f>E28*F28</f>
        <v>4.8784379999999974</v>
      </c>
      <c r="H28" s="21">
        <f t="shared" si="1"/>
        <v>0</v>
      </c>
      <c r="I28" s="22">
        <f t="shared" si="2"/>
        <v>0</v>
      </c>
      <c r="J28" s="22">
        <f t="shared" si="9"/>
        <v>3.4835590773998719E-2</v>
      </c>
      <c r="K28" s="107">
        <f t="shared" si="4"/>
        <v>3.4266309074274907E-2</v>
      </c>
    </row>
    <row r="29" spans="1:11" s="1" customFormat="1" x14ac:dyDescent="0.2">
      <c r="A29" s="109" t="s">
        <v>78</v>
      </c>
      <c r="B29" s="73"/>
      <c r="C29" s="34"/>
      <c r="D29" s="34">
        <f>SUM(D25,D26:D27)</f>
        <v>46.522649999999999</v>
      </c>
      <c r="E29" s="72"/>
      <c r="F29" s="34"/>
      <c r="G29" s="34">
        <f>SUM(G25,G26:G27)</f>
        <v>47.582650000000001</v>
      </c>
      <c r="H29" s="34">
        <f t="shared" si="1"/>
        <v>1.0600000000000023</v>
      </c>
      <c r="I29" s="35">
        <f t="shared" si="2"/>
        <v>2.2784600619268298E-2</v>
      </c>
      <c r="J29" s="35">
        <f t="shared" si="9"/>
        <v>0.3397746826632646</v>
      </c>
      <c r="K29" s="110">
        <f t="shared" si="4"/>
        <v>0.33422209967064209</v>
      </c>
    </row>
    <row r="30" spans="1:11" s="1" customFormat="1" x14ac:dyDescent="0.2">
      <c r="A30" s="109" t="s">
        <v>77</v>
      </c>
      <c r="B30" s="73"/>
      <c r="C30" s="34"/>
      <c r="D30" s="34">
        <f>SUM(D25,D26,D28)</f>
        <v>46.098437999999994</v>
      </c>
      <c r="E30" s="72"/>
      <c r="F30" s="34"/>
      <c r="G30" s="34">
        <f>SUM(G25,G26,G28)</f>
        <v>47.158437999999997</v>
      </c>
      <c r="H30" s="34">
        <f t="shared" si="1"/>
        <v>1.0600000000000023</v>
      </c>
      <c r="I30" s="35">
        <f t="shared" si="2"/>
        <v>2.2994271519568676E-2</v>
      </c>
      <c r="J30" s="35">
        <f t="shared" si="9"/>
        <v>0.33674550085682986</v>
      </c>
      <c r="K30" s="110">
        <f t="shared" si="4"/>
        <v>0.33124242062070508</v>
      </c>
    </row>
    <row r="31" spans="1:11" x14ac:dyDescent="0.2">
      <c r="A31" s="106" t="s">
        <v>40</v>
      </c>
      <c r="B31" s="72">
        <f>B8</f>
        <v>800.02499999999998</v>
      </c>
      <c r="C31" s="124">
        <f>VLOOKUP($B$3,'Data for Bill Impacts'!$A$3:$Y$25,15,0)</f>
        <v>7.1000000000000004E-3</v>
      </c>
      <c r="D31" s="21">
        <f>B31*C31</f>
        <v>5.6801775000000001</v>
      </c>
      <c r="E31" s="72">
        <f t="shared" si="6"/>
        <v>800.02499999999998</v>
      </c>
      <c r="F31" s="77">
        <f>VLOOKUP($B$3,'Data for Bill Impacts'!$A$3:$Y$25,24,0)</f>
        <v>7.1000000000000004E-3</v>
      </c>
      <c r="G31" s="21">
        <f>E31*F31</f>
        <v>5.6801775000000001</v>
      </c>
      <c r="H31" s="21">
        <f t="shared" si="1"/>
        <v>0</v>
      </c>
      <c r="I31" s="22">
        <f t="shared" si="2"/>
        <v>0</v>
      </c>
      <c r="J31" s="22">
        <f t="shared" si="9"/>
        <v>4.0560593147576179E-2</v>
      </c>
      <c r="K31" s="107">
        <f t="shared" si="4"/>
        <v>3.9897753709638668E-2</v>
      </c>
    </row>
    <row r="32" spans="1:11" x14ac:dyDescent="0.2">
      <c r="A32" s="106" t="s">
        <v>41</v>
      </c>
      <c r="B32" s="72">
        <f>B8</f>
        <v>800.02499999999998</v>
      </c>
      <c r="C32" s="124">
        <f>VLOOKUP($B$3,'Data for Bill Impacts'!$A$3:$Y$25,16,0)</f>
        <v>6.0000000000000001E-3</v>
      </c>
      <c r="D32" s="21">
        <f>B32*C32</f>
        <v>4.8001500000000004</v>
      </c>
      <c r="E32" s="72">
        <f t="shared" si="6"/>
        <v>800.02499999999998</v>
      </c>
      <c r="F32" s="77">
        <f>VLOOKUP($B$3,'Data for Bill Impacts'!$A$3:$Y$25,25,0)</f>
        <v>6.0000000000000001E-3</v>
      </c>
      <c r="G32" s="21">
        <f>E32*F32</f>
        <v>4.8001500000000004</v>
      </c>
      <c r="H32" s="21">
        <f t="shared" si="1"/>
        <v>0</v>
      </c>
      <c r="I32" s="22">
        <f t="shared" si="2"/>
        <v>0</v>
      </c>
      <c r="J32" s="22">
        <f t="shared" si="9"/>
        <v>3.4276557589500996E-2</v>
      </c>
      <c r="K32" s="107">
        <f t="shared" si="4"/>
        <v>3.3716411585610145E-2</v>
      </c>
    </row>
    <row r="33" spans="1:11" s="1" customFormat="1" x14ac:dyDescent="0.2">
      <c r="A33" s="109" t="s">
        <v>76</v>
      </c>
      <c r="B33" s="73"/>
      <c r="C33" s="34"/>
      <c r="D33" s="34">
        <f>SUM(D31:D32)</f>
        <v>10.480327500000001</v>
      </c>
      <c r="E33" s="72"/>
      <c r="F33" s="34"/>
      <c r="G33" s="34">
        <f>SUM(G31:G32)</f>
        <v>10.480327500000001</v>
      </c>
      <c r="H33" s="34">
        <f t="shared" si="1"/>
        <v>0</v>
      </c>
      <c r="I33" s="35">
        <f t="shared" si="2"/>
        <v>0</v>
      </c>
      <c r="J33" s="35">
        <f t="shared" si="9"/>
        <v>7.4837150737077182E-2</v>
      </c>
      <c r="K33" s="110">
        <f t="shared" si="4"/>
        <v>7.3614165295248821E-2</v>
      </c>
    </row>
    <row r="34" spans="1:11" s="1" customFormat="1" x14ac:dyDescent="0.2">
      <c r="A34" s="109" t="s">
        <v>93</v>
      </c>
      <c r="B34" s="73"/>
      <c r="C34" s="34"/>
      <c r="D34" s="34">
        <f>D29+D33</f>
        <v>57.0029775</v>
      </c>
      <c r="E34" s="72"/>
      <c r="F34" s="34"/>
      <c r="G34" s="34">
        <f>G29+G33</f>
        <v>58.062977500000002</v>
      </c>
      <c r="H34" s="34">
        <f t="shared" si="1"/>
        <v>1.0600000000000023</v>
      </c>
      <c r="I34" s="35">
        <f t="shared" si="2"/>
        <v>1.859551985683559E-2</v>
      </c>
      <c r="J34" s="35">
        <f t="shared" si="9"/>
        <v>0.41461183340034174</v>
      </c>
      <c r="K34" s="110">
        <f t="shared" si="4"/>
        <v>0.40783626496589093</v>
      </c>
    </row>
    <row r="35" spans="1:11" s="1" customFormat="1" x14ac:dyDescent="0.2">
      <c r="A35" s="109" t="s">
        <v>94</v>
      </c>
      <c r="B35" s="73"/>
      <c r="C35" s="34"/>
      <c r="D35" s="34">
        <f>D30+D33</f>
        <v>56.578765499999996</v>
      </c>
      <c r="E35" s="72"/>
      <c r="F35" s="34"/>
      <c r="G35" s="34">
        <f>G30+G33</f>
        <v>57.638765499999998</v>
      </c>
      <c r="H35" s="34">
        <f t="shared" si="1"/>
        <v>1.0600000000000023</v>
      </c>
      <c r="I35" s="35">
        <f t="shared" si="2"/>
        <v>1.873494394288264E-2</v>
      </c>
      <c r="J35" s="35">
        <f t="shared" si="9"/>
        <v>0.41158265159390706</v>
      </c>
      <c r="K35" s="110">
        <f t="shared" si="4"/>
        <v>0.40485658591595391</v>
      </c>
    </row>
    <row r="36" spans="1:11" x14ac:dyDescent="0.2">
      <c r="A36" s="106" t="s">
        <v>42</v>
      </c>
      <c r="B36" s="72">
        <f>B8</f>
        <v>800.02499999999998</v>
      </c>
      <c r="C36" s="33">
        <v>3.5999999999999999E-3</v>
      </c>
      <c r="D36" s="21">
        <f>B36*C36</f>
        <v>2.88009</v>
      </c>
      <c r="E36" s="72">
        <f t="shared" si="6"/>
        <v>800.02499999999998</v>
      </c>
      <c r="F36" s="33">
        <v>3.5999999999999999E-3</v>
      </c>
      <c r="G36" s="21">
        <f>E36*F36</f>
        <v>2.88009</v>
      </c>
      <c r="H36" s="21">
        <f t="shared" si="1"/>
        <v>0</v>
      </c>
      <c r="I36" s="22">
        <f t="shared" si="2"/>
        <v>0</v>
      </c>
      <c r="J36" s="22">
        <f t="shared" si="9"/>
        <v>2.0565934553700597E-2</v>
      </c>
      <c r="K36" s="107">
        <f t="shared" si="4"/>
        <v>2.0229846951366086E-2</v>
      </c>
    </row>
    <row r="37" spans="1:11" x14ac:dyDescent="0.2">
      <c r="A37" s="106" t="s">
        <v>43</v>
      </c>
      <c r="B37" s="72">
        <f>B8</f>
        <v>800.02499999999998</v>
      </c>
      <c r="C37" s="33">
        <v>2.0999999999999999E-3</v>
      </c>
      <c r="D37" s="21">
        <f>B37*C37</f>
        <v>1.6800524999999999</v>
      </c>
      <c r="E37" s="72">
        <f t="shared" si="6"/>
        <v>800.02499999999998</v>
      </c>
      <c r="F37" s="33">
        <v>2.0999999999999999E-3</v>
      </c>
      <c r="G37" s="21">
        <f>E37*F37</f>
        <v>1.6800524999999999</v>
      </c>
      <c r="H37" s="21">
        <f>G37-D37</f>
        <v>0</v>
      </c>
      <c r="I37" s="22">
        <f t="shared" si="2"/>
        <v>0</v>
      </c>
      <c r="J37" s="22">
        <f t="shared" si="9"/>
        <v>1.1996795156325348E-2</v>
      </c>
      <c r="K37" s="107">
        <f t="shared" si="4"/>
        <v>1.180074405496355E-2</v>
      </c>
    </row>
    <row r="38" spans="1:11" x14ac:dyDescent="0.2">
      <c r="A38" s="106" t="s">
        <v>99</v>
      </c>
      <c r="B38" s="72">
        <f>B8</f>
        <v>800.02499999999998</v>
      </c>
      <c r="C38" s="33">
        <v>0</v>
      </c>
      <c r="D38" s="21">
        <f>B38*C38</f>
        <v>0</v>
      </c>
      <c r="E38" s="72">
        <f t="shared" si="6"/>
        <v>800.02499999999998</v>
      </c>
      <c r="F38" s="33">
        <v>0</v>
      </c>
      <c r="G38" s="21">
        <f>E38*F38</f>
        <v>0</v>
      </c>
      <c r="H38" s="21">
        <f>G38-D38</f>
        <v>0</v>
      </c>
      <c r="I38" s="22" t="str">
        <f t="shared" si="2"/>
        <v>N/A</v>
      </c>
      <c r="J38" s="22">
        <f t="shared" si="9"/>
        <v>0</v>
      </c>
      <c r="K38" s="107">
        <f t="shared" si="4"/>
        <v>0</v>
      </c>
    </row>
    <row r="39" spans="1:11" x14ac:dyDescent="0.2">
      <c r="A39" s="106" t="s">
        <v>44</v>
      </c>
      <c r="B39" s="72">
        <v>1</v>
      </c>
      <c r="C39" s="21">
        <v>0.25</v>
      </c>
      <c r="D39" s="21">
        <f>B39*C39</f>
        <v>0.25</v>
      </c>
      <c r="E39" s="72">
        <f t="shared" si="6"/>
        <v>1</v>
      </c>
      <c r="F39" s="21">
        <f>C39</f>
        <v>0.25</v>
      </c>
      <c r="G39" s="21">
        <f>E39*F39</f>
        <v>0.25</v>
      </c>
      <c r="H39" s="21">
        <f t="shared" si="1"/>
        <v>0</v>
      </c>
      <c r="I39" s="22">
        <f t="shared" si="2"/>
        <v>0</v>
      </c>
      <c r="J39" s="22">
        <f t="shared" si="9"/>
        <v>1.7851815875285664E-3</v>
      </c>
      <c r="K39" s="107">
        <f t="shared" si="4"/>
        <v>1.7560082281600649E-3</v>
      </c>
    </row>
    <row r="40" spans="1:11" s="1" customFormat="1" x14ac:dyDescent="0.2">
      <c r="A40" s="109" t="s">
        <v>45</v>
      </c>
      <c r="B40" s="73"/>
      <c r="C40" s="34"/>
      <c r="D40" s="34">
        <f>SUM(D36:D39)</f>
        <v>4.8101424999999995</v>
      </c>
      <c r="E40" s="72"/>
      <c r="F40" s="34"/>
      <c r="G40" s="34">
        <f>SUM(G36:G39)</f>
        <v>4.8101424999999995</v>
      </c>
      <c r="H40" s="34">
        <f t="shared" si="1"/>
        <v>0</v>
      </c>
      <c r="I40" s="35">
        <f t="shared" si="2"/>
        <v>0</v>
      </c>
      <c r="J40" s="35">
        <f t="shared" si="9"/>
        <v>3.4347911297554504E-2</v>
      </c>
      <c r="K40" s="110">
        <f t="shared" si="4"/>
        <v>3.3786599234489699E-2</v>
      </c>
    </row>
    <row r="41" spans="1:11" s="1" customFormat="1" ht="13.5" thickBot="1" x14ac:dyDescent="0.25">
      <c r="A41" s="111" t="s">
        <v>46</v>
      </c>
      <c r="B41" s="112">
        <f>B4</f>
        <v>750</v>
      </c>
      <c r="C41" s="113">
        <v>0</v>
      </c>
      <c r="D41" s="114">
        <f>B41*C41</f>
        <v>0</v>
      </c>
      <c r="E41" s="115">
        <f t="shared" si="6"/>
        <v>750</v>
      </c>
      <c r="F41" s="113">
        <f>C41</f>
        <v>0</v>
      </c>
      <c r="G41" s="114">
        <f>E41*F41</f>
        <v>0</v>
      </c>
      <c r="H41" s="114">
        <f t="shared" si="1"/>
        <v>0</v>
      </c>
      <c r="I41" s="116" t="str">
        <f t="shared" si="2"/>
        <v>N/A</v>
      </c>
      <c r="J41" s="116">
        <f t="shared" si="9"/>
        <v>0</v>
      </c>
      <c r="K41" s="117">
        <f t="shared" si="4"/>
        <v>0</v>
      </c>
    </row>
    <row r="42" spans="1:11" s="1" customFormat="1" x14ac:dyDescent="0.2">
      <c r="A42" s="36" t="s">
        <v>107</v>
      </c>
      <c r="B42" s="37"/>
      <c r="C42" s="38"/>
      <c r="D42" s="38">
        <f>SUM(D14,D25,D26,D27,D33,D40,D41)</f>
        <v>132.31312000000003</v>
      </c>
      <c r="E42" s="37"/>
      <c r="F42" s="38"/>
      <c r="G42" s="38">
        <f>SUM(G14,G25,G26,G27,G33,G40,G41)</f>
        <v>133.37312000000003</v>
      </c>
      <c r="H42" s="38">
        <f t="shared" si="1"/>
        <v>1.0600000000000023</v>
      </c>
      <c r="I42" s="39">
        <f t="shared" si="2"/>
        <v>8.0112992573979219E-3</v>
      </c>
      <c r="J42" s="39">
        <f t="shared" si="9"/>
        <v>0.95238095238095222</v>
      </c>
      <c r="K42" s="40"/>
    </row>
    <row r="43" spans="1:11" x14ac:dyDescent="0.2">
      <c r="A43" s="142" t="s">
        <v>108</v>
      </c>
      <c r="B43" s="42"/>
      <c r="C43" s="25">
        <v>0.13</v>
      </c>
      <c r="D43" s="25">
        <f>D42*C43</f>
        <v>17.200705600000003</v>
      </c>
      <c r="E43" s="25"/>
      <c r="F43" s="25">
        <f>C43</f>
        <v>0.13</v>
      </c>
      <c r="G43" s="25">
        <f>G42*F43</f>
        <v>17.338505600000005</v>
      </c>
      <c r="H43" s="25">
        <f t="shared" si="1"/>
        <v>0.13780000000000214</v>
      </c>
      <c r="I43" s="43">
        <f t="shared" si="2"/>
        <v>8.0112992573980295E-3</v>
      </c>
      <c r="J43" s="43">
        <f t="shared" si="9"/>
        <v>0.1238095238095238</v>
      </c>
      <c r="K43" s="44"/>
    </row>
    <row r="44" spans="1:11" s="1" customFormat="1" x14ac:dyDescent="0.2">
      <c r="A44" s="45" t="s">
        <v>109</v>
      </c>
      <c r="B44" s="23"/>
      <c r="C44" s="24"/>
      <c r="D44" s="24">
        <f>SUM(D42:D43)</f>
        <v>149.51382560000002</v>
      </c>
      <c r="E44" s="24"/>
      <c r="F44" s="24"/>
      <c r="G44" s="24">
        <f>SUM(G42:G43)</f>
        <v>150.71162560000005</v>
      </c>
      <c r="H44" s="24">
        <f t="shared" si="1"/>
        <v>1.1978000000000293</v>
      </c>
      <c r="I44" s="26">
        <f t="shared" si="2"/>
        <v>8.0112992573981006E-3</v>
      </c>
      <c r="J44" s="26">
        <f t="shared" si="9"/>
        <v>1.0761904761904761</v>
      </c>
      <c r="K44" s="46"/>
    </row>
    <row r="45" spans="1:11" x14ac:dyDescent="0.2">
      <c r="A45" s="41" t="s">
        <v>110</v>
      </c>
      <c r="B45" s="42"/>
      <c r="C45" s="25">
        <v>-0.08</v>
      </c>
      <c r="D45" s="25">
        <f>D42*C45</f>
        <v>-10.585049600000003</v>
      </c>
      <c r="E45" s="25"/>
      <c r="F45" s="25">
        <f>C45</f>
        <v>-0.08</v>
      </c>
      <c r="G45" s="25">
        <f>G42*F45</f>
        <v>-10.669849600000003</v>
      </c>
      <c r="H45" s="25">
        <f t="shared" si="1"/>
        <v>-8.4799999999999542E-2</v>
      </c>
      <c r="I45" s="43">
        <f t="shared" si="2"/>
        <v>-8.0112992573978595E-3</v>
      </c>
      <c r="J45" s="43">
        <f t="shared" si="9"/>
        <v>-7.6190476190476183E-2</v>
      </c>
      <c r="K45" s="44"/>
    </row>
    <row r="46" spans="1:11" s="1" customFormat="1" ht="13.5" thickBot="1" x14ac:dyDescent="0.25">
      <c r="A46" s="47" t="s">
        <v>111</v>
      </c>
      <c r="B46" s="48"/>
      <c r="C46" s="49"/>
      <c r="D46" s="49">
        <f>SUM(D44:D45)</f>
        <v>138.92877600000003</v>
      </c>
      <c r="E46" s="49"/>
      <c r="F46" s="49"/>
      <c r="G46" s="49">
        <f>SUM(G44:G45)</f>
        <v>140.04177600000006</v>
      </c>
      <c r="H46" s="49">
        <f t="shared" si="1"/>
        <v>1.113000000000028</v>
      </c>
      <c r="I46" s="50">
        <f t="shared" si="2"/>
        <v>8.0112992573981058E-3</v>
      </c>
      <c r="J46" s="50">
        <f t="shared" si="9"/>
        <v>1</v>
      </c>
      <c r="K46" s="51"/>
    </row>
    <row r="47" spans="1:11" x14ac:dyDescent="0.2">
      <c r="A47" s="52" t="s">
        <v>112</v>
      </c>
      <c r="B47" s="53"/>
      <c r="C47" s="54"/>
      <c r="D47" s="54">
        <f>SUM(D18,D25,D26,D28,D33,D40,D41)</f>
        <v>134.52890800000003</v>
      </c>
      <c r="E47" s="54"/>
      <c r="F47" s="54"/>
      <c r="G47" s="54">
        <f>SUM(G18,G25,G26,G28,G33,G40,G41)</f>
        <v>135.58890800000003</v>
      </c>
      <c r="H47" s="54">
        <f>G47-D47</f>
        <v>1.0600000000000023</v>
      </c>
      <c r="I47" s="55">
        <f t="shared" si="2"/>
        <v>7.8793473890385116E-3</v>
      </c>
      <c r="J47" s="55"/>
      <c r="K47" s="56">
        <f>G47/$G$51</f>
        <v>0.95238095238095244</v>
      </c>
    </row>
    <row r="48" spans="1:11" x14ac:dyDescent="0.2">
      <c r="A48" s="57" t="s">
        <v>108</v>
      </c>
      <c r="B48" s="58"/>
      <c r="C48" s="30">
        <v>0.13</v>
      </c>
      <c r="D48" s="30">
        <f>D47*C48</f>
        <v>17.488758040000004</v>
      </c>
      <c r="E48" s="30"/>
      <c r="F48" s="30">
        <f>C48</f>
        <v>0.13</v>
      </c>
      <c r="G48" s="30">
        <f>G47*F48</f>
        <v>17.626558040000006</v>
      </c>
      <c r="H48" s="30">
        <f>G48-D48</f>
        <v>0.13780000000000214</v>
      </c>
      <c r="I48" s="31">
        <f t="shared" si="2"/>
        <v>7.8793473890386156E-3</v>
      </c>
      <c r="J48" s="31"/>
      <c r="K48" s="59">
        <f>G48/$G$51</f>
        <v>0.12380952380952384</v>
      </c>
    </row>
    <row r="49" spans="1:11" x14ac:dyDescent="0.2">
      <c r="A49" s="60" t="s">
        <v>113</v>
      </c>
      <c r="B49" s="28"/>
      <c r="C49" s="29"/>
      <c r="D49" s="29">
        <f>SUM(D47:D48)</f>
        <v>152.01766604000002</v>
      </c>
      <c r="E49" s="29"/>
      <c r="F49" s="29"/>
      <c r="G49" s="29">
        <f>SUM(G47:G48)</f>
        <v>153.21546604000002</v>
      </c>
      <c r="H49" s="29">
        <f>G49-D49</f>
        <v>1.1978000000000009</v>
      </c>
      <c r="I49" s="32">
        <f t="shared" si="2"/>
        <v>7.8793473890384994E-3</v>
      </c>
      <c r="J49" s="32"/>
      <c r="K49" s="61">
        <f>G49/$G$51</f>
        <v>1.0761904761904761</v>
      </c>
    </row>
    <row r="50" spans="1:11" x14ac:dyDescent="0.2">
      <c r="A50" s="57" t="s">
        <v>110</v>
      </c>
      <c r="B50" s="58"/>
      <c r="C50" s="30">
        <v>-0.08</v>
      </c>
      <c r="D50" s="30">
        <f>D47*C50</f>
        <v>-10.762312640000003</v>
      </c>
      <c r="E50" s="30"/>
      <c r="F50" s="30">
        <f>C50</f>
        <v>-0.08</v>
      </c>
      <c r="G50" s="30">
        <f>G47*F50</f>
        <v>-10.847112640000002</v>
      </c>
      <c r="H50" s="30">
        <f>G50-D50</f>
        <v>-8.4799999999999542E-2</v>
      </c>
      <c r="I50" s="31">
        <f t="shared" si="2"/>
        <v>-7.8793473890384508E-3</v>
      </c>
      <c r="J50" s="31"/>
      <c r="K50" s="59">
        <f>G50/$G$51</f>
        <v>-7.6190476190476197E-2</v>
      </c>
    </row>
    <row r="51" spans="1:11" ht="13.5" thickBot="1" x14ac:dyDescent="0.25">
      <c r="A51" s="62" t="s">
        <v>114</v>
      </c>
      <c r="B51" s="63"/>
      <c r="C51" s="64"/>
      <c r="D51" s="64">
        <f>SUM(D49:D50)</f>
        <v>141.25535340000002</v>
      </c>
      <c r="E51" s="64"/>
      <c r="F51" s="64"/>
      <c r="G51" s="64">
        <f>SUM(G49:G50)</f>
        <v>142.36835340000002</v>
      </c>
      <c r="H51" s="64">
        <f>G51-D51</f>
        <v>1.1129999999999995</v>
      </c>
      <c r="I51" s="65">
        <f t="shared" si="2"/>
        <v>7.8793473890384907E-3</v>
      </c>
      <c r="J51" s="65"/>
      <c r="K51" s="66">
        <f>G51/$G$51</f>
        <v>1</v>
      </c>
    </row>
    <row r="52" spans="1:11" x14ac:dyDescent="0.2">
      <c r="C52" s="67"/>
      <c r="F52" s="68"/>
    </row>
    <row r="53" spans="1:11" x14ac:dyDescent="0.2">
      <c r="F53" s="68"/>
    </row>
    <row r="54" spans="1:11" x14ac:dyDescent="0.2">
      <c r="F54" s="68"/>
    </row>
    <row r="55" spans="1:11" x14ac:dyDescent="0.2">
      <c r="A55" s="69"/>
      <c r="B55" s="70"/>
      <c r="F55" s="68"/>
    </row>
    <row r="56" spans="1:11" x14ac:dyDescent="0.2">
      <c r="B56" s="70"/>
      <c r="F56" s="68"/>
    </row>
    <row r="57" spans="1:11" x14ac:dyDescent="0.2">
      <c r="F57" s="68"/>
    </row>
    <row r="58" spans="1:11" x14ac:dyDescent="0.2">
      <c r="D58" s="71"/>
      <c r="F58" s="68"/>
    </row>
    <row r="59" spans="1:11" x14ac:dyDescent="0.2">
      <c r="F59" s="68"/>
    </row>
    <row r="60" spans="1:11" x14ac:dyDescent="0.2">
      <c r="A60" s="69"/>
      <c r="B60" s="70"/>
      <c r="F60" s="68"/>
    </row>
    <row r="61" spans="1:11" x14ac:dyDescent="0.2">
      <c r="B61" s="71"/>
      <c r="D61" s="71"/>
      <c r="F61" s="68"/>
    </row>
    <row r="62" spans="1:11" x14ac:dyDescent="0.2">
      <c r="F62" s="68"/>
    </row>
    <row r="63" spans="1:11" x14ac:dyDescent="0.2">
      <c r="F63" s="68"/>
    </row>
    <row r="64" spans="1:11" x14ac:dyDescent="0.2">
      <c r="F64" s="68"/>
      <c r="K64"/>
    </row>
    <row r="65" spans="6:11" x14ac:dyDescent="0.2">
      <c r="F65" s="68"/>
      <c r="K65"/>
    </row>
    <row r="66" spans="6:11" x14ac:dyDescent="0.2">
      <c r="F66" s="68"/>
      <c r="K66"/>
    </row>
    <row r="67" spans="6:11" x14ac:dyDescent="0.2">
      <c r="F67" s="68"/>
      <c r="K67"/>
    </row>
    <row r="68" spans="6:11" x14ac:dyDescent="0.2">
      <c r="F68" s="68"/>
      <c r="K68"/>
    </row>
  </sheetData>
  <mergeCells count="1">
    <mergeCell ref="A1:K1"/>
  </mergeCells>
  <pageMargins left="0.7" right="0.7" top="0.75" bottom="0.75" header="0.3" footer="0.3"/>
  <pageSetup scale="7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Impacts'!$A$3:$A$22</xm:f>
          </x14:formula1>
          <xm:sqref>B3</xm:sqref>
        </x14:dataValidation>
      </x14:dataValidations>
    </ext>
  </extLs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tabColor theme="1" tint="0.499984740745262"/>
    <pageSetUpPr fitToPage="1"/>
  </sheetPr>
  <dimension ref="A1:K68"/>
  <sheetViews>
    <sheetView tabSelected="1" zoomScaleNormal="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3"/>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205" t="s">
        <v>127</v>
      </c>
      <c r="B1" s="206"/>
      <c r="C1" s="206"/>
      <c r="D1" s="206"/>
      <c r="E1" s="206"/>
      <c r="F1" s="206"/>
      <c r="G1" s="206"/>
      <c r="H1" s="206"/>
      <c r="I1" s="206"/>
      <c r="J1" s="206"/>
      <c r="K1" s="207"/>
    </row>
    <row r="3" spans="1:11" x14ac:dyDescent="0.2">
      <c r="A3" s="12" t="s">
        <v>13</v>
      </c>
      <c r="B3" s="12" t="s">
        <v>119</v>
      </c>
    </row>
    <row r="4" spans="1:11" x14ac:dyDescent="0.2">
      <c r="A4" s="14" t="s">
        <v>62</v>
      </c>
      <c r="B4" s="78">
        <f>VLOOKUP($B$3,'Data for Bill Impacts_HONI Avg '!$A$2:$F$21,3,FALSE)</f>
        <v>634</v>
      </c>
    </row>
    <row r="5" spans="1:11" x14ac:dyDescent="0.2">
      <c r="A5" s="14" t="s">
        <v>16</v>
      </c>
      <c r="B5" s="14">
        <f>VLOOKUP($B$3,'Data for Bill Impacts'!$A$3:$Y$25,5,0)</f>
        <v>0</v>
      </c>
    </row>
    <row r="6" spans="1:11" x14ac:dyDescent="0.2">
      <c r="A6" s="14" t="s">
        <v>20</v>
      </c>
      <c r="B6" s="14">
        <f>VLOOKUP($B$3,'Data for Bill Impacts'!$A$3:$Y$25,2,0)</f>
        <v>1.0667</v>
      </c>
    </row>
    <row r="7" spans="1:11" x14ac:dyDescent="0.2">
      <c r="A7" s="14" t="s">
        <v>15</v>
      </c>
      <c r="B7" s="14">
        <f>VLOOKUP($B$3,'Data for Bill Impacts'!$A$3:$Y$25,4,0)</f>
        <v>600</v>
      </c>
    </row>
    <row r="8" spans="1:11" x14ac:dyDescent="0.2">
      <c r="A8" s="14" t="s">
        <v>82</v>
      </c>
      <c r="B8" s="148">
        <f>B4*B6</f>
        <v>676.28779999999995</v>
      </c>
    </row>
    <row r="9" spans="1:11" x14ac:dyDescent="0.2">
      <c r="A9" s="14" t="s">
        <v>21</v>
      </c>
      <c r="B9" s="15" t="str">
        <f>VLOOKUP($B$3,'Data for Bill Impacts'!$A$3:$Y$25,6,0)</f>
        <v>kWh</v>
      </c>
    </row>
    <row r="10" spans="1:11" ht="13.5" thickBot="1" x14ac:dyDescent="0.25"/>
    <row r="11" spans="1:11" s="19" customFormat="1" ht="51.75" thickBot="1" x14ac:dyDescent="0.25">
      <c r="A11" s="16"/>
      <c r="B11" s="17" t="s">
        <v>22</v>
      </c>
      <c r="C11" s="17" t="s">
        <v>23</v>
      </c>
      <c r="D11" s="17" t="s">
        <v>24</v>
      </c>
      <c r="E11" s="17" t="s">
        <v>22</v>
      </c>
      <c r="F11" s="17" t="s">
        <v>25</v>
      </c>
      <c r="G11" s="17" t="s">
        <v>26</v>
      </c>
      <c r="H11" s="17" t="s">
        <v>27</v>
      </c>
      <c r="I11" s="17" t="s">
        <v>28</v>
      </c>
      <c r="J11" s="17" t="s">
        <v>29</v>
      </c>
      <c r="K11" s="18" t="s">
        <v>30</v>
      </c>
    </row>
    <row r="12" spans="1:11" x14ac:dyDescent="0.2">
      <c r="A12" s="100" t="s">
        <v>31</v>
      </c>
      <c r="B12" s="101">
        <f>IF(B4&gt;B7,B7,B4)</f>
        <v>600</v>
      </c>
      <c r="C12" s="102">
        <v>9.0999999999999998E-2</v>
      </c>
      <c r="D12" s="103">
        <f>B12*C12</f>
        <v>54.6</v>
      </c>
      <c r="E12" s="101">
        <f>B12</f>
        <v>600</v>
      </c>
      <c r="F12" s="102">
        <f>C12</f>
        <v>9.0999999999999998E-2</v>
      </c>
      <c r="G12" s="103">
        <f>E12*F12</f>
        <v>54.6</v>
      </c>
      <c r="H12" s="103">
        <f>G12-D12</f>
        <v>0</v>
      </c>
      <c r="I12" s="104">
        <f>IF(ISERROR(H12/ABS(D12)),"N/A",(H12/ABS(D12)))</f>
        <v>0</v>
      </c>
      <c r="J12" s="104">
        <f>G12/$G$46</f>
        <v>0.44093685791792286</v>
      </c>
      <c r="K12" s="105"/>
    </row>
    <row r="13" spans="1:11" x14ac:dyDescent="0.2">
      <c r="A13" s="106" t="s">
        <v>32</v>
      </c>
      <c r="B13" s="72">
        <f>IF(B4&gt;B7,(B4)-B7,0)</f>
        <v>34</v>
      </c>
      <c r="C13" s="20">
        <v>0.106</v>
      </c>
      <c r="D13" s="21">
        <f>B13*C13</f>
        <v>3.6040000000000001</v>
      </c>
      <c r="E13" s="72">
        <f t="shared" ref="E13" si="0">B13</f>
        <v>34</v>
      </c>
      <c r="F13" s="20">
        <f>C13</f>
        <v>0.106</v>
      </c>
      <c r="G13" s="21">
        <f>E13*F13</f>
        <v>3.6040000000000001</v>
      </c>
      <c r="H13" s="21">
        <f t="shared" ref="H13:H46" si="1">G13-D13</f>
        <v>0</v>
      </c>
      <c r="I13" s="22">
        <f t="shared" ref="I13:I51" si="2">IF(ISERROR(H13/ABS(D13)),"N/A",(H13/ABS(D13)))</f>
        <v>0</v>
      </c>
      <c r="J13" s="22">
        <f>G13/$G$46</f>
        <v>2.9105062929234322E-2</v>
      </c>
      <c r="K13" s="107"/>
    </row>
    <row r="14" spans="1:11" s="1" customFormat="1" x14ac:dyDescent="0.2">
      <c r="A14" s="45" t="s">
        <v>33</v>
      </c>
      <c r="B14" s="23"/>
      <c r="C14" s="24"/>
      <c r="D14" s="24">
        <f>SUM(D12:D13)</f>
        <v>58.204000000000001</v>
      </c>
      <c r="E14" s="75"/>
      <c r="F14" s="24"/>
      <c r="G14" s="24">
        <f>SUM(G12:G13)</f>
        <v>58.204000000000001</v>
      </c>
      <c r="H14" s="24">
        <f t="shared" si="1"/>
        <v>0</v>
      </c>
      <c r="I14" s="26">
        <f t="shared" si="2"/>
        <v>0</v>
      </c>
      <c r="J14" s="26">
        <f>G14/$G$46</f>
        <v>0.47004192084715718</v>
      </c>
      <c r="K14" s="107"/>
    </row>
    <row r="15" spans="1:11" s="1" customFormat="1" x14ac:dyDescent="0.2">
      <c r="A15" s="108" t="s">
        <v>34</v>
      </c>
      <c r="B15" s="74">
        <f>B4*0.65</f>
        <v>412.1</v>
      </c>
      <c r="C15" s="27">
        <v>7.6999999999999999E-2</v>
      </c>
      <c r="D15" s="21">
        <f>B15*C15</f>
        <v>31.7317</v>
      </c>
      <c r="E15" s="72">
        <f t="shared" ref="E15:F17" si="3">B15</f>
        <v>412.1</v>
      </c>
      <c r="F15" s="27">
        <f t="shared" si="3"/>
        <v>7.6999999999999999E-2</v>
      </c>
      <c r="G15" s="21">
        <f>E15*F15</f>
        <v>31.7317</v>
      </c>
      <c r="H15" s="21">
        <f t="shared" si="1"/>
        <v>0</v>
      </c>
      <c r="I15" s="22">
        <f t="shared" si="2"/>
        <v>0</v>
      </c>
      <c r="J15" s="22"/>
      <c r="K15" s="107">
        <f t="shared" ref="K15:K41" si="4">G15/$G$51</f>
        <v>0.24935408191258887</v>
      </c>
    </row>
    <row r="16" spans="1:11" s="1" customFormat="1" x14ac:dyDescent="0.2">
      <c r="A16" s="108" t="s">
        <v>35</v>
      </c>
      <c r="B16" s="74">
        <f>B4*0.17</f>
        <v>107.78</v>
      </c>
      <c r="C16" s="27">
        <v>0.113</v>
      </c>
      <c r="D16" s="21">
        <f>B16*C16</f>
        <v>12.17914</v>
      </c>
      <c r="E16" s="72">
        <f t="shared" si="3"/>
        <v>107.78</v>
      </c>
      <c r="F16" s="27">
        <f t="shared" si="3"/>
        <v>0.113</v>
      </c>
      <c r="G16" s="21">
        <f>E16*F16</f>
        <v>12.17914</v>
      </c>
      <c r="H16" s="21">
        <f t="shared" si="1"/>
        <v>0</v>
      </c>
      <c r="I16" s="22">
        <f t="shared" si="2"/>
        <v>0</v>
      </c>
      <c r="J16" s="22"/>
      <c r="K16" s="107">
        <f t="shared" si="4"/>
        <v>9.5706132138677971E-2</v>
      </c>
    </row>
    <row r="17" spans="1:11" s="1" customFormat="1" x14ac:dyDescent="0.2">
      <c r="A17" s="108" t="s">
        <v>36</v>
      </c>
      <c r="B17" s="74">
        <f>B4*0.18</f>
        <v>114.11999999999999</v>
      </c>
      <c r="C17" s="27">
        <v>0.157</v>
      </c>
      <c r="D17" s="21">
        <f>B17*C17</f>
        <v>17.916839999999997</v>
      </c>
      <c r="E17" s="72">
        <f t="shared" si="3"/>
        <v>114.11999999999999</v>
      </c>
      <c r="F17" s="27">
        <f t="shared" si="3"/>
        <v>0.157</v>
      </c>
      <c r="G17" s="21">
        <f>E17*F17</f>
        <v>17.916839999999997</v>
      </c>
      <c r="H17" s="21">
        <f t="shared" si="1"/>
        <v>0</v>
      </c>
      <c r="I17" s="22">
        <f t="shared" si="2"/>
        <v>0</v>
      </c>
      <c r="J17" s="22"/>
      <c r="K17" s="107">
        <f t="shared" si="4"/>
        <v>0.14079413296403118</v>
      </c>
    </row>
    <row r="18" spans="1:11" s="1" customFormat="1" x14ac:dyDescent="0.2">
      <c r="A18" s="60" t="s">
        <v>37</v>
      </c>
      <c r="B18" s="28"/>
      <c r="C18" s="29"/>
      <c r="D18" s="29">
        <f>SUM(D15:D17)</f>
        <v>61.827680000000001</v>
      </c>
      <c r="E18" s="76"/>
      <c r="F18" s="29"/>
      <c r="G18" s="29">
        <f>SUM(G15:G17)</f>
        <v>61.827680000000001</v>
      </c>
      <c r="H18" s="30">
        <f t="shared" si="1"/>
        <v>0</v>
      </c>
      <c r="I18" s="31">
        <f t="shared" si="2"/>
        <v>0</v>
      </c>
      <c r="J18" s="32">
        <f t="shared" ref="J18:J24" si="5">G18/$G$46</f>
        <v>0.49930591486364106</v>
      </c>
      <c r="K18" s="61">
        <f t="shared" si="4"/>
        <v>0.485854347015298</v>
      </c>
    </row>
    <row r="19" spans="1:11" x14ac:dyDescent="0.2">
      <c r="A19" s="106" t="s">
        <v>38</v>
      </c>
      <c r="B19" s="72">
        <v>1</v>
      </c>
      <c r="C19" s="77">
        <f>VLOOKUP($B$3,'Data for Bill Impacts'!$A$3:$Y$25,7,0)</f>
        <v>40.43</v>
      </c>
      <c r="D19" s="21">
        <f>B19*C19</f>
        <v>40.43</v>
      </c>
      <c r="E19" s="72">
        <f t="shared" ref="E19:E41" si="6">B19</f>
        <v>1</v>
      </c>
      <c r="F19" s="77">
        <f>VLOOKUP($B$3,'Data for Bill Impacts'!$A$3:$Y$25,17,0)</f>
        <v>41.49</v>
      </c>
      <c r="G19" s="21">
        <f>E19*F19</f>
        <v>41.49</v>
      </c>
      <c r="H19" s="21">
        <f t="shared" si="1"/>
        <v>1.0600000000000023</v>
      </c>
      <c r="I19" s="22">
        <f t="shared" si="2"/>
        <v>2.6218154835518235E-2</v>
      </c>
      <c r="J19" s="22">
        <f t="shared" si="5"/>
        <v>0.33506355741785021</v>
      </c>
      <c r="K19" s="107">
        <f t="shared" si="4"/>
        <v>0.32603676634259471</v>
      </c>
    </row>
    <row r="20" spans="1:11" hidden="1" x14ac:dyDescent="0.2">
      <c r="A20" s="106" t="s">
        <v>83</v>
      </c>
      <c r="B20" s="72">
        <v>1</v>
      </c>
      <c r="C20" s="77">
        <f>VLOOKUP($B$3,'Data for Bill Impacts'!$A$3:$Y$25,8,0)</f>
        <v>0</v>
      </c>
      <c r="D20" s="21">
        <f>B20*C20</f>
        <v>0</v>
      </c>
      <c r="E20" s="72">
        <f t="shared" si="6"/>
        <v>1</v>
      </c>
      <c r="F20" s="77">
        <v>0</v>
      </c>
      <c r="G20" s="21">
        <f t="shared" ref="G20:G22" si="7">E20*F20</f>
        <v>0</v>
      </c>
      <c r="H20" s="21">
        <f t="shared" si="1"/>
        <v>0</v>
      </c>
      <c r="I20" s="22" t="str">
        <f t="shared" si="2"/>
        <v>N/A</v>
      </c>
      <c r="J20" s="22">
        <f t="shared" si="5"/>
        <v>0</v>
      </c>
      <c r="K20" s="107">
        <f t="shared" si="4"/>
        <v>0</v>
      </c>
    </row>
    <row r="21" spans="1:11" hidden="1" x14ac:dyDescent="0.2">
      <c r="A21" s="106" t="s">
        <v>115</v>
      </c>
      <c r="B21" s="72">
        <v>1</v>
      </c>
      <c r="C21" s="77">
        <f>VLOOKUP($B$3,'Data for Bill Impacts'!$A$3:$Y$25,11,0)</f>
        <v>0</v>
      </c>
      <c r="D21" s="21">
        <f t="shared" ref="D21:D22" si="8">B21*C21</f>
        <v>0</v>
      </c>
      <c r="E21" s="72">
        <f t="shared" si="6"/>
        <v>1</v>
      </c>
      <c r="F21" s="120">
        <f>VLOOKUP($B$3,'Data for Bill Impacts'!$A$3:$Y$25,12,0)</f>
        <v>0</v>
      </c>
      <c r="G21" s="21">
        <f t="shared" si="7"/>
        <v>0</v>
      </c>
      <c r="H21" s="21">
        <f t="shared" si="1"/>
        <v>0</v>
      </c>
      <c r="I21" s="22" t="str">
        <f t="shared" si="2"/>
        <v>N/A</v>
      </c>
      <c r="J21" s="22">
        <f t="shared" si="5"/>
        <v>0</v>
      </c>
      <c r="K21" s="107">
        <f t="shared" si="4"/>
        <v>0</v>
      </c>
    </row>
    <row r="22" spans="1:11" x14ac:dyDescent="0.2">
      <c r="A22" s="106" t="s">
        <v>85</v>
      </c>
      <c r="B22" s="72">
        <v>1</v>
      </c>
      <c r="C22" s="120">
        <f>VLOOKUP($B$3,'Data for Bill Impacts'!$A$3:$Y$25,13,0)</f>
        <v>0</v>
      </c>
      <c r="D22" s="21">
        <f t="shared" si="8"/>
        <v>0</v>
      </c>
      <c r="E22" s="72">
        <f t="shared" si="6"/>
        <v>1</v>
      </c>
      <c r="F22" s="120">
        <f>VLOOKUP($B$3,'Data for Bill Impacts'!$A$3:$Y$25,22,0)</f>
        <v>0</v>
      </c>
      <c r="G22" s="21">
        <f t="shared" si="7"/>
        <v>0</v>
      </c>
      <c r="H22" s="21">
        <f t="shared" si="1"/>
        <v>0</v>
      </c>
      <c r="I22" s="22" t="str">
        <f t="shared" si="2"/>
        <v>N/A</v>
      </c>
      <c r="J22" s="22">
        <f t="shared" si="5"/>
        <v>0</v>
      </c>
      <c r="K22" s="107">
        <f t="shared" si="4"/>
        <v>0</v>
      </c>
    </row>
    <row r="23" spans="1:11" x14ac:dyDescent="0.2">
      <c r="A23" s="106" t="s">
        <v>39</v>
      </c>
      <c r="B23" s="72">
        <f>IF($B$9="kWh",$B$4,$B$5)</f>
        <v>634</v>
      </c>
      <c r="C23" s="124">
        <f>VLOOKUP($B$3,'Data for Bill Impacts'!$A$3:$Y$25,10,0)</f>
        <v>0</v>
      </c>
      <c r="D23" s="21">
        <f>B23*C23</f>
        <v>0</v>
      </c>
      <c r="E23" s="72">
        <f t="shared" si="6"/>
        <v>634</v>
      </c>
      <c r="F23" s="124">
        <f>VLOOKUP($B$3,'Data for Bill Impacts'!$A$3:$Y$25,19,0)</f>
        <v>0</v>
      </c>
      <c r="G23" s="21">
        <f>E23*F23</f>
        <v>0</v>
      </c>
      <c r="H23" s="21">
        <f t="shared" si="1"/>
        <v>0</v>
      </c>
      <c r="I23" s="22" t="str">
        <f t="shared" si="2"/>
        <v>N/A</v>
      </c>
      <c r="J23" s="22">
        <f t="shared" si="5"/>
        <v>0</v>
      </c>
      <c r="K23" s="107">
        <f t="shared" si="4"/>
        <v>0</v>
      </c>
    </row>
    <row r="24" spans="1:11" x14ac:dyDescent="0.2">
      <c r="A24" s="106" t="s">
        <v>129</v>
      </c>
      <c r="B24" s="72">
        <f>IF($B$9="kWh",$B$4,$B$5)</f>
        <v>634</v>
      </c>
      <c r="C24" s="124">
        <f>VLOOKUP($B$3,'Data for Bill Impacts'!$A$3:$Y$25,14,0)</f>
        <v>0</v>
      </c>
      <c r="D24" s="21">
        <f>B24*C24</f>
        <v>0</v>
      </c>
      <c r="E24" s="72">
        <f t="shared" si="6"/>
        <v>634</v>
      </c>
      <c r="F24" s="124">
        <f>VLOOKUP($B$3,'Data for Bill Impacts'!$A$3:$Y$25,23,0)</f>
        <v>0</v>
      </c>
      <c r="G24" s="21">
        <f>E24*F24</f>
        <v>0</v>
      </c>
      <c r="H24" s="21">
        <f t="shared" si="1"/>
        <v>0</v>
      </c>
      <c r="I24" s="22" t="str">
        <f t="shared" si="2"/>
        <v>N/A</v>
      </c>
      <c r="J24" s="22">
        <f t="shared" si="5"/>
        <v>0</v>
      </c>
      <c r="K24" s="107">
        <f t="shared" si="4"/>
        <v>0</v>
      </c>
    </row>
    <row r="25" spans="1:11" s="1" customFormat="1" x14ac:dyDescent="0.2">
      <c r="A25" s="109" t="s">
        <v>72</v>
      </c>
      <c r="B25" s="73"/>
      <c r="C25" s="34"/>
      <c r="D25" s="34">
        <f>SUM(D19:D24)</f>
        <v>40.43</v>
      </c>
      <c r="E25" s="72"/>
      <c r="F25" s="34"/>
      <c r="G25" s="34">
        <f>SUM(G19:G24)</f>
        <v>41.49</v>
      </c>
      <c r="H25" s="34">
        <f t="shared" si="1"/>
        <v>1.0600000000000023</v>
      </c>
      <c r="I25" s="35">
        <f t="shared" si="2"/>
        <v>2.6218154835518235E-2</v>
      </c>
      <c r="J25" s="35">
        <f>G25/$G$46</f>
        <v>0.33506355741785021</v>
      </c>
      <c r="K25" s="110">
        <f t="shared" si="4"/>
        <v>0.32603676634259471</v>
      </c>
    </row>
    <row r="26" spans="1:11" s="1" customFormat="1" x14ac:dyDescent="0.2">
      <c r="A26" s="118" t="s">
        <v>73</v>
      </c>
      <c r="B26" s="119">
        <v>1</v>
      </c>
      <c r="C26" s="77">
        <f>VLOOKUP($B$3,'Data for Bill Impacts'!$A$3:$Y$25,9,0)</f>
        <v>0.79</v>
      </c>
      <c r="D26" s="21">
        <f>B26*C26</f>
        <v>0.79</v>
      </c>
      <c r="E26" s="72">
        <v>1</v>
      </c>
      <c r="F26" s="77">
        <f>VLOOKUP($B$3,'Data for Bill Impacts'!$A$3:$Y$25,18,0)</f>
        <v>0.79</v>
      </c>
      <c r="G26" s="21">
        <f>E26*F26</f>
        <v>0.79</v>
      </c>
      <c r="H26" s="21">
        <f t="shared" si="1"/>
        <v>0</v>
      </c>
      <c r="I26" s="22">
        <f t="shared" si="2"/>
        <v>0</v>
      </c>
      <c r="J26" s="22">
        <f>G26/$G$46</f>
        <v>6.3798556365413754E-3</v>
      </c>
      <c r="K26" s="107">
        <f t="shared" si="4"/>
        <v>6.2079789204784238E-3</v>
      </c>
    </row>
    <row r="27" spans="1:11" s="1" customFormat="1" x14ac:dyDescent="0.2">
      <c r="A27" s="118" t="s">
        <v>75</v>
      </c>
      <c r="B27" s="119">
        <f>B8-B4</f>
        <v>42.287799999999947</v>
      </c>
      <c r="C27" s="186">
        <f>IF(B4&gt;B7,C13,C12)</f>
        <v>0.106</v>
      </c>
      <c r="D27" s="21">
        <f>B27*C27</f>
        <v>4.4825067999999941</v>
      </c>
      <c r="E27" s="72">
        <f>B27</f>
        <v>42.287799999999947</v>
      </c>
      <c r="F27" s="186">
        <f>C27</f>
        <v>0.106</v>
      </c>
      <c r="G27" s="21">
        <f>E27*F27</f>
        <v>4.4825067999999941</v>
      </c>
      <c r="H27" s="21">
        <f t="shared" si="1"/>
        <v>0</v>
      </c>
      <c r="I27" s="22">
        <f t="shared" si="2"/>
        <v>0</v>
      </c>
      <c r="J27" s="22">
        <f t="shared" ref="J27:J46" si="9">G27/$G$46</f>
        <v>3.6199678827613928E-2</v>
      </c>
      <c r="K27" s="107">
        <f t="shared" si="4"/>
        <v>3.5224440158609059E-2</v>
      </c>
    </row>
    <row r="28" spans="1:11" s="1" customFormat="1" x14ac:dyDescent="0.2">
      <c r="A28" s="118" t="s">
        <v>74</v>
      </c>
      <c r="B28" s="119">
        <f>B8-B4</f>
        <v>42.287799999999947</v>
      </c>
      <c r="C28" s="186">
        <f>0.65*C15+0.17*C16+0.18*C17</f>
        <v>9.7519999999999996E-2</v>
      </c>
      <c r="D28" s="21">
        <f>B28*C28</f>
        <v>4.1239062559999944</v>
      </c>
      <c r="E28" s="72">
        <f>B28</f>
        <v>42.287799999999947</v>
      </c>
      <c r="F28" s="186">
        <f>C28</f>
        <v>9.7519999999999996E-2</v>
      </c>
      <c r="G28" s="21">
        <f>E28*F28</f>
        <v>4.1239062559999944</v>
      </c>
      <c r="H28" s="21">
        <f t="shared" si="1"/>
        <v>0</v>
      </c>
      <c r="I28" s="22">
        <f t="shared" si="2"/>
        <v>0</v>
      </c>
      <c r="J28" s="22">
        <f t="shared" si="9"/>
        <v>3.3303704521404812E-2</v>
      </c>
      <c r="K28" s="107">
        <f t="shared" si="4"/>
        <v>3.2406484945920334E-2</v>
      </c>
    </row>
    <row r="29" spans="1:11" s="1" customFormat="1" x14ac:dyDescent="0.2">
      <c r="A29" s="109" t="s">
        <v>78</v>
      </c>
      <c r="B29" s="73"/>
      <c r="C29" s="34"/>
      <c r="D29" s="34">
        <f>SUM(D25,D26:D27)</f>
        <v>45.702506799999995</v>
      </c>
      <c r="E29" s="72"/>
      <c r="F29" s="34"/>
      <c r="G29" s="34">
        <f>SUM(G25,G26:G27)</f>
        <v>46.762506799999997</v>
      </c>
      <c r="H29" s="34">
        <f t="shared" si="1"/>
        <v>1.0600000000000023</v>
      </c>
      <c r="I29" s="35">
        <f t="shared" si="2"/>
        <v>2.3193476118032161E-2</v>
      </c>
      <c r="J29" s="35">
        <f t="shared" si="9"/>
        <v>0.37764309188200551</v>
      </c>
      <c r="K29" s="110">
        <f t="shared" si="4"/>
        <v>0.36746918542168222</v>
      </c>
    </row>
    <row r="30" spans="1:11" s="1" customFormat="1" x14ac:dyDescent="0.2">
      <c r="A30" s="109" t="s">
        <v>77</v>
      </c>
      <c r="B30" s="73"/>
      <c r="C30" s="34"/>
      <c r="D30" s="34">
        <f>SUM(D25,D26,D28)</f>
        <v>45.343906255999997</v>
      </c>
      <c r="E30" s="72"/>
      <c r="F30" s="34"/>
      <c r="G30" s="34">
        <f>SUM(G25,G26,G28)</f>
        <v>46.403906255999999</v>
      </c>
      <c r="H30" s="34">
        <f t="shared" si="1"/>
        <v>1.0600000000000023</v>
      </c>
      <c r="I30" s="35">
        <f t="shared" si="2"/>
        <v>2.3376900834602025E-2</v>
      </c>
      <c r="J30" s="35">
        <f t="shared" si="9"/>
        <v>0.37474711757579643</v>
      </c>
      <c r="K30" s="110">
        <f t="shared" si="4"/>
        <v>0.36465123020899348</v>
      </c>
    </row>
    <row r="31" spans="1:11" x14ac:dyDescent="0.2">
      <c r="A31" s="106" t="s">
        <v>40</v>
      </c>
      <c r="B31" s="72">
        <f>B8</f>
        <v>676.28779999999995</v>
      </c>
      <c r="C31" s="124">
        <f>VLOOKUP($B$3,'Data for Bill Impacts'!$A$3:$Y$25,15,0)</f>
        <v>7.1000000000000004E-3</v>
      </c>
      <c r="D31" s="21">
        <f>B31*C31</f>
        <v>4.8016433799999998</v>
      </c>
      <c r="E31" s="72">
        <f t="shared" si="6"/>
        <v>676.28779999999995</v>
      </c>
      <c r="F31" s="77">
        <f>VLOOKUP($B$3,'Data for Bill Impacts'!$A$3:$Y$25,24,0)</f>
        <v>7.1000000000000004E-3</v>
      </c>
      <c r="G31" s="21">
        <f>E31*F31</f>
        <v>4.8016433799999998</v>
      </c>
      <c r="H31" s="21">
        <f t="shared" si="1"/>
        <v>0</v>
      </c>
      <c r="I31" s="22">
        <f t="shared" si="2"/>
        <v>0</v>
      </c>
      <c r="J31" s="22">
        <f t="shared" si="9"/>
        <v>3.8776951370322249E-2</v>
      </c>
      <c r="K31" s="107">
        <f t="shared" si="4"/>
        <v>3.7732279603411099E-2</v>
      </c>
    </row>
    <row r="32" spans="1:11" x14ac:dyDescent="0.2">
      <c r="A32" s="106" t="s">
        <v>41</v>
      </c>
      <c r="B32" s="72">
        <f>B8</f>
        <v>676.28779999999995</v>
      </c>
      <c r="C32" s="124">
        <f>VLOOKUP($B$3,'Data for Bill Impacts'!$A$3:$Y$25,16,0)</f>
        <v>6.0000000000000001E-3</v>
      </c>
      <c r="D32" s="21">
        <f>B32*C32</f>
        <v>4.0577268000000002</v>
      </c>
      <c r="E32" s="72">
        <f t="shared" si="6"/>
        <v>676.28779999999995</v>
      </c>
      <c r="F32" s="77">
        <f>VLOOKUP($B$3,'Data for Bill Impacts'!$A$3:$Y$25,25,0)</f>
        <v>6.0000000000000001E-3</v>
      </c>
      <c r="G32" s="21">
        <f>E32*F32</f>
        <v>4.0577268000000002</v>
      </c>
      <c r="H32" s="21">
        <f t="shared" si="1"/>
        <v>0</v>
      </c>
      <c r="I32" s="22">
        <f t="shared" si="2"/>
        <v>0</v>
      </c>
      <c r="J32" s="22">
        <f t="shared" si="9"/>
        <v>3.2769254679145564E-2</v>
      </c>
      <c r="K32" s="107">
        <f t="shared" si="4"/>
        <v>3.1886433467671352E-2</v>
      </c>
    </row>
    <row r="33" spans="1:11" s="1" customFormat="1" x14ac:dyDescent="0.2">
      <c r="A33" s="109" t="s">
        <v>76</v>
      </c>
      <c r="B33" s="73"/>
      <c r="C33" s="34"/>
      <c r="D33" s="34">
        <f>SUM(D31:D32)</f>
        <v>8.8593701799999991</v>
      </c>
      <c r="E33" s="72"/>
      <c r="F33" s="34"/>
      <c r="G33" s="34">
        <f>SUM(G31:G32)</f>
        <v>8.8593701799999991</v>
      </c>
      <c r="H33" s="34">
        <f t="shared" si="1"/>
        <v>0</v>
      </c>
      <c r="I33" s="35">
        <f t="shared" si="2"/>
        <v>0</v>
      </c>
      <c r="J33" s="35">
        <f t="shared" si="9"/>
        <v>7.1546206049467806E-2</v>
      </c>
      <c r="K33" s="110">
        <f t="shared" si="4"/>
        <v>6.9618713071082444E-2</v>
      </c>
    </row>
    <row r="34" spans="1:11" s="1" customFormat="1" x14ac:dyDescent="0.2">
      <c r="A34" s="109" t="s">
        <v>93</v>
      </c>
      <c r="B34" s="73"/>
      <c r="C34" s="34"/>
      <c r="D34" s="34">
        <f>D29+D33</f>
        <v>54.561876979999994</v>
      </c>
      <c r="E34" s="72"/>
      <c r="F34" s="34"/>
      <c r="G34" s="34">
        <f>G29+G33</f>
        <v>55.621876979999996</v>
      </c>
      <c r="H34" s="34">
        <f t="shared" si="1"/>
        <v>1.0600000000000023</v>
      </c>
      <c r="I34" s="35">
        <f t="shared" si="2"/>
        <v>1.942748414590928E-2</v>
      </c>
      <c r="J34" s="35">
        <f t="shared" si="9"/>
        <v>0.44918929793147333</v>
      </c>
      <c r="K34" s="110">
        <f t="shared" si="4"/>
        <v>0.43708789849276464</v>
      </c>
    </row>
    <row r="35" spans="1:11" s="1" customFormat="1" x14ac:dyDescent="0.2">
      <c r="A35" s="109" t="s">
        <v>94</v>
      </c>
      <c r="B35" s="73"/>
      <c r="C35" s="34"/>
      <c r="D35" s="34">
        <f>D30+D33</f>
        <v>54.203276435999996</v>
      </c>
      <c r="E35" s="72"/>
      <c r="F35" s="34"/>
      <c r="G35" s="34">
        <f>G30+G33</f>
        <v>55.263276435999998</v>
      </c>
      <c r="H35" s="34">
        <f t="shared" si="1"/>
        <v>1.0600000000000023</v>
      </c>
      <c r="I35" s="35">
        <f t="shared" si="2"/>
        <v>1.9556013394348721E-2</v>
      </c>
      <c r="J35" s="35">
        <f t="shared" si="9"/>
        <v>0.44629332362526425</v>
      </c>
      <c r="K35" s="110">
        <f t="shared" si="4"/>
        <v>0.43426994328007595</v>
      </c>
    </row>
    <row r="36" spans="1:11" x14ac:dyDescent="0.2">
      <c r="A36" s="106" t="s">
        <v>42</v>
      </c>
      <c r="B36" s="72">
        <f>B8</f>
        <v>676.28779999999995</v>
      </c>
      <c r="C36" s="33">
        <v>3.5999999999999999E-3</v>
      </c>
      <c r="D36" s="21">
        <f>B36*C36</f>
        <v>2.4346360799999998</v>
      </c>
      <c r="E36" s="72">
        <f t="shared" si="6"/>
        <v>676.28779999999995</v>
      </c>
      <c r="F36" s="33">
        <v>3.5999999999999999E-3</v>
      </c>
      <c r="G36" s="21">
        <f>E36*F36</f>
        <v>2.4346360799999998</v>
      </c>
      <c r="H36" s="21">
        <f t="shared" si="1"/>
        <v>0</v>
      </c>
      <c r="I36" s="22">
        <f t="shared" si="2"/>
        <v>0</v>
      </c>
      <c r="J36" s="22">
        <f t="shared" si="9"/>
        <v>1.9661552807487336E-2</v>
      </c>
      <c r="K36" s="107">
        <f t="shared" si="4"/>
        <v>1.913186008060281E-2</v>
      </c>
    </row>
    <row r="37" spans="1:11" x14ac:dyDescent="0.2">
      <c r="A37" s="106" t="s">
        <v>43</v>
      </c>
      <c r="B37" s="72">
        <f>B8</f>
        <v>676.28779999999995</v>
      </c>
      <c r="C37" s="33">
        <v>2.0999999999999999E-3</v>
      </c>
      <c r="D37" s="21">
        <f>B37*C37</f>
        <v>1.4202043799999997</v>
      </c>
      <c r="E37" s="72">
        <f t="shared" si="6"/>
        <v>676.28779999999995</v>
      </c>
      <c r="F37" s="33">
        <v>2.0999999999999999E-3</v>
      </c>
      <c r="G37" s="21">
        <f>E37*F37</f>
        <v>1.4202043799999997</v>
      </c>
      <c r="H37" s="21">
        <f>G37-D37</f>
        <v>0</v>
      </c>
      <c r="I37" s="22">
        <f t="shared" si="2"/>
        <v>0</v>
      </c>
      <c r="J37" s="22">
        <f t="shared" si="9"/>
        <v>1.1469239137700945E-2</v>
      </c>
      <c r="K37" s="107">
        <f t="shared" si="4"/>
        <v>1.1160251713684972E-2</v>
      </c>
    </row>
    <row r="38" spans="1:11" x14ac:dyDescent="0.2">
      <c r="A38" s="106" t="s">
        <v>99</v>
      </c>
      <c r="B38" s="72">
        <f>B8</f>
        <v>676.28779999999995</v>
      </c>
      <c r="C38" s="33">
        <v>0</v>
      </c>
      <c r="D38" s="21">
        <f>B38*C38</f>
        <v>0</v>
      </c>
      <c r="E38" s="72">
        <f t="shared" si="6"/>
        <v>676.28779999999995</v>
      </c>
      <c r="F38" s="33">
        <v>0</v>
      </c>
      <c r="G38" s="21">
        <f>E38*F38</f>
        <v>0</v>
      </c>
      <c r="H38" s="21">
        <f>G38-D38</f>
        <v>0</v>
      </c>
      <c r="I38" s="22" t="str">
        <f t="shared" si="2"/>
        <v>N/A</v>
      </c>
      <c r="J38" s="22">
        <f t="shared" si="9"/>
        <v>0</v>
      </c>
      <c r="K38" s="107">
        <f t="shared" si="4"/>
        <v>0</v>
      </c>
    </row>
    <row r="39" spans="1:11" x14ac:dyDescent="0.2">
      <c r="A39" s="106" t="s">
        <v>44</v>
      </c>
      <c r="B39" s="72">
        <v>1</v>
      </c>
      <c r="C39" s="21">
        <v>0.25</v>
      </c>
      <c r="D39" s="21">
        <f>B39*C39</f>
        <v>0.25</v>
      </c>
      <c r="E39" s="72">
        <f t="shared" si="6"/>
        <v>1</v>
      </c>
      <c r="F39" s="21">
        <f>C39</f>
        <v>0.25</v>
      </c>
      <c r="G39" s="21">
        <f>E39*F39</f>
        <v>0.25</v>
      </c>
      <c r="H39" s="21">
        <f t="shared" si="1"/>
        <v>0</v>
      </c>
      <c r="I39" s="22">
        <f t="shared" si="2"/>
        <v>0</v>
      </c>
      <c r="J39" s="22">
        <f t="shared" si="9"/>
        <v>2.0189416571333467E-3</v>
      </c>
      <c r="K39" s="107">
        <f t="shared" si="4"/>
        <v>1.9645502912906403E-3</v>
      </c>
    </row>
    <row r="40" spans="1:11" s="1" customFormat="1" x14ac:dyDescent="0.2">
      <c r="A40" s="109" t="s">
        <v>45</v>
      </c>
      <c r="B40" s="73"/>
      <c r="C40" s="34"/>
      <c r="D40" s="34">
        <f>SUM(D36:D39)</f>
        <v>4.1048404599999992</v>
      </c>
      <c r="E40" s="72"/>
      <c r="F40" s="34"/>
      <c r="G40" s="34">
        <f>SUM(G36:G39)</f>
        <v>4.1048404599999992</v>
      </c>
      <c r="H40" s="34">
        <f t="shared" si="1"/>
        <v>0</v>
      </c>
      <c r="I40" s="35">
        <f t="shared" si="2"/>
        <v>0</v>
      </c>
      <c r="J40" s="35">
        <f t="shared" si="9"/>
        <v>3.3149733602321631E-2</v>
      </c>
      <c r="K40" s="110">
        <f t="shared" si="4"/>
        <v>3.2256662085578418E-2</v>
      </c>
    </row>
    <row r="41" spans="1:11" s="1" customFormat="1" ht="13.5" thickBot="1" x14ac:dyDescent="0.25">
      <c r="A41" s="111" t="s">
        <v>46</v>
      </c>
      <c r="B41" s="112">
        <f>B4</f>
        <v>634</v>
      </c>
      <c r="C41" s="113">
        <v>0</v>
      </c>
      <c r="D41" s="114">
        <f>B41*C41</f>
        <v>0</v>
      </c>
      <c r="E41" s="115">
        <f t="shared" si="6"/>
        <v>634</v>
      </c>
      <c r="F41" s="113">
        <f>C41</f>
        <v>0</v>
      </c>
      <c r="G41" s="114">
        <f>E41*F41</f>
        <v>0</v>
      </c>
      <c r="H41" s="114">
        <f t="shared" si="1"/>
        <v>0</v>
      </c>
      <c r="I41" s="116" t="str">
        <f t="shared" si="2"/>
        <v>N/A</v>
      </c>
      <c r="J41" s="116">
        <f t="shared" si="9"/>
        <v>0</v>
      </c>
      <c r="K41" s="117">
        <f t="shared" si="4"/>
        <v>0</v>
      </c>
    </row>
    <row r="42" spans="1:11" s="1" customFormat="1" x14ac:dyDescent="0.2">
      <c r="A42" s="36" t="s">
        <v>107</v>
      </c>
      <c r="B42" s="37"/>
      <c r="C42" s="38"/>
      <c r="D42" s="38">
        <f>SUM(D14,D25,D26,D27,D33,D40,D41)</f>
        <v>116.87071744000001</v>
      </c>
      <c r="E42" s="37"/>
      <c r="F42" s="38"/>
      <c r="G42" s="38">
        <f>SUM(G14,G25,G26,G27,G33,G40,G41)</f>
        <v>117.93071744000001</v>
      </c>
      <c r="H42" s="38">
        <f t="shared" si="1"/>
        <v>1.0600000000000023</v>
      </c>
      <c r="I42" s="39">
        <f t="shared" si="2"/>
        <v>9.0698510560970353E-3</v>
      </c>
      <c r="J42" s="39">
        <f t="shared" si="9"/>
        <v>0.95238095238095222</v>
      </c>
      <c r="K42" s="40"/>
    </row>
    <row r="43" spans="1:11" x14ac:dyDescent="0.2">
      <c r="A43" s="142" t="s">
        <v>108</v>
      </c>
      <c r="B43" s="42"/>
      <c r="C43" s="25">
        <v>0.13</v>
      </c>
      <c r="D43" s="25">
        <f>D42*C43</f>
        <v>15.193193267200002</v>
      </c>
      <c r="E43" s="25"/>
      <c r="F43" s="25">
        <f>C43</f>
        <v>0.13</v>
      </c>
      <c r="G43" s="25">
        <f>G42*F43</f>
        <v>15.330993267200002</v>
      </c>
      <c r="H43" s="25">
        <f t="shared" si="1"/>
        <v>0.13780000000000037</v>
      </c>
      <c r="I43" s="43">
        <f t="shared" si="2"/>
        <v>9.0698510560970388E-3</v>
      </c>
      <c r="J43" s="43">
        <f t="shared" si="9"/>
        <v>0.1238095238095238</v>
      </c>
      <c r="K43" s="44"/>
    </row>
    <row r="44" spans="1:11" s="1" customFormat="1" x14ac:dyDescent="0.2">
      <c r="A44" s="45" t="s">
        <v>109</v>
      </c>
      <c r="B44" s="23"/>
      <c r="C44" s="24"/>
      <c r="D44" s="24">
        <f>SUM(D42:D43)</f>
        <v>132.06391070720002</v>
      </c>
      <c r="E44" s="24"/>
      <c r="F44" s="24"/>
      <c r="G44" s="24">
        <f>SUM(G42:G43)</f>
        <v>133.26171070720002</v>
      </c>
      <c r="H44" s="24">
        <f t="shared" si="1"/>
        <v>1.1978000000000009</v>
      </c>
      <c r="I44" s="26">
        <f t="shared" si="2"/>
        <v>9.0698510560970214E-3</v>
      </c>
      <c r="J44" s="26">
        <f t="shared" si="9"/>
        <v>1.0761904761904761</v>
      </c>
      <c r="K44" s="46"/>
    </row>
    <row r="45" spans="1:11" x14ac:dyDescent="0.2">
      <c r="A45" s="41" t="s">
        <v>110</v>
      </c>
      <c r="B45" s="42"/>
      <c r="C45" s="25">
        <v>-0.08</v>
      </c>
      <c r="D45" s="25">
        <f>D42*C45</f>
        <v>-9.3496573952000013</v>
      </c>
      <c r="E45" s="25"/>
      <c r="F45" s="25">
        <f>C45</f>
        <v>-0.08</v>
      </c>
      <c r="G45" s="25">
        <f>G42*F45</f>
        <v>-9.4344573952000008</v>
      </c>
      <c r="H45" s="25">
        <f t="shared" si="1"/>
        <v>-8.4799999999999542E-2</v>
      </c>
      <c r="I45" s="43">
        <f t="shared" si="2"/>
        <v>-9.0698510560969659E-3</v>
      </c>
      <c r="J45" s="43">
        <f t="shared" si="9"/>
        <v>-7.6190476190476183E-2</v>
      </c>
      <c r="K45" s="44"/>
    </row>
    <row r="46" spans="1:11" s="1" customFormat="1" ht="13.5" thickBot="1" x14ac:dyDescent="0.25">
      <c r="A46" s="47" t="s">
        <v>111</v>
      </c>
      <c r="B46" s="48"/>
      <c r="C46" s="49"/>
      <c r="D46" s="49">
        <f>SUM(D44:D45)</f>
        <v>122.71425331200003</v>
      </c>
      <c r="E46" s="49"/>
      <c r="F46" s="49"/>
      <c r="G46" s="49">
        <f>SUM(G44:G45)</f>
        <v>123.82725331200002</v>
      </c>
      <c r="H46" s="49">
        <f t="shared" si="1"/>
        <v>1.1129999999999995</v>
      </c>
      <c r="I46" s="50">
        <f t="shared" si="2"/>
        <v>9.069851056097011E-3</v>
      </c>
      <c r="J46" s="50">
        <f t="shared" si="9"/>
        <v>1</v>
      </c>
      <c r="K46" s="51"/>
    </row>
    <row r="47" spans="1:11" x14ac:dyDescent="0.2">
      <c r="A47" s="52" t="s">
        <v>112</v>
      </c>
      <c r="B47" s="53"/>
      <c r="C47" s="54"/>
      <c r="D47" s="54">
        <f>SUM(D18,D25,D26,D28,D33,D40,D41)</f>
        <v>120.135796896</v>
      </c>
      <c r="E47" s="54"/>
      <c r="F47" s="54"/>
      <c r="G47" s="54">
        <f>SUM(G18,G25,G26,G28,G33,G40,G41)</f>
        <v>121.195796896</v>
      </c>
      <c r="H47" s="54">
        <f>G47-D47</f>
        <v>1.0600000000000023</v>
      </c>
      <c r="I47" s="55">
        <f t="shared" si="2"/>
        <v>8.8233484722095822E-3</v>
      </c>
      <c r="J47" s="55"/>
      <c r="K47" s="56">
        <f>G47/$G$51</f>
        <v>0.95238095238095244</v>
      </c>
    </row>
    <row r="48" spans="1:11" x14ac:dyDescent="0.2">
      <c r="A48" s="57" t="s">
        <v>108</v>
      </c>
      <c r="B48" s="58"/>
      <c r="C48" s="30">
        <v>0.13</v>
      </c>
      <c r="D48" s="30">
        <f>D47*C48</f>
        <v>15.61765359648</v>
      </c>
      <c r="E48" s="30"/>
      <c r="F48" s="30">
        <f>C48</f>
        <v>0.13</v>
      </c>
      <c r="G48" s="30">
        <f>G47*F48</f>
        <v>15.755453596480001</v>
      </c>
      <c r="H48" s="30">
        <f>G48-D48</f>
        <v>0.13780000000000037</v>
      </c>
      <c r="I48" s="31">
        <f t="shared" si="2"/>
        <v>8.8233484722095874E-3</v>
      </c>
      <c r="J48" s="31"/>
      <c r="K48" s="59">
        <f>G48/$G$51</f>
        <v>0.12380952380952381</v>
      </c>
    </row>
    <row r="49" spans="1:11" x14ac:dyDescent="0.2">
      <c r="A49" s="60" t="s">
        <v>113</v>
      </c>
      <c r="B49" s="28"/>
      <c r="C49" s="29"/>
      <c r="D49" s="29">
        <f>SUM(D47:D48)</f>
        <v>135.75345049248</v>
      </c>
      <c r="E49" s="29"/>
      <c r="F49" s="29"/>
      <c r="G49" s="29">
        <f>SUM(G47:G48)</f>
        <v>136.95125049248</v>
      </c>
      <c r="H49" s="29">
        <f>G49-D49</f>
        <v>1.1978000000000009</v>
      </c>
      <c r="I49" s="32">
        <f t="shared" si="2"/>
        <v>8.82334847220957E-3</v>
      </c>
      <c r="J49" s="32"/>
      <c r="K49" s="61">
        <f>G49/$G$51</f>
        <v>1.0761904761904761</v>
      </c>
    </row>
    <row r="50" spans="1:11" x14ac:dyDescent="0.2">
      <c r="A50" s="57" t="s">
        <v>110</v>
      </c>
      <c r="B50" s="58"/>
      <c r="C50" s="30">
        <v>-0.08</v>
      </c>
      <c r="D50" s="30">
        <f>D47*C50</f>
        <v>-9.6108637516800002</v>
      </c>
      <c r="E50" s="30"/>
      <c r="F50" s="30">
        <f>C50</f>
        <v>-0.08</v>
      </c>
      <c r="G50" s="30">
        <f>G47*F50</f>
        <v>-9.6956637516799997</v>
      </c>
      <c r="H50" s="30">
        <f>G50-D50</f>
        <v>-8.4799999999999542E-2</v>
      </c>
      <c r="I50" s="31">
        <f t="shared" si="2"/>
        <v>-8.8233484722095162E-3</v>
      </c>
      <c r="J50" s="31"/>
      <c r="K50" s="59">
        <f>G50/$G$51</f>
        <v>-7.6190476190476183E-2</v>
      </c>
    </row>
    <row r="51" spans="1:11" ht="13.5" thickBot="1" x14ac:dyDescent="0.25">
      <c r="A51" s="62" t="s">
        <v>114</v>
      </c>
      <c r="B51" s="63"/>
      <c r="C51" s="64"/>
      <c r="D51" s="64">
        <f>SUM(D49:D50)</f>
        <v>126.1425867408</v>
      </c>
      <c r="E51" s="64"/>
      <c r="F51" s="64"/>
      <c r="G51" s="64">
        <f>SUM(G49:G50)</f>
        <v>127.2555867408</v>
      </c>
      <c r="H51" s="64">
        <f>G51-D51</f>
        <v>1.1129999999999995</v>
      </c>
      <c r="I51" s="65">
        <f t="shared" si="2"/>
        <v>8.8233484722095596E-3</v>
      </c>
      <c r="J51" s="65"/>
      <c r="K51" s="66">
        <f>G51/$G$51</f>
        <v>1</v>
      </c>
    </row>
    <row r="52" spans="1:11" x14ac:dyDescent="0.2">
      <c r="C52" s="67"/>
      <c r="F52" s="68"/>
    </row>
    <row r="53" spans="1:11" x14ac:dyDescent="0.2">
      <c r="F53" s="68"/>
    </row>
    <row r="54" spans="1:11" x14ac:dyDescent="0.2">
      <c r="F54" s="68"/>
    </row>
    <row r="55" spans="1:11" x14ac:dyDescent="0.2">
      <c r="A55" s="69"/>
      <c r="B55" s="70"/>
      <c r="F55" s="68"/>
    </row>
    <row r="56" spans="1:11" x14ac:dyDescent="0.2">
      <c r="B56" s="70"/>
      <c r="F56" s="68"/>
    </row>
    <row r="57" spans="1:11" x14ac:dyDescent="0.2">
      <c r="F57" s="68"/>
    </row>
    <row r="58" spans="1:11" x14ac:dyDescent="0.2">
      <c r="D58" s="71"/>
      <c r="F58" s="68"/>
    </row>
    <row r="59" spans="1:11" x14ac:dyDescent="0.2">
      <c r="F59" s="68"/>
    </row>
    <row r="60" spans="1:11" x14ac:dyDescent="0.2">
      <c r="A60" s="69"/>
      <c r="B60" s="70"/>
      <c r="F60" s="68"/>
    </row>
    <row r="61" spans="1:11" x14ac:dyDescent="0.2">
      <c r="B61" s="71"/>
      <c r="D61" s="71"/>
      <c r="F61" s="68"/>
    </row>
    <row r="62" spans="1:11" x14ac:dyDescent="0.2">
      <c r="F62" s="68"/>
    </row>
    <row r="63" spans="1:11" x14ac:dyDescent="0.2">
      <c r="F63" s="68"/>
    </row>
    <row r="64" spans="1:11" x14ac:dyDescent="0.2">
      <c r="F64" s="68"/>
      <c r="K64"/>
    </row>
    <row r="65" spans="6:11" x14ac:dyDescent="0.2">
      <c r="F65" s="68"/>
      <c r="K65"/>
    </row>
    <row r="66" spans="6:11" x14ac:dyDescent="0.2">
      <c r="F66" s="68"/>
      <c r="K66"/>
    </row>
    <row r="67" spans="6:11" x14ac:dyDescent="0.2">
      <c r="F67" s="68"/>
      <c r="K67"/>
    </row>
    <row r="68" spans="6:11" x14ac:dyDescent="0.2">
      <c r="F68" s="68"/>
      <c r="K68"/>
    </row>
  </sheetData>
  <mergeCells count="1">
    <mergeCell ref="A1:K1"/>
  </mergeCells>
  <pageMargins left="0.7" right="0.7" top="0.75" bottom="0.75" header="0.3" footer="0.3"/>
  <pageSetup scale="7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Impacts'!$A$3:$A$22</xm:f>
          </x14:formula1>
          <xm:sqref>B3</xm:sqref>
        </x14:dataValidation>
      </x14:dataValidations>
    </ext>
  </extLs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tabColor theme="1" tint="0.499984740745262"/>
    <pageSetUpPr fitToPage="1"/>
  </sheetPr>
  <dimension ref="A1:K68"/>
  <sheetViews>
    <sheetView tabSelected="1" topLeftCell="A25"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3"/>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205" t="s">
        <v>128</v>
      </c>
      <c r="B1" s="206"/>
      <c r="C1" s="206"/>
      <c r="D1" s="206"/>
      <c r="E1" s="206"/>
      <c r="F1" s="206"/>
      <c r="G1" s="206"/>
      <c r="H1" s="206"/>
      <c r="I1" s="206"/>
      <c r="J1" s="206"/>
      <c r="K1" s="207"/>
    </row>
    <row r="3" spans="1:11" x14ac:dyDescent="0.2">
      <c r="A3" s="12" t="s">
        <v>13</v>
      </c>
      <c r="B3" s="12" t="s">
        <v>119</v>
      </c>
    </row>
    <row r="4" spans="1:11" x14ac:dyDescent="0.2">
      <c r="A4" s="14" t="s">
        <v>62</v>
      </c>
      <c r="B4" s="14">
        <v>1800</v>
      </c>
    </row>
    <row r="5" spans="1:11" x14ac:dyDescent="0.2">
      <c r="A5" s="14" t="s">
        <v>16</v>
      </c>
      <c r="B5" s="14">
        <f>VLOOKUP($B$3,'Data for Bill Impacts'!$A$3:$Y$25,5,0)</f>
        <v>0</v>
      </c>
    </row>
    <row r="6" spans="1:11" x14ac:dyDescent="0.2">
      <c r="A6" s="14" t="s">
        <v>20</v>
      </c>
      <c r="B6" s="14">
        <f>VLOOKUP($B$3,'Data for Bill Impacts'!$A$3:$Y$25,2,0)</f>
        <v>1.0667</v>
      </c>
    </row>
    <row r="7" spans="1:11" x14ac:dyDescent="0.2">
      <c r="A7" s="14" t="s">
        <v>15</v>
      </c>
      <c r="B7" s="14">
        <f>VLOOKUP($B$3,'Data for Bill Impacts'!$A$3:$Y$25,4,0)</f>
        <v>600</v>
      </c>
    </row>
    <row r="8" spans="1:11" x14ac:dyDescent="0.2">
      <c r="A8" s="14" t="s">
        <v>82</v>
      </c>
      <c r="B8" s="148">
        <f>B4*B6</f>
        <v>1920.06</v>
      </c>
    </row>
    <row r="9" spans="1:11" x14ac:dyDescent="0.2">
      <c r="A9" s="14" t="s">
        <v>21</v>
      </c>
      <c r="B9" s="15" t="str">
        <f>VLOOKUP($B$3,'Data for Bill Impacts'!$A$3:$Y$25,6,0)</f>
        <v>kWh</v>
      </c>
    </row>
    <row r="10" spans="1:11" ht="13.5" thickBot="1" x14ac:dyDescent="0.25"/>
    <row r="11" spans="1:11" s="19" customFormat="1" ht="51.75" thickBot="1" x14ac:dyDescent="0.25">
      <c r="A11" s="16"/>
      <c r="B11" s="17" t="s">
        <v>22</v>
      </c>
      <c r="C11" s="17" t="s">
        <v>23</v>
      </c>
      <c r="D11" s="17" t="s">
        <v>24</v>
      </c>
      <c r="E11" s="17" t="s">
        <v>22</v>
      </c>
      <c r="F11" s="17" t="s">
        <v>25</v>
      </c>
      <c r="G11" s="17" t="s">
        <v>26</v>
      </c>
      <c r="H11" s="17" t="s">
        <v>27</v>
      </c>
      <c r="I11" s="17" t="s">
        <v>28</v>
      </c>
      <c r="J11" s="17" t="s">
        <v>29</v>
      </c>
      <c r="K11" s="18" t="s">
        <v>30</v>
      </c>
    </row>
    <row r="12" spans="1:11" x14ac:dyDescent="0.2">
      <c r="A12" s="100" t="s">
        <v>31</v>
      </c>
      <c r="B12" s="101">
        <f>IF(B4&gt;B7,B7,B4)</f>
        <v>600</v>
      </c>
      <c r="C12" s="102">
        <v>9.0999999999999998E-2</v>
      </c>
      <c r="D12" s="103">
        <f>B12*C12</f>
        <v>54.6</v>
      </c>
      <c r="E12" s="101">
        <f>B12</f>
        <v>600</v>
      </c>
      <c r="F12" s="102">
        <f>C12</f>
        <v>9.0999999999999998E-2</v>
      </c>
      <c r="G12" s="103">
        <f>E12*F12</f>
        <v>54.6</v>
      </c>
      <c r="H12" s="103">
        <f>G12-D12</f>
        <v>0</v>
      </c>
      <c r="I12" s="104">
        <f>IF(ISERROR(H12/ABS(D12)),"N/A",(H12/ABS(D12)))</f>
        <v>0</v>
      </c>
      <c r="J12" s="104">
        <f>G12/$G$46</f>
        <v>0.1903691597743756</v>
      </c>
      <c r="K12" s="105"/>
    </row>
    <row r="13" spans="1:11" x14ac:dyDescent="0.2">
      <c r="A13" s="106" t="s">
        <v>32</v>
      </c>
      <c r="B13" s="72">
        <f>IF(B4&gt;B7,(B4)-B7,0)</f>
        <v>1200</v>
      </c>
      <c r="C13" s="20">
        <v>0.106</v>
      </c>
      <c r="D13" s="21">
        <f>B13*C13</f>
        <v>127.2</v>
      </c>
      <c r="E13" s="72">
        <f t="shared" ref="E13" si="0">B13</f>
        <v>1200</v>
      </c>
      <c r="F13" s="20">
        <f>C13</f>
        <v>0.106</v>
      </c>
      <c r="G13" s="21">
        <f>E13*F13</f>
        <v>127.2</v>
      </c>
      <c r="H13" s="21">
        <f t="shared" ref="H13:H46" si="1">G13-D13</f>
        <v>0</v>
      </c>
      <c r="I13" s="22">
        <f t="shared" ref="I13:I51" si="2">IF(ISERROR(H13/ABS(D13)),"N/A",(H13/ABS(D13)))</f>
        <v>0</v>
      </c>
      <c r="J13" s="22">
        <f>G13/$G$46</f>
        <v>0.44349738321063331</v>
      </c>
      <c r="K13" s="107"/>
    </row>
    <row r="14" spans="1:11" s="1" customFormat="1" x14ac:dyDescent="0.2">
      <c r="A14" s="45" t="s">
        <v>33</v>
      </c>
      <c r="B14" s="23"/>
      <c r="C14" s="24"/>
      <c r="D14" s="24">
        <f>SUM(D12:D13)</f>
        <v>181.8</v>
      </c>
      <c r="E14" s="75"/>
      <c r="F14" s="24"/>
      <c r="G14" s="24">
        <f>SUM(G12:G13)</f>
        <v>181.8</v>
      </c>
      <c r="H14" s="24">
        <f t="shared" si="1"/>
        <v>0</v>
      </c>
      <c r="I14" s="26">
        <f t="shared" si="2"/>
        <v>0</v>
      </c>
      <c r="J14" s="26">
        <f>G14/$G$46</f>
        <v>0.63386654298500889</v>
      </c>
      <c r="K14" s="107"/>
    </row>
    <row r="15" spans="1:11" s="1" customFormat="1" x14ac:dyDescent="0.2">
      <c r="A15" s="108" t="s">
        <v>34</v>
      </c>
      <c r="B15" s="74">
        <f>B4*0.65</f>
        <v>1170</v>
      </c>
      <c r="C15" s="27">
        <v>7.6999999999999999E-2</v>
      </c>
      <c r="D15" s="21">
        <f>B15*C15</f>
        <v>90.09</v>
      </c>
      <c r="E15" s="72">
        <f t="shared" ref="E15:F17" si="3">B15</f>
        <v>1170</v>
      </c>
      <c r="F15" s="27">
        <f t="shared" si="3"/>
        <v>7.6999999999999999E-2</v>
      </c>
      <c r="G15" s="21">
        <f>E15*F15</f>
        <v>90.09</v>
      </c>
      <c r="H15" s="21">
        <f t="shared" si="1"/>
        <v>0</v>
      </c>
      <c r="I15" s="22">
        <f t="shared" si="2"/>
        <v>0</v>
      </c>
      <c r="J15" s="22"/>
      <c r="K15" s="107">
        <f t="shared" ref="K15:K41" si="4">G15/$G$51</f>
        <v>0.32271243432884711</v>
      </c>
    </row>
    <row r="16" spans="1:11" s="1" customFormat="1" x14ac:dyDescent="0.2">
      <c r="A16" s="108" t="s">
        <v>35</v>
      </c>
      <c r="B16" s="74">
        <f>B4*0.17</f>
        <v>306</v>
      </c>
      <c r="C16" s="27">
        <v>0.113</v>
      </c>
      <c r="D16" s="21">
        <f>B16*C16</f>
        <v>34.578000000000003</v>
      </c>
      <c r="E16" s="72">
        <f t="shared" si="3"/>
        <v>306</v>
      </c>
      <c r="F16" s="27">
        <f t="shared" si="3"/>
        <v>0.113</v>
      </c>
      <c r="G16" s="21">
        <f>E16*F16</f>
        <v>34.578000000000003</v>
      </c>
      <c r="H16" s="21">
        <f t="shared" si="1"/>
        <v>0</v>
      </c>
      <c r="I16" s="22">
        <f t="shared" si="2"/>
        <v>0</v>
      </c>
      <c r="J16" s="22"/>
      <c r="K16" s="107">
        <f t="shared" si="4"/>
        <v>0.12386225501412894</v>
      </c>
    </row>
    <row r="17" spans="1:11" s="1" customFormat="1" x14ac:dyDescent="0.2">
      <c r="A17" s="108" t="s">
        <v>36</v>
      </c>
      <c r="B17" s="74">
        <f>B4*0.18</f>
        <v>324</v>
      </c>
      <c r="C17" s="27">
        <v>0.157</v>
      </c>
      <c r="D17" s="21">
        <f>B17*C17</f>
        <v>50.868000000000002</v>
      </c>
      <c r="E17" s="72">
        <f t="shared" si="3"/>
        <v>324</v>
      </c>
      <c r="F17" s="27">
        <f t="shared" si="3"/>
        <v>0.157</v>
      </c>
      <c r="G17" s="21">
        <f>E17*F17</f>
        <v>50.868000000000002</v>
      </c>
      <c r="H17" s="21">
        <f t="shared" si="1"/>
        <v>0</v>
      </c>
      <c r="I17" s="22">
        <f t="shared" si="2"/>
        <v>0</v>
      </c>
      <c r="J17" s="22"/>
      <c r="K17" s="107">
        <f t="shared" si="4"/>
        <v>0.18221485302963475</v>
      </c>
    </row>
    <row r="18" spans="1:11" s="1" customFormat="1" x14ac:dyDescent="0.2">
      <c r="A18" s="60" t="s">
        <v>37</v>
      </c>
      <c r="B18" s="28"/>
      <c r="C18" s="29"/>
      <c r="D18" s="29">
        <f>SUM(D15:D17)</f>
        <v>175.536</v>
      </c>
      <c r="E18" s="76"/>
      <c r="F18" s="29"/>
      <c r="G18" s="29">
        <f>SUM(G15:G17)</f>
        <v>175.536</v>
      </c>
      <c r="H18" s="30">
        <f t="shared" si="1"/>
        <v>0</v>
      </c>
      <c r="I18" s="31">
        <f t="shared" si="2"/>
        <v>0</v>
      </c>
      <c r="J18" s="32">
        <f t="shared" ref="J18:J24" si="5">G18/$G$46</f>
        <v>0.61202638883067395</v>
      </c>
      <c r="K18" s="61">
        <f t="shared" si="4"/>
        <v>0.62878954237261075</v>
      </c>
    </row>
    <row r="19" spans="1:11" x14ac:dyDescent="0.2">
      <c r="A19" s="106" t="s">
        <v>38</v>
      </c>
      <c r="B19" s="72">
        <v>1</v>
      </c>
      <c r="C19" s="77">
        <f>VLOOKUP($B$3,'Data for Bill Impacts'!$A$3:$Y$25,7,0)</f>
        <v>40.43</v>
      </c>
      <c r="D19" s="21">
        <f>B19*C19</f>
        <v>40.43</v>
      </c>
      <c r="E19" s="72">
        <f t="shared" ref="E19:E41" si="6">B19</f>
        <v>1</v>
      </c>
      <c r="F19" s="77">
        <f>VLOOKUP($B$3,'Data for Bill Impacts'!$A$3:$Y$25,17,0)</f>
        <v>41.49</v>
      </c>
      <c r="G19" s="21">
        <f>E19*F19</f>
        <v>41.49</v>
      </c>
      <c r="H19" s="21">
        <f t="shared" si="1"/>
        <v>1.0600000000000023</v>
      </c>
      <c r="I19" s="22">
        <f t="shared" si="2"/>
        <v>2.6218154835518235E-2</v>
      </c>
      <c r="J19" s="22">
        <f t="shared" si="5"/>
        <v>0.14465964174063817</v>
      </c>
      <c r="K19" s="107">
        <f t="shared" si="4"/>
        <v>0.14862181041518333</v>
      </c>
    </row>
    <row r="20" spans="1:11" hidden="1" x14ac:dyDescent="0.2">
      <c r="A20" s="106" t="s">
        <v>83</v>
      </c>
      <c r="B20" s="72">
        <v>1</v>
      </c>
      <c r="C20" s="77">
        <f>VLOOKUP($B$3,'Data for Bill Impacts'!$A$3:$Y$25,8,0)</f>
        <v>0</v>
      </c>
      <c r="D20" s="21">
        <f>B20*C20</f>
        <v>0</v>
      </c>
      <c r="E20" s="72">
        <f t="shared" si="6"/>
        <v>1</v>
      </c>
      <c r="F20" s="77">
        <v>0</v>
      </c>
      <c r="G20" s="21">
        <f t="shared" ref="G20:G22" si="7">E20*F20</f>
        <v>0</v>
      </c>
      <c r="H20" s="21">
        <f t="shared" si="1"/>
        <v>0</v>
      </c>
      <c r="I20" s="22" t="str">
        <f t="shared" si="2"/>
        <v>N/A</v>
      </c>
      <c r="J20" s="22">
        <f t="shared" si="5"/>
        <v>0</v>
      </c>
      <c r="K20" s="107">
        <f t="shared" si="4"/>
        <v>0</v>
      </c>
    </row>
    <row r="21" spans="1:11" hidden="1" x14ac:dyDescent="0.2">
      <c r="A21" s="106" t="s">
        <v>115</v>
      </c>
      <c r="B21" s="72">
        <v>1</v>
      </c>
      <c r="C21" s="77">
        <f>VLOOKUP($B$3,'Data for Bill Impacts'!$A$3:$Y$25,11,0)</f>
        <v>0</v>
      </c>
      <c r="D21" s="21">
        <f t="shared" ref="D21:D22" si="8">B21*C21</f>
        <v>0</v>
      </c>
      <c r="E21" s="72">
        <f t="shared" si="6"/>
        <v>1</v>
      </c>
      <c r="F21" s="120">
        <f>VLOOKUP($B$3,'Data for Bill Impacts'!$A$3:$Y$25,12,0)</f>
        <v>0</v>
      </c>
      <c r="G21" s="21">
        <f t="shared" si="7"/>
        <v>0</v>
      </c>
      <c r="H21" s="21">
        <f t="shared" si="1"/>
        <v>0</v>
      </c>
      <c r="I21" s="22" t="str">
        <f t="shared" si="2"/>
        <v>N/A</v>
      </c>
      <c r="J21" s="22">
        <f t="shared" si="5"/>
        <v>0</v>
      </c>
      <c r="K21" s="107">
        <f t="shared" si="4"/>
        <v>0</v>
      </c>
    </row>
    <row r="22" spans="1:11" x14ac:dyDescent="0.2">
      <c r="A22" s="106" t="s">
        <v>85</v>
      </c>
      <c r="B22" s="72">
        <v>1</v>
      </c>
      <c r="C22" s="120">
        <f>VLOOKUP($B$3,'Data for Bill Impacts'!$A$3:$Y$25,13,0)</f>
        <v>0</v>
      </c>
      <c r="D22" s="21">
        <f t="shared" si="8"/>
        <v>0</v>
      </c>
      <c r="E22" s="72">
        <f t="shared" si="6"/>
        <v>1</v>
      </c>
      <c r="F22" s="120">
        <f>VLOOKUP($B$3,'Data for Bill Impacts'!$A$3:$Y$25,22,0)</f>
        <v>0</v>
      </c>
      <c r="G22" s="21">
        <f t="shared" si="7"/>
        <v>0</v>
      </c>
      <c r="H22" s="21">
        <f t="shared" si="1"/>
        <v>0</v>
      </c>
      <c r="I22" s="22" t="str">
        <f t="shared" si="2"/>
        <v>N/A</v>
      </c>
      <c r="J22" s="22">
        <f t="shared" si="5"/>
        <v>0</v>
      </c>
      <c r="K22" s="107">
        <f t="shared" si="4"/>
        <v>0</v>
      </c>
    </row>
    <row r="23" spans="1:11" x14ac:dyDescent="0.2">
      <c r="A23" s="106" t="s">
        <v>39</v>
      </c>
      <c r="B23" s="72">
        <f>IF($B$9="kWh",$B$4,$B$5)</f>
        <v>1800</v>
      </c>
      <c r="C23" s="124">
        <f>VLOOKUP($B$3,'Data for Bill Impacts'!$A$3:$Y$25,10,0)</f>
        <v>0</v>
      </c>
      <c r="D23" s="21">
        <f>B23*C23</f>
        <v>0</v>
      </c>
      <c r="E23" s="72">
        <f t="shared" si="6"/>
        <v>1800</v>
      </c>
      <c r="F23" s="124">
        <f>VLOOKUP($B$3,'Data for Bill Impacts'!$A$3:$Y$25,19,0)</f>
        <v>0</v>
      </c>
      <c r="G23" s="21">
        <f>E23*F23</f>
        <v>0</v>
      </c>
      <c r="H23" s="21">
        <f t="shared" si="1"/>
        <v>0</v>
      </c>
      <c r="I23" s="22" t="str">
        <f t="shared" si="2"/>
        <v>N/A</v>
      </c>
      <c r="J23" s="22">
        <f t="shared" si="5"/>
        <v>0</v>
      </c>
      <c r="K23" s="107">
        <f t="shared" si="4"/>
        <v>0</v>
      </c>
    </row>
    <row r="24" spans="1:11" x14ac:dyDescent="0.2">
      <c r="A24" s="106" t="s">
        <v>129</v>
      </c>
      <c r="B24" s="72">
        <f>IF($B$9="kWh",$B$4,$B$5)</f>
        <v>1800</v>
      </c>
      <c r="C24" s="124">
        <f>VLOOKUP($B$3,'Data for Bill Impacts'!$A$3:$Y$25,14,0)</f>
        <v>0</v>
      </c>
      <c r="D24" s="21">
        <f>B24*C24</f>
        <v>0</v>
      </c>
      <c r="E24" s="72">
        <f t="shared" si="6"/>
        <v>1800</v>
      </c>
      <c r="F24" s="124">
        <f>VLOOKUP($B$3,'Data for Bill Impacts'!$A$3:$Y$25,23,0)</f>
        <v>0</v>
      </c>
      <c r="G24" s="21">
        <f>E24*F24</f>
        <v>0</v>
      </c>
      <c r="H24" s="21">
        <f t="shared" si="1"/>
        <v>0</v>
      </c>
      <c r="I24" s="22" t="str">
        <f t="shared" si="2"/>
        <v>N/A</v>
      </c>
      <c r="J24" s="22">
        <f t="shared" si="5"/>
        <v>0</v>
      </c>
      <c r="K24" s="107">
        <f t="shared" si="4"/>
        <v>0</v>
      </c>
    </row>
    <row r="25" spans="1:11" s="1" customFormat="1" x14ac:dyDescent="0.2">
      <c r="A25" s="109" t="s">
        <v>72</v>
      </c>
      <c r="B25" s="73"/>
      <c r="C25" s="34"/>
      <c r="D25" s="34">
        <f>SUM(D19:D24)</f>
        <v>40.43</v>
      </c>
      <c r="E25" s="72"/>
      <c r="F25" s="34"/>
      <c r="G25" s="34">
        <f>SUM(G19:G24)</f>
        <v>41.49</v>
      </c>
      <c r="H25" s="34">
        <f t="shared" si="1"/>
        <v>1.0600000000000023</v>
      </c>
      <c r="I25" s="35">
        <f t="shared" si="2"/>
        <v>2.6218154835518235E-2</v>
      </c>
      <c r="J25" s="35">
        <f>G25/$G$46</f>
        <v>0.14465964174063817</v>
      </c>
      <c r="K25" s="110">
        <f t="shared" si="4"/>
        <v>0.14862181041518333</v>
      </c>
    </row>
    <row r="26" spans="1:11" s="1" customFormat="1" x14ac:dyDescent="0.2">
      <c r="A26" s="118" t="s">
        <v>73</v>
      </c>
      <c r="B26" s="119">
        <v>1</v>
      </c>
      <c r="C26" s="77">
        <f>VLOOKUP($B$3,'Data for Bill Impacts'!$A$3:$Y$25,9,0)</f>
        <v>0.79</v>
      </c>
      <c r="D26" s="21">
        <f>B26*C26</f>
        <v>0.79</v>
      </c>
      <c r="E26" s="72">
        <v>1</v>
      </c>
      <c r="F26" s="77">
        <f>VLOOKUP($B$3,'Data for Bill Impacts'!$A$3:$Y$25,18,0)</f>
        <v>0.79</v>
      </c>
      <c r="G26" s="21">
        <f>E26*F26</f>
        <v>0.79</v>
      </c>
      <c r="H26" s="21">
        <f t="shared" si="1"/>
        <v>0</v>
      </c>
      <c r="I26" s="22">
        <f t="shared" si="2"/>
        <v>0</v>
      </c>
      <c r="J26" s="22">
        <f>G26/$G$46</f>
        <v>2.7544255718270462E-3</v>
      </c>
      <c r="K26" s="107">
        <f t="shared" si="4"/>
        <v>2.829868166497827E-3</v>
      </c>
    </row>
    <row r="27" spans="1:11" s="1" customFormat="1" x14ac:dyDescent="0.2">
      <c r="A27" s="118" t="s">
        <v>75</v>
      </c>
      <c r="B27" s="119">
        <f>B8-B4</f>
        <v>120.05999999999995</v>
      </c>
      <c r="C27" s="186">
        <f>IF(B4&gt;B7,C13,C12)</f>
        <v>0.106</v>
      </c>
      <c r="D27" s="21">
        <f>B27*C27</f>
        <v>12.726359999999994</v>
      </c>
      <c r="E27" s="72">
        <f>B27</f>
        <v>120.05999999999995</v>
      </c>
      <c r="F27" s="186">
        <f>C27</f>
        <v>0.106</v>
      </c>
      <c r="G27" s="21">
        <f>E27*F27</f>
        <v>12.726359999999994</v>
      </c>
      <c r="H27" s="21">
        <f t="shared" si="1"/>
        <v>0</v>
      </c>
      <c r="I27" s="22">
        <f t="shared" si="2"/>
        <v>0</v>
      </c>
      <c r="J27" s="22">
        <f t="shared" ref="J27:J46" si="9">G27/$G$46</f>
        <v>4.4371913190223843E-2</v>
      </c>
      <c r="K27" s="107">
        <f t="shared" si="4"/>
        <v>4.5587241822014256E-2</v>
      </c>
    </row>
    <row r="28" spans="1:11" s="1" customFormat="1" x14ac:dyDescent="0.2">
      <c r="A28" s="118" t="s">
        <v>74</v>
      </c>
      <c r="B28" s="119">
        <f>B8-B4</f>
        <v>120.05999999999995</v>
      </c>
      <c r="C28" s="186">
        <f>0.65*C15+0.17*C16+0.18*C17</f>
        <v>9.7519999999999996E-2</v>
      </c>
      <c r="D28" s="21">
        <f>B28*C28</f>
        <v>11.708251199999994</v>
      </c>
      <c r="E28" s="72">
        <f>B28</f>
        <v>120.05999999999995</v>
      </c>
      <c r="F28" s="186">
        <f>C28</f>
        <v>9.7519999999999996E-2</v>
      </c>
      <c r="G28" s="21">
        <f>E28*F28</f>
        <v>11.708251199999994</v>
      </c>
      <c r="H28" s="21">
        <f t="shared" si="1"/>
        <v>0</v>
      </c>
      <c r="I28" s="22">
        <f t="shared" si="2"/>
        <v>0</v>
      </c>
      <c r="J28" s="22">
        <f t="shared" si="9"/>
        <v>4.0822160135005933E-2</v>
      </c>
      <c r="K28" s="107">
        <f t="shared" si="4"/>
        <v>4.1940262476253119E-2</v>
      </c>
    </row>
    <row r="29" spans="1:11" s="1" customFormat="1" x14ac:dyDescent="0.2">
      <c r="A29" s="109" t="s">
        <v>78</v>
      </c>
      <c r="B29" s="73"/>
      <c r="C29" s="34"/>
      <c r="D29" s="34">
        <f>SUM(D25,D26:D27)</f>
        <v>53.946359999999991</v>
      </c>
      <c r="E29" s="72"/>
      <c r="F29" s="34"/>
      <c r="G29" s="34">
        <f>SUM(G25,G26:G27)</f>
        <v>55.006359999999994</v>
      </c>
      <c r="H29" s="34">
        <f t="shared" si="1"/>
        <v>1.0600000000000023</v>
      </c>
      <c r="I29" s="35">
        <f t="shared" si="2"/>
        <v>1.9649147783094217E-2</v>
      </c>
      <c r="J29" s="35">
        <f t="shared" si="9"/>
        <v>0.19178598050268905</v>
      </c>
      <c r="K29" s="110">
        <f t="shared" si="4"/>
        <v>0.19703892040369542</v>
      </c>
    </row>
    <row r="30" spans="1:11" s="1" customFormat="1" x14ac:dyDescent="0.2">
      <c r="A30" s="109" t="s">
        <v>77</v>
      </c>
      <c r="B30" s="73"/>
      <c r="C30" s="34"/>
      <c r="D30" s="34">
        <f>SUM(D25,D26,D28)</f>
        <v>52.928251199999991</v>
      </c>
      <c r="E30" s="72"/>
      <c r="F30" s="34"/>
      <c r="G30" s="34">
        <f>SUM(G25,G26,G28)</f>
        <v>53.988251199999993</v>
      </c>
      <c r="H30" s="34">
        <f t="shared" si="1"/>
        <v>1.0600000000000023</v>
      </c>
      <c r="I30" s="35">
        <f t="shared" si="2"/>
        <v>2.0027111721386374E-2</v>
      </c>
      <c r="J30" s="35">
        <f t="shared" si="9"/>
        <v>0.18823622744747115</v>
      </c>
      <c r="K30" s="110">
        <f t="shared" si="4"/>
        <v>0.19339194105793425</v>
      </c>
    </row>
    <row r="31" spans="1:11" x14ac:dyDescent="0.2">
      <c r="A31" s="106" t="s">
        <v>40</v>
      </c>
      <c r="B31" s="72">
        <f>B8</f>
        <v>1920.06</v>
      </c>
      <c r="C31" s="124">
        <f>VLOOKUP($B$3,'Data for Bill Impacts'!$A$3:$Y$25,15,0)</f>
        <v>7.1000000000000004E-3</v>
      </c>
      <c r="D31" s="21">
        <f>B31*C31</f>
        <v>13.632426000000001</v>
      </c>
      <c r="E31" s="72">
        <f t="shared" si="6"/>
        <v>1920.06</v>
      </c>
      <c r="F31" s="77">
        <f>VLOOKUP($B$3,'Data for Bill Impacts'!$A$3:$Y$25,24,0)</f>
        <v>7.1000000000000004E-3</v>
      </c>
      <c r="G31" s="21">
        <f>E31*F31</f>
        <v>13.632426000000001</v>
      </c>
      <c r="H31" s="21">
        <f t="shared" si="1"/>
        <v>0</v>
      </c>
      <c r="I31" s="22">
        <f t="shared" si="2"/>
        <v>0</v>
      </c>
      <c r="J31" s="22">
        <f t="shared" si="9"/>
        <v>4.7531016177772022E-2</v>
      </c>
      <c r="K31" s="107">
        <f t="shared" si="4"/>
        <v>4.883287135384469E-2</v>
      </c>
    </row>
    <row r="32" spans="1:11" x14ac:dyDescent="0.2">
      <c r="A32" s="106" t="s">
        <v>41</v>
      </c>
      <c r="B32" s="72">
        <f>B8</f>
        <v>1920.06</v>
      </c>
      <c r="C32" s="124">
        <f>VLOOKUP($B$3,'Data for Bill Impacts'!$A$3:$Y$25,16,0)</f>
        <v>6.0000000000000001E-3</v>
      </c>
      <c r="D32" s="21">
        <f>B32*C32</f>
        <v>11.52036</v>
      </c>
      <c r="E32" s="72">
        <f t="shared" si="6"/>
        <v>1920.06</v>
      </c>
      <c r="F32" s="77">
        <f>VLOOKUP($B$3,'Data for Bill Impacts'!$A$3:$Y$25,25,0)</f>
        <v>6.0000000000000001E-3</v>
      </c>
      <c r="G32" s="21">
        <f>E32*F32</f>
        <v>11.52036</v>
      </c>
      <c r="H32" s="21">
        <f t="shared" si="1"/>
        <v>0</v>
      </c>
      <c r="I32" s="22">
        <f t="shared" si="2"/>
        <v>0</v>
      </c>
      <c r="J32" s="22">
        <f t="shared" si="9"/>
        <v>4.0167055924877765E-2</v>
      </c>
      <c r="K32" s="107">
        <f t="shared" si="4"/>
        <v>4.1267215228601141E-2</v>
      </c>
    </row>
    <row r="33" spans="1:11" s="1" customFormat="1" x14ac:dyDescent="0.2">
      <c r="A33" s="109" t="s">
        <v>76</v>
      </c>
      <c r="B33" s="73"/>
      <c r="C33" s="34"/>
      <c r="D33" s="34">
        <f>SUM(D31:D32)</f>
        <v>25.152785999999999</v>
      </c>
      <c r="E33" s="72"/>
      <c r="F33" s="34"/>
      <c r="G33" s="34">
        <f>SUM(G31:G32)</f>
        <v>25.152785999999999</v>
      </c>
      <c r="H33" s="34">
        <f t="shared" si="1"/>
        <v>0</v>
      </c>
      <c r="I33" s="35">
        <f t="shared" si="2"/>
        <v>0</v>
      </c>
      <c r="J33" s="35">
        <f t="shared" si="9"/>
        <v>8.7698072102649779E-2</v>
      </c>
      <c r="K33" s="110">
        <f t="shared" si="4"/>
        <v>9.0100086582445824E-2</v>
      </c>
    </row>
    <row r="34" spans="1:11" s="1" customFormat="1" x14ac:dyDescent="0.2">
      <c r="A34" s="109" t="s">
        <v>93</v>
      </c>
      <c r="B34" s="73"/>
      <c r="C34" s="34"/>
      <c r="D34" s="34">
        <f>D29+D33</f>
        <v>79.09914599999999</v>
      </c>
      <c r="E34" s="72"/>
      <c r="F34" s="34"/>
      <c r="G34" s="34">
        <f>G29+G33</f>
        <v>80.159145999999993</v>
      </c>
      <c r="H34" s="34">
        <f t="shared" si="1"/>
        <v>1.0600000000000023</v>
      </c>
      <c r="I34" s="35">
        <f t="shared" si="2"/>
        <v>1.3400903215819831E-2</v>
      </c>
      <c r="J34" s="35">
        <f t="shared" si="9"/>
        <v>0.27948405260533882</v>
      </c>
      <c r="K34" s="110">
        <f t="shared" si="4"/>
        <v>0.28713900698614125</v>
      </c>
    </row>
    <row r="35" spans="1:11" s="1" customFormat="1" x14ac:dyDescent="0.2">
      <c r="A35" s="109" t="s">
        <v>94</v>
      </c>
      <c r="B35" s="73"/>
      <c r="C35" s="34"/>
      <c r="D35" s="34">
        <f>D30+D33</f>
        <v>78.081037199999997</v>
      </c>
      <c r="E35" s="72"/>
      <c r="F35" s="34"/>
      <c r="G35" s="34">
        <f>G30+G33</f>
        <v>79.1410372</v>
      </c>
      <c r="H35" s="34">
        <f t="shared" si="1"/>
        <v>1.0600000000000023</v>
      </c>
      <c r="I35" s="35">
        <f t="shared" si="2"/>
        <v>1.3575639335897581E-2</v>
      </c>
      <c r="J35" s="35">
        <f t="shared" si="9"/>
        <v>0.27593429955012094</v>
      </c>
      <c r="K35" s="110">
        <f t="shared" si="4"/>
        <v>0.28349202764038012</v>
      </c>
    </row>
    <row r="36" spans="1:11" x14ac:dyDescent="0.2">
      <c r="A36" s="106" t="s">
        <v>42</v>
      </c>
      <c r="B36" s="72">
        <f>B8</f>
        <v>1920.06</v>
      </c>
      <c r="C36" s="33">
        <v>3.5999999999999999E-3</v>
      </c>
      <c r="D36" s="21">
        <f>B36*C36</f>
        <v>6.9122159999999999</v>
      </c>
      <c r="E36" s="72">
        <f t="shared" si="6"/>
        <v>1920.06</v>
      </c>
      <c r="F36" s="33">
        <v>3.5999999999999999E-3</v>
      </c>
      <c r="G36" s="21">
        <f>E36*F36</f>
        <v>6.9122159999999999</v>
      </c>
      <c r="H36" s="21">
        <f t="shared" si="1"/>
        <v>0</v>
      </c>
      <c r="I36" s="22">
        <f t="shared" si="2"/>
        <v>0</v>
      </c>
      <c r="J36" s="22">
        <f t="shared" si="9"/>
        <v>2.4100233554926655E-2</v>
      </c>
      <c r="K36" s="107">
        <f t="shared" si="4"/>
        <v>2.4760329137160683E-2</v>
      </c>
    </row>
    <row r="37" spans="1:11" x14ac:dyDescent="0.2">
      <c r="A37" s="106" t="s">
        <v>43</v>
      </c>
      <c r="B37" s="72">
        <f>B8</f>
        <v>1920.06</v>
      </c>
      <c r="C37" s="33">
        <v>2.0999999999999999E-3</v>
      </c>
      <c r="D37" s="21">
        <f>B37*C37</f>
        <v>4.0321259999999999</v>
      </c>
      <c r="E37" s="72">
        <f t="shared" si="6"/>
        <v>1920.06</v>
      </c>
      <c r="F37" s="33">
        <v>2.0999999999999999E-3</v>
      </c>
      <c r="G37" s="21">
        <f>E37*F37</f>
        <v>4.0321259999999999</v>
      </c>
      <c r="H37" s="21">
        <f>G37-D37</f>
        <v>0</v>
      </c>
      <c r="I37" s="22">
        <f t="shared" si="2"/>
        <v>0</v>
      </c>
      <c r="J37" s="22">
        <f t="shared" si="9"/>
        <v>1.4058469573707216E-2</v>
      </c>
      <c r="K37" s="107">
        <f t="shared" si="4"/>
        <v>1.44435253300104E-2</v>
      </c>
    </row>
    <row r="38" spans="1:11" x14ac:dyDescent="0.2">
      <c r="A38" s="106" t="s">
        <v>99</v>
      </c>
      <c r="B38" s="72">
        <f>B8</f>
        <v>1920.06</v>
      </c>
      <c r="C38" s="33">
        <v>0</v>
      </c>
      <c r="D38" s="21">
        <f>B38*C38</f>
        <v>0</v>
      </c>
      <c r="E38" s="72">
        <f t="shared" si="6"/>
        <v>1920.06</v>
      </c>
      <c r="F38" s="33">
        <v>0</v>
      </c>
      <c r="G38" s="21">
        <f>E38*F38</f>
        <v>0</v>
      </c>
      <c r="H38" s="21">
        <f>G38-D38</f>
        <v>0</v>
      </c>
      <c r="I38" s="22" t="str">
        <f t="shared" si="2"/>
        <v>N/A</v>
      </c>
      <c r="J38" s="22">
        <f t="shared" si="9"/>
        <v>0</v>
      </c>
      <c r="K38" s="107">
        <f t="shared" si="4"/>
        <v>0</v>
      </c>
    </row>
    <row r="39" spans="1:11" x14ac:dyDescent="0.2">
      <c r="A39" s="106" t="s">
        <v>44</v>
      </c>
      <c r="B39" s="72">
        <v>1</v>
      </c>
      <c r="C39" s="21">
        <v>0.25</v>
      </c>
      <c r="D39" s="21">
        <f>B39*C39</f>
        <v>0.25</v>
      </c>
      <c r="E39" s="72">
        <f t="shared" si="6"/>
        <v>1</v>
      </c>
      <c r="F39" s="21">
        <f>C39</f>
        <v>0.25</v>
      </c>
      <c r="G39" s="21">
        <f>E39*F39</f>
        <v>0.25</v>
      </c>
      <c r="H39" s="21">
        <f t="shared" si="1"/>
        <v>0</v>
      </c>
      <c r="I39" s="22">
        <f t="shared" si="2"/>
        <v>0</v>
      </c>
      <c r="J39" s="22">
        <f t="shared" si="9"/>
        <v>8.7165366197058426E-4</v>
      </c>
      <c r="K39" s="107">
        <f t="shared" si="4"/>
        <v>8.9552790079045147E-4</v>
      </c>
    </row>
    <row r="40" spans="1:11" s="1" customFormat="1" x14ac:dyDescent="0.2">
      <c r="A40" s="109" t="s">
        <v>45</v>
      </c>
      <c r="B40" s="73"/>
      <c r="C40" s="34"/>
      <c r="D40" s="34">
        <f>SUM(D36:D39)</f>
        <v>11.194341999999999</v>
      </c>
      <c r="E40" s="72"/>
      <c r="F40" s="34"/>
      <c r="G40" s="34">
        <f>SUM(G36:G39)</f>
        <v>11.194341999999999</v>
      </c>
      <c r="H40" s="34">
        <f t="shared" si="1"/>
        <v>0</v>
      </c>
      <c r="I40" s="35">
        <f t="shared" si="2"/>
        <v>0</v>
      </c>
      <c r="J40" s="35">
        <f t="shared" si="9"/>
        <v>3.9030356790604452E-2</v>
      </c>
      <c r="K40" s="110">
        <f t="shared" si="4"/>
        <v>4.0099382367961532E-2</v>
      </c>
    </row>
    <row r="41" spans="1:11" s="1" customFormat="1" ht="13.5" thickBot="1" x14ac:dyDescent="0.25">
      <c r="A41" s="111" t="s">
        <v>46</v>
      </c>
      <c r="B41" s="112">
        <f>B4</f>
        <v>1800</v>
      </c>
      <c r="C41" s="113">
        <v>0</v>
      </c>
      <c r="D41" s="114">
        <f>B41*C41</f>
        <v>0</v>
      </c>
      <c r="E41" s="115">
        <f t="shared" si="6"/>
        <v>1800</v>
      </c>
      <c r="F41" s="113">
        <f>C41</f>
        <v>0</v>
      </c>
      <c r="G41" s="114">
        <f>E41*F41</f>
        <v>0</v>
      </c>
      <c r="H41" s="114">
        <f t="shared" si="1"/>
        <v>0</v>
      </c>
      <c r="I41" s="116" t="str">
        <f t="shared" si="2"/>
        <v>N/A</v>
      </c>
      <c r="J41" s="116">
        <f t="shared" si="9"/>
        <v>0</v>
      </c>
      <c r="K41" s="117">
        <f t="shared" si="4"/>
        <v>0</v>
      </c>
    </row>
    <row r="42" spans="1:11" s="1" customFormat="1" x14ac:dyDescent="0.2">
      <c r="A42" s="36" t="s">
        <v>107</v>
      </c>
      <c r="B42" s="37"/>
      <c r="C42" s="38"/>
      <c r="D42" s="38">
        <f>SUM(D14,D25,D26,D27,D33,D40,D41)</f>
        <v>272.09348800000004</v>
      </c>
      <c r="E42" s="37"/>
      <c r="F42" s="38"/>
      <c r="G42" s="38">
        <f>SUM(G14,G25,G26,G27,G33,G40,G41)</f>
        <v>273.15348800000004</v>
      </c>
      <c r="H42" s="38">
        <f t="shared" si="1"/>
        <v>1.0600000000000023</v>
      </c>
      <c r="I42" s="39">
        <f t="shared" si="2"/>
        <v>3.895719841703827E-3</v>
      </c>
      <c r="J42" s="39">
        <f t="shared" si="9"/>
        <v>0.95238095238095233</v>
      </c>
      <c r="K42" s="40"/>
    </row>
    <row r="43" spans="1:11" x14ac:dyDescent="0.2">
      <c r="A43" s="142" t="s">
        <v>108</v>
      </c>
      <c r="B43" s="42"/>
      <c r="C43" s="25">
        <v>0.13</v>
      </c>
      <c r="D43" s="25">
        <f>D42*C43</f>
        <v>35.372153440000005</v>
      </c>
      <c r="E43" s="25"/>
      <c r="F43" s="25">
        <f>C43</f>
        <v>0.13</v>
      </c>
      <c r="G43" s="25">
        <f>G42*F43</f>
        <v>35.509953440000004</v>
      </c>
      <c r="H43" s="25">
        <f t="shared" si="1"/>
        <v>0.13779999999999859</v>
      </c>
      <c r="I43" s="43">
        <f t="shared" si="2"/>
        <v>3.8957198417037785E-3</v>
      </c>
      <c r="J43" s="43">
        <f t="shared" si="9"/>
        <v>0.1238095238095238</v>
      </c>
      <c r="K43" s="44"/>
    </row>
    <row r="44" spans="1:11" s="1" customFormat="1" x14ac:dyDescent="0.2">
      <c r="A44" s="45" t="s">
        <v>109</v>
      </c>
      <c r="B44" s="23"/>
      <c r="C44" s="24"/>
      <c r="D44" s="24">
        <f>SUM(D42:D43)</f>
        <v>307.46564144000001</v>
      </c>
      <c r="E44" s="24"/>
      <c r="F44" s="24"/>
      <c r="G44" s="24">
        <f>SUM(G42:G43)</f>
        <v>308.66344144000004</v>
      </c>
      <c r="H44" s="24">
        <f t="shared" si="1"/>
        <v>1.1978000000000293</v>
      </c>
      <c r="I44" s="26">
        <f t="shared" si="2"/>
        <v>3.8957198417039142E-3</v>
      </c>
      <c r="J44" s="26">
        <f t="shared" si="9"/>
        <v>1.0761904761904761</v>
      </c>
      <c r="K44" s="46"/>
    </row>
    <row r="45" spans="1:11" x14ac:dyDescent="0.2">
      <c r="A45" s="41" t="s">
        <v>110</v>
      </c>
      <c r="B45" s="42"/>
      <c r="C45" s="25">
        <v>-0.08</v>
      </c>
      <c r="D45" s="25">
        <f>D42*C45</f>
        <v>-21.767479040000005</v>
      </c>
      <c r="E45" s="25"/>
      <c r="F45" s="25">
        <f>C45</f>
        <v>-0.08</v>
      </c>
      <c r="G45" s="25">
        <f>G42*F45</f>
        <v>-21.852279040000003</v>
      </c>
      <c r="H45" s="25">
        <f t="shared" si="1"/>
        <v>-8.4799999999997766E-2</v>
      </c>
      <c r="I45" s="43">
        <f t="shared" si="2"/>
        <v>-3.8957198417037156E-3</v>
      </c>
      <c r="J45" s="43">
        <f t="shared" si="9"/>
        <v>-7.6190476190476183E-2</v>
      </c>
      <c r="K45" s="44"/>
    </row>
    <row r="46" spans="1:11" s="1" customFormat="1" ht="13.5" thickBot="1" x14ac:dyDescent="0.25">
      <c r="A46" s="47" t="s">
        <v>111</v>
      </c>
      <c r="B46" s="48"/>
      <c r="C46" s="49"/>
      <c r="D46" s="49">
        <f>SUM(D44:D45)</f>
        <v>285.6981624</v>
      </c>
      <c r="E46" s="49"/>
      <c r="F46" s="49"/>
      <c r="G46" s="49">
        <f>SUM(G44:G45)</f>
        <v>286.81116240000006</v>
      </c>
      <c r="H46" s="49">
        <f t="shared" si="1"/>
        <v>1.1130000000000564</v>
      </c>
      <c r="I46" s="50">
        <f t="shared" si="2"/>
        <v>3.8957198417040166E-3</v>
      </c>
      <c r="J46" s="50">
        <f t="shared" si="9"/>
        <v>1</v>
      </c>
      <c r="K46" s="51"/>
    </row>
    <row r="47" spans="1:11" x14ac:dyDescent="0.2">
      <c r="A47" s="52" t="s">
        <v>112</v>
      </c>
      <c r="B47" s="53"/>
      <c r="C47" s="54"/>
      <c r="D47" s="54">
        <f>SUM(D18,D25,D26,D28,D33,D40,D41)</f>
        <v>264.81137919999998</v>
      </c>
      <c r="E47" s="54"/>
      <c r="F47" s="54"/>
      <c r="G47" s="54">
        <f>SUM(G18,G25,G26,G28,G33,G40,G41)</f>
        <v>265.87137919999998</v>
      </c>
      <c r="H47" s="54">
        <f>G47-D47</f>
        <v>1.0600000000000023</v>
      </c>
      <c r="I47" s="55">
        <f t="shared" si="2"/>
        <v>4.0028491343622836E-3</v>
      </c>
      <c r="J47" s="55"/>
      <c r="K47" s="56">
        <f>G47/$G$51</f>
        <v>0.95238095238095233</v>
      </c>
    </row>
    <row r="48" spans="1:11" x14ac:dyDescent="0.2">
      <c r="A48" s="57" t="s">
        <v>108</v>
      </c>
      <c r="B48" s="58"/>
      <c r="C48" s="30">
        <v>0.13</v>
      </c>
      <c r="D48" s="30">
        <f>D47*C48</f>
        <v>34.425479295999999</v>
      </c>
      <c r="E48" s="30"/>
      <c r="F48" s="30">
        <f>C48</f>
        <v>0.13</v>
      </c>
      <c r="G48" s="30">
        <f>G47*F48</f>
        <v>34.563279295999997</v>
      </c>
      <c r="H48" s="30">
        <f>G48-D48</f>
        <v>0.13779999999999859</v>
      </c>
      <c r="I48" s="31">
        <f t="shared" si="2"/>
        <v>4.0028491343622333E-3</v>
      </c>
      <c r="J48" s="31"/>
      <c r="K48" s="59">
        <f>G48/$G$51</f>
        <v>0.1238095238095238</v>
      </c>
    </row>
    <row r="49" spans="1:11" x14ac:dyDescent="0.2">
      <c r="A49" s="60" t="s">
        <v>113</v>
      </c>
      <c r="B49" s="28"/>
      <c r="C49" s="29"/>
      <c r="D49" s="29">
        <f>SUM(D47:D48)</f>
        <v>299.23685849599997</v>
      </c>
      <c r="E49" s="29"/>
      <c r="F49" s="29"/>
      <c r="G49" s="29">
        <f>SUM(G47:G48)</f>
        <v>300.434658496</v>
      </c>
      <c r="H49" s="29">
        <f>G49-D49</f>
        <v>1.1978000000000293</v>
      </c>
      <c r="I49" s="32">
        <f t="shared" si="2"/>
        <v>4.002849134362373E-3</v>
      </c>
      <c r="J49" s="32"/>
      <c r="K49" s="61">
        <f>G49/$G$51</f>
        <v>1.0761904761904761</v>
      </c>
    </row>
    <row r="50" spans="1:11" x14ac:dyDescent="0.2">
      <c r="A50" s="57" t="s">
        <v>110</v>
      </c>
      <c r="B50" s="58"/>
      <c r="C50" s="30">
        <v>-0.08</v>
      </c>
      <c r="D50" s="30">
        <f>D47*C50</f>
        <v>-21.184910335999998</v>
      </c>
      <c r="E50" s="30"/>
      <c r="F50" s="30">
        <f>C50</f>
        <v>-0.08</v>
      </c>
      <c r="G50" s="30">
        <f>G47*F50</f>
        <v>-21.269710335999999</v>
      </c>
      <c r="H50" s="30">
        <f>G50-D50</f>
        <v>-8.4800000000001319E-2</v>
      </c>
      <c r="I50" s="31">
        <f t="shared" si="2"/>
        <v>-4.0028491343623374E-3</v>
      </c>
      <c r="J50" s="31"/>
      <c r="K50" s="59">
        <f>G50/$G$51</f>
        <v>-7.6190476190476183E-2</v>
      </c>
    </row>
    <row r="51" spans="1:11" ht="13.5" thickBot="1" x14ac:dyDescent="0.25">
      <c r="A51" s="62" t="s">
        <v>114</v>
      </c>
      <c r="B51" s="63"/>
      <c r="C51" s="64"/>
      <c r="D51" s="64">
        <f>SUM(D49:D50)</f>
        <v>278.05194815999999</v>
      </c>
      <c r="E51" s="64"/>
      <c r="F51" s="64"/>
      <c r="G51" s="64">
        <f>SUM(G49:G50)</f>
        <v>279.16494815999999</v>
      </c>
      <c r="H51" s="64">
        <f>G51-D51</f>
        <v>1.1129999999999995</v>
      </c>
      <c r="I51" s="65">
        <f t="shared" si="2"/>
        <v>4.0028491343622732E-3</v>
      </c>
      <c r="J51" s="65"/>
      <c r="K51" s="66">
        <f>G51/$G$51</f>
        <v>1</v>
      </c>
    </row>
    <row r="52" spans="1:11" x14ac:dyDescent="0.2">
      <c r="C52" s="67"/>
      <c r="F52" s="68"/>
    </row>
    <row r="53" spans="1:11" x14ac:dyDescent="0.2">
      <c r="F53" s="68"/>
    </row>
    <row r="54" spans="1:11" x14ac:dyDescent="0.2">
      <c r="F54" s="68"/>
    </row>
    <row r="55" spans="1:11" x14ac:dyDescent="0.2">
      <c r="A55" s="69"/>
      <c r="B55" s="70"/>
      <c r="F55" s="68"/>
    </row>
    <row r="56" spans="1:11" x14ac:dyDescent="0.2">
      <c r="B56" s="70"/>
      <c r="F56" s="68"/>
    </row>
    <row r="57" spans="1:11" x14ac:dyDescent="0.2">
      <c r="F57" s="68"/>
    </row>
    <row r="58" spans="1:11" x14ac:dyDescent="0.2">
      <c r="D58" s="71"/>
      <c r="F58" s="68"/>
    </row>
    <row r="59" spans="1:11" x14ac:dyDescent="0.2">
      <c r="F59" s="68"/>
    </row>
    <row r="60" spans="1:11" x14ac:dyDescent="0.2">
      <c r="A60" s="69"/>
      <c r="B60" s="70"/>
      <c r="F60" s="68"/>
    </row>
    <row r="61" spans="1:11" x14ac:dyDescent="0.2">
      <c r="B61" s="71"/>
      <c r="D61" s="71"/>
      <c r="F61" s="68"/>
    </row>
    <row r="62" spans="1:11" x14ac:dyDescent="0.2">
      <c r="F62" s="68"/>
    </row>
    <row r="63" spans="1:11" x14ac:dyDescent="0.2">
      <c r="F63" s="68"/>
    </row>
    <row r="64" spans="1:11" x14ac:dyDescent="0.2">
      <c r="F64" s="68"/>
    </row>
    <row r="65" spans="6:6" x14ac:dyDescent="0.2">
      <c r="F65" s="68"/>
    </row>
    <row r="66" spans="6:6" x14ac:dyDescent="0.2">
      <c r="F66" s="68"/>
    </row>
    <row r="67" spans="6:6" x14ac:dyDescent="0.2">
      <c r="F67" s="68"/>
    </row>
    <row r="68" spans="6:6" x14ac:dyDescent="0.2">
      <c r="F68" s="68"/>
    </row>
  </sheetData>
  <mergeCells count="1">
    <mergeCell ref="A1:K1"/>
  </mergeCells>
  <pageMargins left="0.7" right="0.7" top="0.75" bottom="0.75" header="0.3" footer="0.3"/>
  <pageSetup scale="7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Impacts'!$A$3:$A$22</xm:f>
          </x14:formula1>
          <xm:sqref>B3</xm:sqref>
        </x14:dataValidation>
      </x14:dataValidations>
    </ext>
  </extLs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tabColor theme="1" tint="0.499984740745262"/>
    <pageSetUpPr fitToPage="1"/>
  </sheetPr>
  <dimension ref="A1:K68"/>
  <sheetViews>
    <sheetView tabSelected="1" topLeftCell="A7"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3"/>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205" t="s">
        <v>124</v>
      </c>
      <c r="B1" s="206"/>
      <c r="C1" s="206"/>
      <c r="D1" s="206"/>
      <c r="E1" s="206"/>
      <c r="F1" s="206"/>
      <c r="G1" s="206"/>
      <c r="H1" s="206"/>
      <c r="I1" s="206"/>
      <c r="J1" s="206"/>
      <c r="K1" s="207"/>
    </row>
    <row r="3" spans="1:11" x14ac:dyDescent="0.2">
      <c r="A3" s="12" t="s">
        <v>13</v>
      </c>
      <c r="B3" s="12" t="s">
        <v>131</v>
      </c>
    </row>
    <row r="4" spans="1:11" x14ac:dyDescent="0.2">
      <c r="A4" s="14" t="s">
        <v>62</v>
      </c>
      <c r="B4" s="14">
        <v>1000</v>
      </c>
    </row>
    <row r="5" spans="1:11" x14ac:dyDescent="0.2">
      <c r="A5" s="14" t="s">
        <v>16</v>
      </c>
      <c r="B5" s="14">
        <f>VLOOKUP($B$3,'Data for Bill Impacts'!$A$3:$Y$25,5,0)</f>
        <v>0</v>
      </c>
    </row>
    <row r="6" spans="1:11" x14ac:dyDescent="0.2">
      <c r="A6" s="14" t="s">
        <v>20</v>
      </c>
      <c r="B6" s="14">
        <f>VLOOKUP($B$3,'Data for Bill Impacts'!$A$3:$Y$25,2,0)</f>
        <v>1.0569999999999999</v>
      </c>
    </row>
    <row r="7" spans="1:11" x14ac:dyDescent="0.2">
      <c r="A7" s="14" t="s">
        <v>15</v>
      </c>
      <c r="B7" s="14">
        <f>VLOOKUP($B$3,'Data for Bill Impacts'!$A$3:$Y$25,4,0)</f>
        <v>750</v>
      </c>
    </row>
    <row r="8" spans="1:11" x14ac:dyDescent="0.2">
      <c r="A8" s="14" t="s">
        <v>82</v>
      </c>
      <c r="B8" s="14">
        <f>B4*B6</f>
        <v>1057</v>
      </c>
    </row>
    <row r="9" spans="1:11" x14ac:dyDescent="0.2">
      <c r="A9" s="14" t="s">
        <v>21</v>
      </c>
      <c r="B9" s="15" t="str">
        <f>VLOOKUP($B$3,'Data for Bill Impacts'!$A$3:$Y$25,6,0)</f>
        <v>kWh</v>
      </c>
    </row>
    <row r="10" spans="1:11" ht="13.5" thickBot="1" x14ac:dyDescent="0.25"/>
    <row r="11" spans="1:11" s="19" customFormat="1" ht="51.75" thickBot="1" x14ac:dyDescent="0.25">
      <c r="A11" s="16"/>
      <c r="B11" s="17" t="s">
        <v>22</v>
      </c>
      <c r="C11" s="17" t="s">
        <v>23</v>
      </c>
      <c r="D11" s="17" t="s">
        <v>24</v>
      </c>
      <c r="E11" s="17" t="s">
        <v>22</v>
      </c>
      <c r="F11" s="17" t="s">
        <v>25</v>
      </c>
      <c r="G11" s="17" t="s">
        <v>26</v>
      </c>
      <c r="H11" s="17" t="s">
        <v>27</v>
      </c>
      <c r="I11" s="17" t="s">
        <v>28</v>
      </c>
      <c r="J11" s="17" t="s">
        <v>29</v>
      </c>
      <c r="K11" s="18" t="s">
        <v>30</v>
      </c>
    </row>
    <row r="12" spans="1:11" x14ac:dyDescent="0.2">
      <c r="A12" s="100" t="s">
        <v>31</v>
      </c>
      <c r="B12" s="101">
        <f>IF(B4&gt;B7,B7,B4)</f>
        <v>750</v>
      </c>
      <c r="C12" s="102">
        <v>9.0999999999999998E-2</v>
      </c>
      <c r="D12" s="103">
        <f>B12*C12</f>
        <v>68.25</v>
      </c>
      <c r="E12" s="101">
        <f>B12</f>
        <v>750</v>
      </c>
      <c r="F12" s="102">
        <f>C12</f>
        <v>9.0999999999999998E-2</v>
      </c>
      <c r="G12" s="103">
        <f>E12*F12</f>
        <v>68.25</v>
      </c>
      <c r="H12" s="103">
        <f>G12-D12</f>
        <v>0</v>
      </c>
      <c r="I12" s="104">
        <f>IF(ISERROR(H12/ABS(D12)),"N/A",(H12/ABS(D12)))</f>
        <v>0</v>
      </c>
      <c r="J12" s="104">
        <f>G12/$G$46</f>
        <v>0.35517514779384324</v>
      </c>
      <c r="K12" s="105"/>
    </row>
    <row r="13" spans="1:11" x14ac:dyDescent="0.2">
      <c r="A13" s="106" t="s">
        <v>32</v>
      </c>
      <c r="B13" s="72">
        <f>IF(B4&gt;B7,(B4)-B7,0)</f>
        <v>250</v>
      </c>
      <c r="C13" s="20">
        <v>0.106</v>
      </c>
      <c r="D13" s="21">
        <f>B13*C13</f>
        <v>26.5</v>
      </c>
      <c r="E13" s="72">
        <f t="shared" ref="E13" si="0">B13</f>
        <v>250</v>
      </c>
      <c r="F13" s="20">
        <f>C13</f>
        <v>0.106</v>
      </c>
      <c r="G13" s="21">
        <f>E13*F13</f>
        <v>26.5</v>
      </c>
      <c r="H13" s="21">
        <f t="shared" ref="H13:H46" si="1">G13-D13</f>
        <v>0</v>
      </c>
      <c r="I13" s="22">
        <f t="shared" ref="I13:I51" si="2">IF(ISERROR(H13/ABS(D13)),"N/A",(H13/ABS(D13)))</f>
        <v>0</v>
      </c>
      <c r="J13" s="22">
        <f>G13/$G$46</f>
        <v>0.13790683394193182</v>
      </c>
      <c r="K13" s="107"/>
    </row>
    <row r="14" spans="1:11" s="1" customFormat="1" x14ac:dyDescent="0.2">
      <c r="A14" s="45" t="s">
        <v>33</v>
      </c>
      <c r="B14" s="23"/>
      <c r="C14" s="24"/>
      <c r="D14" s="24">
        <f>SUM(D12:D13)</f>
        <v>94.75</v>
      </c>
      <c r="E14" s="75"/>
      <c r="F14" s="24"/>
      <c r="G14" s="24">
        <f>SUM(G12:G13)</f>
        <v>94.75</v>
      </c>
      <c r="H14" s="24">
        <f t="shared" si="1"/>
        <v>0</v>
      </c>
      <c r="I14" s="26">
        <f t="shared" si="2"/>
        <v>0</v>
      </c>
      <c r="J14" s="26">
        <f>G14/$G$46</f>
        <v>0.49308198173577505</v>
      </c>
      <c r="K14" s="107"/>
    </row>
    <row r="15" spans="1:11" s="1" customFormat="1" x14ac:dyDescent="0.2">
      <c r="A15" s="108" t="s">
        <v>34</v>
      </c>
      <c r="B15" s="74">
        <f>B4*0.65</f>
        <v>650</v>
      </c>
      <c r="C15" s="27">
        <v>7.6999999999999999E-2</v>
      </c>
      <c r="D15" s="21">
        <f>B15*C15</f>
        <v>50.05</v>
      </c>
      <c r="E15" s="72">
        <f t="shared" ref="E15:F17" si="3">B15</f>
        <v>650</v>
      </c>
      <c r="F15" s="27">
        <f t="shared" si="3"/>
        <v>7.6999999999999999E-2</v>
      </c>
      <c r="G15" s="21">
        <f>E15*F15</f>
        <v>50.05</v>
      </c>
      <c r="H15" s="21">
        <f t="shared" si="1"/>
        <v>0</v>
      </c>
      <c r="I15" s="22">
        <f t="shared" si="2"/>
        <v>0</v>
      </c>
      <c r="J15" s="22"/>
      <c r="K15" s="107">
        <f t="shared" ref="K15:K41" si="4">G15/$G$51</f>
        <v>0.25724753555961472</v>
      </c>
    </row>
    <row r="16" spans="1:11" s="1" customFormat="1" x14ac:dyDescent="0.2">
      <c r="A16" s="108" t="s">
        <v>35</v>
      </c>
      <c r="B16" s="74">
        <f>B4*0.17</f>
        <v>170</v>
      </c>
      <c r="C16" s="27">
        <v>0.113</v>
      </c>
      <c r="D16" s="21">
        <f>B16*C16</f>
        <v>19.21</v>
      </c>
      <c r="E16" s="72">
        <f t="shared" si="3"/>
        <v>170</v>
      </c>
      <c r="F16" s="27">
        <f t="shared" si="3"/>
        <v>0.113</v>
      </c>
      <c r="G16" s="21">
        <f>E16*F16</f>
        <v>19.21</v>
      </c>
      <c r="H16" s="21">
        <f t="shared" si="1"/>
        <v>0</v>
      </c>
      <c r="I16" s="22">
        <f t="shared" si="2"/>
        <v>0</v>
      </c>
      <c r="J16" s="22"/>
      <c r="K16" s="107">
        <f t="shared" si="4"/>
        <v>9.8735767394609361E-2</v>
      </c>
    </row>
    <row r="17" spans="1:11" s="1" customFormat="1" x14ac:dyDescent="0.2">
      <c r="A17" s="108" t="s">
        <v>36</v>
      </c>
      <c r="B17" s="74">
        <f>B4*0.18</f>
        <v>180</v>
      </c>
      <c r="C17" s="27">
        <v>0.157</v>
      </c>
      <c r="D17" s="21">
        <f>B17*C17</f>
        <v>28.26</v>
      </c>
      <c r="E17" s="72">
        <f t="shared" si="3"/>
        <v>180</v>
      </c>
      <c r="F17" s="27">
        <f t="shared" si="3"/>
        <v>0.157</v>
      </c>
      <c r="G17" s="21">
        <f>E17*F17</f>
        <v>28.26</v>
      </c>
      <c r="H17" s="21">
        <f t="shared" si="1"/>
        <v>0</v>
      </c>
      <c r="I17" s="22">
        <f t="shared" si="2"/>
        <v>0</v>
      </c>
      <c r="J17" s="22"/>
      <c r="K17" s="107">
        <f t="shared" si="4"/>
        <v>0.145251056042252</v>
      </c>
    </row>
    <row r="18" spans="1:11" s="1" customFormat="1" x14ac:dyDescent="0.2">
      <c r="A18" s="60" t="s">
        <v>37</v>
      </c>
      <c r="B18" s="28"/>
      <c r="C18" s="29"/>
      <c r="D18" s="29">
        <f>SUM(D15:D17)</f>
        <v>97.52</v>
      </c>
      <c r="E18" s="76"/>
      <c r="F18" s="29"/>
      <c r="G18" s="29">
        <f>SUM(G15:G17)</f>
        <v>97.52</v>
      </c>
      <c r="H18" s="30">
        <f t="shared" si="1"/>
        <v>0</v>
      </c>
      <c r="I18" s="31">
        <f t="shared" si="2"/>
        <v>0</v>
      </c>
      <c r="J18" s="32">
        <f t="shared" ref="J18:J24" si="5">G18/$G$46</f>
        <v>0.50749714890630904</v>
      </c>
      <c r="K18" s="61">
        <f t="shared" si="4"/>
        <v>0.50123435899647606</v>
      </c>
    </row>
    <row r="19" spans="1:11" x14ac:dyDescent="0.2">
      <c r="A19" s="106" t="s">
        <v>38</v>
      </c>
      <c r="B19" s="72">
        <v>1</v>
      </c>
      <c r="C19" s="77">
        <f>VLOOKUP($B$3,'Data for Bill Impacts'!$A$3:$Y$25,7,0)</f>
        <v>30.26</v>
      </c>
      <c r="D19" s="21">
        <f>B19*C19</f>
        <v>30.26</v>
      </c>
      <c r="E19" s="72">
        <f t="shared" ref="E19:E41" si="6">B19</f>
        <v>1</v>
      </c>
      <c r="F19" s="77">
        <f>VLOOKUP($B$3,'Data for Bill Impacts'!$A$3:$Y$25,17,0)</f>
        <v>36.369999999999997</v>
      </c>
      <c r="G19" s="21">
        <f>E19*F19</f>
        <v>36.369999999999997</v>
      </c>
      <c r="H19" s="21">
        <f t="shared" si="1"/>
        <v>6.1099999999999959</v>
      </c>
      <c r="I19" s="22">
        <f t="shared" si="2"/>
        <v>0.20191672174487757</v>
      </c>
      <c r="J19" s="22">
        <f t="shared" si="5"/>
        <v>0.18927062454596449</v>
      </c>
      <c r="K19" s="107">
        <f t="shared" si="4"/>
        <v>0.18693492244362012</v>
      </c>
    </row>
    <row r="20" spans="1:11" hidden="1" x14ac:dyDescent="0.2">
      <c r="A20" s="106" t="s">
        <v>83</v>
      </c>
      <c r="B20" s="72">
        <v>1</v>
      </c>
      <c r="C20" s="77">
        <f>VLOOKUP($B$3,'Data for Bill Impacts'!$A$3:$Y$25,8,0)</f>
        <v>0</v>
      </c>
      <c r="D20" s="21">
        <f>B20*C20</f>
        <v>0</v>
      </c>
      <c r="E20" s="72">
        <f t="shared" si="6"/>
        <v>1</v>
      </c>
      <c r="F20" s="77">
        <v>0</v>
      </c>
      <c r="G20" s="21">
        <f t="shared" ref="G20:G22" si="7">E20*F20</f>
        <v>0</v>
      </c>
      <c r="H20" s="21">
        <f t="shared" si="1"/>
        <v>0</v>
      </c>
      <c r="I20" s="22" t="str">
        <f t="shared" si="2"/>
        <v>N/A</v>
      </c>
      <c r="J20" s="22">
        <f t="shared" si="5"/>
        <v>0</v>
      </c>
      <c r="K20" s="107">
        <f t="shared" si="4"/>
        <v>0</v>
      </c>
    </row>
    <row r="21" spans="1:11" hidden="1" x14ac:dyDescent="0.2">
      <c r="A21" s="106" t="s">
        <v>84</v>
      </c>
      <c r="B21" s="72">
        <v>1</v>
      </c>
      <c r="C21" s="77">
        <f>VLOOKUP($B$3,'Data for Bill Impacts'!$A$3:$Y$25,11,0)</f>
        <v>0</v>
      </c>
      <c r="D21" s="21">
        <f t="shared" ref="D21:D22" si="8">B21*C21</f>
        <v>0</v>
      </c>
      <c r="E21" s="72">
        <f t="shared" si="6"/>
        <v>1</v>
      </c>
      <c r="F21" s="120">
        <f>VLOOKUP($B$3,'Data for Bill Impacts'!$A$3:$Y$25,12,0)</f>
        <v>0</v>
      </c>
      <c r="G21" s="21">
        <f t="shared" si="7"/>
        <v>0</v>
      </c>
      <c r="H21" s="21">
        <f t="shared" si="1"/>
        <v>0</v>
      </c>
      <c r="I21" s="22" t="str">
        <f t="shared" si="2"/>
        <v>N/A</v>
      </c>
      <c r="J21" s="22">
        <f t="shared" si="5"/>
        <v>0</v>
      </c>
      <c r="K21" s="107">
        <f t="shared" si="4"/>
        <v>0</v>
      </c>
    </row>
    <row r="22" spans="1:11" x14ac:dyDescent="0.2">
      <c r="A22" s="106" t="s">
        <v>85</v>
      </c>
      <c r="B22" s="72">
        <v>1</v>
      </c>
      <c r="C22" s="120">
        <f>VLOOKUP($B$3,'Data for Bill Impacts'!$A$3:$Y$25,13,0)</f>
        <v>0</v>
      </c>
      <c r="D22" s="21">
        <f t="shared" si="8"/>
        <v>0</v>
      </c>
      <c r="E22" s="72">
        <f t="shared" si="6"/>
        <v>1</v>
      </c>
      <c r="F22" s="120">
        <f>VLOOKUP($B$3,'Data for Bill Impacts'!$A$3:$Y$25,22,0)</f>
        <v>0</v>
      </c>
      <c r="G22" s="21">
        <f t="shared" si="7"/>
        <v>0</v>
      </c>
      <c r="H22" s="21">
        <f t="shared" si="1"/>
        <v>0</v>
      </c>
      <c r="I22" s="22" t="str">
        <f t="shared" si="2"/>
        <v>N/A</v>
      </c>
      <c r="J22" s="22">
        <f t="shared" si="5"/>
        <v>0</v>
      </c>
      <c r="K22" s="107">
        <f t="shared" si="4"/>
        <v>0</v>
      </c>
    </row>
    <row r="23" spans="1:11" x14ac:dyDescent="0.2">
      <c r="A23" s="106" t="s">
        <v>39</v>
      </c>
      <c r="B23" s="72">
        <f>IF($B$9="kWh",$B$4,$B$5)</f>
        <v>1000</v>
      </c>
      <c r="C23" s="124">
        <f>VLOOKUP($B$3,'Data for Bill Impacts'!$A$3:$Y$25,10,0)</f>
        <v>1.7399999999999999E-2</v>
      </c>
      <c r="D23" s="21">
        <f>B23*C23</f>
        <v>17.399999999999999</v>
      </c>
      <c r="E23" s="72">
        <f t="shared" si="6"/>
        <v>1000</v>
      </c>
      <c r="F23" s="124">
        <f>VLOOKUP($B$3,'Data for Bill Impacts'!$A$3:$Y$25,19,0)</f>
        <v>2.1000000000000001E-2</v>
      </c>
      <c r="G23" s="21">
        <f>E23*F23</f>
        <v>21</v>
      </c>
      <c r="H23" s="21">
        <f t="shared" si="1"/>
        <v>3.6000000000000014</v>
      </c>
      <c r="I23" s="22">
        <f t="shared" si="2"/>
        <v>0.20689655172413804</v>
      </c>
      <c r="J23" s="22">
        <f t="shared" si="5"/>
        <v>0.10928466085964407</v>
      </c>
      <c r="K23" s="107">
        <f t="shared" si="4"/>
        <v>0.10793602890613205</v>
      </c>
    </row>
    <row r="24" spans="1:11" x14ac:dyDescent="0.2">
      <c r="A24" s="106" t="s">
        <v>129</v>
      </c>
      <c r="B24" s="72">
        <f>IF($B$9="kWh",$B$4,$B$5)</f>
        <v>1000</v>
      </c>
      <c r="C24" s="124">
        <f>VLOOKUP($B$3,'Data for Bill Impacts'!$A$3:$Y$25,14,0)</f>
        <v>0</v>
      </c>
      <c r="D24" s="33">
        <f>B24*C24</f>
        <v>0</v>
      </c>
      <c r="E24" s="72">
        <f t="shared" si="6"/>
        <v>1000</v>
      </c>
      <c r="F24" s="124">
        <f>VLOOKUP($B$3,'Data for Bill Impacts'!$A$3:$Y$25,23,0)</f>
        <v>0</v>
      </c>
      <c r="G24" s="33">
        <f>E24*F24</f>
        <v>0</v>
      </c>
      <c r="H24" s="21">
        <f t="shared" si="1"/>
        <v>0</v>
      </c>
      <c r="I24" s="22" t="str">
        <f t="shared" si="2"/>
        <v>N/A</v>
      </c>
      <c r="J24" s="22">
        <f t="shared" si="5"/>
        <v>0</v>
      </c>
      <c r="K24" s="107">
        <f t="shared" si="4"/>
        <v>0</v>
      </c>
    </row>
    <row r="25" spans="1:11" s="1" customFormat="1" x14ac:dyDescent="0.2">
      <c r="A25" s="109" t="s">
        <v>72</v>
      </c>
      <c r="B25" s="73"/>
      <c r="C25" s="34"/>
      <c r="D25" s="34">
        <f>SUM(D19:D24)</f>
        <v>47.66</v>
      </c>
      <c r="E25" s="72"/>
      <c r="F25" s="34"/>
      <c r="G25" s="34">
        <f>SUM(G19:G24)</f>
        <v>57.37</v>
      </c>
      <c r="H25" s="34">
        <f t="shared" si="1"/>
        <v>9.7100000000000009</v>
      </c>
      <c r="I25" s="35">
        <f t="shared" si="2"/>
        <v>0.20373478808224929</v>
      </c>
      <c r="J25" s="35">
        <f>G25/$G$46</f>
        <v>0.29855528540560855</v>
      </c>
      <c r="K25" s="110">
        <f t="shared" si="4"/>
        <v>0.29487095134975216</v>
      </c>
    </row>
    <row r="26" spans="1:11" s="1" customFormat="1" x14ac:dyDescent="0.2">
      <c r="A26" s="118" t="s">
        <v>73</v>
      </c>
      <c r="B26" s="119">
        <v>1</v>
      </c>
      <c r="C26" s="77">
        <f>VLOOKUP($B$3,'Data for Bill Impacts'!$A$3:$Y$25,9,0)</f>
        <v>0.79</v>
      </c>
      <c r="D26" s="21">
        <f>B26*C26</f>
        <v>0.79</v>
      </c>
      <c r="E26" s="72">
        <v>1</v>
      </c>
      <c r="F26" s="77">
        <f>VLOOKUP($B$3,'Data for Bill Impacts'!$A$3:$Y$25,18,0)</f>
        <v>0.79</v>
      </c>
      <c r="G26" s="21">
        <f>E26*F26</f>
        <v>0.79</v>
      </c>
      <c r="H26" s="21">
        <f t="shared" si="1"/>
        <v>0</v>
      </c>
      <c r="I26" s="22">
        <f t="shared" si="2"/>
        <v>0</v>
      </c>
      <c r="J26" s="22">
        <f>G26/$G$46</f>
        <v>4.1111848609104197E-3</v>
      </c>
      <c r="K26" s="107">
        <f t="shared" si="4"/>
        <v>4.0604506112306817E-3</v>
      </c>
    </row>
    <row r="27" spans="1:11" s="1" customFormat="1" x14ac:dyDescent="0.2">
      <c r="A27" s="118" t="s">
        <v>75</v>
      </c>
      <c r="B27" s="119">
        <f>B8-B4</f>
        <v>57</v>
      </c>
      <c r="C27" s="186">
        <f>IF(B4&gt;B7,C13,C12)</f>
        <v>0.106</v>
      </c>
      <c r="D27" s="21">
        <f>B27*C27</f>
        <v>6.0419999999999998</v>
      </c>
      <c r="E27" s="72">
        <f>B27</f>
        <v>57</v>
      </c>
      <c r="F27" s="186">
        <f>C27</f>
        <v>0.106</v>
      </c>
      <c r="G27" s="21">
        <f>E27*F27</f>
        <v>6.0419999999999998</v>
      </c>
      <c r="H27" s="21">
        <f t="shared" si="1"/>
        <v>0</v>
      </c>
      <c r="I27" s="22">
        <f t="shared" si="2"/>
        <v>0</v>
      </c>
      <c r="J27" s="22">
        <f t="shared" ref="J27:J46" si="9">G27/$G$46</f>
        <v>3.1442758138760449E-2</v>
      </c>
      <c r="K27" s="107">
        <f t="shared" si="4"/>
        <v>3.1054737459564278E-2</v>
      </c>
    </row>
    <row r="28" spans="1:11" s="1" customFormat="1" x14ac:dyDescent="0.2">
      <c r="A28" s="118" t="s">
        <v>74</v>
      </c>
      <c r="B28" s="119">
        <f>B8-B4</f>
        <v>57</v>
      </c>
      <c r="C28" s="186">
        <f>0.65*C15+0.17*C16+0.18*C17</f>
        <v>9.7519999999999996E-2</v>
      </c>
      <c r="D28" s="21">
        <f>B28*C28</f>
        <v>5.5586399999999996</v>
      </c>
      <c r="E28" s="72">
        <f>B28</f>
        <v>57</v>
      </c>
      <c r="F28" s="186">
        <f>C28</f>
        <v>9.7519999999999996E-2</v>
      </c>
      <c r="G28" s="21">
        <f>E28*F28</f>
        <v>5.5586399999999996</v>
      </c>
      <c r="H28" s="21">
        <f t="shared" si="1"/>
        <v>0</v>
      </c>
      <c r="I28" s="22">
        <f t="shared" si="2"/>
        <v>0</v>
      </c>
      <c r="J28" s="22">
        <f t="shared" si="9"/>
        <v>2.8927337487659611E-2</v>
      </c>
      <c r="K28" s="107">
        <f t="shared" si="4"/>
        <v>2.8570358462799133E-2</v>
      </c>
    </row>
    <row r="29" spans="1:11" s="1" customFormat="1" x14ac:dyDescent="0.2">
      <c r="A29" s="109" t="s">
        <v>78</v>
      </c>
      <c r="B29" s="73"/>
      <c r="C29" s="34"/>
      <c r="D29" s="34">
        <f>SUM(D25,D26:D27)</f>
        <v>54.491999999999997</v>
      </c>
      <c r="E29" s="72"/>
      <c r="F29" s="34"/>
      <c r="G29" s="34">
        <f>SUM(G25,G26:G27)</f>
        <v>64.201999999999998</v>
      </c>
      <c r="H29" s="34">
        <f t="shared" si="1"/>
        <v>9.7100000000000009</v>
      </c>
      <c r="I29" s="35">
        <f t="shared" si="2"/>
        <v>0.17819129413491891</v>
      </c>
      <c r="J29" s="35">
        <f t="shared" si="9"/>
        <v>0.33410922840527946</v>
      </c>
      <c r="K29" s="110">
        <f t="shared" si="4"/>
        <v>0.32998613942054711</v>
      </c>
    </row>
    <row r="30" spans="1:11" s="1" customFormat="1" x14ac:dyDescent="0.2">
      <c r="A30" s="109" t="s">
        <v>77</v>
      </c>
      <c r="B30" s="73"/>
      <c r="C30" s="34"/>
      <c r="D30" s="34">
        <f>SUM(D25,D26,D28)</f>
        <v>54.008639999999993</v>
      </c>
      <c r="E30" s="72"/>
      <c r="F30" s="34"/>
      <c r="G30" s="34">
        <f>SUM(G25,G26,G28)</f>
        <v>63.718639999999994</v>
      </c>
      <c r="H30" s="34">
        <f t="shared" si="1"/>
        <v>9.7100000000000009</v>
      </c>
      <c r="I30" s="35">
        <f t="shared" si="2"/>
        <v>0.17978604904696735</v>
      </c>
      <c r="J30" s="35">
        <f t="shared" si="9"/>
        <v>0.33159380775417857</v>
      </c>
      <c r="K30" s="110">
        <f t="shared" si="4"/>
        <v>0.32750176042378193</v>
      </c>
    </row>
    <row r="31" spans="1:11" x14ac:dyDescent="0.2">
      <c r="A31" s="106" t="s">
        <v>40</v>
      </c>
      <c r="B31" s="72">
        <f>B8</f>
        <v>1057</v>
      </c>
      <c r="C31" s="124">
        <f>VLOOKUP($B$3,'Data for Bill Impacts'!$A$3:$Y$25,15,0)</f>
        <v>5.5999999999999999E-3</v>
      </c>
      <c r="D31" s="21">
        <f>B31*C31</f>
        <v>5.9192</v>
      </c>
      <c r="E31" s="72">
        <f t="shared" si="6"/>
        <v>1057</v>
      </c>
      <c r="F31" s="77">
        <f>VLOOKUP($B$3,'Data for Bill Impacts'!$A$3:$Y$25,24,0)</f>
        <v>5.5999999999999999E-3</v>
      </c>
      <c r="G31" s="21">
        <f>E31*F31</f>
        <v>5.9192</v>
      </c>
      <c r="H31" s="21">
        <f t="shared" si="1"/>
        <v>0</v>
      </c>
      <c r="I31" s="22">
        <f t="shared" si="2"/>
        <v>0</v>
      </c>
      <c r="J31" s="22">
        <f t="shared" si="9"/>
        <v>3.0803703074305008E-2</v>
      </c>
      <c r="K31" s="107">
        <f t="shared" si="4"/>
        <v>3.0423568681008421E-2</v>
      </c>
    </row>
    <row r="32" spans="1:11" x14ac:dyDescent="0.2">
      <c r="A32" s="106" t="s">
        <v>41</v>
      </c>
      <c r="B32" s="72">
        <f>B8</f>
        <v>1057</v>
      </c>
      <c r="C32" s="124">
        <f>VLOOKUP($B$3,'Data for Bill Impacts'!$A$3:$Y$25,16,0)</f>
        <v>4.5999999999999999E-3</v>
      </c>
      <c r="D32" s="21">
        <f>B32*C32</f>
        <v>4.8621999999999996</v>
      </c>
      <c r="E32" s="72">
        <f t="shared" si="6"/>
        <v>1057</v>
      </c>
      <c r="F32" s="77">
        <f>VLOOKUP($B$3,'Data for Bill Impacts'!$A$3:$Y$25,25,0)</f>
        <v>4.5999999999999999E-3</v>
      </c>
      <c r="G32" s="21">
        <f>E32*F32</f>
        <v>4.8621999999999996</v>
      </c>
      <c r="H32" s="21">
        <f t="shared" si="1"/>
        <v>0</v>
      </c>
      <c r="I32" s="22">
        <f t="shared" si="2"/>
        <v>0</v>
      </c>
      <c r="J32" s="22">
        <f t="shared" si="9"/>
        <v>2.5303041811036254E-2</v>
      </c>
      <c r="K32" s="107">
        <f t="shared" si="4"/>
        <v>2.4990788559399773E-2</v>
      </c>
    </row>
    <row r="33" spans="1:11" s="1" customFormat="1" x14ac:dyDescent="0.2">
      <c r="A33" s="109" t="s">
        <v>76</v>
      </c>
      <c r="B33" s="73"/>
      <c r="C33" s="34"/>
      <c r="D33" s="34">
        <f>SUM(D31:D32)</f>
        <v>10.7814</v>
      </c>
      <c r="E33" s="72"/>
      <c r="F33" s="34"/>
      <c r="G33" s="34">
        <f>SUM(G31:G32)</f>
        <v>10.7814</v>
      </c>
      <c r="H33" s="34">
        <f t="shared" si="1"/>
        <v>0</v>
      </c>
      <c r="I33" s="35">
        <f t="shared" si="2"/>
        <v>0</v>
      </c>
      <c r="J33" s="35">
        <f t="shared" si="9"/>
        <v>5.6106744885341266E-2</v>
      </c>
      <c r="K33" s="110">
        <f t="shared" si="4"/>
        <v>5.5414357240408191E-2</v>
      </c>
    </row>
    <row r="34" spans="1:11" s="1" customFormat="1" x14ac:dyDescent="0.2">
      <c r="A34" s="109" t="s">
        <v>93</v>
      </c>
      <c r="B34" s="73"/>
      <c r="C34" s="34"/>
      <c r="D34" s="34">
        <f>D29+D33</f>
        <v>65.273399999999995</v>
      </c>
      <c r="E34" s="72"/>
      <c r="F34" s="34"/>
      <c r="G34" s="34">
        <f>G29+G33</f>
        <v>74.983400000000003</v>
      </c>
      <c r="H34" s="34">
        <f t="shared" si="1"/>
        <v>9.710000000000008</v>
      </c>
      <c r="I34" s="35">
        <f t="shared" si="2"/>
        <v>0.14875891251260098</v>
      </c>
      <c r="J34" s="35">
        <f t="shared" si="9"/>
        <v>0.39021597329062074</v>
      </c>
      <c r="K34" s="110">
        <f t="shared" si="4"/>
        <v>0.38540049666095533</v>
      </c>
    </row>
    <row r="35" spans="1:11" s="1" customFormat="1" x14ac:dyDescent="0.2">
      <c r="A35" s="109" t="s">
        <v>94</v>
      </c>
      <c r="B35" s="73"/>
      <c r="C35" s="34"/>
      <c r="D35" s="34">
        <f>D30+D33</f>
        <v>64.790039999999991</v>
      </c>
      <c r="E35" s="72"/>
      <c r="F35" s="34"/>
      <c r="G35" s="34">
        <f>G30+G33</f>
        <v>74.500039999999998</v>
      </c>
      <c r="H35" s="34">
        <f t="shared" si="1"/>
        <v>9.710000000000008</v>
      </c>
      <c r="I35" s="35">
        <f t="shared" si="2"/>
        <v>0.14986871438881669</v>
      </c>
      <c r="J35" s="35">
        <f t="shared" si="9"/>
        <v>0.38770055263951986</v>
      </c>
      <c r="K35" s="110">
        <f t="shared" si="4"/>
        <v>0.38291611766419015</v>
      </c>
    </row>
    <row r="36" spans="1:11" x14ac:dyDescent="0.2">
      <c r="A36" s="106" t="s">
        <v>42</v>
      </c>
      <c r="B36" s="72">
        <f>B8</f>
        <v>1057</v>
      </c>
      <c r="C36" s="33">
        <v>3.5999999999999999E-3</v>
      </c>
      <c r="D36" s="21">
        <f>B36*C36</f>
        <v>3.8051999999999997</v>
      </c>
      <c r="E36" s="72">
        <f t="shared" si="6"/>
        <v>1057</v>
      </c>
      <c r="F36" s="33">
        <v>3.5999999999999999E-3</v>
      </c>
      <c r="G36" s="21">
        <f>E36*F36</f>
        <v>3.8051999999999997</v>
      </c>
      <c r="H36" s="21">
        <f t="shared" si="1"/>
        <v>0</v>
      </c>
      <c r="I36" s="22">
        <f t="shared" si="2"/>
        <v>0</v>
      </c>
      <c r="J36" s="22">
        <f t="shared" si="9"/>
        <v>1.9802380547767503E-2</v>
      </c>
      <c r="K36" s="107">
        <f t="shared" si="4"/>
        <v>1.9558008437791125E-2</v>
      </c>
    </row>
    <row r="37" spans="1:11" x14ac:dyDescent="0.2">
      <c r="A37" s="106" t="s">
        <v>43</v>
      </c>
      <c r="B37" s="72">
        <f>B8</f>
        <v>1057</v>
      </c>
      <c r="C37" s="33">
        <v>2.0999999999999999E-3</v>
      </c>
      <c r="D37" s="21">
        <f>B37*C37</f>
        <v>2.2197</v>
      </c>
      <c r="E37" s="72">
        <f t="shared" si="6"/>
        <v>1057</v>
      </c>
      <c r="F37" s="33">
        <v>2.0999999999999999E-3</v>
      </c>
      <c r="G37" s="21">
        <f>E37*F37</f>
        <v>2.2197</v>
      </c>
      <c r="H37" s="21">
        <f>G37-D37</f>
        <v>0</v>
      </c>
      <c r="I37" s="22">
        <f t="shared" si="2"/>
        <v>0</v>
      </c>
      <c r="J37" s="22">
        <f t="shared" si="9"/>
        <v>1.1551388652864378E-2</v>
      </c>
      <c r="K37" s="107">
        <f t="shared" si="4"/>
        <v>1.1408838255378157E-2</v>
      </c>
    </row>
    <row r="38" spans="1:11" x14ac:dyDescent="0.2">
      <c r="A38" s="106" t="s">
        <v>99</v>
      </c>
      <c r="B38" s="72">
        <f>B8</f>
        <v>1057</v>
      </c>
      <c r="C38" s="33">
        <v>0</v>
      </c>
      <c r="D38" s="21">
        <f>B38*C38</f>
        <v>0</v>
      </c>
      <c r="E38" s="72">
        <f t="shared" si="6"/>
        <v>1057</v>
      </c>
      <c r="F38" s="33">
        <v>0</v>
      </c>
      <c r="G38" s="21">
        <f>E38*F38</f>
        <v>0</v>
      </c>
      <c r="H38" s="21">
        <f>G38-D38</f>
        <v>0</v>
      </c>
      <c r="I38" s="22" t="str">
        <f t="shared" si="2"/>
        <v>N/A</v>
      </c>
      <c r="J38" s="22">
        <f t="shared" si="9"/>
        <v>0</v>
      </c>
      <c r="K38" s="107">
        <f t="shared" si="4"/>
        <v>0</v>
      </c>
    </row>
    <row r="39" spans="1:11" x14ac:dyDescent="0.2">
      <c r="A39" s="106" t="s">
        <v>44</v>
      </c>
      <c r="B39" s="72">
        <v>1</v>
      </c>
      <c r="C39" s="21">
        <v>0.25</v>
      </c>
      <c r="D39" s="21">
        <f>B39*C39</f>
        <v>0.25</v>
      </c>
      <c r="E39" s="72">
        <f t="shared" si="6"/>
        <v>1</v>
      </c>
      <c r="F39" s="21">
        <f>C39</f>
        <v>0.25</v>
      </c>
      <c r="G39" s="21">
        <f>E39*F39</f>
        <v>0.25</v>
      </c>
      <c r="H39" s="21">
        <f t="shared" si="1"/>
        <v>0</v>
      </c>
      <c r="I39" s="22">
        <f t="shared" si="2"/>
        <v>0</v>
      </c>
      <c r="J39" s="22">
        <f t="shared" si="9"/>
        <v>1.301007867376715E-3</v>
      </c>
      <c r="K39" s="107">
        <f t="shared" si="4"/>
        <v>1.2849527250730006E-3</v>
      </c>
    </row>
    <row r="40" spans="1:11" s="1" customFormat="1" x14ac:dyDescent="0.2">
      <c r="A40" s="109" t="s">
        <v>45</v>
      </c>
      <c r="B40" s="73"/>
      <c r="C40" s="34"/>
      <c r="D40" s="34">
        <f>SUM(D36:D39)</f>
        <v>6.2748999999999997</v>
      </c>
      <c r="E40" s="72"/>
      <c r="F40" s="34"/>
      <c r="G40" s="34">
        <f>SUM(G36:G39)</f>
        <v>6.2748999999999997</v>
      </c>
      <c r="H40" s="34">
        <f t="shared" si="1"/>
        <v>0</v>
      </c>
      <c r="I40" s="35">
        <f t="shared" si="2"/>
        <v>0</v>
      </c>
      <c r="J40" s="35">
        <f t="shared" si="9"/>
        <v>3.2654777068008595E-2</v>
      </c>
      <c r="K40" s="110">
        <f t="shared" si="4"/>
        <v>3.2251799418242286E-2</v>
      </c>
    </row>
    <row r="41" spans="1:11" s="1" customFormat="1" ht="13.5" thickBot="1" x14ac:dyDescent="0.25">
      <c r="A41" s="111" t="s">
        <v>46</v>
      </c>
      <c r="B41" s="112">
        <f>B4</f>
        <v>1000</v>
      </c>
      <c r="C41" s="113">
        <v>7.0000000000000001E-3</v>
      </c>
      <c r="D41" s="114">
        <f>B41*C41</f>
        <v>7</v>
      </c>
      <c r="E41" s="115">
        <f t="shared" si="6"/>
        <v>1000</v>
      </c>
      <c r="F41" s="113">
        <f>C41</f>
        <v>7.0000000000000001E-3</v>
      </c>
      <c r="G41" s="114">
        <f>E41*F41</f>
        <v>7</v>
      </c>
      <c r="H41" s="114">
        <f t="shared" si="1"/>
        <v>0</v>
      </c>
      <c r="I41" s="116">
        <f t="shared" si="2"/>
        <v>0</v>
      </c>
      <c r="J41" s="116">
        <f t="shared" si="9"/>
        <v>3.6428220286548026E-2</v>
      </c>
      <c r="K41" s="117">
        <f t="shared" si="4"/>
        <v>3.5978676302044016E-2</v>
      </c>
    </row>
    <row r="42" spans="1:11" s="1" customFormat="1" x14ac:dyDescent="0.2">
      <c r="A42" s="36" t="s">
        <v>107</v>
      </c>
      <c r="B42" s="37"/>
      <c r="C42" s="38"/>
      <c r="D42" s="38">
        <f>SUM(D14,D25,D26,D27,D33,D40,D41)</f>
        <v>173.29829999999998</v>
      </c>
      <c r="E42" s="37"/>
      <c r="F42" s="38"/>
      <c r="G42" s="38">
        <f>SUM(G14,G25,G26,G27,G33,G40,G41)</f>
        <v>183.00829999999999</v>
      </c>
      <c r="H42" s="38">
        <f t="shared" si="1"/>
        <v>9.710000000000008</v>
      </c>
      <c r="I42" s="39">
        <f t="shared" si="2"/>
        <v>5.6030555406487013E-2</v>
      </c>
      <c r="J42" s="39">
        <f t="shared" si="9"/>
        <v>0.95238095238095233</v>
      </c>
      <c r="K42" s="40"/>
    </row>
    <row r="43" spans="1:11" x14ac:dyDescent="0.2">
      <c r="A43" s="142" t="s">
        <v>108</v>
      </c>
      <c r="B43" s="42"/>
      <c r="C43" s="25">
        <v>0.13</v>
      </c>
      <c r="D43" s="25">
        <f>D42*C43</f>
        <v>22.528779</v>
      </c>
      <c r="E43" s="25"/>
      <c r="F43" s="25">
        <f>C43</f>
        <v>0.13</v>
      </c>
      <c r="G43" s="25">
        <f>G42*F43</f>
        <v>23.791079</v>
      </c>
      <c r="H43" s="25">
        <f t="shared" si="1"/>
        <v>1.2622999999999998</v>
      </c>
      <c r="I43" s="43">
        <f t="shared" si="2"/>
        <v>5.6030555406486951E-2</v>
      </c>
      <c r="J43" s="43">
        <f t="shared" si="9"/>
        <v>0.12380952380952381</v>
      </c>
      <c r="K43" s="44"/>
    </row>
    <row r="44" spans="1:11" s="1" customFormat="1" x14ac:dyDescent="0.2">
      <c r="A44" s="45" t="s">
        <v>109</v>
      </c>
      <c r="B44" s="23"/>
      <c r="C44" s="24"/>
      <c r="D44" s="24">
        <f>SUM(D42:D43)</f>
        <v>195.82707899999997</v>
      </c>
      <c r="E44" s="24"/>
      <c r="F44" s="24"/>
      <c r="G44" s="24">
        <f>SUM(G42:G43)</f>
        <v>206.79937899999999</v>
      </c>
      <c r="H44" s="24">
        <f t="shared" si="1"/>
        <v>10.972300000000018</v>
      </c>
      <c r="I44" s="26">
        <f t="shared" si="2"/>
        <v>5.6030555406487069E-2</v>
      </c>
      <c r="J44" s="26">
        <f t="shared" si="9"/>
        <v>1.0761904761904761</v>
      </c>
      <c r="K44" s="46"/>
    </row>
    <row r="45" spans="1:11" x14ac:dyDescent="0.2">
      <c r="A45" s="41" t="s">
        <v>110</v>
      </c>
      <c r="B45" s="42"/>
      <c r="C45" s="25">
        <v>-0.08</v>
      </c>
      <c r="D45" s="25">
        <f>D42*C45</f>
        <v>-13.863864</v>
      </c>
      <c r="E45" s="25"/>
      <c r="F45" s="25">
        <f>C45</f>
        <v>-0.08</v>
      </c>
      <c r="G45" s="25">
        <f>G42*F45</f>
        <v>-14.640663999999999</v>
      </c>
      <c r="H45" s="25">
        <f t="shared" si="1"/>
        <v>-0.77679999999999971</v>
      </c>
      <c r="I45" s="43">
        <f t="shared" si="2"/>
        <v>-5.6030555406486944E-2</v>
      </c>
      <c r="J45" s="43">
        <f t="shared" si="9"/>
        <v>-7.6190476190476183E-2</v>
      </c>
      <c r="K45" s="44"/>
    </row>
    <row r="46" spans="1:11" s="1" customFormat="1" ht="13.5" thickBot="1" x14ac:dyDescent="0.25">
      <c r="A46" s="47" t="s">
        <v>111</v>
      </c>
      <c r="B46" s="48"/>
      <c r="C46" s="49"/>
      <c r="D46" s="49">
        <f>SUM(D44:D45)</f>
        <v>181.96321499999996</v>
      </c>
      <c r="E46" s="49"/>
      <c r="F46" s="49"/>
      <c r="G46" s="49">
        <f>SUM(G44:G45)</f>
        <v>192.158715</v>
      </c>
      <c r="H46" s="49">
        <f t="shared" si="1"/>
        <v>10.195500000000038</v>
      </c>
      <c r="I46" s="50">
        <f t="shared" si="2"/>
        <v>5.6030555406487187E-2</v>
      </c>
      <c r="J46" s="50">
        <f t="shared" si="9"/>
        <v>1</v>
      </c>
      <c r="K46" s="51"/>
    </row>
    <row r="47" spans="1:11" x14ac:dyDescent="0.2">
      <c r="A47" s="52" t="s">
        <v>112</v>
      </c>
      <c r="B47" s="53"/>
      <c r="C47" s="54"/>
      <c r="D47" s="54">
        <f>SUM(D18,D25,D26,D28,D33,D40,D41)</f>
        <v>175.58493999999999</v>
      </c>
      <c r="E47" s="54"/>
      <c r="F47" s="54"/>
      <c r="G47" s="54">
        <f>SUM(G18,G25,G26,G28,G33,G40,G41)</f>
        <v>185.29493999999997</v>
      </c>
      <c r="H47" s="54">
        <f>G47-D47</f>
        <v>9.7099999999999795</v>
      </c>
      <c r="I47" s="55">
        <f t="shared" si="2"/>
        <v>5.5300870336601651E-2</v>
      </c>
      <c r="J47" s="55"/>
      <c r="K47" s="56">
        <f>G47/$G$51</f>
        <v>0.95238095238095233</v>
      </c>
    </row>
    <row r="48" spans="1:11" x14ac:dyDescent="0.2">
      <c r="A48" s="143" t="s">
        <v>108</v>
      </c>
      <c r="B48" s="58"/>
      <c r="C48" s="30">
        <v>0.13</v>
      </c>
      <c r="D48" s="30">
        <f>D47*C48</f>
        <v>22.8260422</v>
      </c>
      <c r="E48" s="30"/>
      <c r="F48" s="30">
        <f>C48</f>
        <v>0.13</v>
      </c>
      <c r="G48" s="30">
        <f>G47*F48</f>
        <v>24.088342199999996</v>
      </c>
      <c r="H48" s="30">
        <f>G48-D48</f>
        <v>1.2622999999999962</v>
      </c>
      <c r="I48" s="31">
        <f t="shared" si="2"/>
        <v>5.5300870336601596E-2</v>
      </c>
      <c r="J48" s="31"/>
      <c r="K48" s="59">
        <f>G48/$G$51</f>
        <v>0.12380952380952381</v>
      </c>
    </row>
    <row r="49" spans="1:11" x14ac:dyDescent="0.2">
      <c r="A49" s="135" t="s">
        <v>113</v>
      </c>
      <c r="B49" s="28"/>
      <c r="C49" s="29"/>
      <c r="D49" s="29">
        <f>SUM(D47:D48)</f>
        <v>198.41098219999998</v>
      </c>
      <c r="E49" s="29"/>
      <c r="F49" s="29"/>
      <c r="G49" s="29">
        <f>SUM(G47:G48)</f>
        <v>209.38328219999997</v>
      </c>
      <c r="H49" s="29">
        <f>G49-D49</f>
        <v>10.97229999999999</v>
      </c>
      <c r="I49" s="32">
        <f t="shared" si="2"/>
        <v>5.5300870336601714E-2</v>
      </c>
      <c r="J49" s="32"/>
      <c r="K49" s="61">
        <f>G49/$G$51</f>
        <v>1.0761904761904761</v>
      </c>
    </row>
    <row r="50" spans="1:11" x14ac:dyDescent="0.2">
      <c r="A50" s="57" t="s">
        <v>110</v>
      </c>
      <c r="B50" s="58"/>
      <c r="C50" s="30">
        <v>-0.08</v>
      </c>
      <c r="D50" s="30">
        <f>D47*C50</f>
        <v>-14.0467952</v>
      </c>
      <c r="E50" s="30"/>
      <c r="F50" s="30">
        <f>C50</f>
        <v>-0.08</v>
      </c>
      <c r="G50" s="30">
        <f>G47*F50</f>
        <v>-14.823595199999998</v>
      </c>
      <c r="H50" s="30">
        <f>G50-D50</f>
        <v>-0.77679999999999794</v>
      </c>
      <c r="I50" s="31">
        <f t="shared" si="2"/>
        <v>-5.5300870336601617E-2</v>
      </c>
      <c r="J50" s="31"/>
      <c r="K50" s="59">
        <f>G50/$G$51</f>
        <v>-7.6190476190476197E-2</v>
      </c>
    </row>
    <row r="51" spans="1:11" ht="13.5" thickBot="1" x14ac:dyDescent="0.25">
      <c r="A51" s="62" t="s">
        <v>114</v>
      </c>
      <c r="B51" s="63"/>
      <c r="C51" s="64"/>
      <c r="D51" s="64">
        <f>SUM(D49:D50)</f>
        <v>184.36418699999999</v>
      </c>
      <c r="E51" s="64"/>
      <c r="F51" s="64"/>
      <c r="G51" s="64">
        <f>SUM(G49:G50)</f>
        <v>194.55968699999997</v>
      </c>
      <c r="H51" s="64">
        <f>G51-D51</f>
        <v>10.195499999999981</v>
      </c>
      <c r="I51" s="65">
        <f t="shared" si="2"/>
        <v>5.5300870336601665E-2</v>
      </c>
      <c r="J51" s="65"/>
      <c r="K51" s="66">
        <f>G51/$G$51</f>
        <v>1</v>
      </c>
    </row>
    <row r="52" spans="1:11" x14ac:dyDescent="0.2">
      <c r="C52" s="67"/>
      <c r="F52" s="68"/>
    </row>
    <row r="53" spans="1:11" x14ac:dyDescent="0.2">
      <c r="F53" s="68"/>
    </row>
    <row r="54" spans="1:11" x14ac:dyDescent="0.2">
      <c r="F54" s="68"/>
    </row>
    <row r="55" spans="1:11" x14ac:dyDescent="0.2">
      <c r="A55" s="69"/>
      <c r="B55" s="70"/>
      <c r="F55" s="68"/>
    </row>
    <row r="56" spans="1:11" x14ac:dyDescent="0.2">
      <c r="B56" s="70"/>
      <c r="F56" s="68"/>
    </row>
    <row r="57" spans="1:11" x14ac:dyDescent="0.2">
      <c r="F57" s="68"/>
    </row>
    <row r="58" spans="1:11" x14ac:dyDescent="0.2">
      <c r="D58" s="71"/>
      <c r="F58" s="68"/>
    </row>
    <row r="59" spans="1:11" x14ac:dyDescent="0.2">
      <c r="F59" s="68"/>
    </row>
    <row r="60" spans="1:11" x14ac:dyDescent="0.2">
      <c r="A60" s="69"/>
      <c r="B60" s="70"/>
      <c r="F60" s="68"/>
    </row>
    <row r="61" spans="1:11" x14ac:dyDescent="0.2">
      <c r="B61" s="71"/>
      <c r="D61" s="71"/>
      <c r="F61" s="68"/>
    </row>
    <row r="62" spans="1:11" x14ac:dyDescent="0.2">
      <c r="F62" s="68"/>
    </row>
    <row r="63" spans="1:11" x14ac:dyDescent="0.2">
      <c r="F63" s="68"/>
    </row>
    <row r="64" spans="1:11" x14ac:dyDescent="0.2">
      <c r="F64" s="68"/>
      <c r="K64"/>
    </row>
    <row r="65" spans="6:11" x14ac:dyDescent="0.2">
      <c r="F65" s="68"/>
      <c r="K65"/>
    </row>
    <row r="66" spans="6:11" x14ac:dyDescent="0.2">
      <c r="F66" s="68"/>
      <c r="K66"/>
    </row>
    <row r="67" spans="6:11" x14ac:dyDescent="0.2">
      <c r="F67" s="68"/>
      <c r="K67"/>
    </row>
    <row r="68" spans="6:11" x14ac:dyDescent="0.2">
      <c r="F68" s="68"/>
      <c r="K68"/>
    </row>
  </sheetData>
  <mergeCells count="1">
    <mergeCell ref="A1:K1"/>
  </mergeCells>
  <pageMargins left="0.7" right="0.7" top="0.75" bottom="0.75" header="0.3" footer="0.3"/>
  <pageSetup scale="7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Impacts'!$A$3:$A$21</xm:f>
          </x14:formula1>
          <xm:sqref>B3</xm:sqref>
        </x14:dataValidation>
      </x14:dataValidations>
    </ext>
  </extLst>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tabColor theme="1" tint="0.499984740745262"/>
    <pageSetUpPr fitToPage="1"/>
  </sheetPr>
  <dimension ref="A1:K68"/>
  <sheetViews>
    <sheetView tabSelected="1" topLeftCell="A25"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3"/>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205" t="s">
        <v>126</v>
      </c>
      <c r="B1" s="206"/>
      <c r="C1" s="206"/>
      <c r="D1" s="206"/>
      <c r="E1" s="206"/>
      <c r="F1" s="206"/>
      <c r="G1" s="206"/>
      <c r="H1" s="206"/>
      <c r="I1" s="206"/>
      <c r="J1" s="206"/>
      <c r="K1" s="207"/>
    </row>
    <row r="3" spans="1:11" x14ac:dyDescent="0.2">
      <c r="A3" s="12" t="s">
        <v>13</v>
      </c>
      <c r="B3" s="12" t="s">
        <v>131</v>
      </c>
    </row>
    <row r="4" spans="1:11" x14ac:dyDescent="0.2">
      <c r="A4" s="14" t="s">
        <v>62</v>
      </c>
      <c r="B4" s="14">
        <v>2000</v>
      </c>
    </row>
    <row r="5" spans="1:11" x14ac:dyDescent="0.2">
      <c r="A5" s="14" t="s">
        <v>16</v>
      </c>
      <c r="B5" s="14">
        <f>VLOOKUP($B$3,'Data for Bill Impacts'!$A$3:$Y$25,5,0)</f>
        <v>0</v>
      </c>
    </row>
    <row r="6" spans="1:11" x14ac:dyDescent="0.2">
      <c r="A6" s="14" t="s">
        <v>20</v>
      </c>
      <c r="B6" s="14">
        <f>VLOOKUP($B$3,'Data for Bill Impacts'!$A$3:$Y$25,2,0)</f>
        <v>1.0569999999999999</v>
      </c>
    </row>
    <row r="7" spans="1:11" x14ac:dyDescent="0.2">
      <c r="A7" s="14" t="s">
        <v>15</v>
      </c>
      <c r="B7" s="14">
        <f>VLOOKUP($B$3,'Data for Bill Impacts'!$A$3:$Y$25,4,0)</f>
        <v>750</v>
      </c>
    </row>
    <row r="8" spans="1:11" x14ac:dyDescent="0.2">
      <c r="A8" s="14" t="s">
        <v>82</v>
      </c>
      <c r="B8" s="14">
        <f>B4*B6</f>
        <v>2114</v>
      </c>
    </row>
    <row r="9" spans="1:11" x14ac:dyDescent="0.2">
      <c r="A9" s="14" t="s">
        <v>21</v>
      </c>
      <c r="B9" s="15" t="str">
        <f>VLOOKUP($B$3,'Data for Bill Impacts'!$A$3:$Y$25,6,0)</f>
        <v>kWh</v>
      </c>
    </row>
    <row r="10" spans="1:11" ht="13.5" thickBot="1" x14ac:dyDescent="0.25"/>
    <row r="11" spans="1:11" s="19" customFormat="1" ht="51.75" thickBot="1" x14ac:dyDescent="0.25">
      <c r="A11" s="16"/>
      <c r="B11" s="17" t="s">
        <v>22</v>
      </c>
      <c r="C11" s="17" t="s">
        <v>23</v>
      </c>
      <c r="D11" s="17" t="s">
        <v>24</v>
      </c>
      <c r="E11" s="17" t="s">
        <v>22</v>
      </c>
      <c r="F11" s="17" t="s">
        <v>25</v>
      </c>
      <c r="G11" s="17" t="s">
        <v>26</v>
      </c>
      <c r="H11" s="17" t="s">
        <v>27</v>
      </c>
      <c r="I11" s="17" t="s">
        <v>28</v>
      </c>
      <c r="J11" s="17" t="s">
        <v>29</v>
      </c>
      <c r="K11" s="18" t="s">
        <v>30</v>
      </c>
    </row>
    <row r="12" spans="1:11" x14ac:dyDescent="0.2">
      <c r="A12" s="100" t="s">
        <v>31</v>
      </c>
      <c r="B12" s="101">
        <f>IF(B4&gt;B7,B7,B4)</f>
        <v>750</v>
      </c>
      <c r="C12" s="102">
        <v>9.0999999999999998E-2</v>
      </c>
      <c r="D12" s="103">
        <f>B12*C12</f>
        <v>68.25</v>
      </c>
      <c r="E12" s="101">
        <f>B12</f>
        <v>750</v>
      </c>
      <c r="F12" s="102">
        <f>C12</f>
        <v>9.0999999999999998E-2</v>
      </c>
      <c r="G12" s="103">
        <f>E12*F12</f>
        <v>68.25</v>
      </c>
      <c r="H12" s="103">
        <f>G12-D12</f>
        <v>0</v>
      </c>
      <c r="I12" s="104">
        <f>IF(ISERROR(H12/ABS(D12)),"N/A",(H12/ABS(D12)))</f>
        <v>0</v>
      </c>
      <c r="J12" s="104">
        <f>G12/$G$46</f>
        <v>0.19125713609798958</v>
      </c>
      <c r="K12" s="105"/>
    </row>
    <row r="13" spans="1:11" x14ac:dyDescent="0.2">
      <c r="A13" s="106" t="s">
        <v>32</v>
      </c>
      <c r="B13" s="72">
        <f>IF(B4&gt;B7,(B4)-B7,0)</f>
        <v>1250</v>
      </c>
      <c r="C13" s="20">
        <v>0.106</v>
      </c>
      <c r="D13" s="21">
        <f>B13*C13</f>
        <v>132.5</v>
      </c>
      <c r="E13" s="72">
        <f t="shared" ref="E13" si="0">B13</f>
        <v>1250</v>
      </c>
      <c r="F13" s="20">
        <f>C13</f>
        <v>0.106</v>
      </c>
      <c r="G13" s="21">
        <f>E13*F13</f>
        <v>132.5</v>
      </c>
      <c r="H13" s="21">
        <f t="shared" ref="H13:H46" si="1">G13-D13</f>
        <v>0</v>
      </c>
      <c r="I13" s="22">
        <f t="shared" ref="I13:I51" si="2">IF(ISERROR(H13/ABS(D13)),"N/A",(H13/ABS(D13)))</f>
        <v>0</v>
      </c>
      <c r="J13" s="22">
        <f>G13/$G$46</f>
        <v>0.37130506275433872</v>
      </c>
      <c r="K13" s="107"/>
    </row>
    <row r="14" spans="1:11" s="1" customFormat="1" x14ac:dyDescent="0.2">
      <c r="A14" s="45" t="s">
        <v>33</v>
      </c>
      <c r="B14" s="23"/>
      <c r="C14" s="24"/>
      <c r="D14" s="24">
        <f>SUM(D12:D13)</f>
        <v>200.75</v>
      </c>
      <c r="E14" s="75"/>
      <c r="F14" s="24"/>
      <c r="G14" s="24">
        <f>SUM(G12:G13)</f>
        <v>200.75</v>
      </c>
      <c r="H14" s="24">
        <f t="shared" si="1"/>
        <v>0</v>
      </c>
      <c r="I14" s="26">
        <f t="shared" si="2"/>
        <v>0</v>
      </c>
      <c r="J14" s="26">
        <f>G14/$G$46</f>
        <v>0.56256219885232828</v>
      </c>
      <c r="K14" s="107"/>
    </row>
    <row r="15" spans="1:11" s="1" customFormat="1" x14ac:dyDescent="0.2">
      <c r="A15" s="108" t="s">
        <v>34</v>
      </c>
      <c r="B15" s="74">
        <f>B4*0.65</f>
        <v>1300</v>
      </c>
      <c r="C15" s="27">
        <v>7.6999999999999999E-2</v>
      </c>
      <c r="D15" s="21">
        <f>B15*C15</f>
        <v>100.1</v>
      </c>
      <c r="E15" s="72">
        <f t="shared" ref="E15:F17" si="3">B15</f>
        <v>1300</v>
      </c>
      <c r="F15" s="27">
        <f t="shared" si="3"/>
        <v>7.6999999999999999E-2</v>
      </c>
      <c r="G15" s="21">
        <f>E15*F15</f>
        <v>100.1</v>
      </c>
      <c r="H15" s="21">
        <f t="shared" si="1"/>
        <v>0</v>
      </c>
      <c r="I15" s="22">
        <f t="shared" si="2"/>
        <v>0</v>
      </c>
      <c r="J15" s="22"/>
      <c r="K15" s="107">
        <f t="shared" ref="K15:K41" si="4">G15/$G$51</f>
        <v>0.28613172360027661</v>
      </c>
    </row>
    <row r="16" spans="1:11" s="1" customFormat="1" x14ac:dyDescent="0.2">
      <c r="A16" s="108" t="s">
        <v>35</v>
      </c>
      <c r="B16" s="74">
        <f>B4*0.17</f>
        <v>340</v>
      </c>
      <c r="C16" s="27">
        <v>0.113</v>
      </c>
      <c r="D16" s="21">
        <f>B16*C16</f>
        <v>38.42</v>
      </c>
      <c r="E16" s="72">
        <f t="shared" si="3"/>
        <v>340</v>
      </c>
      <c r="F16" s="27">
        <f t="shared" si="3"/>
        <v>0.113</v>
      </c>
      <c r="G16" s="21">
        <f>E16*F16</f>
        <v>38.42</v>
      </c>
      <c r="H16" s="21">
        <f t="shared" si="1"/>
        <v>0</v>
      </c>
      <c r="I16" s="22">
        <f t="shared" si="2"/>
        <v>0</v>
      </c>
      <c r="J16" s="22"/>
      <c r="K16" s="107">
        <f t="shared" si="4"/>
        <v>0.10982198622100528</v>
      </c>
    </row>
    <row r="17" spans="1:11" s="1" customFormat="1" x14ac:dyDescent="0.2">
      <c r="A17" s="108" t="s">
        <v>36</v>
      </c>
      <c r="B17" s="74">
        <f>B4*0.18</f>
        <v>360</v>
      </c>
      <c r="C17" s="27">
        <v>0.157</v>
      </c>
      <c r="D17" s="21">
        <f>B17*C17</f>
        <v>56.52</v>
      </c>
      <c r="E17" s="72">
        <f t="shared" si="3"/>
        <v>360</v>
      </c>
      <c r="F17" s="27">
        <f t="shared" si="3"/>
        <v>0.157</v>
      </c>
      <c r="G17" s="21">
        <f>E17*F17</f>
        <v>56.52</v>
      </c>
      <c r="H17" s="21">
        <f t="shared" si="1"/>
        <v>0</v>
      </c>
      <c r="I17" s="22">
        <f t="shared" si="2"/>
        <v>0</v>
      </c>
      <c r="J17" s="22"/>
      <c r="K17" s="107">
        <f t="shared" si="4"/>
        <v>0.16156009008878758</v>
      </c>
    </row>
    <row r="18" spans="1:11" s="1" customFormat="1" x14ac:dyDescent="0.2">
      <c r="A18" s="60" t="s">
        <v>37</v>
      </c>
      <c r="B18" s="28"/>
      <c r="C18" s="29"/>
      <c r="D18" s="29">
        <f>SUM(D15:D17)</f>
        <v>195.04</v>
      </c>
      <c r="E18" s="76"/>
      <c r="F18" s="29"/>
      <c r="G18" s="29">
        <f>SUM(G15:G17)</f>
        <v>195.04</v>
      </c>
      <c r="H18" s="30">
        <f t="shared" si="1"/>
        <v>0</v>
      </c>
      <c r="I18" s="31">
        <f t="shared" si="2"/>
        <v>0</v>
      </c>
      <c r="J18" s="32">
        <f t="shared" ref="J18:J24" si="5">G18/$G$46</f>
        <v>0.54656105237438657</v>
      </c>
      <c r="K18" s="61">
        <f t="shared" si="4"/>
        <v>0.55751379991006944</v>
      </c>
    </row>
    <row r="19" spans="1:11" x14ac:dyDescent="0.2">
      <c r="A19" s="106" t="s">
        <v>38</v>
      </c>
      <c r="B19" s="72">
        <v>1</v>
      </c>
      <c r="C19" s="77">
        <f>VLOOKUP($B$3,'Data for Bill Impacts'!$A$3:$Y$25,7,0)</f>
        <v>30.26</v>
      </c>
      <c r="D19" s="21">
        <f>B19*C19</f>
        <v>30.26</v>
      </c>
      <c r="E19" s="72">
        <f t="shared" ref="E19:E41" si="6">B19</f>
        <v>1</v>
      </c>
      <c r="F19" s="77">
        <f>VLOOKUP($B$3,'Data for Bill Impacts'!$A$3:$Y$25,17,0)</f>
        <v>36.369999999999997</v>
      </c>
      <c r="G19" s="21">
        <f>E19*F19</f>
        <v>36.369999999999997</v>
      </c>
      <c r="H19" s="21">
        <f t="shared" si="1"/>
        <v>6.1099999999999959</v>
      </c>
      <c r="I19" s="22">
        <f t="shared" si="2"/>
        <v>0.20191672174487757</v>
      </c>
      <c r="J19" s="22">
        <f t="shared" si="5"/>
        <v>0.10191973684811546</v>
      </c>
      <c r="K19" s="107">
        <f t="shared" si="4"/>
        <v>0.10396214572769291</v>
      </c>
    </row>
    <row r="20" spans="1:11" hidden="1" x14ac:dyDescent="0.2">
      <c r="A20" s="106" t="s">
        <v>83</v>
      </c>
      <c r="B20" s="72">
        <v>1</v>
      </c>
      <c r="C20" s="77">
        <f>VLOOKUP($B$3,'Data for Bill Impacts'!$A$3:$Y$25,8,0)</f>
        <v>0</v>
      </c>
      <c r="D20" s="21">
        <f>B20*C20</f>
        <v>0</v>
      </c>
      <c r="E20" s="72">
        <f t="shared" si="6"/>
        <v>1</v>
      </c>
      <c r="F20" s="77">
        <v>0</v>
      </c>
      <c r="G20" s="21">
        <f t="shared" ref="G20:G22" si="7">E20*F20</f>
        <v>0</v>
      </c>
      <c r="H20" s="21">
        <f t="shared" si="1"/>
        <v>0</v>
      </c>
      <c r="I20" s="22" t="str">
        <f t="shared" si="2"/>
        <v>N/A</v>
      </c>
      <c r="J20" s="22">
        <f t="shared" si="5"/>
        <v>0</v>
      </c>
      <c r="K20" s="107">
        <f t="shared" si="4"/>
        <v>0</v>
      </c>
    </row>
    <row r="21" spans="1:11" hidden="1" x14ac:dyDescent="0.2">
      <c r="A21" s="106" t="s">
        <v>84</v>
      </c>
      <c r="B21" s="72">
        <v>1</v>
      </c>
      <c r="C21" s="77">
        <f>VLOOKUP($B$3,'Data for Bill Impacts'!$A$3:$Y$25,11,0)</f>
        <v>0</v>
      </c>
      <c r="D21" s="21">
        <f t="shared" ref="D21:D22" si="8">B21*C21</f>
        <v>0</v>
      </c>
      <c r="E21" s="72">
        <f t="shared" si="6"/>
        <v>1</v>
      </c>
      <c r="F21" s="120">
        <f>VLOOKUP($B$3,'Data for Bill Impacts'!$A$3:$Y$25,12,0)</f>
        <v>0</v>
      </c>
      <c r="G21" s="21">
        <f t="shared" si="7"/>
        <v>0</v>
      </c>
      <c r="H21" s="21">
        <f t="shared" si="1"/>
        <v>0</v>
      </c>
      <c r="I21" s="22" t="str">
        <f t="shared" si="2"/>
        <v>N/A</v>
      </c>
      <c r="J21" s="22">
        <f t="shared" si="5"/>
        <v>0</v>
      </c>
      <c r="K21" s="107">
        <f t="shared" si="4"/>
        <v>0</v>
      </c>
    </row>
    <row r="22" spans="1:11" x14ac:dyDescent="0.2">
      <c r="A22" s="106" t="s">
        <v>85</v>
      </c>
      <c r="B22" s="72">
        <v>1</v>
      </c>
      <c r="C22" s="120">
        <f>VLOOKUP($B$3,'Data for Bill Impacts'!$A$3:$Y$25,13,0)</f>
        <v>0</v>
      </c>
      <c r="D22" s="21">
        <f t="shared" si="8"/>
        <v>0</v>
      </c>
      <c r="E22" s="72">
        <f t="shared" si="6"/>
        <v>1</v>
      </c>
      <c r="F22" s="120">
        <f>VLOOKUP($B$3,'Data for Bill Impacts'!$A$3:$Y$25,22,0)</f>
        <v>0</v>
      </c>
      <c r="G22" s="21">
        <f t="shared" si="7"/>
        <v>0</v>
      </c>
      <c r="H22" s="21">
        <f t="shared" si="1"/>
        <v>0</v>
      </c>
      <c r="I22" s="22" t="str">
        <f t="shared" si="2"/>
        <v>N/A</v>
      </c>
      <c r="J22" s="22">
        <f t="shared" si="5"/>
        <v>0</v>
      </c>
      <c r="K22" s="107">
        <f t="shared" si="4"/>
        <v>0</v>
      </c>
    </row>
    <row r="23" spans="1:11" x14ac:dyDescent="0.2">
      <c r="A23" s="106" t="s">
        <v>39</v>
      </c>
      <c r="B23" s="72">
        <f>IF($B$9="kWh",$B$4,$B$5)</f>
        <v>2000</v>
      </c>
      <c r="C23" s="124">
        <f>VLOOKUP($B$3,'Data for Bill Impacts'!$A$3:$Y$25,10,0)</f>
        <v>1.7399999999999999E-2</v>
      </c>
      <c r="D23" s="21">
        <f>B23*C23</f>
        <v>34.799999999999997</v>
      </c>
      <c r="E23" s="72">
        <f t="shared" si="6"/>
        <v>2000</v>
      </c>
      <c r="F23" s="124">
        <f>VLOOKUP($B$3,'Data for Bill Impacts'!$A$3:$Y$25,19,0)</f>
        <v>2.1000000000000001E-2</v>
      </c>
      <c r="G23" s="21">
        <f>E23*F23</f>
        <v>42</v>
      </c>
      <c r="H23" s="21">
        <f t="shared" si="1"/>
        <v>7.2000000000000028</v>
      </c>
      <c r="I23" s="22">
        <f t="shared" si="2"/>
        <v>0.20689655172413804</v>
      </c>
      <c r="J23" s="22">
        <f t="shared" si="5"/>
        <v>0.11769669913722436</v>
      </c>
      <c r="K23" s="107">
        <f t="shared" si="4"/>
        <v>0.12005526864347271</v>
      </c>
    </row>
    <row r="24" spans="1:11" x14ac:dyDescent="0.2">
      <c r="A24" s="106" t="s">
        <v>129</v>
      </c>
      <c r="B24" s="72">
        <f>IF($B$9="kWh",$B$4,$B$5)</f>
        <v>2000</v>
      </c>
      <c r="C24" s="124">
        <f>VLOOKUP($B$3,'Data for Bill Impacts'!$A$3:$Y$25,14,0)</f>
        <v>0</v>
      </c>
      <c r="D24" s="33">
        <f>B24*C24</f>
        <v>0</v>
      </c>
      <c r="E24" s="72">
        <f t="shared" si="6"/>
        <v>2000</v>
      </c>
      <c r="F24" s="124">
        <f>VLOOKUP($B$3,'Data for Bill Impacts'!$A$3:$Y$25,23,0)</f>
        <v>0</v>
      </c>
      <c r="G24" s="33">
        <f>E24*F24</f>
        <v>0</v>
      </c>
      <c r="H24" s="21">
        <f t="shared" si="1"/>
        <v>0</v>
      </c>
      <c r="I24" s="22" t="str">
        <f t="shared" si="2"/>
        <v>N/A</v>
      </c>
      <c r="J24" s="22">
        <f t="shared" si="5"/>
        <v>0</v>
      </c>
      <c r="K24" s="107">
        <f t="shared" si="4"/>
        <v>0</v>
      </c>
    </row>
    <row r="25" spans="1:11" s="1" customFormat="1" x14ac:dyDescent="0.2">
      <c r="A25" s="109" t="s">
        <v>72</v>
      </c>
      <c r="B25" s="73"/>
      <c r="C25" s="34"/>
      <c r="D25" s="34">
        <f>SUM(D19:D24)</f>
        <v>65.06</v>
      </c>
      <c r="E25" s="72"/>
      <c r="F25" s="34"/>
      <c r="G25" s="34">
        <f>SUM(G19:G24)</f>
        <v>78.37</v>
      </c>
      <c r="H25" s="34">
        <f t="shared" si="1"/>
        <v>13.310000000000002</v>
      </c>
      <c r="I25" s="35">
        <f t="shared" si="2"/>
        <v>0.20458038733476794</v>
      </c>
      <c r="J25" s="35">
        <f>G25/$G$46</f>
        <v>0.21961643598533984</v>
      </c>
      <c r="K25" s="110">
        <f t="shared" si="4"/>
        <v>0.22401741437116565</v>
      </c>
    </row>
    <row r="26" spans="1:11" s="1" customFormat="1" x14ac:dyDescent="0.2">
      <c r="A26" s="118" t="s">
        <v>73</v>
      </c>
      <c r="B26" s="119">
        <v>1</v>
      </c>
      <c r="C26" s="77">
        <f>VLOOKUP($B$3,'Data for Bill Impacts'!$A$3:$Y$25,9,0)</f>
        <v>0.79</v>
      </c>
      <c r="D26" s="21">
        <f>B26*C26</f>
        <v>0.79</v>
      </c>
      <c r="E26" s="72">
        <v>1</v>
      </c>
      <c r="F26" s="77">
        <f>VLOOKUP($B$3,'Data for Bill Impacts'!$A$3:$Y$25,18,0)</f>
        <v>0.79</v>
      </c>
      <c r="G26" s="21">
        <f>E26*F26</f>
        <v>0.79</v>
      </c>
      <c r="H26" s="21">
        <f t="shared" si="1"/>
        <v>0</v>
      </c>
      <c r="I26" s="22">
        <f t="shared" si="2"/>
        <v>0</v>
      </c>
      <c r="J26" s="22">
        <f>G26/$G$46</f>
        <v>2.2138188647239819E-3</v>
      </c>
      <c r="K26" s="107">
        <f t="shared" si="4"/>
        <v>2.2581824340081776E-3</v>
      </c>
    </row>
    <row r="27" spans="1:11" s="1" customFormat="1" x14ac:dyDescent="0.2">
      <c r="A27" s="118" t="s">
        <v>75</v>
      </c>
      <c r="B27" s="119">
        <f>B8-B4</f>
        <v>114</v>
      </c>
      <c r="C27" s="186">
        <f>IF(B4&gt;B7,C13,C12)</f>
        <v>0.106</v>
      </c>
      <c r="D27" s="21">
        <f>B27*C27</f>
        <v>12.084</v>
      </c>
      <c r="E27" s="72">
        <f>B27</f>
        <v>114</v>
      </c>
      <c r="F27" s="186">
        <f>C27</f>
        <v>0.106</v>
      </c>
      <c r="G27" s="21">
        <f>E27*F27</f>
        <v>12.084</v>
      </c>
      <c r="H27" s="21">
        <f t="shared" si="1"/>
        <v>0</v>
      </c>
      <c r="I27" s="22">
        <f t="shared" si="2"/>
        <v>0</v>
      </c>
      <c r="J27" s="22">
        <f t="shared" ref="J27:J46" si="9">G27/$G$46</f>
        <v>3.3863021723195691E-2</v>
      </c>
      <c r="K27" s="107">
        <f t="shared" si="4"/>
        <v>3.4541615863993437E-2</v>
      </c>
    </row>
    <row r="28" spans="1:11" s="1" customFormat="1" x14ac:dyDescent="0.2">
      <c r="A28" s="118" t="s">
        <v>74</v>
      </c>
      <c r="B28" s="119">
        <f>B8-B4</f>
        <v>114</v>
      </c>
      <c r="C28" s="186">
        <f>0.65*C15+0.17*C16+0.18*C17</f>
        <v>9.7519999999999996E-2</v>
      </c>
      <c r="D28" s="21">
        <f>B28*C28</f>
        <v>11.117279999999999</v>
      </c>
      <c r="E28" s="72">
        <f>B28</f>
        <v>114</v>
      </c>
      <c r="F28" s="186">
        <f>C28</f>
        <v>9.7519999999999996E-2</v>
      </c>
      <c r="G28" s="21">
        <f>E28*F28</f>
        <v>11.117279999999999</v>
      </c>
      <c r="H28" s="21">
        <f t="shared" si="1"/>
        <v>0</v>
      </c>
      <c r="I28" s="22">
        <f t="shared" si="2"/>
        <v>0</v>
      </c>
      <c r="J28" s="22">
        <f t="shared" si="9"/>
        <v>3.1153979985340034E-2</v>
      </c>
      <c r="K28" s="107">
        <f t="shared" si="4"/>
        <v>3.1778286594873958E-2</v>
      </c>
    </row>
    <row r="29" spans="1:11" s="1" customFormat="1" x14ac:dyDescent="0.2">
      <c r="A29" s="109" t="s">
        <v>78</v>
      </c>
      <c r="B29" s="73"/>
      <c r="C29" s="34"/>
      <c r="D29" s="34">
        <f>SUM(D25,D26:D27)</f>
        <v>77.934000000000012</v>
      </c>
      <c r="E29" s="72"/>
      <c r="F29" s="34"/>
      <c r="G29" s="34">
        <f>SUM(G25,G26:G27)</f>
        <v>91.244000000000014</v>
      </c>
      <c r="H29" s="34">
        <f t="shared" si="1"/>
        <v>13.310000000000002</v>
      </c>
      <c r="I29" s="35">
        <f t="shared" si="2"/>
        <v>0.1707855364795853</v>
      </c>
      <c r="J29" s="35">
        <f t="shared" si="9"/>
        <v>0.25569327657325952</v>
      </c>
      <c r="K29" s="110">
        <f t="shared" si="4"/>
        <v>0.2608172126691673</v>
      </c>
    </row>
    <row r="30" spans="1:11" s="1" customFormat="1" x14ac:dyDescent="0.2">
      <c r="A30" s="109" t="s">
        <v>77</v>
      </c>
      <c r="B30" s="73"/>
      <c r="C30" s="34"/>
      <c r="D30" s="34">
        <f>SUM(D25,D26,D28)</f>
        <v>76.967280000000002</v>
      </c>
      <c r="E30" s="72"/>
      <c r="F30" s="34"/>
      <c r="G30" s="34">
        <f>SUM(G25,G26,G28)</f>
        <v>90.277280000000005</v>
      </c>
      <c r="H30" s="34">
        <f t="shared" si="1"/>
        <v>13.310000000000002</v>
      </c>
      <c r="I30" s="35">
        <f t="shared" si="2"/>
        <v>0.17293062714441776</v>
      </c>
      <c r="J30" s="35">
        <f t="shared" si="9"/>
        <v>0.25298423483540383</v>
      </c>
      <c r="K30" s="110">
        <f t="shared" si="4"/>
        <v>0.25805388340004781</v>
      </c>
    </row>
    <row r="31" spans="1:11" x14ac:dyDescent="0.2">
      <c r="A31" s="106" t="s">
        <v>40</v>
      </c>
      <c r="B31" s="72">
        <f>B8</f>
        <v>2114</v>
      </c>
      <c r="C31" s="124">
        <f>VLOOKUP($B$3,'Data for Bill Impacts'!$A$3:$Y$25,15,0)</f>
        <v>5.5999999999999999E-3</v>
      </c>
      <c r="D31" s="21">
        <f>B31*C31</f>
        <v>11.8384</v>
      </c>
      <c r="E31" s="72">
        <f t="shared" si="6"/>
        <v>2114</v>
      </c>
      <c r="F31" s="77">
        <f>VLOOKUP($B$3,'Data for Bill Impacts'!$A$3:$Y$25,24,0)</f>
        <v>5.5999999999999999E-3</v>
      </c>
      <c r="G31" s="21">
        <f>E31*F31</f>
        <v>11.8384</v>
      </c>
      <c r="H31" s="21">
        <f t="shared" si="1"/>
        <v>0</v>
      </c>
      <c r="I31" s="22">
        <f t="shared" si="2"/>
        <v>0</v>
      </c>
      <c r="J31" s="22">
        <f t="shared" si="9"/>
        <v>3.3174776263478971E-2</v>
      </c>
      <c r="K31" s="107">
        <f t="shared" si="4"/>
        <v>3.383957838830684E-2</v>
      </c>
    </row>
    <row r="32" spans="1:11" x14ac:dyDescent="0.2">
      <c r="A32" s="106" t="s">
        <v>41</v>
      </c>
      <c r="B32" s="72">
        <f>B8</f>
        <v>2114</v>
      </c>
      <c r="C32" s="124">
        <f>VLOOKUP($B$3,'Data for Bill Impacts'!$A$3:$Y$25,16,0)</f>
        <v>4.5999999999999999E-3</v>
      </c>
      <c r="D32" s="21">
        <f>B32*C32</f>
        <v>9.7243999999999993</v>
      </c>
      <c r="E32" s="72">
        <f t="shared" si="6"/>
        <v>2114</v>
      </c>
      <c r="F32" s="77">
        <f>VLOOKUP($B$3,'Data for Bill Impacts'!$A$3:$Y$25,25,0)</f>
        <v>4.5999999999999999E-3</v>
      </c>
      <c r="G32" s="21">
        <f>E32*F32</f>
        <v>9.7243999999999993</v>
      </c>
      <c r="H32" s="21">
        <f t="shared" si="1"/>
        <v>0</v>
      </c>
      <c r="I32" s="22">
        <f t="shared" si="2"/>
        <v>0</v>
      </c>
      <c r="J32" s="22">
        <f t="shared" si="9"/>
        <v>2.7250709073572011E-2</v>
      </c>
      <c r="K32" s="107">
        <f t="shared" si="4"/>
        <v>2.7796796533252049E-2</v>
      </c>
    </row>
    <row r="33" spans="1:11" s="1" customFormat="1" x14ac:dyDescent="0.2">
      <c r="A33" s="109" t="s">
        <v>76</v>
      </c>
      <c r="B33" s="73"/>
      <c r="C33" s="34"/>
      <c r="D33" s="34">
        <f>SUM(D31:D32)</f>
        <v>21.562799999999999</v>
      </c>
      <c r="E33" s="72"/>
      <c r="F33" s="34"/>
      <c r="G33" s="34">
        <f>SUM(G31:G32)</f>
        <v>21.562799999999999</v>
      </c>
      <c r="H33" s="34">
        <f t="shared" si="1"/>
        <v>0</v>
      </c>
      <c r="I33" s="35">
        <f t="shared" si="2"/>
        <v>0</v>
      </c>
      <c r="J33" s="35">
        <f t="shared" si="9"/>
        <v>6.0425485337050978E-2</v>
      </c>
      <c r="K33" s="110">
        <f t="shared" si="4"/>
        <v>6.1636374921558892E-2</v>
      </c>
    </row>
    <row r="34" spans="1:11" s="1" customFormat="1" ht="13.5" customHeight="1" x14ac:dyDescent="0.2">
      <c r="A34" s="109" t="s">
        <v>93</v>
      </c>
      <c r="B34" s="73"/>
      <c r="C34" s="34"/>
      <c r="D34" s="34">
        <f>D29+D33</f>
        <v>99.496800000000007</v>
      </c>
      <c r="E34" s="72"/>
      <c r="F34" s="34"/>
      <c r="G34" s="34">
        <f>G29+G33</f>
        <v>112.80680000000001</v>
      </c>
      <c r="H34" s="34">
        <f t="shared" si="1"/>
        <v>13.310000000000002</v>
      </c>
      <c r="I34" s="35">
        <f t="shared" si="2"/>
        <v>0.13377314647305241</v>
      </c>
      <c r="J34" s="35">
        <f t="shared" si="9"/>
        <v>0.31611876191031052</v>
      </c>
      <c r="K34" s="110">
        <f t="shared" si="4"/>
        <v>0.32245358759072618</v>
      </c>
    </row>
    <row r="35" spans="1:11" s="1" customFormat="1" ht="13.5" customHeight="1" x14ac:dyDescent="0.2">
      <c r="A35" s="109" t="s">
        <v>94</v>
      </c>
      <c r="B35" s="73"/>
      <c r="C35" s="34"/>
      <c r="D35" s="34">
        <f>D30+D33</f>
        <v>98.530079999999998</v>
      </c>
      <c r="E35" s="72"/>
      <c r="F35" s="34"/>
      <c r="G35" s="34">
        <f>G30+G33</f>
        <v>111.84008</v>
      </c>
      <c r="H35" s="34">
        <f t="shared" si="1"/>
        <v>13.310000000000002</v>
      </c>
      <c r="I35" s="35">
        <f t="shared" si="2"/>
        <v>0.13508565100119682</v>
      </c>
      <c r="J35" s="35">
        <f t="shared" si="9"/>
        <v>0.31340972017245483</v>
      </c>
      <c r="K35" s="110">
        <f t="shared" si="4"/>
        <v>0.31969025832160669</v>
      </c>
    </row>
    <row r="36" spans="1:11" x14ac:dyDescent="0.2">
      <c r="A36" s="106" t="s">
        <v>42</v>
      </c>
      <c r="B36" s="72">
        <f>B8</f>
        <v>2114</v>
      </c>
      <c r="C36" s="33">
        <v>3.5999999999999999E-3</v>
      </c>
      <c r="D36" s="21">
        <f>B36*C36</f>
        <v>7.6103999999999994</v>
      </c>
      <c r="E36" s="72">
        <f t="shared" si="6"/>
        <v>2114</v>
      </c>
      <c r="F36" s="33">
        <v>3.5999999999999999E-3</v>
      </c>
      <c r="G36" s="21">
        <f>E36*F36</f>
        <v>7.6103999999999994</v>
      </c>
      <c r="H36" s="21">
        <f t="shared" si="1"/>
        <v>0</v>
      </c>
      <c r="I36" s="22">
        <f t="shared" si="2"/>
        <v>0</v>
      </c>
      <c r="J36" s="22">
        <f t="shared" si="9"/>
        <v>2.1326641883665051E-2</v>
      </c>
      <c r="K36" s="107">
        <f t="shared" si="4"/>
        <v>2.1754014678197254E-2</v>
      </c>
    </row>
    <row r="37" spans="1:11" x14ac:dyDescent="0.2">
      <c r="A37" s="106" t="s">
        <v>43</v>
      </c>
      <c r="B37" s="72">
        <f>B8</f>
        <v>2114</v>
      </c>
      <c r="C37" s="33">
        <v>2.0999999999999999E-3</v>
      </c>
      <c r="D37" s="21">
        <f>B37*C37</f>
        <v>4.4394</v>
      </c>
      <c r="E37" s="72">
        <f t="shared" si="6"/>
        <v>2114</v>
      </c>
      <c r="F37" s="33">
        <v>2.0999999999999999E-3</v>
      </c>
      <c r="G37" s="21">
        <f>E37*F37</f>
        <v>4.4394</v>
      </c>
      <c r="H37" s="21">
        <f>G37-D37</f>
        <v>0</v>
      </c>
      <c r="I37" s="22">
        <f t="shared" si="2"/>
        <v>0</v>
      </c>
      <c r="J37" s="22">
        <f t="shared" si="9"/>
        <v>1.2440541098804615E-2</v>
      </c>
      <c r="K37" s="107">
        <f t="shared" si="4"/>
        <v>1.2689841895615067E-2</v>
      </c>
    </row>
    <row r="38" spans="1:11" x14ac:dyDescent="0.2">
      <c r="A38" s="106" t="s">
        <v>99</v>
      </c>
      <c r="B38" s="72">
        <f>B8</f>
        <v>2114</v>
      </c>
      <c r="C38" s="33">
        <v>0</v>
      </c>
      <c r="D38" s="21">
        <f>B38*C38</f>
        <v>0</v>
      </c>
      <c r="E38" s="72">
        <f t="shared" si="6"/>
        <v>2114</v>
      </c>
      <c r="F38" s="33">
        <v>0</v>
      </c>
      <c r="G38" s="21">
        <f>E38*F38</f>
        <v>0</v>
      </c>
      <c r="H38" s="21">
        <f>G38-D38</f>
        <v>0</v>
      </c>
      <c r="I38" s="22" t="str">
        <f t="shared" si="2"/>
        <v>N/A</v>
      </c>
      <c r="J38" s="22">
        <f t="shared" si="9"/>
        <v>0</v>
      </c>
      <c r="K38" s="107">
        <f t="shared" si="4"/>
        <v>0</v>
      </c>
    </row>
    <row r="39" spans="1:11" x14ac:dyDescent="0.2">
      <c r="A39" s="106" t="s">
        <v>44</v>
      </c>
      <c r="B39" s="72">
        <v>1</v>
      </c>
      <c r="C39" s="21">
        <v>0.25</v>
      </c>
      <c r="D39" s="21">
        <f>B39*C39</f>
        <v>0.25</v>
      </c>
      <c r="E39" s="72">
        <f t="shared" si="6"/>
        <v>1</v>
      </c>
      <c r="F39" s="21">
        <f>C39</f>
        <v>0.25</v>
      </c>
      <c r="G39" s="21">
        <f>E39*F39</f>
        <v>0.25</v>
      </c>
      <c r="H39" s="21">
        <f t="shared" si="1"/>
        <v>0</v>
      </c>
      <c r="I39" s="22">
        <f t="shared" si="2"/>
        <v>0</v>
      </c>
      <c r="J39" s="22">
        <f t="shared" si="9"/>
        <v>7.0057559010252592E-4</v>
      </c>
      <c r="K39" s="107">
        <f t="shared" si="4"/>
        <v>7.146146943063852E-4</v>
      </c>
    </row>
    <row r="40" spans="1:11" s="1" customFormat="1" x14ac:dyDescent="0.2">
      <c r="A40" s="109" t="s">
        <v>45</v>
      </c>
      <c r="B40" s="73"/>
      <c r="C40" s="34"/>
      <c r="D40" s="34">
        <f>SUM(D36:D39)</f>
        <v>12.299799999999999</v>
      </c>
      <c r="E40" s="72"/>
      <c r="F40" s="34"/>
      <c r="G40" s="34">
        <f>SUM(G36:G39)</f>
        <v>12.299799999999999</v>
      </c>
      <c r="H40" s="34">
        <f t="shared" si="1"/>
        <v>0</v>
      </c>
      <c r="I40" s="35">
        <f t="shared" si="2"/>
        <v>0</v>
      </c>
      <c r="J40" s="35">
        <f t="shared" si="9"/>
        <v>3.4467758572572192E-2</v>
      </c>
      <c r="K40" s="110">
        <f t="shared" si="4"/>
        <v>3.5158471268118704E-2</v>
      </c>
    </row>
    <row r="41" spans="1:11" s="1" customFormat="1" ht="13.5" thickBot="1" x14ac:dyDescent="0.25">
      <c r="A41" s="111" t="s">
        <v>46</v>
      </c>
      <c r="B41" s="112">
        <f>B4</f>
        <v>2000</v>
      </c>
      <c r="C41" s="113">
        <v>7.0000000000000001E-3</v>
      </c>
      <c r="D41" s="114">
        <f>B41*C41</f>
        <v>14</v>
      </c>
      <c r="E41" s="115">
        <f t="shared" si="6"/>
        <v>2000</v>
      </c>
      <c r="F41" s="113">
        <f>C41</f>
        <v>7.0000000000000001E-3</v>
      </c>
      <c r="G41" s="114">
        <f>E41*F41</f>
        <v>14</v>
      </c>
      <c r="H41" s="114">
        <f t="shared" si="1"/>
        <v>0</v>
      </c>
      <c r="I41" s="116">
        <f t="shared" si="2"/>
        <v>0</v>
      </c>
      <c r="J41" s="116">
        <f t="shared" si="9"/>
        <v>3.9232233045741451E-2</v>
      </c>
      <c r="K41" s="117">
        <f t="shared" si="4"/>
        <v>4.0018422881157575E-2</v>
      </c>
    </row>
    <row r="42" spans="1:11" s="1" customFormat="1" x14ac:dyDescent="0.2">
      <c r="A42" s="36" t="s">
        <v>107</v>
      </c>
      <c r="B42" s="37"/>
      <c r="C42" s="38"/>
      <c r="D42" s="38">
        <f>SUM(D14,D25,D26,D27,D33,D40,D41)</f>
        <v>326.54660000000001</v>
      </c>
      <c r="E42" s="37"/>
      <c r="F42" s="38"/>
      <c r="G42" s="38">
        <f>SUM(G14,G25,G26,G27,G33,G40,G41)</f>
        <v>339.85660000000001</v>
      </c>
      <c r="H42" s="38">
        <f t="shared" si="1"/>
        <v>13.310000000000002</v>
      </c>
      <c r="I42" s="39">
        <f t="shared" si="2"/>
        <v>4.0759879294410051E-2</v>
      </c>
      <c r="J42" s="39">
        <f t="shared" si="9"/>
        <v>0.95238095238095244</v>
      </c>
      <c r="K42" s="40"/>
    </row>
    <row r="43" spans="1:11" x14ac:dyDescent="0.2">
      <c r="A43" s="142" t="s">
        <v>108</v>
      </c>
      <c r="B43" s="42"/>
      <c r="C43" s="25">
        <v>0.13</v>
      </c>
      <c r="D43" s="25">
        <f>D42*C43</f>
        <v>42.451058000000003</v>
      </c>
      <c r="E43" s="25"/>
      <c r="F43" s="25">
        <f>C43</f>
        <v>0.13</v>
      </c>
      <c r="G43" s="25">
        <f>G42*F43</f>
        <v>44.181358000000003</v>
      </c>
      <c r="H43" s="25">
        <f t="shared" si="1"/>
        <v>1.7302999999999997</v>
      </c>
      <c r="I43" s="43">
        <f t="shared" si="2"/>
        <v>4.0759879294410037E-2</v>
      </c>
      <c r="J43" s="43">
        <f t="shared" si="9"/>
        <v>0.12380952380952383</v>
      </c>
      <c r="K43" s="44"/>
    </row>
    <row r="44" spans="1:11" s="1" customFormat="1" x14ac:dyDescent="0.2">
      <c r="A44" s="45" t="s">
        <v>109</v>
      </c>
      <c r="B44" s="23"/>
      <c r="C44" s="24"/>
      <c r="D44" s="24">
        <f>SUM(D42:D43)</f>
        <v>368.997658</v>
      </c>
      <c r="E44" s="24"/>
      <c r="F44" s="24"/>
      <c r="G44" s="24">
        <f>SUM(G42:G43)</f>
        <v>384.037958</v>
      </c>
      <c r="H44" s="24">
        <f t="shared" si="1"/>
        <v>15.040300000000002</v>
      </c>
      <c r="I44" s="26">
        <f t="shared" si="2"/>
        <v>4.0759879294410051E-2</v>
      </c>
      <c r="J44" s="26">
        <f t="shared" si="9"/>
        <v>1.0761904761904761</v>
      </c>
      <c r="K44" s="46"/>
    </row>
    <row r="45" spans="1:11" x14ac:dyDescent="0.2">
      <c r="A45" s="41" t="s">
        <v>110</v>
      </c>
      <c r="B45" s="42"/>
      <c r="C45" s="25">
        <v>-0.08</v>
      </c>
      <c r="D45" s="25">
        <f>D42*C45</f>
        <v>-26.123728</v>
      </c>
      <c r="E45" s="25"/>
      <c r="F45" s="25">
        <f>C45</f>
        <v>-0.08</v>
      </c>
      <c r="G45" s="25">
        <f>G42*F45</f>
        <v>-27.188528000000002</v>
      </c>
      <c r="H45" s="25">
        <f t="shared" si="1"/>
        <v>-1.0648000000000017</v>
      </c>
      <c r="I45" s="43">
        <f t="shared" si="2"/>
        <v>-4.0759879294410113E-2</v>
      </c>
      <c r="J45" s="43">
        <f t="shared" si="9"/>
        <v>-7.6190476190476197E-2</v>
      </c>
      <c r="K45" s="44"/>
    </row>
    <row r="46" spans="1:11" s="1" customFormat="1" ht="13.5" thickBot="1" x14ac:dyDescent="0.25">
      <c r="A46" s="47" t="s">
        <v>111</v>
      </c>
      <c r="B46" s="48"/>
      <c r="C46" s="49"/>
      <c r="D46" s="49">
        <f>SUM(D44:D45)</f>
        <v>342.87392999999997</v>
      </c>
      <c r="E46" s="49"/>
      <c r="F46" s="49"/>
      <c r="G46" s="49">
        <f>SUM(G44:G45)</f>
        <v>356.84942999999998</v>
      </c>
      <c r="H46" s="49">
        <f t="shared" si="1"/>
        <v>13.975500000000011</v>
      </c>
      <c r="I46" s="50">
        <f t="shared" si="2"/>
        <v>4.0759879294410085E-2</v>
      </c>
      <c r="J46" s="50">
        <f t="shared" si="9"/>
        <v>1</v>
      </c>
      <c r="K46" s="51"/>
    </row>
    <row r="47" spans="1:11" x14ac:dyDescent="0.2">
      <c r="A47" s="52" t="s">
        <v>112</v>
      </c>
      <c r="B47" s="53"/>
      <c r="C47" s="54"/>
      <c r="D47" s="54">
        <f>SUM(D18,D25,D26,D28,D33,D40,D41)</f>
        <v>319.86988000000002</v>
      </c>
      <c r="E47" s="54"/>
      <c r="F47" s="54"/>
      <c r="G47" s="54">
        <f>SUM(G18,G25,G26,G28,G33,G40,G41)</f>
        <v>333.17987999999997</v>
      </c>
      <c r="H47" s="54">
        <f>G47-D47</f>
        <v>13.309999999999945</v>
      </c>
      <c r="I47" s="55">
        <f t="shared" si="2"/>
        <v>4.1610669938663636E-2</v>
      </c>
      <c r="J47" s="55"/>
      <c r="K47" s="56">
        <f>G47/$G$51</f>
        <v>0.95238095238095233</v>
      </c>
    </row>
    <row r="48" spans="1:11" x14ac:dyDescent="0.2">
      <c r="A48" s="57" t="s">
        <v>108</v>
      </c>
      <c r="B48" s="58"/>
      <c r="C48" s="30">
        <v>0.13</v>
      </c>
      <c r="D48" s="30">
        <f>D47*C48</f>
        <v>41.583084400000004</v>
      </c>
      <c r="E48" s="30"/>
      <c r="F48" s="30">
        <f>C48</f>
        <v>0.13</v>
      </c>
      <c r="G48" s="30">
        <f>G47*F48</f>
        <v>43.313384399999997</v>
      </c>
      <c r="H48" s="30">
        <f>G48-D48</f>
        <v>1.7302999999999926</v>
      </c>
      <c r="I48" s="31">
        <f t="shared" si="2"/>
        <v>4.1610669938663629E-2</v>
      </c>
      <c r="J48" s="31"/>
      <c r="K48" s="59">
        <f>G48/$G$51</f>
        <v>0.12380952380952381</v>
      </c>
    </row>
    <row r="49" spans="1:11" x14ac:dyDescent="0.2">
      <c r="A49" s="135" t="s">
        <v>113</v>
      </c>
      <c r="B49" s="28"/>
      <c r="C49" s="29"/>
      <c r="D49" s="29">
        <f>SUM(D47:D48)</f>
        <v>361.45296440000004</v>
      </c>
      <c r="E49" s="29"/>
      <c r="F49" s="29"/>
      <c r="G49" s="29">
        <f>SUM(G47:G48)</f>
        <v>376.49326439999999</v>
      </c>
      <c r="H49" s="29">
        <f>G49-D49</f>
        <v>15.040299999999945</v>
      </c>
      <c r="I49" s="32">
        <f t="shared" si="2"/>
        <v>4.161066993866365E-2</v>
      </c>
      <c r="J49" s="32"/>
      <c r="K49" s="61">
        <f>G49/$G$51</f>
        <v>1.0761904761904761</v>
      </c>
    </row>
    <row r="50" spans="1:11" x14ac:dyDescent="0.2">
      <c r="A50" s="57" t="s">
        <v>110</v>
      </c>
      <c r="B50" s="58"/>
      <c r="C50" s="30">
        <v>-0.08</v>
      </c>
      <c r="D50" s="30">
        <f>D47*C50</f>
        <v>-25.589590400000002</v>
      </c>
      <c r="E50" s="30"/>
      <c r="F50" s="30">
        <f>C50</f>
        <v>-0.08</v>
      </c>
      <c r="G50" s="30">
        <f>G47*F50</f>
        <v>-26.654390399999997</v>
      </c>
      <c r="H50" s="30">
        <f>G50-D50</f>
        <v>-1.0647999999999946</v>
      </c>
      <c r="I50" s="31">
        <f t="shared" si="2"/>
        <v>-4.1610669938663594E-2</v>
      </c>
      <c r="J50" s="31"/>
      <c r="K50" s="59">
        <f>G50/$G$51</f>
        <v>-7.6190476190476183E-2</v>
      </c>
    </row>
    <row r="51" spans="1:11" ht="13.5" thickBot="1" x14ac:dyDescent="0.25">
      <c r="A51" s="62" t="s">
        <v>114</v>
      </c>
      <c r="B51" s="63"/>
      <c r="C51" s="64"/>
      <c r="D51" s="64">
        <f>SUM(D49:D50)</f>
        <v>335.86337400000002</v>
      </c>
      <c r="E51" s="64"/>
      <c r="F51" s="64"/>
      <c r="G51" s="64">
        <f>SUM(G49:G50)</f>
        <v>349.83887399999998</v>
      </c>
      <c r="H51" s="64">
        <f>G51-D51</f>
        <v>13.975499999999954</v>
      </c>
      <c r="I51" s="65">
        <f t="shared" si="2"/>
        <v>4.1610669938663671E-2</v>
      </c>
      <c r="J51" s="65"/>
      <c r="K51" s="66">
        <f>G51/$G$51</f>
        <v>1</v>
      </c>
    </row>
    <row r="52" spans="1:11" x14ac:dyDescent="0.2">
      <c r="C52" s="67"/>
      <c r="F52" s="68"/>
    </row>
    <row r="53" spans="1:11" x14ac:dyDescent="0.2">
      <c r="F53" s="68"/>
    </row>
    <row r="54" spans="1:11" x14ac:dyDescent="0.2">
      <c r="F54" s="68"/>
    </row>
    <row r="55" spans="1:11" x14ac:dyDescent="0.2">
      <c r="A55" s="69"/>
      <c r="B55" s="70"/>
      <c r="F55" s="68"/>
    </row>
    <row r="56" spans="1:11" x14ac:dyDescent="0.2">
      <c r="B56" s="70"/>
      <c r="F56" s="68"/>
    </row>
    <row r="57" spans="1:11" x14ac:dyDescent="0.2">
      <c r="F57" s="68"/>
    </row>
    <row r="58" spans="1:11" x14ac:dyDescent="0.2">
      <c r="D58" s="71"/>
      <c r="F58" s="68"/>
    </row>
    <row r="59" spans="1:11" x14ac:dyDescent="0.2">
      <c r="F59" s="68"/>
    </row>
    <row r="60" spans="1:11" x14ac:dyDescent="0.2">
      <c r="A60" s="69"/>
      <c r="B60" s="70"/>
      <c r="F60" s="68"/>
    </row>
    <row r="61" spans="1:11" x14ac:dyDescent="0.2">
      <c r="B61" s="71"/>
      <c r="D61" s="71"/>
      <c r="F61" s="68"/>
    </row>
    <row r="62" spans="1:11" x14ac:dyDescent="0.2">
      <c r="F62" s="68"/>
    </row>
    <row r="63" spans="1:11" x14ac:dyDescent="0.2">
      <c r="F63" s="68"/>
    </row>
    <row r="64" spans="1:11" x14ac:dyDescent="0.2">
      <c r="F64" s="68"/>
      <c r="K64"/>
    </row>
    <row r="65" spans="6:11" x14ac:dyDescent="0.2">
      <c r="F65" s="68"/>
      <c r="K65"/>
    </row>
    <row r="66" spans="6:11" x14ac:dyDescent="0.2">
      <c r="F66" s="68"/>
      <c r="K66"/>
    </row>
    <row r="67" spans="6:11" x14ac:dyDescent="0.2">
      <c r="F67" s="68"/>
      <c r="K67"/>
    </row>
    <row r="68" spans="6:11" x14ac:dyDescent="0.2">
      <c r="F68" s="68"/>
      <c r="K68"/>
    </row>
  </sheetData>
  <mergeCells count="1">
    <mergeCell ref="A1:K1"/>
  </mergeCells>
  <pageMargins left="0.7" right="0.7" top="0.75" bottom="0.75" header="0.3" footer="0.3"/>
  <pageSetup scale="7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Impacts'!$A$3:$A$21</xm:f>
          </x14:formula1>
          <xm:sqref>B3</xm:sqref>
        </x14:dataValidation>
      </x14:dataValidations>
    </ext>
  </extLst>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tabColor theme="1" tint="0.499984740745262"/>
    <pageSetUpPr fitToPage="1"/>
  </sheetPr>
  <dimension ref="A1:K68"/>
  <sheetViews>
    <sheetView tabSelected="1" topLeftCell="A28" zoomScaleNormal="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3"/>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205" t="s">
        <v>127</v>
      </c>
      <c r="B1" s="206"/>
      <c r="C1" s="206"/>
      <c r="D1" s="206"/>
      <c r="E1" s="206"/>
      <c r="F1" s="206"/>
      <c r="G1" s="206"/>
      <c r="H1" s="206"/>
      <c r="I1" s="206"/>
      <c r="J1" s="206"/>
      <c r="K1" s="207"/>
    </row>
    <row r="3" spans="1:11" x14ac:dyDescent="0.2">
      <c r="A3" s="12" t="s">
        <v>13</v>
      </c>
      <c r="B3" s="12" t="s">
        <v>131</v>
      </c>
    </row>
    <row r="4" spans="1:11" x14ac:dyDescent="0.2">
      <c r="A4" s="14" t="s">
        <v>62</v>
      </c>
      <c r="B4" s="78">
        <f>VLOOKUP(B3,'Data for Bill Impacts_HONI Avg '!A2:F21,3,FALSE)</f>
        <v>2695</v>
      </c>
    </row>
    <row r="5" spans="1:11" x14ac:dyDescent="0.2">
      <c r="A5" s="14" t="s">
        <v>16</v>
      </c>
      <c r="B5" s="14">
        <f>VLOOKUP($B$3,'Data for Bill Impacts'!$A$3:$Y$25,5,0)</f>
        <v>0</v>
      </c>
    </row>
    <row r="6" spans="1:11" x14ac:dyDescent="0.2">
      <c r="A6" s="14" t="s">
        <v>20</v>
      </c>
      <c r="B6" s="14">
        <f>VLOOKUP($B$3,'Data for Bill Impacts'!$A$3:$Y$25,2,0)</f>
        <v>1.0569999999999999</v>
      </c>
    </row>
    <row r="7" spans="1:11" x14ac:dyDescent="0.2">
      <c r="A7" s="14" t="s">
        <v>15</v>
      </c>
      <c r="B7" s="14">
        <f>VLOOKUP($B$3,'Data for Bill Impacts'!$A$3:$Y$25,4,0)</f>
        <v>750</v>
      </c>
    </row>
    <row r="8" spans="1:11" x14ac:dyDescent="0.2">
      <c r="A8" s="14" t="s">
        <v>82</v>
      </c>
      <c r="B8" s="14">
        <f>B4*B6</f>
        <v>2848.6149999999998</v>
      </c>
    </row>
    <row r="9" spans="1:11" x14ac:dyDescent="0.2">
      <c r="A9" s="14" t="s">
        <v>21</v>
      </c>
      <c r="B9" s="15" t="str">
        <f>VLOOKUP($B$3,'Data for Bill Impacts'!$A$3:$Y$25,6,0)</f>
        <v>kWh</v>
      </c>
    </row>
    <row r="10" spans="1:11" ht="13.5" thickBot="1" x14ac:dyDescent="0.25"/>
    <row r="11" spans="1:11" s="19" customFormat="1" ht="51.75" thickBot="1" x14ac:dyDescent="0.25">
      <c r="A11" s="16"/>
      <c r="B11" s="17" t="s">
        <v>22</v>
      </c>
      <c r="C11" s="17" t="s">
        <v>23</v>
      </c>
      <c r="D11" s="17" t="s">
        <v>24</v>
      </c>
      <c r="E11" s="17" t="s">
        <v>22</v>
      </c>
      <c r="F11" s="17" t="s">
        <v>25</v>
      </c>
      <c r="G11" s="17" t="s">
        <v>26</v>
      </c>
      <c r="H11" s="17" t="s">
        <v>27</v>
      </c>
      <c r="I11" s="17" t="s">
        <v>28</v>
      </c>
      <c r="J11" s="17" t="s">
        <v>29</v>
      </c>
      <c r="K11" s="18" t="s">
        <v>30</v>
      </c>
    </row>
    <row r="12" spans="1:11" x14ac:dyDescent="0.2">
      <c r="A12" s="100" t="s">
        <v>31</v>
      </c>
      <c r="B12" s="101">
        <f>IF(B4&gt;B7,B7,B4)</f>
        <v>750</v>
      </c>
      <c r="C12" s="102">
        <v>9.0999999999999998E-2</v>
      </c>
      <c r="D12" s="103">
        <f>B12*C12</f>
        <v>68.25</v>
      </c>
      <c r="E12" s="101">
        <f>B12</f>
        <v>750</v>
      </c>
      <c r="F12" s="102">
        <f>C12</f>
        <v>9.0999999999999998E-2</v>
      </c>
      <c r="G12" s="103">
        <f>E12*F12</f>
        <v>68.25</v>
      </c>
      <c r="H12" s="103">
        <f>G12-D12</f>
        <v>0</v>
      </c>
      <c r="I12" s="104">
        <f>IF(ISERROR(H12/ABS(D12)),"N/A",(H12/ABS(D12)))</f>
        <v>0</v>
      </c>
      <c r="J12" s="104">
        <f>G12/$G$46</f>
        <v>0.14480930968180106</v>
      </c>
      <c r="K12" s="105"/>
    </row>
    <row r="13" spans="1:11" x14ac:dyDescent="0.2">
      <c r="A13" s="106" t="s">
        <v>32</v>
      </c>
      <c r="B13" s="72">
        <f>IF(B4&gt;B7,(B4)-B7,0)</f>
        <v>1945</v>
      </c>
      <c r="C13" s="20">
        <v>0.106</v>
      </c>
      <c r="D13" s="21">
        <f>B13*C13</f>
        <v>206.17</v>
      </c>
      <c r="E13" s="72">
        <f t="shared" ref="E13" si="0">B13</f>
        <v>1945</v>
      </c>
      <c r="F13" s="20">
        <f>C13</f>
        <v>0.106</v>
      </c>
      <c r="G13" s="21">
        <f>E13*F13</f>
        <v>206.17</v>
      </c>
      <c r="H13" s="21">
        <f t="shared" ref="H13:H46" si="1">G13-D13</f>
        <v>0</v>
      </c>
      <c r="I13" s="22">
        <f t="shared" ref="I13:I51" si="2">IF(ISERROR(H13/ABS(D13)),"N/A",(H13/ABS(D13)))</f>
        <v>0</v>
      </c>
      <c r="J13" s="22">
        <f>G13/$G$46</f>
        <v>0.43744081138603552</v>
      </c>
      <c r="K13" s="107"/>
    </row>
    <row r="14" spans="1:11" s="1" customFormat="1" x14ac:dyDescent="0.2">
      <c r="A14" s="45" t="s">
        <v>33</v>
      </c>
      <c r="B14" s="23"/>
      <c r="C14" s="24"/>
      <c r="D14" s="24">
        <f>SUM(D12:D13)</f>
        <v>274.41999999999996</v>
      </c>
      <c r="E14" s="75"/>
      <c r="F14" s="24"/>
      <c r="G14" s="24">
        <f>SUM(G12:G13)</f>
        <v>274.41999999999996</v>
      </c>
      <c r="H14" s="24">
        <f t="shared" si="1"/>
        <v>0</v>
      </c>
      <c r="I14" s="26">
        <f t="shared" si="2"/>
        <v>0</v>
      </c>
      <c r="J14" s="26">
        <f>G14/$G$46</f>
        <v>0.58225012106783647</v>
      </c>
      <c r="K14" s="107"/>
    </row>
    <row r="15" spans="1:11" s="1" customFormat="1" x14ac:dyDescent="0.2">
      <c r="A15" s="108" t="s">
        <v>34</v>
      </c>
      <c r="B15" s="74">
        <f>B4*0.65</f>
        <v>1751.75</v>
      </c>
      <c r="C15" s="27">
        <v>7.6999999999999999E-2</v>
      </c>
      <c r="D15" s="21">
        <f>B15*C15</f>
        <v>134.88475</v>
      </c>
      <c r="E15" s="72">
        <f t="shared" ref="E15:F17" si="3">B15</f>
        <v>1751.75</v>
      </c>
      <c r="F15" s="27">
        <f t="shared" si="3"/>
        <v>7.6999999999999999E-2</v>
      </c>
      <c r="G15" s="21">
        <f>E15*F15</f>
        <v>134.88475</v>
      </c>
      <c r="H15" s="21">
        <f t="shared" si="1"/>
        <v>0</v>
      </c>
      <c r="I15" s="22">
        <f t="shared" si="2"/>
        <v>0</v>
      </c>
      <c r="J15" s="22"/>
      <c r="K15" s="107">
        <f t="shared" ref="K15:K41" si="4">G15/$G$51</f>
        <v>0.29466394213696318</v>
      </c>
    </row>
    <row r="16" spans="1:11" s="1" customFormat="1" x14ac:dyDescent="0.2">
      <c r="A16" s="108" t="s">
        <v>35</v>
      </c>
      <c r="B16" s="74">
        <f>B4*0.17</f>
        <v>458.15000000000003</v>
      </c>
      <c r="C16" s="27">
        <v>0.113</v>
      </c>
      <c r="D16" s="21">
        <f>B16*C16</f>
        <v>51.770950000000006</v>
      </c>
      <c r="E16" s="72">
        <f t="shared" si="3"/>
        <v>458.15000000000003</v>
      </c>
      <c r="F16" s="27">
        <f t="shared" si="3"/>
        <v>0.113</v>
      </c>
      <c r="G16" s="21">
        <f>E16*F16</f>
        <v>51.770950000000006</v>
      </c>
      <c r="H16" s="21">
        <f t="shared" si="1"/>
        <v>0</v>
      </c>
      <c r="I16" s="22">
        <f t="shared" si="2"/>
        <v>0</v>
      </c>
      <c r="J16" s="22"/>
      <c r="K16" s="107">
        <f t="shared" si="4"/>
        <v>0.11309678977924202</v>
      </c>
    </row>
    <row r="17" spans="1:11" s="1" customFormat="1" x14ac:dyDescent="0.2">
      <c r="A17" s="108" t="s">
        <v>36</v>
      </c>
      <c r="B17" s="74">
        <f>B4*0.18</f>
        <v>485.09999999999997</v>
      </c>
      <c r="C17" s="27">
        <v>0.157</v>
      </c>
      <c r="D17" s="21">
        <f>B17*C17</f>
        <v>76.160699999999991</v>
      </c>
      <c r="E17" s="72">
        <f t="shared" si="3"/>
        <v>485.09999999999997</v>
      </c>
      <c r="F17" s="27">
        <f t="shared" si="3"/>
        <v>0.157</v>
      </c>
      <c r="G17" s="21">
        <f>E17*F17</f>
        <v>76.160699999999991</v>
      </c>
      <c r="H17" s="21">
        <f t="shared" si="1"/>
        <v>0</v>
      </c>
      <c r="I17" s="22">
        <f t="shared" si="2"/>
        <v>0</v>
      </c>
      <c r="J17" s="22"/>
      <c r="K17" s="107">
        <f t="shared" si="4"/>
        <v>0.16637768241339818</v>
      </c>
    </row>
    <row r="18" spans="1:11" s="1" customFormat="1" x14ac:dyDescent="0.2">
      <c r="A18" s="60" t="s">
        <v>37</v>
      </c>
      <c r="B18" s="28"/>
      <c r="C18" s="29"/>
      <c r="D18" s="29">
        <f>SUM(D15:D17)</f>
        <v>262.81639999999999</v>
      </c>
      <c r="E18" s="76"/>
      <c r="F18" s="29"/>
      <c r="G18" s="29">
        <f>SUM(G15:G17)</f>
        <v>262.81639999999999</v>
      </c>
      <c r="H18" s="30">
        <f t="shared" si="1"/>
        <v>0</v>
      </c>
      <c r="I18" s="31">
        <f t="shared" si="2"/>
        <v>0</v>
      </c>
      <c r="J18" s="32">
        <f t="shared" ref="J18:J24" si="5">G18/$G$46</f>
        <v>0.55763020449899048</v>
      </c>
      <c r="K18" s="61">
        <f t="shared" si="4"/>
        <v>0.57413841432960333</v>
      </c>
    </row>
    <row r="19" spans="1:11" x14ac:dyDescent="0.2">
      <c r="A19" s="106" t="s">
        <v>38</v>
      </c>
      <c r="B19" s="72">
        <v>1</v>
      </c>
      <c r="C19" s="77">
        <f>VLOOKUP($B$3,'Data for Bill Impacts'!$A$3:$Y$25,7,0)</f>
        <v>30.26</v>
      </c>
      <c r="D19" s="21">
        <f>B19*C19</f>
        <v>30.26</v>
      </c>
      <c r="E19" s="72">
        <f t="shared" ref="E19:E41" si="6">B19</f>
        <v>1</v>
      </c>
      <c r="F19" s="77">
        <f>VLOOKUP($B$3,'Data for Bill Impacts'!$A$3:$Y$25,17,0)</f>
        <v>36.369999999999997</v>
      </c>
      <c r="G19" s="21">
        <f>E19*F19</f>
        <v>36.369999999999997</v>
      </c>
      <c r="H19" s="21">
        <f t="shared" si="1"/>
        <v>6.1099999999999959</v>
      </c>
      <c r="I19" s="22">
        <f t="shared" si="2"/>
        <v>0.20191672174487757</v>
      </c>
      <c r="J19" s="22">
        <f t="shared" si="5"/>
        <v>7.7167979386477722E-2</v>
      </c>
      <c r="K19" s="107">
        <f t="shared" si="4"/>
        <v>7.9452477581945694E-2</v>
      </c>
    </row>
    <row r="20" spans="1:11" hidden="1" x14ac:dyDescent="0.2">
      <c r="A20" s="106" t="s">
        <v>83</v>
      </c>
      <c r="B20" s="72">
        <v>1</v>
      </c>
      <c r="C20" s="77">
        <f>VLOOKUP($B$3,'Data for Bill Impacts'!$A$3:$Y$25,8,0)</f>
        <v>0</v>
      </c>
      <c r="D20" s="21">
        <f>B20*C20</f>
        <v>0</v>
      </c>
      <c r="E20" s="72">
        <f t="shared" si="6"/>
        <v>1</v>
      </c>
      <c r="F20" s="77">
        <v>0</v>
      </c>
      <c r="G20" s="21">
        <f t="shared" ref="G20:G22" si="7">E20*F20</f>
        <v>0</v>
      </c>
      <c r="H20" s="21">
        <f t="shared" si="1"/>
        <v>0</v>
      </c>
      <c r="I20" s="22" t="str">
        <f t="shared" si="2"/>
        <v>N/A</v>
      </c>
      <c r="J20" s="22">
        <f t="shared" si="5"/>
        <v>0</v>
      </c>
      <c r="K20" s="107">
        <f t="shared" si="4"/>
        <v>0</v>
      </c>
    </row>
    <row r="21" spans="1:11" hidden="1" x14ac:dyDescent="0.2">
      <c r="A21" s="106" t="s">
        <v>84</v>
      </c>
      <c r="B21" s="72">
        <v>1</v>
      </c>
      <c r="C21" s="77">
        <f>VLOOKUP($B$3,'Data for Bill Impacts'!$A$3:$Y$25,11,0)</f>
        <v>0</v>
      </c>
      <c r="D21" s="21">
        <f t="shared" ref="D21:D22" si="8">B21*C21</f>
        <v>0</v>
      </c>
      <c r="E21" s="72">
        <f t="shared" si="6"/>
        <v>1</v>
      </c>
      <c r="F21" s="120">
        <f>VLOOKUP($B$3,'Data for Bill Impacts'!$A$3:$Y$25,12,0)</f>
        <v>0</v>
      </c>
      <c r="G21" s="21">
        <f t="shared" si="7"/>
        <v>0</v>
      </c>
      <c r="H21" s="21">
        <f t="shared" si="1"/>
        <v>0</v>
      </c>
      <c r="I21" s="22" t="str">
        <f t="shared" si="2"/>
        <v>N/A</v>
      </c>
      <c r="J21" s="22">
        <f t="shared" si="5"/>
        <v>0</v>
      </c>
      <c r="K21" s="107">
        <f t="shared" si="4"/>
        <v>0</v>
      </c>
    </row>
    <row r="22" spans="1:11" x14ac:dyDescent="0.2">
      <c r="A22" s="106" t="s">
        <v>85</v>
      </c>
      <c r="B22" s="72">
        <v>1</v>
      </c>
      <c r="C22" s="120">
        <f>VLOOKUP($B$3,'Data for Bill Impacts'!$A$3:$Y$25,13,0)</f>
        <v>0</v>
      </c>
      <c r="D22" s="21">
        <f t="shared" si="8"/>
        <v>0</v>
      </c>
      <c r="E22" s="72">
        <f t="shared" si="6"/>
        <v>1</v>
      </c>
      <c r="F22" s="120">
        <f>VLOOKUP($B$3,'Data for Bill Impacts'!$A$3:$Y$25,22,0)</f>
        <v>0</v>
      </c>
      <c r="G22" s="21">
        <f t="shared" si="7"/>
        <v>0</v>
      </c>
      <c r="H22" s="21">
        <f t="shared" si="1"/>
        <v>0</v>
      </c>
      <c r="I22" s="22" t="str">
        <f t="shared" si="2"/>
        <v>N/A</v>
      </c>
      <c r="J22" s="22">
        <f t="shared" si="5"/>
        <v>0</v>
      </c>
      <c r="K22" s="107">
        <f t="shared" si="4"/>
        <v>0</v>
      </c>
    </row>
    <row r="23" spans="1:11" x14ac:dyDescent="0.2">
      <c r="A23" s="106" t="s">
        <v>39</v>
      </c>
      <c r="B23" s="72">
        <f>IF($B$9="kWh",$B$4,$B$5)</f>
        <v>2695</v>
      </c>
      <c r="C23" s="124">
        <f>VLOOKUP($B$3,'Data for Bill Impacts'!$A$3:$Y$25,10,0)</f>
        <v>1.7399999999999999E-2</v>
      </c>
      <c r="D23" s="21">
        <f>B23*C23</f>
        <v>46.892999999999994</v>
      </c>
      <c r="E23" s="72">
        <f t="shared" si="6"/>
        <v>2695</v>
      </c>
      <c r="F23" s="124">
        <f>VLOOKUP($B$3,'Data for Bill Impacts'!$A$3:$Y$25,19,0)</f>
        <v>2.1000000000000001E-2</v>
      </c>
      <c r="G23" s="21">
        <f>E23*F23</f>
        <v>56.595000000000006</v>
      </c>
      <c r="H23" s="21">
        <f t="shared" si="1"/>
        <v>9.7020000000000124</v>
      </c>
      <c r="I23" s="22">
        <f t="shared" si="2"/>
        <v>0.20689655172413823</v>
      </c>
      <c r="J23" s="22">
        <f t="shared" si="5"/>
        <v>0.12008033525921659</v>
      </c>
      <c r="K23" s="107">
        <f t="shared" si="4"/>
        <v>0.12363522047704749</v>
      </c>
    </row>
    <row r="24" spans="1:11" x14ac:dyDescent="0.2">
      <c r="A24" s="106" t="s">
        <v>129</v>
      </c>
      <c r="B24" s="72">
        <f>IF($B$9="kWh",$B$4,$B$5)</f>
        <v>2695</v>
      </c>
      <c r="C24" s="124">
        <f>VLOOKUP($B$3,'Data for Bill Impacts'!$A$3:$Y$25,14,0)</f>
        <v>0</v>
      </c>
      <c r="D24" s="33">
        <f>B24*C24</f>
        <v>0</v>
      </c>
      <c r="E24" s="72">
        <f t="shared" si="6"/>
        <v>2695</v>
      </c>
      <c r="F24" s="124">
        <f>VLOOKUP($B$3,'Data for Bill Impacts'!$A$3:$Y$25,23,0)</f>
        <v>0</v>
      </c>
      <c r="G24" s="33">
        <f>E24*F24</f>
        <v>0</v>
      </c>
      <c r="H24" s="21">
        <f t="shared" si="1"/>
        <v>0</v>
      </c>
      <c r="I24" s="22" t="str">
        <f t="shared" si="2"/>
        <v>N/A</v>
      </c>
      <c r="J24" s="22">
        <f t="shared" si="5"/>
        <v>0</v>
      </c>
      <c r="K24" s="107">
        <f t="shared" si="4"/>
        <v>0</v>
      </c>
    </row>
    <row r="25" spans="1:11" s="1" customFormat="1" x14ac:dyDescent="0.2">
      <c r="A25" s="109" t="s">
        <v>72</v>
      </c>
      <c r="B25" s="73"/>
      <c r="C25" s="34"/>
      <c r="D25" s="34">
        <f>SUM(D19:D24)</f>
        <v>77.152999999999992</v>
      </c>
      <c r="E25" s="72"/>
      <c r="F25" s="34"/>
      <c r="G25" s="34">
        <f>SUM(G19:G24)</f>
        <v>92.965000000000003</v>
      </c>
      <c r="H25" s="34">
        <f t="shared" si="1"/>
        <v>15.812000000000012</v>
      </c>
      <c r="I25" s="35">
        <f t="shared" si="2"/>
        <v>0.2049434241053493</v>
      </c>
      <c r="J25" s="35">
        <f>G25/$G$46</f>
        <v>0.19724831464569431</v>
      </c>
      <c r="K25" s="110">
        <f t="shared" si="4"/>
        <v>0.20308769805899318</v>
      </c>
    </row>
    <row r="26" spans="1:11" s="1" customFormat="1" x14ac:dyDescent="0.2">
      <c r="A26" s="118" t="s">
        <v>73</v>
      </c>
      <c r="B26" s="119">
        <v>1</v>
      </c>
      <c r="C26" s="77">
        <f>VLOOKUP($B$3,'Data for Bill Impacts'!$A$3:$Y$25,9,0)</f>
        <v>0.79</v>
      </c>
      <c r="D26" s="21">
        <f>B26*C26</f>
        <v>0.79</v>
      </c>
      <c r="E26" s="72">
        <v>1</v>
      </c>
      <c r="F26" s="77">
        <f>VLOOKUP($B$3,'Data for Bill Impacts'!$A$3:$Y$25,18,0)</f>
        <v>0.79</v>
      </c>
      <c r="G26" s="21">
        <f>E26*F26</f>
        <v>0.79</v>
      </c>
      <c r="H26" s="21">
        <f t="shared" si="1"/>
        <v>0</v>
      </c>
      <c r="I26" s="22">
        <f t="shared" si="2"/>
        <v>0</v>
      </c>
      <c r="J26" s="22">
        <f>G26/$G$46</f>
        <v>1.6761810204926424E-3</v>
      </c>
      <c r="K26" s="107">
        <f t="shared" si="4"/>
        <v>1.7258030599322824E-3</v>
      </c>
    </row>
    <row r="27" spans="1:11" s="1" customFormat="1" x14ac:dyDescent="0.2">
      <c r="A27" s="118" t="s">
        <v>75</v>
      </c>
      <c r="B27" s="119">
        <f>B8-B4</f>
        <v>153.61499999999978</v>
      </c>
      <c r="C27" s="186">
        <f>IF(B4&gt;B7,C13,C12)</f>
        <v>0.106</v>
      </c>
      <c r="D27" s="21">
        <f>B27*C27</f>
        <v>16.283189999999976</v>
      </c>
      <c r="E27" s="72">
        <f>B27</f>
        <v>153.61499999999978</v>
      </c>
      <c r="F27" s="186">
        <f>C27</f>
        <v>0.106</v>
      </c>
      <c r="G27" s="21">
        <f>E27*F27</f>
        <v>16.283189999999976</v>
      </c>
      <c r="H27" s="21">
        <f t="shared" si="1"/>
        <v>0</v>
      </c>
      <c r="I27" s="22">
        <f t="shared" si="2"/>
        <v>0</v>
      </c>
      <c r="J27" s="22">
        <f t="shared" ref="J27:J46" si="9">G27/$G$46</f>
        <v>3.4548827887437406E-2</v>
      </c>
      <c r="K27" s="107">
        <f t="shared" si="4"/>
        <v>3.5571619148681892E-2</v>
      </c>
    </row>
    <row r="28" spans="1:11" s="1" customFormat="1" x14ac:dyDescent="0.2">
      <c r="A28" s="118" t="s">
        <v>74</v>
      </c>
      <c r="B28" s="119">
        <f>B8-B4</f>
        <v>153.61499999999978</v>
      </c>
      <c r="C28" s="186">
        <f>0.65*C15+0.17*C16+0.18*C17</f>
        <v>9.7519999999999996E-2</v>
      </c>
      <c r="D28" s="21">
        <f>B28*C28</f>
        <v>14.980534799999978</v>
      </c>
      <c r="E28" s="72">
        <f>B28</f>
        <v>153.61499999999978</v>
      </c>
      <c r="F28" s="186">
        <f>C28</f>
        <v>9.7519999999999996E-2</v>
      </c>
      <c r="G28" s="21">
        <f>E28*F28</f>
        <v>14.980534799999978</v>
      </c>
      <c r="H28" s="21">
        <f t="shared" si="1"/>
        <v>0</v>
      </c>
      <c r="I28" s="22">
        <f t="shared" si="2"/>
        <v>0</v>
      </c>
      <c r="J28" s="22">
        <f t="shared" si="9"/>
        <v>3.1784921656442408E-2</v>
      </c>
      <c r="K28" s="107">
        <f t="shared" si="4"/>
        <v>3.2725889616787344E-2</v>
      </c>
    </row>
    <row r="29" spans="1:11" s="1" customFormat="1" x14ac:dyDescent="0.2">
      <c r="A29" s="109" t="s">
        <v>78</v>
      </c>
      <c r="B29" s="73"/>
      <c r="C29" s="34"/>
      <c r="D29" s="34">
        <f>SUM(D25,D26:D27)</f>
        <v>94.226189999999974</v>
      </c>
      <c r="E29" s="72"/>
      <c r="F29" s="34"/>
      <c r="G29" s="34">
        <f>SUM(G25,G26:G27)</f>
        <v>110.03818999999999</v>
      </c>
      <c r="H29" s="34">
        <f t="shared" si="1"/>
        <v>15.812000000000012</v>
      </c>
      <c r="I29" s="35">
        <f t="shared" si="2"/>
        <v>0.16780897115759447</v>
      </c>
      <c r="J29" s="35">
        <f t="shared" si="9"/>
        <v>0.23347332355362438</v>
      </c>
      <c r="K29" s="110">
        <f t="shared" si="4"/>
        <v>0.24038512026760739</v>
      </c>
    </row>
    <row r="30" spans="1:11" s="1" customFormat="1" x14ac:dyDescent="0.2">
      <c r="A30" s="109" t="s">
        <v>77</v>
      </c>
      <c r="B30" s="73"/>
      <c r="C30" s="34"/>
      <c r="D30" s="34">
        <f>SUM(D25,D26,D28)</f>
        <v>92.92353479999997</v>
      </c>
      <c r="E30" s="72"/>
      <c r="F30" s="34"/>
      <c r="G30" s="34">
        <f>SUM(G25,G26,G28)</f>
        <v>108.73553479999998</v>
      </c>
      <c r="H30" s="34">
        <f t="shared" si="1"/>
        <v>15.812000000000012</v>
      </c>
      <c r="I30" s="35">
        <f t="shared" si="2"/>
        <v>0.17016141318808309</v>
      </c>
      <c r="J30" s="35">
        <f t="shared" si="9"/>
        <v>0.23070941732262937</v>
      </c>
      <c r="K30" s="110">
        <f t="shared" si="4"/>
        <v>0.23753939073571281</v>
      </c>
    </row>
    <row r="31" spans="1:11" x14ac:dyDescent="0.2">
      <c r="A31" s="106" t="s">
        <v>40</v>
      </c>
      <c r="B31" s="72">
        <f>B8</f>
        <v>2848.6149999999998</v>
      </c>
      <c r="C31" s="124">
        <f>VLOOKUP($B$3,'Data for Bill Impacts'!$A$3:$Y$25,15,0)</f>
        <v>5.5999999999999999E-3</v>
      </c>
      <c r="D31" s="21">
        <f>B31*C31</f>
        <v>15.952243999999999</v>
      </c>
      <c r="E31" s="72">
        <f t="shared" si="6"/>
        <v>2848.6149999999998</v>
      </c>
      <c r="F31" s="77">
        <f>VLOOKUP($B$3,'Data for Bill Impacts'!$A$3:$Y$25,24,0)</f>
        <v>5.5999999999999999E-3</v>
      </c>
      <c r="G31" s="21">
        <f>E31*F31</f>
        <v>15.952243999999999</v>
      </c>
      <c r="H31" s="21">
        <f t="shared" si="1"/>
        <v>0</v>
      </c>
      <c r="I31" s="22">
        <f t="shared" si="2"/>
        <v>0</v>
      </c>
      <c r="J31" s="22">
        <f t="shared" si="9"/>
        <v>3.3846643831731173E-2</v>
      </c>
      <c r="K31" s="107">
        <f t="shared" si="4"/>
        <v>3.4848647478463779E-2</v>
      </c>
    </row>
    <row r="32" spans="1:11" x14ac:dyDescent="0.2">
      <c r="A32" s="106" t="s">
        <v>41</v>
      </c>
      <c r="B32" s="72">
        <f>B8</f>
        <v>2848.6149999999998</v>
      </c>
      <c r="C32" s="124">
        <f>VLOOKUP($B$3,'Data for Bill Impacts'!$A$3:$Y$25,16,0)</f>
        <v>4.5999999999999999E-3</v>
      </c>
      <c r="D32" s="21">
        <f>B32*C32</f>
        <v>13.103628999999998</v>
      </c>
      <c r="E32" s="72">
        <f t="shared" si="6"/>
        <v>2848.6149999999998</v>
      </c>
      <c r="F32" s="77">
        <f>VLOOKUP($B$3,'Data for Bill Impacts'!$A$3:$Y$25,25,0)</f>
        <v>4.5999999999999999E-3</v>
      </c>
      <c r="G32" s="21">
        <f>E32*F32</f>
        <v>13.103628999999998</v>
      </c>
      <c r="H32" s="21">
        <f t="shared" si="1"/>
        <v>0</v>
      </c>
      <c r="I32" s="22">
        <f t="shared" si="2"/>
        <v>0</v>
      </c>
      <c r="J32" s="22">
        <f t="shared" si="9"/>
        <v>2.7802600290350608E-2</v>
      </c>
      <c r="K32" s="107">
        <f t="shared" si="4"/>
        <v>2.862567471445239E-2</v>
      </c>
    </row>
    <row r="33" spans="1:11" s="1" customFormat="1" x14ac:dyDescent="0.2">
      <c r="A33" s="109" t="s">
        <v>76</v>
      </c>
      <c r="B33" s="73"/>
      <c r="C33" s="34"/>
      <c r="D33" s="34">
        <f>SUM(D31:D32)</f>
        <v>29.055872999999998</v>
      </c>
      <c r="E33" s="72"/>
      <c r="F33" s="34"/>
      <c r="G33" s="34">
        <f>SUM(G31:G32)</f>
        <v>29.055872999999998</v>
      </c>
      <c r="H33" s="34">
        <f t="shared" si="1"/>
        <v>0</v>
      </c>
      <c r="I33" s="35">
        <f t="shared" si="2"/>
        <v>0</v>
      </c>
      <c r="J33" s="35">
        <f t="shared" si="9"/>
        <v>6.1649244122081788E-2</v>
      </c>
      <c r="K33" s="110">
        <f t="shared" si="4"/>
        <v>6.3474322192916169E-2</v>
      </c>
    </row>
    <row r="34" spans="1:11" s="1" customFormat="1" ht="13.5" customHeight="1" x14ac:dyDescent="0.2">
      <c r="A34" s="109" t="s">
        <v>93</v>
      </c>
      <c r="B34" s="73"/>
      <c r="C34" s="34"/>
      <c r="D34" s="34">
        <f>D29+D33</f>
        <v>123.28206299999997</v>
      </c>
      <c r="E34" s="72"/>
      <c r="F34" s="34"/>
      <c r="G34" s="34">
        <f>G29+G33</f>
        <v>139.09406299999998</v>
      </c>
      <c r="H34" s="34">
        <f t="shared" si="1"/>
        <v>15.812000000000012</v>
      </c>
      <c r="I34" s="35">
        <f t="shared" si="2"/>
        <v>0.12825872324995094</v>
      </c>
      <c r="J34" s="35">
        <f t="shared" si="9"/>
        <v>0.29512256767570616</v>
      </c>
      <c r="K34" s="110">
        <f t="shared" si="4"/>
        <v>0.30385944246052354</v>
      </c>
    </row>
    <row r="35" spans="1:11" s="1" customFormat="1" ht="13.5" customHeight="1" x14ac:dyDescent="0.2">
      <c r="A35" s="109" t="s">
        <v>94</v>
      </c>
      <c r="B35" s="73"/>
      <c r="C35" s="34"/>
      <c r="D35" s="34">
        <f>D30+D33</f>
        <v>121.97940779999996</v>
      </c>
      <c r="E35" s="72"/>
      <c r="F35" s="34"/>
      <c r="G35" s="34">
        <f>G30+G33</f>
        <v>137.79140779999997</v>
      </c>
      <c r="H35" s="34">
        <f t="shared" si="1"/>
        <v>15.812000000000012</v>
      </c>
      <c r="I35" s="35">
        <f t="shared" si="2"/>
        <v>0.12962843716970412</v>
      </c>
      <c r="J35" s="35">
        <f t="shared" si="9"/>
        <v>0.29235866144471112</v>
      </c>
      <c r="K35" s="110">
        <f t="shared" si="4"/>
        <v>0.301013712928629</v>
      </c>
    </row>
    <row r="36" spans="1:11" x14ac:dyDescent="0.2">
      <c r="A36" s="106" t="s">
        <v>42</v>
      </c>
      <c r="B36" s="72">
        <f>B8</f>
        <v>2848.6149999999998</v>
      </c>
      <c r="C36" s="33">
        <v>3.5999999999999999E-3</v>
      </c>
      <c r="D36" s="21">
        <f>B36*C36</f>
        <v>10.255013999999999</v>
      </c>
      <c r="E36" s="72">
        <f t="shared" si="6"/>
        <v>2848.6149999999998</v>
      </c>
      <c r="F36" s="33">
        <v>3.5999999999999999E-3</v>
      </c>
      <c r="G36" s="21">
        <f>E36*F36</f>
        <v>10.255013999999999</v>
      </c>
      <c r="H36" s="21">
        <f t="shared" si="1"/>
        <v>0</v>
      </c>
      <c r="I36" s="22">
        <f t="shared" si="2"/>
        <v>0</v>
      </c>
      <c r="J36" s="22">
        <f t="shared" si="9"/>
        <v>2.1758556748970041E-2</v>
      </c>
      <c r="K36" s="107">
        <f t="shared" si="4"/>
        <v>2.2402701950441001E-2</v>
      </c>
    </row>
    <row r="37" spans="1:11" x14ac:dyDescent="0.2">
      <c r="A37" s="106" t="s">
        <v>43</v>
      </c>
      <c r="B37" s="72">
        <f>B8</f>
        <v>2848.6149999999998</v>
      </c>
      <c r="C37" s="33">
        <v>2.0999999999999999E-3</v>
      </c>
      <c r="D37" s="21">
        <f>B37*C37</f>
        <v>5.9820914999999992</v>
      </c>
      <c r="E37" s="72">
        <f t="shared" si="6"/>
        <v>2848.6149999999998</v>
      </c>
      <c r="F37" s="33">
        <v>2.0999999999999999E-3</v>
      </c>
      <c r="G37" s="21">
        <f>E37*F37</f>
        <v>5.9820914999999992</v>
      </c>
      <c r="H37" s="21">
        <f>G37-D37</f>
        <v>0</v>
      </c>
      <c r="I37" s="22">
        <f t="shared" si="2"/>
        <v>0</v>
      </c>
      <c r="J37" s="22">
        <f t="shared" si="9"/>
        <v>1.2692491436899191E-2</v>
      </c>
      <c r="K37" s="107">
        <f t="shared" si="4"/>
        <v>1.3068242804423917E-2</v>
      </c>
    </row>
    <row r="38" spans="1:11" x14ac:dyDescent="0.2">
      <c r="A38" s="106" t="s">
        <v>99</v>
      </c>
      <c r="B38" s="72">
        <f>B8</f>
        <v>2848.6149999999998</v>
      </c>
      <c r="C38" s="33">
        <v>0</v>
      </c>
      <c r="D38" s="21">
        <f>B38*C38</f>
        <v>0</v>
      </c>
      <c r="E38" s="72">
        <f t="shared" si="6"/>
        <v>2848.6149999999998</v>
      </c>
      <c r="F38" s="33">
        <v>0</v>
      </c>
      <c r="G38" s="21">
        <f>E38*F38</f>
        <v>0</v>
      </c>
      <c r="H38" s="21">
        <f>G38-D38</f>
        <v>0</v>
      </c>
      <c r="I38" s="22" t="str">
        <f t="shared" si="2"/>
        <v>N/A</v>
      </c>
      <c r="J38" s="22">
        <f t="shared" si="9"/>
        <v>0</v>
      </c>
      <c r="K38" s="107">
        <f t="shared" si="4"/>
        <v>0</v>
      </c>
    </row>
    <row r="39" spans="1:11" x14ac:dyDescent="0.2">
      <c r="A39" s="106" t="s">
        <v>44</v>
      </c>
      <c r="B39" s="72">
        <v>1</v>
      </c>
      <c r="C39" s="21">
        <v>0.25</v>
      </c>
      <c r="D39" s="21">
        <f>B39*C39</f>
        <v>0.25</v>
      </c>
      <c r="E39" s="72">
        <f t="shared" si="6"/>
        <v>1</v>
      </c>
      <c r="F39" s="21">
        <f>C39</f>
        <v>0.25</v>
      </c>
      <c r="G39" s="21">
        <f>E39*F39</f>
        <v>0.25</v>
      </c>
      <c r="H39" s="21">
        <f t="shared" si="1"/>
        <v>0</v>
      </c>
      <c r="I39" s="22">
        <f t="shared" si="2"/>
        <v>0</v>
      </c>
      <c r="J39" s="22">
        <f t="shared" si="9"/>
        <v>5.3043703180146915E-4</v>
      </c>
      <c r="K39" s="107">
        <f t="shared" si="4"/>
        <v>5.4614020883932981E-4</v>
      </c>
    </row>
    <row r="40" spans="1:11" s="1" customFormat="1" x14ac:dyDescent="0.2">
      <c r="A40" s="109" t="s">
        <v>45</v>
      </c>
      <c r="B40" s="73"/>
      <c r="C40" s="34"/>
      <c r="D40" s="34">
        <f>SUM(D36:D39)</f>
        <v>16.487105499999998</v>
      </c>
      <c r="E40" s="72"/>
      <c r="F40" s="34"/>
      <c r="G40" s="34">
        <f>SUM(G36:G39)</f>
        <v>16.487105499999998</v>
      </c>
      <c r="H40" s="34">
        <f t="shared" si="1"/>
        <v>0</v>
      </c>
      <c r="I40" s="35">
        <f t="shared" si="2"/>
        <v>0</v>
      </c>
      <c r="J40" s="35">
        <f t="shared" si="9"/>
        <v>3.4981485217670701E-2</v>
      </c>
      <c r="K40" s="110">
        <f t="shared" si="4"/>
        <v>3.6017084963704246E-2</v>
      </c>
    </row>
    <row r="41" spans="1:11" s="1" customFormat="1" ht="13.5" thickBot="1" x14ac:dyDescent="0.25">
      <c r="A41" s="111" t="s">
        <v>46</v>
      </c>
      <c r="B41" s="112">
        <f>B4</f>
        <v>2695</v>
      </c>
      <c r="C41" s="113">
        <v>7.0000000000000001E-3</v>
      </c>
      <c r="D41" s="114">
        <f>B41*C41</f>
        <v>18.865000000000002</v>
      </c>
      <c r="E41" s="115">
        <f t="shared" si="6"/>
        <v>2695</v>
      </c>
      <c r="F41" s="113">
        <f>C41</f>
        <v>7.0000000000000001E-3</v>
      </c>
      <c r="G41" s="114">
        <f>E41*F41</f>
        <v>18.865000000000002</v>
      </c>
      <c r="H41" s="114">
        <f t="shared" si="1"/>
        <v>0</v>
      </c>
      <c r="I41" s="116">
        <f t="shared" si="2"/>
        <v>0</v>
      </c>
      <c r="J41" s="116">
        <f t="shared" si="9"/>
        <v>4.0026778419738861E-2</v>
      </c>
      <c r="K41" s="117">
        <f t="shared" si="4"/>
        <v>4.1211740159015832E-2</v>
      </c>
    </row>
    <row r="42" spans="1:11" s="1" customFormat="1" x14ac:dyDescent="0.2">
      <c r="A42" s="36" t="s">
        <v>107</v>
      </c>
      <c r="B42" s="37"/>
      <c r="C42" s="38"/>
      <c r="D42" s="38">
        <f>SUM(D14,D25,D26,D27,D33,D40,D41)</f>
        <v>433.0541685</v>
      </c>
      <c r="E42" s="37"/>
      <c r="F42" s="38"/>
      <c r="G42" s="38">
        <f>SUM(G14,G25,G26,G27,G33,G40,G41)</f>
        <v>448.86616850000001</v>
      </c>
      <c r="H42" s="38">
        <f t="shared" si="1"/>
        <v>15.812000000000012</v>
      </c>
      <c r="I42" s="39">
        <f t="shared" si="2"/>
        <v>3.651275325386924E-2</v>
      </c>
      <c r="J42" s="39">
        <f t="shared" si="9"/>
        <v>0.95238095238095244</v>
      </c>
      <c r="K42" s="40"/>
    </row>
    <row r="43" spans="1:11" x14ac:dyDescent="0.2">
      <c r="A43" s="142" t="s">
        <v>108</v>
      </c>
      <c r="B43" s="42"/>
      <c r="C43" s="25">
        <v>0.13</v>
      </c>
      <c r="D43" s="25">
        <f>D42*C43</f>
        <v>56.297041905</v>
      </c>
      <c r="E43" s="25"/>
      <c r="F43" s="25">
        <f>C43</f>
        <v>0.13</v>
      </c>
      <c r="G43" s="25">
        <f>G42*F43</f>
        <v>58.352601905000007</v>
      </c>
      <c r="H43" s="25">
        <f t="shared" si="1"/>
        <v>2.0555600000000069</v>
      </c>
      <c r="I43" s="43">
        <f t="shared" si="2"/>
        <v>3.651275325386933E-2</v>
      </c>
      <c r="J43" s="43">
        <f t="shared" si="9"/>
        <v>0.12380952380952383</v>
      </c>
      <c r="K43" s="44"/>
    </row>
    <row r="44" spans="1:11" s="1" customFormat="1" x14ac:dyDescent="0.2">
      <c r="A44" s="45" t="s">
        <v>109</v>
      </c>
      <c r="B44" s="23"/>
      <c r="C44" s="24"/>
      <c r="D44" s="24">
        <f>SUM(D42:D43)</f>
        <v>489.35121040500002</v>
      </c>
      <c r="E44" s="24"/>
      <c r="F44" s="24"/>
      <c r="G44" s="24">
        <f>SUM(G42:G43)</f>
        <v>507.21877040500004</v>
      </c>
      <c r="H44" s="24">
        <f t="shared" si="1"/>
        <v>17.867560000000026</v>
      </c>
      <c r="I44" s="26">
        <f t="shared" si="2"/>
        <v>3.6512753253869261E-2</v>
      </c>
      <c r="J44" s="26">
        <f t="shared" si="9"/>
        <v>1.0761904761904764</v>
      </c>
      <c r="K44" s="46"/>
    </row>
    <row r="45" spans="1:11" x14ac:dyDescent="0.2">
      <c r="A45" s="41" t="s">
        <v>110</v>
      </c>
      <c r="B45" s="42"/>
      <c r="C45" s="25">
        <v>-0.08</v>
      </c>
      <c r="D45" s="25">
        <f>D42*C45</f>
        <v>-34.64433348</v>
      </c>
      <c r="E45" s="25"/>
      <c r="F45" s="25">
        <f>C45</f>
        <v>-0.08</v>
      </c>
      <c r="G45" s="25">
        <f>G42*F45</f>
        <v>-35.909293480000002</v>
      </c>
      <c r="H45" s="25">
        <f t="shared" si="1"/>
        <v>-1.2649600000000021</v>
      </c>
      <c r="I45" s="43">
        <f t="shared" si="2"/>
        <v>-3.6512753253869268E-2</v>
      </c>
      <c r="J45" s="43">
        <f t="shared" si="9"/>
        <v>-7.6190476190476197E-2</v>
      </c>
      <c r="K45" s="44"/>
    </row>
    <row r="46" spans="1:11" s="1" customFormat="1" ht="13.5" thickBot="1" x14ac:dyDescent="0.25">
      <c r="A46" s="47" t="s">
        <v>111</v>
      </c>
      <c r="B46" s="48"/>
      <c r="C46" s="49"/>
      <c r="D46" s="49">
        <f>SUM(D44:D45)</f>
        <v>454.70687692500002</v>
      </c>
      <c r="E46" s="49"/>
      <c r="F46" s="49"/>
      <c r="G46" s="49">
        <f>SUM(G44:G45)</f>
        <v>471.30947692500001</v>
      </c>
      <c r="H46" s="49">
        <f t="shared" si="1"/>
        <v>16.602599999999995</v>
      </c>
      <c r="I46" s="50">
        <f t="shared" si="2"/>
        <v>3.6512753253869198E-2</v>
      </c>
      <c r="J46" s="50">
        <f t="shared" si="9"/>
        <v>1</v>
      </c>
      <c r="K46" s="51"/>
    </row>
    <row r="47" spans="1:11" x14ac:dyDescent="0.2">
      <c r="A47" s="52" t="s">
        <v>112</v>
      </c>
      <c r="B47" s="53"/>
      <c r="C47" s="54"/>
      <c r="D47" s="54">
        <f>SUM(D18,D25,D26,D28,D33,D40,D41)</f>
        <v>420.14791329999997</v>
      </c>
      <c r="E47" s="54"/>
      <c r="F47" s="54"/>
      <c r="G47" s="54">
        <f>SUM(G18,G25,G26,G28,G33,G40,G41)</f>
        <v>435.95991329999998</v>
      </c>
      <c r="H47" s="54">
        <f>G47-D47</f>
        <v>15.812000000000012</v>
      </c>
      <c r="I47" s="55">
        <f t="shared" si="2"/>
        <v>3.763436518298189E-2</v>
      </c>
      <c r="J47" s="55"/>
      <c r="K47" s="56">
        <f>G47/$G$51</f>
        <v>0.95238095238095244</v>
      </c>
    </row>
    <row r="48" spans="1:11" x14ac:dyDescent="0.2">
      <c r="A48" s="57" t="s">
        <v>108</v>
      </c>
      <c r="B48" s="58"/>
      <c r="C48" s="30">
        <v>0.13</v>
      </c>
      <c r="D48" s="30">
        <f>D47*C48</f>
        <v>54.619228729</v>
      </c>
      <c r="E48" s="30"/>
      <c r="F48" s="30">
        <f>C48</f>
        <v>0.13</v>
      </c>
      <c r="G48" s="30">
        <f>G47*F48</f>
        <v>56.674788728999999</v>
      </c>
      <c r="H48" s="30">
        <f>G48-D48</f>
        <v>2.0555599999999998</v>
      </c>
      <c r="I48" s="31">
        <f t="shared" si="2"/>
        <v>3.7634365182981855E-2</v>
      </c>
      <c r="J48" s="31"/>
      <c r="K48" s="59">
        <f>G48/$G$51</f>
        <v>0.12380952380952381</v>
      </c>
    </row>
    <row r="49" spans="1:11" x14ac:dyDescent="0.2">
      <c r="A49" s="135" t="s">
        <v>113</v>
      </c>
      <c r="B49" s="28"/>
      <c r="C49" s="29"/>
      <c r="D49" s="29">
        <f>SUM(D47:D48)</f>
        <v>474.76714202899996</v>
      </c>
      <c r="E49" s="29"/>
      <c r="F49" s="29"/>
      <c r="G49" s="29">
        <f>SUM(G47:G48)</f>
        <v>492.63470202899998</v>
      </c>
      <c r="H49" s="29">
        <f>G49-D49</f>
        <v>17.867560000000026</v>
      </c>
      <c r="I49" s="32">
        <f t="shared" si="2"/>
        <v>3.7634365182981917E-2</v>
      </c>
      <c r="J49" s="32"/>
      <c r="K49" s="61">
        <f>G49/$G$51</f>
        <v>1.0761904761904764</v>
      </c>
    </row>
    <row r="50" spans="1:11" x14ac:dyDescent="0.2">
      <c r="A50" s="57" t="s">
        <v>110</v>
      </c>
      <c r="B50" s="58"/>
      <c r="C50" s="30">
        <v>-0.08</v>
      </c>
      <c r="D50" s="30">
        <f>D47*C50</f>
        <v>-33.611833063999995</v>
      </c>
      <c r="E50" s="30"/>
      <c r="F50" s="30">
        <f>C50</f>
        <v>-0.08</v>
      </c>
      <c r="G50" s="30">
        <f>G47*F50</f>
        <v>-34.876793063999997</v>
      </c>
      <c r="H50" s="30">
        <f>G50-D50</f>
        <v>-1.2649600000000021</v>
      </c>
      <c r="I50" s="31">
        <f t="shared" si="2"/>
        <v>-3.7634365182981924E-2</v>
      </c>
      <c r="J50" s="31"/>
      <c r="K50" s="59">
        <f>G50/$G$51</f>
        <v>-7.6190476190476197E-2</v>
      </c>
    </row>
    <row r="51" spans="1:11" ht="13.5" thickBot="1" x14ac:dyDescent="0.25">
      <c r="A51" s="62" t="s">
        <v>114</v>
      </c>
      <c r="B51" s="63"/>
      <c r="C51" s="64"/>
      <c r="D51" s="64">
        <f>SUM(D49:D50)</f>
        <v>441.15530896499996</v>
      </c>
      <c r="E51" s="64"/>
      <c r="F51" s="64"/>
      <c r="G51" s="64">
        <f>SUM(G49:G50)</f>
        <v>457.75790896499996</v>
      </c>
      <c r="H51" s="64">
        <f>G51-D51</f>
        <v>16.602599999999995</v>
      </c>
      <c r="I51" s="65">
        <f t="shared" si="2"/>
        <v>3.7634365182981848E-2</v>
      </c>
      <c r="J51" s="65"/>
      <c r="K51" s="66">
        <f>G51/$G$51</f>
        <v>1</v>
      </c>
    </row>
    <row r="52" spans="1:11" x14ac:dyDescent="0.2">
      <c r="C52" s="67"/>
      <c r="F52" s="68"/>
    </row>
    <row r="53" spans="1:11" x14ac:dyDescent="0.2">
      <c r="F53" s="68"/>
    </row>
    <row r="54" spans="1:11" x14ac:dyDescent="0.2">
      <c r="F54" s="68"/>
    </row>
    <row r="55" spans="1:11" x14ac:dyDescent="0.2">
      <c r="A55" s="69"/>
      <c r="B55" s="70"/>
      <c r="F55" s="68"/>
    </row>
    <row r="56" spans="1:11" x14ac:dyDescent="0.2">
      <c r="B56" s="70"/>
      <c r="F56" s="68"/>
    </row>
    <row r="57" spans="1:11" x14ac:dyDescent="0.2">
      <c r="F57" s="68"/>
    </row>
    <row r="58" spans="1:11" x14ac:dyDescent="0.2">
      <c r="D58" s="71"/>
      <c r="F58" s="68"/>
    </row>
    <row r="59" spans="1:11" x14ac:dyDescent="0.2">
      <c r="F59" s="68"/>
    </row>
    <row r="60" spans="1:11" x14ac:dyDescent="0.2">
      <c r="A60" s="69"/>
      <c r="B60" s="70"/>
      <c r="F60" s="68"/>
    </row>
    <row r="61" spans="1:11" x14ac:dyDescent="0.2">
      <c r="B61" s="71"/>
      <c r="D61" s="71"/>
      <c r="F61" s="68"/>
    </row>
    <row r="62" spans="1:11" x14ac:dyDescent="0.2">
      <c r="F62" s="68"/>
    </row>
    <row r="63" spans="1:11" x14ac:dyDescent="0.2">
      <c r="F63" s="68"/>
    </row>
    <row r="64" spans="1:11" x14ac:dyDescent="0.2">
      <c r="F64" s="68"/>
      <c r="K64"/>
    </row>
    <row r="65" spans="6:11" x14ac:dyDescent="0.2">
      <c r="F65" s="68"/>
      <c r="K65"/>
    </row>
    <row r="66" spans="6:11" x14ac:dyDescent="0.2">
      <c r="F66" s="68"/>
      <c r="K66"/>
    </row>
    <row r="67" spans="6:11" x14ac:dyDescent="0.2">
      <c r="F67" s="68"/>
      <c r="K67"/>
    </row>
    <row r="68" spans="6:11" x14ac:dyDescent="0.2">
      <c r="F68" s="68"/>
      <c r="K68"/>
    </row>
  </sheetData>
  <mergeCells count="1">
    <mergeCell ref="A1:K1"/>
  </mergeCells>
  <pageMargins left="0.7" right="0.7" top="0.75" bottom="0.75" header="0.3" footer="0.3"/>
  <pageSetup scale="7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Impacts'!$A$3:$A$21</xm:f>
          </x14:formula1>
          <xm:sqref>B3</xm:sqref>
        </x14:dataValidation>
      </x14:dataValidations>
    </ext>
  </extLst>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5">
    <tabColor theme="1" tint="0.499984740745262"/>
    <pageSetUpPr fitToPage="1"/>
  </sheetPr>
  <dimension ref="A1:K68"/>
  <sheetViews>
    <sheetView tabSelected="1" topLeftCell="A28"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3"/>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205" t="s">
        <v>128</v>
      </c>
      <c r="B1" s="206"/>
      <c r="C1" s="206"/>
      <c r="D1" s="206"/>
      <c r="E1" s="206"/>
      <c r="F1" s="206"/>
      <c r="G1" s="206"/>
      <c r="H1" s="206"/>
      <c r="I1" s="206"/>
      <c r="J1" s="206"/>
      <c r="K1" s="207"/>
    </row>
    <row r="3" spans="1:11" x14ac:dyDescent="0.2">
      <c r="A3" s="12" t="s">
        <v>13</v>
      </c>
      <c r="B3" s="12" t="s">
        <v>131</v>
      </c>
    </row>
    <row r="4" spans="1:11" x14ac:dyDescent="0.2">
      <c r="A4" s="14" t="s">
        <v>62</v>
      </c>
      <c r="B4" s="14">
        <v>15000</v>
      </c>
    </row>
    <row r="5" spans="1:11" x14ac:dyDescent="0.2">
      <c r="A5" s="14" t="s">
        <v>16</v>
      </c>
      <c r="B5" s="14">
        <f>VLOOKUP($B$3,'Data for Bill Impacts'!$A$3:$Y$25,5,0)</f>
        <v>0</v>
      </c>
    </row>
    <row r="6" spans="1:11" x14ac:dyDescent="0.2">
      <c r="A6" s="14" t="s">
        <v>20</v>
      </c>
      <c r="B6" s="14">
        <f>VLOOKUP($B$3,'Data for Bill Impacts'!$A$3:$Y$25,2,0)</f>
        <v>1.0569999999999999</v>
      </c>
    </row>
    <row r="7" spans="1:11" x14ac:dyDescent="0.2">
      <c r="A7" s="14" t="s">
        <v>15</v>
      </c>
      <c r="B7" s="14">
        <f>VLOOKUP($B$3,'Data for Bill Impacts'!$A$3:$Y$25,4,0)</f>
        <v>750</v>
      </c>
    </row>
    <row r="8" spans="1:11" x14ac:dyDescent="0.2">
      <c r="A8" s="14" t="s">
        <v>82</v>
      </c>
      <c r="B8" s="14">
        <f>B4*B6</f>
        <v>15855</v>
      </c>
    </row>
    <row r="9" spans="1:11" x14ac:dyDescent="0.2">
      <c r="A9" s="14" t="s">
        <v>21</v>
      </c>
      <c r="B9" s="15" t="str">
        <f>VLOOKUP($B$3,'Data for Bill Impacts'!$A$3:$Y$25,6,0)</f>
        <v>kWh</v>
      </c>
    </row>
    <row r="10" spans="1:11" ht="13.5" thickBot="1" x14ac:dyDescent="0.25"/>
    <row r="11" spans="1:11" s="19" customFormat="1" ht="51.75" thickBot="1" x14ac:dyDescent="0.25">
      <c r="A11" s="16"/>
      <c r="B11" s="17" t="s">
        <v>22</v>
      </c>
      <c r="C11" s="17" t="s">
        <v>23</v>
      </c>
      <c r="D11" s="17" t="s">
        <v>24</v>
      </c>
      <c r="E11" s="17" t="s">
        <v>22</v>
      </c>
      <c r="F11" s="17" t="s">
        <v>25</v>
      </c>
      <c r="G11" s="17" t="s">
        <v>26</v>
      </c>
      <c r="H11" s="17" t="s">
        <v>27</v>
      </c>
      <c r="I11" s="17" t="s">
        <v>28</v>
      </c>
      <c r="J11" s="17" t="s">
        <v>29</v>
      </c>
      <c r="K11" s="18" t="s">
        <v>30</v>
      </c>
    </row>
    <row r="12" spans="1:11" x14ac:dyDescent="0.2">
      <c r="A12" s="100" t="s">
        <v>31</v>
      </c>
      <c r="B12" s="101">
        <f>IF(B4&gt;B7,B7,B4)</f>
        <v>750</v>
      </c>
      <c r="C12" s="102">
        <v>9.0999999999999998E-2</v>
      </c>
      <c r="D12" s="103">
        <f>B12*C12</f>
        <v>68.25</v>
      </c>
      <c r="E12" s="101">
        <f>B12</f>
        <v>750</v>
      </c>
      <c r="F12" s="102">
        <f>C12</f>
        <v>9.0999999999999998E-2</v>
      </c>
      <c r="G12" s="103">
        <f>E12*F12</f>
        <v>68.25</v>
      </c>
      <c r="H12" s="103">
        <f>G12-D12</f>
        <v>0</v>
      </c>
      <c r="I12" s="104">
        <f>IF(ISERROR(H12/ABS(D12)),"N/A",(H12/ABS(D12)))</f>
        <v>0</v>
      </c>
      <c r="J12" s="104">
        <f>G12/$G$46</f>
        <v>2.7323730933553097E-2</v>
      </c>
      <c r="K12" s="105"/>
    </row>
    <row r="13" spans="1:11" x14ac:dyDescent="0.2">
      <c r="A13" s="106" t="s">
        <v>32</v>
      </c>
      <c r="B13" s="72">
        <f>IF(B4&gt;B7,(B4)-B7,0)</f>
        <v>14250</v>
      </c>
      <c r="C13" s="20">
        <v>0.106</v>
      </c>
      <c r="D13" s="21">
        <f>B13*C13</f>
        <v>1510.5</v>
      </c>
      <c r="E13" s="72">
        <f t="shared" ref="E13" si="0">B13</f>
        <v>14250</v>
      </c>
      <c r="F13" s="20">
        <f>C13</f>
        <v>0.106</v>
      </c>
      <c r="G13" s="21">
        <f>E13*F13</f>
        <v>1510.5</v>
      </c>
      <c r="H13" s="21">
        <f t="shared" ref="H13:H46" si="1">G13-D13</f>
        <v>0</v>
      </c>
      <c r="I13" s="22">
        <f t="shared" ref="I13:I51" si="2">IF(ISERROR(H13/ABS(D13)),"N/A",(H13/ABS(D13)))</f>
        <v>0</v>
      </c>
      <c r="J13" s="22">
        <f>G13/$G$46</f>
        <v>0.60472520989204326</v>
      </c>
      <c r="K13" s="107"/>
    </row>
    <row r="14" spans="1:11" s="1" customFormat="1" x14ac:dyDescent="0.2">
      <c r="A14" s="45" t="s">
        <v>33</v>
      </c>
      <c r="B14" s="23"/>
      <c r="C14" s="24"/>
      <c r="D14" s="24">
        <f>SUM(D12:D13)</f>
        <v>1578.75</v>
      </c>
      <c r="E14" s="75"/>
      <c r="F14" s="24"/>
      <c r="G14" s="24">
        <f>SUM(G12:G13)</f>
        <v>1578.75</v>
      </c>
      <c r="H14" s="24">
        <f t="shared" si="1"/>
        <v>0</v>
      </c>
      <c r="I14" s="26">
        <f t="shared" si="2"/>
        <v>0</v>
      </c>
      <c r="J14" s="26">
        <f>G14/$G$46</f>
        <v>0.63204894082559637</v>
      </c>
      <c r="K14" s="107"/>
    </row>
    <row r="15" spans="1:11" s="1" customFormat="1" x14ac:dyDescent="0.2">
      <c r="A15" s="108" t="s">
        <v>34</v>
      </c>
      <c r="B15" s="74">
        <f>B4*0.65</f>
        <v>9750</v>
      </c>
      <c r="C15" s="27">
        <v>7.6999999999999999E-2</v>
      </c>
      <c r="D15" s="21">
        <f>B15*C15</f>
        <v>750.75</v>
      </c>
      <c r="E15" s="72">
        <f t="shared" ref="E15:F17" si="3">B15</f>
        <v>9750</v>
      </c>
      <c r="F15" s="27">
        <f t="shared" si="3"/>
        <v>7.6999999999999999E-2</v>
      </c>
      <c r="G15" s="21">
        <f>E15*F15</f>
        <v>750.75</v>
      </c>
      <c r="H15" s="21">
        <f t="shared" si="1"/>
        <v>0</v>
      </c>
      <c r="I15" s="22">
        <f t="shared" si="2"/>
        <v>0</v>
      </c>
      <c r="J15" s="22"/>
      <c r="K15" s="107">
        <f t="shared" ref="K15:K41" si="4">G15/$G$51</f>
        <v>0.31697700932502032</v>
      </c>
    </row>
    <row r="16" spans="1:11" s="1" customFormat="1" x14ac:dyDescent="0.2">
      <c r="A16" s="108" t="s">
        <v>35</v>
      </c>
      <c r="B16" s="74">
        <f>B4*0.17</f>
        <v>2550</v>
      </c>
      <c r="C16" s="27">
        <v>0.113</v>
      </c>
      <c r="D16" s="21">
        <f>B16*C16</f>
        <v>288.15000000000003</v>
      </c>
      <c r="E16" s="72">
        <f t="shared" si="3"/>
        <v>2550</v>
      </c>
      <c r="F16" s="27">
        <f t="shared" si="3"/>
        <v>0.113</v>
      </c>
      <c r="G16" s="21">
        <f>E16*F16</f>
        <v>288.15000000000003</v>
      </c>
      <c r="H16" s="21">
        <f t="shared" si="1"/>
        <v>0</v>
      </c>
      <c r="I16" s="22">
        <f t="shared" si="2"/>
        <v>0</v>
      </c>
      <c r="J16" s="22"/>
      <c r="K16" s="107">
        <f t="shared" si="4"/>
        <v>0.12166090607659621</v>
      </c>
    </row>
    <row r="17" spans="1:11" s="1" customFormat="1" x14ac:dyDescent="0.2">
      <c r="A17" s="108" t="s">
        <v>36</v>
      </c>
      <c r="B17" s="74">
        <f>B4*0.18</f>
        <v>2700</v>
      </c>
      <c r="C17" s="27">
        <v>0.157</v>
      </c>
      <c r="D17" s="21">
        <f>B17*C17</f>
        <v>423.9</v>
      </c>
      <c r="E17" s="72">
        <f t="shared" si="3"/>
        <v>2700</v>
      </c>
      <c r="F17" s="27">
        <f t="shared" si="3"/>
        <v>0.157</v>
      </c>
      <c r="G17" s="21">
        <f>E17*F17</f>
        <v>423.9</v>
      </c>
      <c r="H17" s="21">
        <f t="shared" si="1"/>
        <v>0</v>
      </c>
      <c r="I17" s="22">
        <f t="shared" si="2"/>
        <v>0</v>
      </c>
      <c r="J17" s="22"/>
      <c r="K17" s="107">
        <f t="shared" si="4"/>
        <v>0.1789764292412602</v>
      </c>
    </row>
    <row r="18" spans="1:11" s="1" customFormat="1" x14ac:dyDescent="0.2">
      <c r="A18" s="60" t="s">
        <v>37</v>
      </c>
      <c r="B18" s="28"/>
      <c r="C18" s="29"/>
      <c r="D18" s="29">
        <f>SUM(D15:D17)</f>
        <v>1462.8000000000002</v>
      </c>
      <c r="E18" s="76"/>
      <c r="F18" s="29"/>
      <c r="G18" s="29">
        <f>SUM(G15:G17)</f>
        <v>1462.8000000000002</v>
      </c>
      <c r="H18" s="30">
        <f t="shared" si="1"/>
        <v>0</v>
      </c>
      <c r="I18" s="31">
        <f t="shared" si="2"/>
        <v>0</v>
      </c>
      <c r="J18" s="32">
        <f t="shared" ref="J18:J24" si="5">G18/$G$46</f>
        <v>0.58562862431650509</v>
      </c>
      <c r="K18" s="61">
        <f t="shared" si="4"/>
        <v>0.61761434464287679</v>
      </c>
    </row>
    <row r="19" spans="1:11" x14ac:dyDescent="0.2">
      <c r="A19" s="106" t="s">
        <v>38</v>
      </c>
      <c r="B19" s="72">
        <v>1</v>
      </c>
      <c r="C19" s="77">
        <f>VLOOKUP($B$3,'Data for Bill Impacts'!$A$3:$Y$25,7,0)</f>
        <v>30.26</v>
      </c>
      <c r="D19" s="21">
        <f>B19*C19</f>
        <v>30.26</v>
      </c>
      <c r="E19" s="72">
        <f t="shared" ref="E19:E41" si="6">B19</f>
        <v>1</v>
      </c>
      <c r="F19" s="77">
        <f>VLOOKUP($B$3,'Data for Bill Impacts'!$A$3:$Y$25,17,0)</f>
        <v>36.369999999999997</v>
      </c>
      <c r="G19" s="21">
        <f>E19*F19</f>
        <v>36.369999999999997</v>
      </c>
      <c r="H19" s="21">
        <f t="shared" si="1"/>
        <v>6.1099999999999959</v>
      </c>
      <c r="I19" s="22">
        <f t="shared" si="2"/>
        <v>0.20191672174487757</v>
      </c>
      <c r="J19" s="22">
        <f t="shared" si="5"/>
        <v>1.4560646066715401E-2</v>
      </c>
      <c r="K19" s="107">
        <f t="shared" si="4"/>
        <v>1.5355915856344972E-2</v>
      </c>
    </row>
    <row r="20" spans="1:11" hidden="1" x14ac:dyDescent="0.2">
      <c r="A20" s="106" t="s">
        <v>83</v>
      </c>
      <c r="B20" s="72">
        <v>1</v>
      </c>
      <c r="C20" s="77">
        <f>VLOOKUP($B$3,'Data for Bill Impacts'!$A$3:$Y$25,8,0)</f>
        <v>0</v>
      </c>
      <c r="D20" s="21">
        <f>B20*C20</f>
        <v>0</v>
      </c>
      <c r="E20" s="72">
        <f t="shared" si="6"/>
        <v>1</v>
      </c>
      <c r="F20" s="77">
        <v>0</v>
      </c>
      <c r="G20" s="21">
        <f t="shared" ref="G20:G22" si="7">E20*F20</f>
        <v>0</v>
      </c>
      <c r="H20" s="21">
        <f t="shared" si="1"/>
        <v>0</v>
      </c>
      <c r="I20" s="22" t="str">
        <f t="shared" si="2"/>
        <v>N/A</v>
      </c>
      <c r="J20" s="22">
        <f t="shared" si="5"/>
        <v>0</v>
      </c>
      <c r="K20" s="107">
        <f t="shared" si="4"/>
        <v>0</v>
      </c>
    </row>
    <row r="21" spans="1:11" hidden="1" x14ac:dyDescent="0.2">
      <c r="A21" s="106" t="s">
        <v>84</v>
      </c>
      <c r="B21" s="72">
        <v>1</v>
      </c>
      <c r="C21" s="77">
        <f>VLOOKUP($B$3,'Data for Bill Impacts'!$A$3:$Y$25,11,0)</f>
        <v>0</v>
      </c>
      <c r="D21" s="21">
        <f t="shared" ref="D21:D22" si="8">B21*C21</f>
        <v>0</v>
      </c>
      <c r="E21" s="72">
        <f t="shared" si="6"/>
        <v>1</v>
      </c>
      <c r="F21" s="120">
        <f>VLOOKUP($B$3,'Data for Bill Impacts'!$A$3:$Y$25,12,0)</f>
        <v>0</v>
      </c>
      <c r="G21" s="21">
        <f t="shared" si="7"/>
        <v>0</v>
      </c>
      <c r="H21" s="21">
        <f t="shared" si="1"/>
        <v>0</v>
      </c>
      <c r="I21" s="22" t="str">
        <f t="shared" si="2"/>
        <v>N/A</v>
      </c>
      <c r="J21" s="22">
        <f t="shared" si="5"/>
        <v>0</v>
      </c>
      <c r="K21" s="107">
        <f t="shared" si="4"/>
        <v>0</v>
      </c>
    </row>
    <row r="22" spans="1:11" x14ac:dyDescent="0.2">
      <c r="A22" s="106" t="s">
        <v>85</v>
      </c>
      <c r="B22" s="72">
        <v>1</v>
      </c>
      <c r="C22" s="120">
        <f>VLOOKUP($B$3,'Data for Bill Impacts'!$A$3:$Y$25,13,0)</f>
        <v>0</v>
      </c>
      <c r="D22" s="21">
        <f t="shared" si="8"/>
        <v>0</v>
      </c>
      <c r="E22" s="72">
        <f t="shared" si="6"/>
        <v>1</v>
      </c>
      <c r="F22" s="120">
        <f>VLOOKUP($B$3,'Data for Bill Impacts'!$A$3:$Y$25,22,0)</f>
        <v>0</v>
      </c>
      <c r="G22" s="21">
        <f t="shared" si="7"/>
        <v>0</v>
      </c>
      <c r="H22" s="21">
        <f t="shared" si="1"/>
        <v>0</v>
      </c>
      <c r="I22" s="22" t="str">
        <f t="shared" si="2"/>
        <v>N/A</v>
      </c>
      <c r="J22" s="22">
        <f t="shared" si="5"/>
        <v>0</v>
      </c>
      <c r="K22" s="107">
        <f t="shared" si="4"/>
        <v>0</v>
      </c>
    </row>
    <row r="23" spans="1:11" x14ac:dyDescent="0.2">
      <c r="A23" s="106" t="s">
        <v>39</v>
      </c>
      <c r="B23" s="72">
        <f>IF($B$9="kWh",$B$4,$B$5)</f>
        <v>15000</v>
      </c>
      <c r="C23" s="124">
        <f>VLOOKUP($B$3,'Data for Bill Impacts'!$A$3:$Y$25,10,0)</f>
        <v>1.7399999999999999E-2</v>
      </c>
      <c r="D23" s="21">
        <f>B23*C23</f>
        <v>261</v>
      </c>
      <c r="E23" s="72">
        <f t="shared" si="6"/>
        <v>15000</v>
      </c>
      <c r="F23" s="124">
        <f>VLOOKUP($B$3,'Data for Bill Impacts'!$A$3:$Y$25,19,0)</f>
        <v>2.1000000000000001E-2</v>
      </c>
      <c r="G23" s="21">
        <f>E23*F23</f>
        <v>315</v>
      </c>
      <c r="H23" s="21">
        <f t="shared" si="1"/>
        <v>54</v>
      </c>
      <c r="I23" s="22">
        <f t="shared" si="2"/>
        <v>0.20689655172413793</v>
      </c>
      <c r="J23" s="22">
        <f t="shared" si="5"/>
        <v>0.12610952738562967</v>
      </c>
      <c r="K23" s="107">
        <f t="shared" si="4"/>
        <v>0.13299734656993858</v>
      </c>
    </row>
    <row r="24" spans="1:11" x14ac:dyDescent="0.2">
      <c r="A24" s="106" t="s">
        <v>129</v>
      </c>
      <c r="B24" s="72">
        <f>IF($B$9="kWh",$B$4,$B$5)</f>
        <v>15000</v>
      </c>
      <c r="C24" s="124">
        <f>VLOOKUP($B$3,'Data for Bill Impacts'!$A$3:$Y$25,14,0)</f>
        <v>0</v>
      </c>
      <c r="D24" s="33">
        <f>B24*C24</f>
        <v>0</v>
      </c>
      <c r="E24" s="72">
        <f t="shared" si="6"/>
        <v>15000</v>
      </c>
      <c r="F24" s="124">
        <f>VLOOKUP($B$3,'Data for Bill Impacts'!$A$3:$Y$25,23,0)</f>
        <v>0</v>
      </c>
      <c r="G24" s="33">
        <f>E24*F24</f>
        <v>0</v>
      </c>
      <c r="H24" s="21">
        <f t="shared" si="1"/>
        <v>0</v>
      </c>
      <c r="I24" s="22" t="str">
        <f t="shared" si="2"/>
        <v>N/A</v>
      </c>
      <c r="J24" s="22">
        <f t="shared" si="5"/>
        <v>0</v>
      </c>
      <c r="K24" s="107">
        <f t="shared" si="4"/>
        <v>0</v>
      </c>
    </row>
    <row r="25" spans="1:11" s="1" customFormat="1" x14ac:dyDescent="0.2">
      <c r="A25" s="109" t="s">
        <v>72</v>
      </c>
      <c r="B25" s="73"/>
      <c r="C25" s="34"/>
      <c r="D25" s="34">
        <f>SUM(D19:D24)</f>
        <v>291.26</v>
      </c>
      <c r="E25" s="72"/>
      <c r="F25" s="34"/>
      <c r="G25" s="34">
        <f>SUM(G19:G24)</f>
        <v>351.37</v>
      </c>
      <c r="H25" s="34">
        <f t="shared" si="1"/>
        <v>60.110000000000014</v>
      </c>
      <c r="I25" s="35">
        <f t="shared" si="2"/>
        <v>0.20637918011398756</v>
      </c>
      <c r="J25" s="35">
        <f>G25/$G$46</f>
        <v>0.14067017345234509</v>
      </c>
      <c r="K25" s="110">
        <f t="shared" si="4"/>
        <v>0.14835326242628358</v>
      </c>
    </row>
    <row r="26" spans="1:11" s="1" customFormat="1" x14ac:dyDescent="0.2">
      <c r="A26" s="118" t="s">
        <v>73</v>
      </c>
      <c r="B26" s="119">
        <v>1</v>
      </c>
      <c r="C26" s="77">
        <f>VLOOKUP($B$3,'Data for Bill Impacts'!$A$3:$Y$25,9,0)</f>
        <v>0.79</v>
      </c>
      <c r="D26" s="21">
        <f>B26*C26</f>
        <v>0.79</v>
      </c>
      <c r="E26" s="72">
        <v>1</v>
      </c>
      <c r="F26" s="77">
        <f>VLOOKUP($B$3,'Data for Bill Impacts'!$A$3:$Y$25,18,0)</f>
        <v>0.79</v>
      </c>
      <c r="G26" s="21">
        <f>E26*F26</f>
        <v>0.79</v>
      </c>
      <c r="H26" s="21">
        <f t="shared" si="1"/>
        <v>0</v>
      </c>
      <c r="I26" s="22">
        <f t="shared" si="2"/>
        <v>0</v>
      </c>
      <c r="J26" s="22">
        <f>G26/$G$46</f>
        <v>3.1627468772903953E-4</v>
      </c>
      <c r="K26" s="107">
        <f t="shared" si="4"/>
        <v>3.3354890092143329E-4</v>
      </c>
    </row>
    <row r="27" spans="1:11" s="1" customFormat="1" x14ac:dyDescent="0.2">
      <c r="A27" s="118" t="s">
        <v>75</v>
      </c>
      <c r="B27" s="119">
        <f>B8-B4</f>
        <v>855</v>
      </c>
      <c r="C27" s="186">
        <f>IF(B4&gt;B7,C13,C12)</f>
        <v>0.106</v>
      </c>
      <c r="D27" s="21">
        <f>B27*C27</f>
        <v>90.63</v>
      </c>
      <c r="E27" s="72">
        <f>B27</f>
        <v>855</v>
      </c>
      <c r="F27" s="186">
        <f>C27</f>
        <v>0.106</v>
      </c>
      <c r="G27" s="21">
        <f>E27*F27</f>
        <v>90.63</v>
      </c>
      <c r="H27" s="21">
        <f t="shared" si="1"/>
        <v>0</v>
      </c>
      <c r="I27" s="22">
        <f t="shared" si="2"/>
        <v>0</v>
      </c>
      <c r="J27" s="22">
        <f t="shared" ref="J27:J46" si="9">G27/$G$46</f>
        <v>3.6283512593522596E-2</v>
      </c>
      <c r="K27" s="107">
        <f t="shared" si="4"/>
        <v>3.8265236570265183E-2</v>
      </c>
    </row>
    <row r="28" spans="1:11" s="1" customFormat="1" x14ac:dyDescent="0.2">
      <c r="A28" s="118" t="s">
        <v>74</v>
      </c>
      <c r="B28" s="119">
        <f>B8-B4</f>
        <v>855</v>
      </c>
      <c r="C28" s="186">
        <f>0.65*C15+0.17*C16+0.18*C17</f>
        <v>9.7519999999999996E-2</v>
      </c>
      <c r="D28" s="21">
        <f>B28*C28</f>
        <v>83.379599999999996</v>
      </c>
      <c r="E28" s="72">
        <f>B28</f>
        <v>855</v>
      </c>
      <c r="F28" s="186">
        <f>C28</f>
        <v>9.7519999999999996E-2</v>
      </c>
      <c r="G28" s="21">
        <f>E28*F28</f>
        <v>83.379599999999996</v>
      </c>
      <c r="H28" s="21">
        <f t="shared" si="1"/>
        <v>0</v>
      </c>
      <c r="I28" s="22">
        <f t="shared" si="2"/>
        <v>0</v>
      </c>
      <c r="J28" s="22">
        <f t="shared" si="9"/>
        <v>3.3380831586040785E-2</v>
      </c>
      <c r="K28" s="107">
        <f t="shared" si="4"/>
        <v>3.5204017644643974E-2</v>
      </c>
    </row>
    <row r="29" spans="1:11" s="1" customFormat="1" x14ac:dyDescent="0.2">
      <c r="A29" s="109" t="s">
        <v>78</v>
      </c>
      <c r="B29" s="73"/>
      <c r="C29" s="34"/>
      <c r="D29" s="34">
        <f>SUM(D25,D26:D27)</f>
        <v>382.68</v>
      </c>
      <c r="E29" s="72"/>
      <c r="F29" s="34"/>
      <c r="G29" s="34">
        <f>SUM(G25,G26:G27)</f>
        <v>442.79</v>
      </c>
      <c r="H29" s="34">
        <f t="shared" si="1"/>
        <v>60.110000000000014</v>
      </c>
      <c r="I29" s="35">
        <f t="shared" si="2"/>
        <v>0.15707640848750917</v>
      </c>
      <c r="J29" s="35">
        <f t="shared" si="9"/>
        <v>0.17726996073359672</v>
      </c>
      <c r="K29" s="110">
        <f t="shared" si="4"/>
        <v>0.18695204789747019</v>
      </c>
    </row>
    <row r="30" spans="1:11" s="1" customFormat="1" x14ac:dyDescent="0.2">
      <c r="A30" s="109" t="s">
        <v>77</v>
      </c>
      <c r="B30" s="73"/>
      <c r="C30" s="34"/>
      <c r="D30" s="34">
        <f>SUM(D25,D26,D28)</f>
        <v>375.42959999999999</v>
      </c>
      <c r="E30" s="72"/>
      <c r="F30" s="34"/>
      <c r="G30" s="34">
        <f>SUM(G25,G26,G28)</f>
        <v>435.53960000000001</v>
      </c>
      <c r="H30" s="34">
        <f t="shared" si="1"/>
        <v>60.110000000000014</v>
      </c>
      <c r="I30" s="35">
        <f t="shared" si="2"/>
        <v>0.16010991141881198</v>
      </c>
      <c r="J30" s="35">
        <f t="shared" si="9"/>
        <v>0.1743672797261149</v>
      </c>
      <c r="K30" s="110">
        <f t="shared" si="4"/>
        <v>0.18389082897184897</v>
      </c>
    </row>
    <row r="31" spans="1:11" x14ac:dyDescent="0.2">
      <c r="A31" s="106" t="s">
        <v>40</v>
      </c>
      <c r="B31" s="72">
        <f>B8</f>
        <v>15855</v>
      </c>
      <c r="C31" s="124">
        <f>VLOOKUP($B$3,'Data for Bill Impacts'!$A$3:$Y$25,15,0)</f>
        <v>5.5999999999999999E-3</v>
      </c>
      <c r="D31" s="21">
        <f>B31*C31</f>
        <v>88.787999999999997</v>
      </c>
      <c r="E31" s="72">
        <f t="shared" si="6"/>
        <v>15855</v>
      </c>
      <c r="F31" s="77">
        <f>VLOOKUP($B$3,'Data for Bill Impacts'!$A$3:$Y$25,24,0)</f>
        <v>5.5999999999999999E-3</v>
      </c>
      <c r="G31" s="21">
        <f>E31*F31</f>
        <v>88.787999999999997</v>
      </c>
      <c r="H31" s="21">
        <f t="shared" si="1"/>
        <v>0</v>
      </c>
      <c r="I31" s="22">
        <f t="shared" si="2"/>
        <v>0</v>
      </c>
      <c r="J31" s="22">
        <f t="shared" si="9"/>
        <v>3.5546072119096148E-2</v>
      </c>
      <c r="K31" s="107">
        <f t="shared" si="4"/>
        <v>3.7487518753180023E-2</v>
      </c>
    </row>
    <row r="32" spans="1:11" x14ac:dyDescent="0.2">
      <c r="A32" s="106" t="s">
        <v>41</v>
      </c>
      <c r="B32" s="72">
        <f>B8</f>
        <v>15855</v>
      </c>
      <c r="C32" s="124">
        <f>VLOOKUP($B$3,'Data for Bill Impacts'!$A$3:$Y$25,16,0)</f>
        <v>4.5999999999999999E-3</v>
      </c>
      <c r="D32" s="21">
        <f>B32*C32</f>
        <v>72.932999999999993</v>
      </c>
      <c r="E32" s="72">
        <f t="shared" si="6"/>
        <v>15855</v>
      </c>
      <c r="F32" s="77">
        <f>VLOOKUP($B$3,'Data for Bill Impacts'!$A$3:$Y$25,25,0)</f>
        <v>4.5999999999999999E-3</v>
      </c>
      <c r="G32" s="21">
        <f>E32*F32</f>
        <v>72.932999999999993</v>
      </c>
      <c r="H32" s="21">
        <f t="shared" si="1"/>
        <v>0</v>
      </c>
      <c r="I32" s="22">
        <f t="shared" si="2"/>
        <v>0</v>
      </c>
      <c r="J32" s="22">
        <f t="shared" si="9"/>
        <v>2.9198559240686123E-2</v>
      </c>
      <c r="K32" s="107">
        <f t="shared" si="4"/>
        <v>3.0793318975826444E-2</v>
      </c>
    </row>
    <row r="33" spans="1:11" s="1" customFormat="1" x14ac:dyDescent="0.2">
      <c r="A33" s="109" t="s">
        <v>76</v>
      </c>
      <c r="B33" s="73"/>
      <c r="C33" s="34"/>
      <c r="D33" s="34">
        <f>SUM(D31:D32)</f>
        <v>161.721</v>
      </c>
      <c r="E33" s="72"/>
      <c r="F33" s="34"/>
      <c r="G33" s="34">
        <f>SUM(G31:G32)</f>
        <v>161.721</v>
      </c>
      <c r="H33" s="34">
        <f t="shared" si="1"/>
        <v>0</v>
      </c>
      <c r="I33" s="35">
        <f t="shared" si="2"/>
        <v>0</v>
      </c>
      <c r="J33" s="35">
        <f t="shared" si="9"/>
        <v>6.4744631359782284E-2</v>
      </c>
      <c r="K33" s="110">
        <f t="shared" si="4"/>
        <v>6.8280837729006477E-2</v>
      </c>
    </row>
    <row r="34" spans="1:11" s="1" customFormat="1" ht="13.5" customHeight="1" x14ac:dyDescent="0.2">
      <c r="A34" s="109" t="s">
        <v>93</v>
      </c>
      <c r="B34" s="73"/>
      <c r="C34" s="34"/>
      <c r="D34" s="34">
        <f>D29+D33</f>
        <v>544.40100000000007</v>
      </c>
      <c r="E34" s="72"/>
      <c r="F34" s="34"/>
      <c r="G34" s="34">
        <f>G29+G33</f>
        <v>604.51099999999997</v>
      </c>
      <c r="H34" s="34">
        <f t="shared" si="1"/>
        <v>60.1099999999999</v>
      </c>
      <c r="I34" s="35">
        <f t="shared" si="2"/>
        <v>0.11041493310996837</v>
      </c>
      <c r="J34" s="35">
        <f t="shared" si="9"/>
        <v>0.24201459209337897</v>
      </c>
      <c r="K34" s="110">
        <f t="shared" si="4"/>
        <v>0.25523288562647667</v>
      </c>
    </row>
    <row r="35" spans="1:11" s="1" customFormat="1" ht="13.5" customHeight="1" x14ac:dyDescent="0.2">
      <c r="A35" s="109" t="s">
        <v>94</v>
      </c>
      <c r="B35" s="73"/>
      <c r="C35" s="34"/>
      <c r="D35" s="34">
        <f>D30+D33</f>
        <v>537.15059999999994</v>
      </c>
      <c r="E35" s="72"/>
      <c r="F35" s="34"/>
      <c r="G35" s="34">
        <f>G30+G33</f>
        <v>597.26060000000007</v>
      </c>
      <c r="H35" s="34">
        <f t="shared" si="1"/>
        <v>60.110000000000127</v>
      </c>
      <c r="I35" s="35">
        <f t="shared" si="2"/>
        <v>0.11190530179059678</v>
      </c>
      <c r="J35" s="35">
        <f t="shared" si="9"/>
        <v>0.23911191108589722</v>
      </c>
      <c r="K35" s="110">
        <f t="shared" si="4"/>
        <v>0.25217166670085545</v>
      </c>
    </row>
    <row r="36" spans="1:11" x14ac:dyDescent="0.2">
      <c r="A36" s="106" t="s">
        <v>42</v>
      </c>
      <c r="B36" s="72">
        <f>B8</f>
        <v>15855</v>
      </c>
      <c r="C36" s="33">
        <v>3.5999999999999999E-3</v>
      </c>
      <c r="D36" s="21">
        <f>B36*C36</f>
        <v>57.077999999999996</v>
      </c>
      <c r="E36" s="72">
        <f t="shared" si="6"/>
        <v>15855</v>
      </c>
      <c r="F36" s="33">
        <v>3.5999999999999999E-3</v>
      </c>
      <c r="G36" s="21">
        <f>E36*F36</f>
        <v>57.077999999999996</v>
      </c>
      <c r="H36" s="21">
        <f t="shared" si="1"/>
        <v>0</v>
      </c>
      <c r="I36" s="22">
        <f t="shared" si="2"/>
        <v>0</v>
      </c>
      <c r="J36" s="22">
        <f t="shared" si="9"/>
        <v>2.2851046362276094E-2</v>
      </c>
      <c r="K36" s="107">
        <f t="shared" si="4"/>
        <v>2.4099119198472872E-2</v>
      </c>
    </row>
    <row r="37" spans="1:11" x14ac:dyDescent="0.2">
      <c r="A37" s="106" t="s">
        <v>43</v>
      </c>
      <c r="B37" s="72">
        <f>B8</f>
        <v>15855</v>
      </c>
      <c r="C37" s="33">
        <v>2.0999999999999999E-3</v>
      </c>
      <c r="D37" s="21">
        <f>B37*C37</f>
        <v>33.295499999999997</v>
      </c>
      <c r="E37" s="72">
        <f t="shared" si="6"/>
        <v>15855</v>
      </c>
      <c r="F37" s="33">
        <v>2.0999999999999999E-3</v>
      </c>
      <c r="G37" s="21">
        <f>E37*F37</f>
        <v>33.295499999999997</v>
      </c>
      <c r="H37" s="21">
        <f>G37-D37</f>
        <v>0</v>
      </c>
      <c r="I37" s="22">
        <f t="shared" si="2"/>
        <v>0</v>
      </c>
      <c r="J37" s="22">
        <f t="shared" si="9"/>
        <v>1.3329777044661055E-2</v>
      </c>
      <c r="K37" s="107">
        <f t="shared" si="4"/>
        <v>1.4057819532442508E-2</v>
      </c>
    </row>
    <row r="38" spans="1:11" x14ac:dyDescent="0.2">
      <c r="A38" s="106" t="s">
        <v>99</v>
      </c>
      <c r="B38" s="72">
        <f>B8</f>
        <v>15855</v>
      </c>
      <c r="C38" s="33">
        <v>0</v>
      </c>
      <c r="D38" s="21">
        <f>B38*C38</f>
        <v>0</v>
      </c>
      <c r="E38" s="72">
        <f t="shared" si="6"/>
        <v>15855</v>
      </c>
      <c r="F38" s="33">
        <v>0</v>
      </c>
      <c r="G38" s="21">
        <f>E38*F38</f>
        <v>0</v>
      </c>
      <c r="H38" s="21">
        <f>G38-D38</f>
        <v>0</v>
      </c>
      <c r="I38" s="22" t="str">
        <f t="shared" si="2"/>
        <v>N/A</v>
      </c>
      <c r="J38" s="22">
        <f t="shared" si="9"/>
        <v>0</v>
      </c>
      <c r="K38" s="107">
        <f t="shared" si="4"/>
        <v>0</v>
      </c>
    </row>
    <row r="39" spans="1:11" x14ac:dyDescent="0.2">
      <c r="A39" s="106" t="s">
        <v>44</v>
      </c>
      <c r="B39" s="72">
        <v>1</v>
      </c>
      <c r="C39" s="21">
        <v>0.25</v>
      </c>
      <c r="D39" s="21">
        <f>B39*C39</f>
        <v>0.25</v>
      </c>
      <c r="E39" s="72">
        <f t="shared" si="6"/>
        <v>1</v>
      </c>
      <c r="F39" s="21">
        <f>C39</f>
        <v>0.25</v>
      </c>
      <c r="G39" s="21">
        <f>E39*F39</f>
        <v>0.25</v>
      </c>
      <c r="H39" s="21">
        <f t="shared" si="1"/>
        <v>0</v>
      </c>
      <c r="I39" s="22">
        <f t="shared" si="2"/>
        <v>0</v>
      </c>
      <c r="J39" s="22">
        <f t="shared" si="9"/>
        <v>1.0008692649653149E-4</v>
      </c>
      <c r="K39" s="107">
        <f t="shared" si="4"/>
        <v>1.0555344965868142E-4</v>
      </c>
    </row>
    <row r="40" spans="1:11" s="1" customFormat="1" x14ac:dyDescent="0.2">
      <c r="A40" s="109" t="s">
        <v>45</v>
      </c>
      <c r="B40" s="73"/>
      <c r="C40" s="34"/>
      <c r="D40" s="34">
        <f>SUM(D36:D39)</f>
        <v>90.623499999999993</v>
      </c>
      <c r="E40" s="72"/>
      <c r="F40" s="34"/>
      <c r="G40" s="34">
        <f>SUM(G36:G39)</f>
        <v>90.623499999999993</v>
      </c>
      <c r="H40" s="34">
        <f t="shared" si="1"/>
        <v>0</v>
      </c>
      <c r="I40" s="35">
        <f t="shared" si="2"/>
        <v>0</v>
      </c>
      <c r="J40" s="35">
        <f t="shared" si="9"/>
        <v>3.6280910333433683E-2</v>
      </c>
      <c r="K40" s="110">
        <f t="shared" si="4"/>
        <v>3.8262492180574058E-2</v>
      </c>
    </row>
    <row r="41" spans="1:11" s="1" customFormat="1" ht="13.5" thickBot="1" x14ac:dyDescent="0.25">
      <c r="A41" s="111" t="s">
        <v>46</v>
      </c>
      <c r="B41" s="112">
        <f>B4</f>
        <v>15000</v>
      </c>
      <c r="C41" s="113">
        <v>7.0000000000000001E-3</v>
      </c>
      <c r="D41" s="114">
        <f>B41*C41</f>
        <v>105</v>
      </c>
      <c r="E41" s="115">
        <f t="shared" si="6"/>
        <v>15000</v>
      </c>
      <c r="F41" s="113">
        <f>C41</f>
        <v>7.0000000000000001E-3</v>
      </c>
      <c r="G41" s="114">
        <f>E41*F41</f>
        <v>105</v>
      </c>
      <c r="H41" s="114">
        <f t="shared" si="1"/>
        <v>0</v>
      </c>
      <c r="I41" s="116">
        <f t="shared" si="2"/>
        <v>0</v>
      </c>
      <c r="J41" s="116">
        <f t="shared" si="9"/>
        <v>4.2036509128543224E-2</v>
      </c>
      <c r="K41" s="117">
        <f t="shared" si="4"/>
        <v>4.4332448856646195E-2</v>
      </c>
    </row>
    <row r="42" spans="1:11" s="1" customFormat="1" x14ac:dyDescent="0.2">
      <c r="A42" s="36" t="s">
        <v>107</v>
      </c>
      <c r="B42" s="37"/>
      <c r="C42" s="38"/>
      <c r="D42" s="38">
        <f>SUM(D14,D25,D26,D27,D33,D40,D41)</f>
        <v>2318.7745</v>
      </c>
      <c r="E42" s="37"/>
      <c r="F42" s="38"/>
      <c r="G42" s="38">
        <f>SUM(G14,G25,G26,G27,G33,G40,G41)</f>
        <v>2378.8845000000001</v>
      </c>
      <c r="H42" s="38">
        <f t="shared" si="1"/>
        <v>60.110000000000127</v>
      </c>
      <c r="I42" s="39">
        <f t="shared" si="2"/>
        <v>2.5923176229512672E-2</v>
      </c>
      <c r="J42" s="39">
        <f t="shared" si="9"/>
        <v>0.95238095238095233</v>
      </c>
      <c r="K42" s="40"/>
    </row>
    <row r="43" spans="1:11" x14ac:dyDescent="0.2">
      <c r="A43" s="142" t="s">
        <v>108</v>
      </c>
      <c r="B43" s="42"/>
      <c r="C43" s="25">
        <v>0.13</v>
      </c>
      <c r="D43" s="25">
        <f>D42*C43</f>
        <v>301.44068500000003</v>
      </c>
      <c r="E43" s="25"/>
      <c r="F43" s="25">
        <f>C43</f>
        <v>0.13</v>
      </c>
      <c r="G43" s="25">
        <f>G42*F43</f>
        <v>309.25498500000003</v>
      </c>
      <c r="H43" s="25">
        <f t="shared" si="1"/>
        <v>7.8143000000000029</v>
      </c>
      <c r="I43" s="43">
        <f t="shared" si="2"/>
        <v>2.5923176229512623E-2</v>
      </c>
      <c r="J43" s="43">
        <f t="shared" si="9"/>
        <v>0.12380952380952381</v>
      </c>
      <c r="K43" s="44"/>
    </row>
    <row r="44" spans="1:11" s="1" customFormat="1" x14ac:dyDescent="0.2">
      <c r="A44" s="45" t="s">
        <v>109</v>
      </c>
      <c r="B44" s="23"/>
      <c r="C44" s="24"/>
      <c r="D44" s="24">
        <f>SUM(D42:D43)</f>
        <v>2620.215185</v>
      </c>
      <c r="E44" s="24"/>
      <c r="F44" s="24"/>
      <c r="G44" s="24">
        <f>SUM(G42:G43)</f>
        <v>2688.1394850000001</v>
      </c>
      <c r="H44" s="24">
        <f t="shared" si="1"/>
        <v>67.92430000000013</v>
      </c>
      <c r="I44" s="26">
        <f t="shared" si="2"/>
        <v>2.5923176229512665E-2</v>
      </c>
      <c r="J44" s="26">
        <f t="shared" si="9"/>
        <v>1.0761904761904761</v>
      </c>
      <c r="K44" s="46"/>
    </row>
    <row r="45" spans="1:11" x14ac:dyDescent="0.2">
      <c r="A45" s="41" t="s">
        <v>110</v>
      </c>
      <c r="B45" s="42"/>
      <c r="C45" s="25">
        <v>-0.08</v>
      </c>
      <c r="D45" s="25">
        <f>D42*C45</f>
        <v>-185.50196</v>
      </c>
      <c r="E45" s="25"/>
      <c r="F45" s="25">
        <f>C45</f>
        <v>-0.08</v>
      </c>
      <c r="G45" s="25">
        <f>G42*F45</f>
        <v>-190.31076000000002</v>
      </c>
      <c r="H45" s="25">
        <f t="shared" si="1"/>
        <v>-4.8088000000000193</v>
      </c>
      <c r="I45" s="43">
        <f t="shared" si="2"/>
        <v>-2.592317622951272E-2</v>
      </c>
      <c r="J45" s="43">
        <f t="shared" si="9"/>
        <v>-7.6190476190476183E-2</v>
      </c>
      <c r="K45" s="44"/>
    </row>
    <row r="46" spans="1:11" s="1" customFormat="1" ht="13.5" thickBot="1" x14ac:dyDescent="0.25">
      <c r="A46" s="47" t="s">
        <v>111</v>
      </c>
      <c r="B46" s="48"/>
      <c r="C46" s="49"/>
      <c r="D46" s="49">
        <f>SUM(D44:D45)</f>
        <v>2434.713225</v>
      </c>
      <c r="E46" s="49"/>
      <c r="F46" s="49"/>
      <c r="G46" s="49">
        <f>SUM(G44:G45)</f>
        <v>2497.8287250000003</v>
      </c>
      <c r="H46" s="49">
        <f t="shared" si="1"/>
        <v>63.115500000000338</v>
      </c>
      <c r="I46" s="50">
        <f t="shared" si="2"/>
        <v>2.5923176229512755E-2</v>
      </c>
      <c r="J46" s="50">
        <f t="shared" si="9"/>
        <v>1</v>
      </c>
      <c r="K46" s="51"/>
    </row>
    <row r="47" spans="1:11" x14ac:dyDescent="0.2">
      <c r="A47" s="52" t="s">
        <v>112</v>
      </c>
      <c r="B47" s="53"/>
      <c r="C47" s="54"/>
      <c r="D47" s="54">
        <f>SUM(D18,D25,D26,D28,D33,D40,D41)</f>
        <v>2195.5741000000003</v>
      </c>
      <c r="E47" s="54"/>
      <c r="F47" s="54"/>
      <c r="G47" s="54">
        <f>SUM(G18,G25,G26,G28,G33,G40,G41)</f>
        <v>2255.6840999999999</v>
      </c>
      <c r="H47" s="54">
        <f>G47-D47</f>
        <v>60.109999999999673</v>
      </c>
      <c r="I47" s="55">
        <f t="shared" si="2"/>
        <v>2.7377805194550103E-2</v>
      </c>
      <c r="J47" s="55"/>
      <c r="K47" s="56">
        <f>G47/$G$51</f>
        <v>0.95238095238095244</v>
      </c>
    </row>
    <row r="48" spans="1:11" x14ac:dyDescent="0.2">
      <c r="A48" s="57" t="s">
        <v>108</v>
      </c>
      <c r="B48" s="58"/>
      <c r="C48" s="30">
        <v>0.13</v>
      </c>
      <c r="D48" s="30">
        <f>D47*C48</f>
        <v>285.42463300000003</v>
      </c>
      <c r="E48" s="30"/>
      <c r="F48" s="30">
        <f>C48</f>
        <v>0.13</v>
      </c>
      <c r="G48" s="30">
        <f>G47*F48</f>
        <v>293.23893299999997</v>
      </c>
      <c r="H48" s="30">
        <f>G48-D48</f>
        <v>7.8142999999999461</v>
      </c>
      <c r="I48" s="31">
        <f t="shared" si="2"/>
        <v>2.7377805194550062E-2</v>
      </c>
      <c r="J48" s="31"/>
      <c r="K48" s="59">
        <f>G48/$G$51</f>
        <v>0.1238095238095238</v>
      </c>
    </row>
    <row r="49" spans="1:11" x14ac:dyDescent="0.2">
      <c r="A49" s="135" t="s">
        <v>113</v>
      </c>
      <c r="B49" s="28"/>
      <c r="C49" s="29"/>
      <c r="D49" s="29">
        <f>SUM(D47:D48)</f>
        <v>2480.9987330000004</v>
      </c>
      <c r="E49" s="29"/>
      <c r="F49" s="29"/>
      <c r="G49" s="29">
        <f>SUM(G47:G48)</f>
        <v>2548.923033</v>
      </c>
      <c r="H49" s="29">
        <f>G49-D49</f>
        <v>67.924299999999675</v>
      </c>
      <c r="I49" s="32">
        <f t="shared" si="2"/>
        <v>2.7377805194550121E-2</v>
      </c>
      <c r="J49" s="32"/>
      <c r="K49" s="61">
        <f>G49/$G$51</f>
        <v>1.0761904761904764</v>
      </c>
    </row>
    <row r="50" spans="1:11" x14ac:dyDescent="0.2">
      <c r="A50" s="57" t="s">
        <v>110</v>
      </c>
      <c r="B50" s="58"/>
      <c r="C50" s="30">
        <v>-0.08</v>
      </c>
      <c r="D50" s="30">
        <f>D47*C50</f>
        <v>-175.64592800000003</v>
      </c>
      <c r="E50" s="30"/>
      <c r="F50" s="30">
        <f>C50</f>
        <v>-0.08</v>
      </c>
      <c r="G50" s="30">
        <f>G47*F50</f>
        <v>-180.45472799999999</v>
      </c>
      <c r="H50" s="30">
        <f>G50-D50</f>
        <v>-4.8087999999999624</v>
      </c>
      <c r="I50" s="31">
        <f t="shared" si="2"/>
        <v>-2.7377805194550037E-2</v>
      </c>
      <c r="J50" s="31"/>
      <c r="K50" s="59">
        <f>G50/$G$51</f>
        <v>-7.6190476190476183E-2</v>
      </c>
    </row>
    <row r="51" spans="1:11" ht="13.5" thickBot="1" x14ac:dyDescent="0.25">
      <c r="A51" s="62" t="s">
        <v>114</v>
      </c>
      <c r="B51" s="63"/>
      <c r="C51" s="64"/>
      <c r="D51" s="64">
        <f>SUM(D49:D50)</f>
        <v>2305.3528050000004</v>
      </c>
      <c r="E51" s="64"/>
      <c r="F51" s="64"/>
      <c r="G51" s="64">
        <f>SUM(G49:G50)</f>
        <v>2368.4683049999999</v>
      </c>
      <c r="H51" s="64">
        <f>G51-D51</f>
        <v>63.115499999999429</v>
      </c>
      <c r="I51" s="65">
        <f t="shared" si="2"/>
        <v>2.7377805194550003E-2</v>
      </c>
      <c r="J51" s="65"/>
      <c r="K51" s="66">
        <f>G51/$G$51</f>
        <v>1</v>
      </c>
    </row>
    <row r="52" spans="1:11" x14ac:dyDescent="0.2">
      <c r="C52" s="67"/>
      <c r="F52" s="68"/>
    </row>
    <row r="53" spans="1:11" x14ac:dyDescent="0.2">
      <c r="F53" s="68"/>
    </row>
    <row r="54" spans="1:11" x14ac:dyDescent="0.2">
      <c r="F54" s="68"/>
    </row>
    <row r="55" spans="1:11" x14ac:dyDescent="0.2">
      <c r="A55" s="69"/>
      <c r="B55" s="70"/>
      <c r="F55" s="68"/>
    </row>
    <row r="56" spans="1:11" x14ac:dyDescent="0.2">
      <c r="B56" s="70"/>
      <c r="F56" s="68"/>
    </row>
    <row r="57" spans="1:11" x14ac:dyDescent="0.2">
      <c r="F57" s="68"/>
    </row>
    <row r="58" spans="1:11" x14ac:dyDescent="0.2">
      <c r="D58" s="71"/>
      <c r="F58" s="68"/>
    </row>
    <row r="59" spans="1:11" x14ac:dyDescent="0.2">
      <c r="F59" s="68"/>
    </row>
    <row r="60" spans="1:11" x14ac:dyDescent="0.2">
      <c r="A60" s="69"/>
      <c r="B60" s="70"/>
      <c r="F60" s="68"/>
    </row>
    <row r="61" spans="1:11" x14ac:dyDescent="0.2">
      <c r="B61" s="71"/>
      <c r="D61" s="71"/>
      <c r="F61" s="68"/>
    </row>
    <row r="62" spans="1:11" x14ac:dyDescent="0.2">
      <c r="F62" s="68"/>
    </row>
    <row r="63" spans="1:11" x14ac:dyDescent="0.2">
      <c r="F63" s="68"/>
    </row>
    <row r="64" spans="1:11" x14ac:dyDescent="0.2">
      <c r="F64" s="68"/>
    </row>
    <row r="65" spans="6:6" x14ac:dyDescent="0.2">
      <c r="F65" s="68"/>
    </row>
    <row r="66" spans="6:6" x14ac:dyDescent="0.2">
      <c r="F66" s="68"/>
    </row>
    <row r="67" spans="6:6" x14ac:dyDescent="0.2">
      <c r="F67" s="68"/>
    </row>
    <row r="68" spans="6:6" x14ac:dyDescent="0.2">
      <c r="F68" s="68"/>
    </row>
  </sheetData>
  <mergeCells count="1">
    <mergeCell ref="A1:K1"/>
  </mergeCells>
  <pageMargins left="0.7" right="0.7" top="0.75" bottom="0.75" header="0.3" footer="0.3"/>
  <pageSetup scale="76"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Impacts'!$A$3:$A$21</xm:f>
          </x14:formula1>
          <xm:sqref>B3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3">
    <tabColor theme="1" tint="0.499984740745262"/>
    <pageSetUpPr fitToPage="1"/>
  </sheetPr>
  <dimension ref="A1:K68"/>
  <sheetViews>
    <sheetView tabSelected="1" topLeftCell="A31" zoomScale="110" zoomScaleNormal="110" zoomScaleSheetLayoutView="9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3"/>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205" t="s">
        <v>127</v>
      </c>
      <c r="B1" s="206"/>
      <c r="C1" s="206"/>
      <c r="D1" s="206"/>
      <c r="E1" s="206"/>
      <c r="F1" s="206"/>
      <c r="G1" s="206"/>
      <c r="H1" s="206"/>
      <c r="I1" s="206"/>
      <c r="J1" s="206"/>
      <c r="K1" s="207"/>
    </row>
    <row r="3" spans="1:11" x14ac:dyDescent="0.2">
      <c r="A3" s="12" t="s">
        <v>13</v>
      </c>
      <c r="B3" s="12" t="s">
        <v>0</v>
      </c>
    </row>
    <row r="4" spans="1:11" x14ac:dyDescent="0.2">
      <c r="A4" s="14" t="s">
        <v>62</v>
      </c>
      <c r="B4" s="78">
        <f>'Data for Bill Impacts_HONI Avg '!C3</f>
        <v>755</v>
      </c>
    </row>
    <row r="5" spans="1:11" x14ac:dyDescent="0.2">
      <c r="A5" s="14" t="s">
        <v>16</v>
      </c>
      <c r="B5" s="14">
        <f>VLOOKUP($B$3,'Data for Bill Impacts'!$A$3:$Y$15,5,0)</f>
        <v>0</v>
      </c>
    </row>
    <row r="6" spans="1:11" x14ac:dyDescent="0.2">
      <c r="A6" s="14" t="s">
        <v>20</v>
      </c>
      <c r="B6" s="14">
        <f>VLOOKUP($B$3,'Data for Bill Impacts'!$A$3:$Y$15,2,0)</f>
        <v>1.0569999999999999</v>
      </c>
    </row>
    <row r="7" spans="1:11" x14ac:dyDescent="0.2">
      <c r="A7" s="14" t="s">
        <v>15</v>
      </c>
      <c r="B7" s="14">
        <f>VLOOKUP($B$3,'Data for Bill Impacts'!$A$3:$Y$15,4,0)</f>
        <v>600</v>
      </c>
    </row>
    <row r="8" spans="1:11" x14ac:dyDescent="0.2">
      <c r="A8" s="14" t="s">
        <v>82</v>
      </c>
      <c r="B8" s="148">
        <f>B4*B6</f>
        <v>798.03499999999997</v>
      </c>
    </row>
    <row r="9" spans="1:11" x14ac:dyDescent="0.2">
      <c r="A9" s="14" t="s">
        <v>21</v>
      </c>
      <c r="B9" s="15" t="str">
        <f>VLOOKUP($B$3,'Data for Bill Impacts'!$A$3:$Y$15,6,0)</f>
        <v>kWh</v>
      </c>
    </row>
    <row r="10" spans="1:11" ht="13.5" thickBot="1" x14ac:dyDescent="0.25"/>
    <row r="11" spans="1:11" s="19" customFormat="1" ht="39" thickBot="1" x14ac:dyDescent="0.25">
      <c r="A11" s="16"/>
      <c r="B11" s="17" t="s">
        <v>22</v>
      </c>
      <c r="C11" s="17" t="s">
        <v>23</v>
      </c>
      <c r="D11" s="17" t="s">
        <v>24</v>
      </c>
      <c r="E11" s="17" t="s">
        <v>22</v>
      </c>
      <c r="F11" s="17" t="s">
        <v>25</v>
      </c>
      <c r="G11" s="17" t="s">
        <v>26</v>
      </c>
      <c r="H11" s="17" t="s">
        <v>27</v>
      </c>
      <c r="I11" s="17" t="s">
        <v>28</v>
      </c>
      <c r="J11" s="17" t="s">
        <v>29</v>
      </c>
      <c r="K11" s="18" t="s">
        <v>30</v>
      </c>
    </row>
    <row r="12" spans="1:11" x14ac:dyDescent="0.2">
      <c r="A12" s="100" t="s">
        <v>31</v>
      </c>
      <c r="B12" s="101">
        <f>IF(B4&gt;B7,B7,B4)</f>
        <v>600</v>
      </c>
      <c r="C12" s="102">
        <v>9.0999999999999998E-2</v>
      </c>
      <c r="D12" s="103">
        <f>B12*C12</f>
        <v>54.6</v>
      </c>
      <c r="E12" s="101">
        <f>B12</f>
        <v>600</v>
      </c>
      <c r="F12" s="102">
        <f>C12</f>
        <v>9.0999999999999998E-2</v>
      </c>
      <c r="G12" s="103">
        <f>E12*F12</f>
        <v>54.6</v>
      </c>
      <c r="H12" s="103">
        <f>G12-D12</f>
        <v>0</v>
      </c>
      <c r="I12" s="104">
        <f>IF(ISERROR(H12/ABS(D12)),"N/A",(H12/ABS(D12)))</f>
        <v>0</v>
      </c>
      <c r="J12" s="104">
        <f>G12/$G$46</f>
        <v>0.40076252932314888</v>
      </c>
      <c r="K12" s="105"/>
    </row>
    <row r="13" spans="1:11" x14ac:dyDescent="0.2">
      <c r="A13" s="106" t="s">
        <v>32</v>
      </c>
      <c r="B13" s="72">
        <f>IF(B4&gt;B7,(B4)-B7,0)</f>
        <v>155</v>
      </c>
      <c r="C13" s="20">
        <v>0.106</v>
      </c>
      <c r="D13" s="21">
        <f>B13*C13</f>
        <v>16.43</v>
      </c>
      <c r="E13" s="72">
        <f t="shared" ref="E13" si="0">B13</f>
        <v>155</v>
      </c>
      <c r="F13" s="20">
        <f>C13</f>
        <v>0.106</v>
      </c>
      <c r="G13" s="21">
        <f>E13*F13</f>
        <v>16.43</v>
      </c>
      <c r="H13" s="21">
        <f t="shared" ref="H13:H46" si="1">G13-D13</f>
        <v>0</v>
      </c>
      <c r="I13" s="22">
        <f t="shared" ref="I13:I51" si="2">IF(ISERROR(H13/ABS(D13)),"N/A",(H13/ABS(D13)))</f>
        <v>0</v>
      </c>
      <c r="J13" s="22">
        <f>G13/$G$46</f>
        <v>0.12059575745017098</v>
      </c>
      <c r="K13" s="107"/>
    </row>
    <row r="14" spans="1:11" s="1" customFormat="1" x14ac:dyDescent="0.2">
      <c r="A14" s="45" t="s">
        <v>33</v>
      </c>
      <c r="B14" s="23"/>
      <c r="C14" s="24"/>
      <c r="D14" s="24">
        <f>SUM(D12:D13)</f>
        <v>71.03</v>
      </c>
      <c r="E14" s="75"/>
      <c r="F14" s="24"/>
      <c r="G14" s="24">
        <f>SUM(G12:G13)</f>
        <v>71.03</v>
      </c>
      <c r="H14" s="24">
        <f t="shared" si="1"/>
        <v>0</v>
      </c>
      <c r="I14" s="26">
        <f t="shared" si="2"/>
        <v>0</v>
      </c>
      <c r="J14" s="26">
        <f>G14/$G$46</f>
        <v>0.52135828677331986</v>
      </c>
      <c r="K14" s="107"/>
    </row>
    <row r="15" spans="1:11" s="1" customFormat="1" x14ac:dyDescent="0.2">
      <c r="A15" s="108" t="s">
        <v>34</v>
      </c>
      <c r="B15" s="74">
        <f>B4*0.65</f>
        <v>490.75</v>
      </c>
      <c r="C15" s="27">
        <v>7.6999999999999999E-2</v>
      </c>
      <c r="D15" s="21">
        <f>B15*C15</f>
        <v>37.787750000000003</v>
      </c>
      <c r="E15" s="72">
        <f t="shared" ref="E15:F17" si="3">B15</f>
        <v>490.75</v>
      </c>
      <c r="F15" s="27">
        <f t="shared" si="3"/>
        <v>7.6999999999999999E-2</v>
      </c>
      <c r="G15" s="21">
        <f>E15*F15</f>
        <v>37.787750000000003</v>
      </c>
      <c r="H15" s="21">
        <f t="shared" si="1"/>
        <v>0</v>
      </c>
      <c r="I15" s="22">
        <f t="shared" si="2"/>
        <v>0</v>
      </c>
      <c r="J15" s="22"/>
      <c r="K15" s="107">
        <f t="shared" ref="K15:K26" si="4">G15/$G$51</f>
        <v>0.27266922809156879</v>
      </c>
    </row>
    <row r="16" spans="1:11" s="1" customFormat="1" x14ac:dyDescent="0.2">
      <c r="A16" s="108" t="s">
        <v>35</v>
      </c>
      <c r="B16" s="74">
        <f>B4*0.17</f>
        <v>128.35000000000002</v>
      </c>
      <c r="C16" s="27">
        <v>0.113</v>
      </c>
      <c r="D16" s="21">
        <f>B16*C16</f>
        <v>14.503550000000002</v>
      </c>
      <c r="E16" s="72">
        <f t="shared" si="3"/>
        <v>128.35000000000002</v>
      </c>
      <c r="F16" s="27">
        <f t="shared" si="3"/>
        <v>0.113</v>
      </c>
      <c r="G16" s="21">
        <f>E16*F16</f>
        <v>14.503550000000002</v>
      </c>
      <c r="H16" s="21">
        <f t="shared" si="1"/>
        <v>0</v>
      </c>
      <c r="I16" s="22">
        <f t="shared" si="2"/>
        <v>0</v>
      </c>
      <c r="J16" s="22"/>
      <c r="K16" s="107">
        <f t="shared" si="4"/>
        <v>0.10465486257021055</v>
      </c>
    </row>
    <row r="17" spans="1:11" s="1" customFormat="1" x14ac:dyDescent="0.2">
      <c r="A17" s="108" t="s">
        <v>36</v>
      </c>
      <c r="B17" s="74">
        <f>B4*0.18</f>
        <v>135.9</v>
      </c>
      <c r="C17" s="27">
        <v>0.157</v>
      </c>
      <c r="D17" s="21">
        <f>B17*C17</f>
        <v>21.336300000000001</v>
      </c>
      <c r="E17" s="72">
        <f t="shared" si="3"/>
        <v>135.9</v>
      </c>
      <c r="F17" s="27">
        <f t="shared" si="3"/>
        <v>0.157</v>
      </c>
      <c r="G17" s="21">
        <f>E17*F17</f>
        <v>21.336300000000001</v>
      </c>
      <c r="H17" s="21">
        <f t="shared" si="1"/>
        <v>0</v>
      </c>
      <c r="I17" s="22">
        <f t="shared" si="2"/>
        <v>0</v>
      </c>
      <c r="J17" s="22"/>
      <c r="K17" s="107">
        <f t="shared" si="4"/>
        <v>0.15395868902832638</v>
      </c>
    </row>
    <row r="18" spans="1:11" s="1" customFormat="1" x14ac:dyDescent="0.2">
      <c r="A18" s="60" t="s">
        <v>37</v>
      </c>
      <c r="B18" s="28"/>
      <c r="C18" s="29"/>
      <c r="D18" s="29">
        <f>SUM(D15:D17)</f>
        <v>73.627600000000001</v>
      </c>
      <c r="E18" s="76"/>
      <c r="F18" s="29"/>
      <c r="G18" s="29">
        <f>SUM(G15:G17)</f>
        <v>73.627600000000001</v>
      </c>
      <c r="H18" s="30">
        <f t="shared" si="1"/>
        <v>0</v>
      </c>
      <c r="I18" s="31">
        <f t="shared" si="2"/>
        <v>0</v>
      </c>
      <c r="J18" s="32">
        <f t="shared" ref="J18:J23" si="5">G18/$G$46</f>
        <v>0.54042460080573396</v>
      </c>
      <c r="K18" s="61">
        <f t="shared" si="4"/>
        <v>0.53128277969010573</v>
      </c>
    </row>
    <row r="19" spans="1:11" x14ac:dyDescent="0.2">
      <c r="A19" s="106" t="s">
        <v>38</v>
      </c>
      <c r="B19" s="72">
        <v>1</v>
      </c>
      <c r="C19" s="77">
        <f>VLOOKUP($B$3,'Data for Bill Impacts'!$A$3:$Y$15,7,0)</f>
        <v>36.67</v>
      </c>
      <c r="D19" s="21">
        <f>B19*C19</f>
        <v>36.67</v>
      </c>
      <c r="E19" s="72">
        <f t="shared" ref="E19:E41" si="6">B19</f>
        <v>1</v>
      </c>
      <c r="F19" s="77">
        <f>VLOOKUP($B$3,'Data for Bill Impacts'!$A$3:$Y$15,17,0)</f>
        <v>37.369999999999997</v>
      </c>
      <c r="G19" s="21">
        <f>E19*F19</f>
        <v>37.369999999999997</v>
      </c>
      <c r="H19" s="21">
        <f t="shared" si="1"/>
        <v>0.69999999999999574</v>
      </c>
      <c r="I19" s="22">
        <f t="shared" si="2"/>
        <v>1.9089173711480657E-2</v>
      </c>
      <c r="J19" s="22">
        <f t="shared" si="5"/>
        <v>0.2742947934213566</v>
      </c>
      <c r="K19" s="107">
        <f t="shared" si="4"/>
        <v>0.26965482342245634</v>
      </c>
    </row>
    <row r="20" spans="1:11" hidden="1" x14ac:dyDescent="0.2">
      <c r="A20" s="106" t="s">
        <v>83</v>
      </c>
      <c r="B20" s="72">
        <v>1</v>
      </c>
      <c r="C20" s="77">
        <f>VLOOKUP($B$3,'Data for Bill Impacts'!$A$3:$Y$15,8,0)</f>
        <v>0</v>
      </c>
      <c r="D20" s="21">
        <f>B20*C20</f>
        <v>0</v>
      </c>
      <c r="E20" s="72">
        <f t="shared" si="6"/>
        <v>1</v>
      </c>
      <c r="F20" s="77">
        <v>0</v>
      </c>
      <c r="G20" s="21">
        <f t="shared" ref="G20:G22" si="7">E20*F20</f>
        <v>0</v>
      </c>
      <c r="H20" s="21">
        <f t="shared" si="1"/>
        <v>0</v>
      </c>
      <c r="I20" s="22" t="str">
        <f t="shared" si="2"/>
        <v>N/A</v>
      </c>
      <c r="J20" s="22">
        <f t="shared" si="5"/>
        <v>0</v>
      </c>
      <c r="K20" s="107">
        <f t="shared" si="4"/>
        <v>0</v>
      </c>
    </row>
    <row r="21" spans="1:11" hidden="1" x14ac:dyDescent="0.2">
      <c r="A21" s="106" t="s">
        <v>115</v>
      </c>
      <c r="B21" s="72">
        <v>1</v>
      </c>
      <c r="C21" s="77">
        <f>VLOOKUP($B$3,'Data for Bill Impacts'!$A$3:$Y$15,11,0)</f>
        <v>0</v>
      </c>
      <c r="D21" s="21">
        <f t="shared" ref="D21:D22" si="8">B21*C21</f>
        <v>0</v>
      </c>
      <c r="E21" s="72">
        <f t="shared" si="6"/>
        <v>1</v>
      </c>
      <c r="F21" s="120">
        <f>VLOOKUP($B$3,'Data for Bill Impacts'!$A$3:$Y$15,12,0)</f>
        <v>0</v>
      </c>
      <c r="G21" s="21">
        <f t="shared" si="7"/>
        <v>0</v>
      </c>
      <c r="H21" s="21">
        <f t="shared" si="1"/>
        <v>0</v>
      </c>
      <c r="I21" s="22" t="str">
        <f t="shared" si="2"/>
        <v>N/A</v>
      </c>
      <c r="J21" s="22">
        <f t="shared" si="5"/>
        <v>0</v>
      </c>
      <c r="K21" s="107">
        <f t="shared" si="4"/>
        <v>0</v>
      </c>
    </row>
    <row r="22" spans="1:11" x14ac:dyDescent="0.2">
      <c r="A22" s="106" t="s">
        <v>85</v>
      </c>
      <c r="B22" s="72">
        <v>1</v>
      </c>
      <c r="C22" s="120">
        <f>VLOOKUP($B$3,'Data for Bill Impacts'!$A$3:$Y$15,13,0)</f>
        <v>7.0000000000000001E-3</v>
      </c>
      <c r="D22" s="21">
        <f t="shared" si="8"/>
        <v>7.0000000000000001E-3</v>
      </c>
      <c r="E22" s="72">
        <f t="shared" si="6"/>
        <v>1</v>
      </c>
      <c r="F22" s="120">
        <f>VLOOKUP($B$3,'Data for Bill Impacts'!$A$3:$Y$15,22,0)</f>
        <v>7.0000000000000001E-3</v>
      </c>
      <c r="G22" s="21">
        <f t="shared" si="7"/>
        <v>7.0000000000000001E-3</v>
      </c>
      <c r="H22" s="21">
        <f t="shared" si="1"/>
        <v>0</v>
      </c>
      <c r="I22" s="22">
        <f t="shared" si="2"/>
        <v>0</v>
      </c>
      <c r="J22" s="22">
        <f t="shared" si="5"/>
        <v>5.1379811451685749E-5</v>
      </c>
      <c r="K22" s="107">
        <f t="shared" si="4"/>
        <v>5.0510670697275749E-5</v>
      </c>
    </row>
    <row r="23" spans="1:11" x14ac:dyDescent="0.2">
      <c r="A23" s="106" t="s">
        <v>39</v>
      </c>
      <c r="B23" s="72">
        <f>IF($B$9="kWh",$B$4,$B$5)</f>
        <v>755</v>
      </c>
      <c r="C23" s="124">
        <f>VLOOKUP($B$3,'Data for Bill Impacts'!$A$3:$Y$15,10,0)</f>
        <v>0</v>
      </c>
      <c r="D23" s="21">
        <f>B23*C23</f>
        <v>0</v>
      </c>
      <c r="E23" s="72">
        <f t="shared" si="6"/>
        <v>755</v>
      </c>
      <c r="F23" s="77">
        <f>VLOOKUP($B$3,'Data for Bill Impacts'!$A$3:$Y$15,19,0)</f>
        <v>0</v>
      </c>
      <c r="G23" s="21">
        <f>E23*F23</f>
        <v>0</v>
      </c>
      <c r="H23" s="21">
        <f t="shared" si="1"/>
        <v>0</v>
      </c>
      <c r="I23" s="22" t="str">
        <f t="shared" si="2"/>
        <v>N/A</v>
      </c>
      <c r="J23" s="22">
        <f t="shared" si="5"/>
        <v>0</v>
      </c>
      <c r="K23" s="107">
        <f t="shared" si="4"/>
        <v>0</v>
      </c>
    </row>
    <row r="24" spans="1:11" x14ac:dyDescent="0.2">
      <c r="A24" s="106" t="s">
        <v>129</v>
      </c>
      <c r="B24" s="72">
        <f>IF($B$9="kWh",$B$4,$B$5)</f>
        <v>755</v>
      </c>
      <c r="C24" s="124">
        <f>VLOOKUP($B$3,'Data for Bill Impacts'!$A$3:$Y$15,14,0)</f>
        <v>3.0000000000000004E-5</v>
      </c>
      <c r="D24" s="21">
        <f>B24*C24</f>
        <v>2.2650000000000003E-2</v>
      </c>
      <c r="E24" s="72">
        <f t="shared" si="6"/>
        <v>755</v>
      </c>
      <c r="F24" s="124">
        <f>VLOOKUP($B$3,'Data for Bill Impacts'!$A$3:$Y$15,23,0)</f>
        <v>3.0000000000000004E-5</v>
      </c>
      <c r="G24" s="21">
        <f>E24*F24</f>
        <v>2.2650000000000003E-2</v>
      </c>
      <c r="H24" s="21">
        <f t="shared" si="1"/>
        <v>0</v>
      </c>
      <c r="I24" s="22">
        <f t="shared" si="2"/>
        <v>0</v>
      </c>
      <c r="J24" s="22">
        <f t="shared" ref="J24" si="9">G24/$G$46</f>
        <v>1.6625038991152606E-4</v>
      </c>
      <c r="K24" s="107">
        <f t="shared" si="4"/>
        <v>1.6343809875618513E-4</v>
      </c>
    </row>
    <row r="25" spans="1:11" s="1" customFormat="1" x14ac:dyDescent="0.2">
      <c r="A25" s="109" t="s">
        <v>72</v>
      </c>
      <c r="B25" s="73"/>
      <c r="C25" s="34"/>
      <c r="D25" s="34">
        <f>SUM(D19:D24)</f>
        <v>36.699649999999998</v>
      </c>
      <c r="E25" s="72"/>
      <c r="F25" s="34"/>
      <c r="G25" s="34">
        <f>SUM(G19:G24)</f>
        <v>37.399649999999994</v>
      </c>
      <c r="H25" s="34">
        <f t="shared" si="1"/>
        <v>0.69999999999999574</v>
      </c>
      <c r="I25" s="35">
        <f t="shared" si="2"/>
        <v>1.9073751384549874E-2</v>
      </c>
      <c r="J25" s="35">
        <f>G25/$G$46</f>
        <v>0.27451242362271983</v>
      </c>
      <c r="K25" s="110">
        <f t="shared" si="4"/>
        <v>0.2698687721919098</v>
      </c>
    </row>
    <row r="26" spans="1:11" s="1" customFormat="1" x14ac:dyDescent="0.2">
      <c r="A26" s="118" t="s">
        <v>73</v>
      </c>
      <c r="B26" s="119">
        <v>1</v>
      </c>
      <c r="C26" s="77">
        <f>VLOOKUP($B$3,'Data for Bill Impacts'!$A$3:$Y$15,9,0)</f>
        <v>0.79</v>
      </c>
      <c r="D26" s="21">
        <f>B26*C26</f>
        <v>0.79</v>
      </c>
      <c r="E26" s="72">
        <v>1</v>
      </c>
      <c r="F26" s="77">
        <f>VLOOKUP($B$3,'Data for Bill Impacts'!$A$3:$Y$15,18,0)</f>
        <v>0.79</v>
      </c>
      <c r="G26" s="21">
        <f>E26*F26</f>
        <v>0.79</v>
      </c>
      <c r="H26" s="21">
        <f t="shared" si="1"/>
        <v>0</v>
      </c>
      <c r="I26" s="22">
        <f t="shared" si="2"/>
        <v>0</v>
      </c>
      <c r="J26" s="22">
        <f>G26/$G$46</f>
        <v>5.7985787209759634E-3</v>
      </c>
      <c r="K26" s="107">
        <f t="shared" si="4"/>
        <v>5.7004899786925484E-3</v>
      </c>
    </row>
    <row r="27" spans="1:11" s="1" customFormat="1" x14ac:dyDescent="0.2">
      <c r="A27" s="118" t="s">
        <v>75</v>
      </c>
      <c r="B27" s="119">
        <f>B8-B4</f>
        <v>43.034999999999968</v>
      </c>
      <c r="C27" s="186">
        <f>IF(B4&gt;B7,C13,C12)</f>
        <v>0.106</v>
      </c>
      <c r="D27" s="21">
        <f>B27*C27</f>
        <v>4.5617099999999962</v>
      </c>
      <c r="E27" s="72">
        <f>B27</f>
        <v>43.034999999999968</v>
      </c>
      <c r="F27" s="186">
        <f>C27</f>
        <v>0.106</v>
      </c>
      <c r="G27" s="21">
        <f>E27*F27</f>
        <v>4.5617099999999962</v>
      </c>
      <c r="H27" s="21">
        <f t="shared" si="1"/>
        <v>0</v>
      </c>
      <c r="I27" s="22">
        <f t="shared" si="2"/>
        <v>0</v>
      </c>
      <c r="J27" s="22">
        <f t="shared" ref="J27:J46" si="10">G27/$G$46</f>
        <v>3.3482828528181317E-2</v>
      </c>
      <c r="K27" s="107">
        <f t="shared" ref="K27:K41" si="11">G27/$G$51</f>
        <v>3.2916433089495649E-2</v>
      </c>
    </row>
    <row r="28" spans="1:11" s="1" customFormat="1" x14ac:dyDescent="0.2">
      <c r="A28" s="118" t="s">
        <v>74</v>
      </c>
      <c r="B28" s="119">
        <f>B8-B4</f>
        <v>43.034999999999968</v>
      </c>
      <c r="C28" s="186">
        <f>0.65*C15+0.17*C16+0.18*C17</f>
        <v>9.7519999999999996E-2</v>
      </c>
      <c r="D28" s="21">
        <f>B28*C28</f>
        <v>4.1967731999999964</v>
      </c>
      <c r="E28" s="72">
        <f>B28</f>
        <v>43.034999999999968</v>
      </c>
      <c r="F28" s="186">
        <f>C28</f>
        <v>9.7519999999999996E-2</v>
      </c>
      <c r="G28" s="21">
        <f>E28*F28</f>
        <v>4.1967731999999964</v>
      </c>
      <c r="H28" s="21">
        <f t="shared" si="1"/>
        <v>0</v>
      </c>
      <c r="I28" s="22">
        <f t="shared" si="2"/>
        <v>0</v>
      </c>
      <c r="J28" s="22">
        <f t="shared" si="10"/>
        <v>3.0804202245926809E-2</v>
      </c>
      <c r="K28" s="107">
        <f t="shared" si="11"/>
        <v>3.0283118442335999E-2</v>
      </c>
    </row>
    <row r="29" spans="1:11" s="1" customFormat="1" x14ac:dyDescent="0.2">
      <c r="A29" s="109" t="s">
        <v>78</v>
      </c>
      <c r="B29" s="73"/>
      <c r="C29" s="34"/>
      <c r="D29" s="34">
        <f>SUM(D25,D26:D27)</f>
        <v>42.051359999999995</v>
      </c>
      <c r="E29" s="72"/>
      <c r="F29" s="34"/>
      <c r="G29" s="34">
        <f>SUM(G25,G26:G27)</f>
        <v>42.751359999999991</v>
      </c>
      <c r="H29" s="34">
        <f t="shared" si="1"/>
        <v>0.69999999999999574</v>
      </c>
      <c r="I29" s="35">
        <f t="shared" si="2"/>
        <v>1.6646310606838775E-2</v>
      </c>
      <c r="J29" s="35">
        <f t="shared" si="10"/>
        <v>0.31379383087187707</v>
      </c>
      <c r="K29" s="110">
        <f t="shared" si="11"/>
        <v>0.308485695260098</v>
      </c>
    </row>
    <row r="30" spans="1:11" s="1" customFormat="1" x14ac:dyDescent="0.2">
      <c r="A30" s="109" t="s">
        <v>77</v>
      </c>
      <c r="B30" s="73"/>
      <c r="C30" s="34"/>
      <c r="D30" s="34">
        <f>SUM(D25,D26,D28)</f>
        <v>41.686423199999993</v>
      </c>
      <c r="E30" s="72"/>
      <c r="F30" s="34"/>
      <c r="G30" s="34">
        <f>SUM(G25,G26,G28)</f>
        <v>42.386423199999989</v>
      </c>
      <c r="H30" s="34">
        <f t="shared" si="1"/>
        <v>0.69999999999999574</v>
      </c>
      <c r="I30" s="35">
        <f t="shared" si="2"/>
        <v>1.6792037941024306E-2</v>
      </c>
      <c r="J30" s="35">
        <f t="shared" si="10"/>
        <v>0.31111520458962255</v>
      </c>
      <c r="K30" s="110">
        <f t="shared" si="11"/>
        <v>0.30585238061293835</v>
      </c>
    </row>
    <row r="31" spans="1:11" x14ac:dyDescent="0.2">
      <c r="A31" s="106" t="s">
        <v>40</v>
      </c>
      <c r="B31" s="72">
        <f>B8</f>
        <v>798.03499999999997</v>
      </c>
      <c r="C31" s="124">
        <f>VLOOKUP($B$3,'Data for Bill Impacts'!$A$3:$Y$15,15,0)</f>
        <v>7.7000000000000002E-3</v>
      </c>
      <c r="D31" s="21">
        <f>B31*C31</f>
        <v>6.1448694999999995</v>
      </c>
      <c r="E31" s="72">
        <f t="shared" si="6"/>
        <v>798.03499999999997</v>
      </c>
      <c r="F31" s="77">
        <f>VLOOKUP($B$3,'Data for Bill Impacts'!$A$3:$Y$15,24,0)</f>
        <v>7.7000000000000002E-3</v>
      </c>
      <c r="G31" s="21">
        <f>E31*F31</f>
        <v>6.1448694999999995</v>
      </c>
      <c r="H31" s="21">
        <f t="shared" si="1"/>
        <v>0</v>
      </c>
      <c r="I31" s="22">
        <f t="shared" si="2"/>
        <v>0</v>
      </c>
      <c r="J31" s="22">
        <f t="shared" si="10"/>
        <v>4.5103176615030639E-2</v>
      </c>
      <c r="K31" s="107">
        <f t="shared" si="11"/>
        <v>4.4340211398890494E-2</v>
      </c>
    </row>
    <row r="32" spans="1:11" x14ac:dyDescent="0.2">
      <c r="A32" s="106" t="s">
        <v>41</v>
      </c>
      <c r="B32" s="72">
        <f>B8</f>
        <v>798.03499999999997</v>
      </c>
      <c r="C32" s="124">
        <f>VLOOKUP($B$3,'Data for Bill Impacts'!$A$3:$Y$15,16,0)</f>
        <v>6.3E-3</v>
      </c>
      <c r="D32" s="21">
        <f>B32*C32</f>
        <v>5.0276205000000003</v>
      </c>
      <c r="E32" s="72">
        <f t="shared" si="6"/>
        <v>798.03499999999997</v>
      </c>
      <c r="F32" s="77">
        <f>VLOOKUP($B$3,'Data for Bill Impacts'!$A$3:$Y$15,25,0)</f>
        <v>6.3E-3</v>
      </c>
      <c r="G32" s="21">
        <f>E32*F32</f>
        <v>5.0276205000000003</v>
      </c>
      <c r="H32" s="21">
        <f t="shared" si="1"/>
        <v>0</v>
      </c>
      <c r="I32" s="22">
        <f t="shared" si="2"/>
        <v>0</v>
      </c>
      <c r="J32" s="22">
        <f t="shared" si="10"/>
        <v>3.6902599048661437E-2</v>
      </c>
      <c r="K32" s="107">
        <f t="shared" si="11"/>
        <v>3.6278354780910405E-2</v>
      </c>
    </row>
    <row r="33" spans="1:11" s="1" customFormat="1" x14ac:dyDescent="0.2">
      <c r="A33" s="109" t="s">
        <v>76</v>
      </c>
      <c r="B33" s="73"/>
      <c r="C33" s="34"/>
      <c r="D33" s="34">
        <f>SUM(D31:D32)</f>
        <v>11.17249</v>
      </c>
      <c r="E33" s="72"/>
      <c r="F33" s="34"/>
      <c r="G33" s="34">
        <f>SUM(G31:G32)</f>
        <v>11.17249</v>
      </c>
      <c r="H33" s="34">
        <f t="shared" si="1"/>
        <v>0</v>
      </c>
      <c r="I33" s="35">
        <f t="shared" si="2"/>
        <v>0</v>
      </c>
      <c r="J33" s="35">
        <f t="shared" si="10"/>
        <v>8.2005775663692076E-2</v>
      </c>
      <c r="K33" s="110">
        <f t="shared" si="11"/>
        <v>8.0618566179800899E-2</v>
      </c>
    </row>
    <row r="34" spans="1:11" s="1" customFormat="1" x14ac:dyDescent="0.2">
      <c r="A34" s="109" t="s">
        <v>93</v>
      </c>
      <c r="B34" s="73"/>
      <c r="C34" s="34"/>
      <c r="D34" s="34">
        <f>D29+D33</f>
        <v>53.223849999999999</v>
      </c>
      <c r="E34" s="72"/>
      <c r="F34" s="34"/>
      <c r="G34" s="34">
        <f>G29+G33</f>
        <v>53.923849999999987</v>
      </c>
      <c r="H34" s="34">
        <f t="shared" si="1"/>
        <v>0.69999999999998863</v>
      </c>
      <c r="I34" s="35">
        <f t="shared" si="2"/>
        <v>1.3151998587099367E-2</v>
      </c>
      <c r="J34" s="35">
        <f t="shared" si="10"/>
        <v>0.39579960653556912</v>
      </c>
      <c r="K34" s="110">
        <f t="shared" si="11"/>
        <v>0.3891042614398989</v>
      </c>
    </row>
    <row r="35" spans="1:11" s="1" customFormat="1" x14ac:dyDescent="0.2">
      <c r="A35" s="109" t="s">
        <v>94</v>
      </c>
      <c r="B35" s="73"/>
      <c r="C35" s="34"/>
      <c r="D35" s="34">
        <f>D30+D33</f>
        <v>52.858913199999989</v>
      </c>
      <c r="E35" s="72"/>
      <c r="F35" s="34"/>
      <c r="G35" s="34">
        <f>G30+G33</f>
        <v>53.558913199999992</v>
      </c>
      <c r="H35" s="34">
        <f t="shared" si="1"/>
        <v>0.70000000000000284</v>
      </c>
      <c r="I35" s="35">
        <f t="shared" si="2"/>
        <v>1.3242799702510777E-2</v>
      </c>
      <c r="J35" s="35">
        <f t="shared" si="10"/>
        <v>0.39312098025331466</v>
      </c>
      <c r="K35" s="110">
        <f t="shared" si="11"/>
        <v>0.38647094679273925</v>
      </c>
    </row>
    <row r="36" spans="1:11" x14ac:dyDescent="0.2">
      <c r="A36" s="106" t="s">
        <v>42</v>
      </c>
      <c r="B36" s="72">
        <f>B8</f>
        <v>798.03499999999997</v>
      </c>
      <c r="C36" s="33">
        <v>3.5999999999999999E-3</v>
      </c>
      <c r="D36" s="21">
        <f>B36*C36</f>
        <v>2.8729259999999996</v>
      </c>
      <c r="E36" s="72">
        <f t="shared" si="6"/>
        <v>798.03499999999997</v>
      </c>
      <c r="F36" s="33">
        <v>3.5999999999999999E-3</v>
      </c>
      <c r="G36" s="21">
        <f>E36*F36</f>
        <v>2.8729259999999996</v>
      </c>
      <c r="H36" s="21">
        <f t="shared" si="1"/>
        <v>0</v>
      </c>
      <c r="I36" s="22">
        <f t="shared" si="2"/>
        <v>0</v>
      </c>
      <c r="J36" s="22">
        <f t="shared" si="10"/>
        <v>2.1087199456377961E-2</v>
      </c>
      <c r="K36" s="107">
        <f t="shared" si="11"/>
        <v>2.0730488446234516E-2</v>
      </c>
    </row>
    <row r="37" spans="1:11" x14ac:dyDescent="0.2">
      <c r="A37" s="106" t="s">
        <v>43</v>
      </c>
      <c r="B37" s="72">
        <f>B8</f>
        <v>798.03499999999997</v>
      </c>
      <c r="C37" s="33">
        <v>2.0999999999999999E-3</v>
      </c>
      <c r="D37" s="21">
        <f>B37*C37</f>
        <v>1.6758734999999998</v>
      </c>
      <c r="E37" s="72">
        <f t="shared" si="6"/>
        <v>798.03499999999997</v>
      </c>
      <c r="F37" s="33">
        <v>2.0999999999999999E-3</v>
      </c>
      <c r="G37" s="21">
        <f>E37*F37</f>
        <v>1.6758734999999998</v>
      </c>
      <c r="H37" s="21">
        <f>G37-D37</f>
        <v>0</v>
      </c>
      <c r="I37" s="22">
        <f t="shared" si="2"/>
        <v>0</v>
      </c>
      <c r="J37" s="22">
        <f t="shared" si="10"/>
        <v>1.230086634955381E-2</v>
      </c>
      <c r="K37" s="107">
        <f t="shared" si="11"/>
        <v>1.2092784926970133E-2</v>
      </c>
    </row>
    <row r="38" spans="1:11" x14ac:dyDescent="0.2">
      <c r="A38" s="106" t="s">
        <v>99</v>
      </c>
      <c r="B38" s="72">
        <f>B8</f>
        <v>798.03499999999997</v>
      </c>
      <c r="C38" s="33">
        <v>0</v>
      </c>
      <c r="D38" s="21">
        <f>B38*C38</f>
        <v>0</v>
      </c>
      <c r="E38" s="72">
        <f t="shared" si="6"/>
        <v>798.03499999999997</v>
      </c>
      <c r="F38" s="33">
        <v>0</v>
      </c>
      <c r="G38" s="21">
        <f>E38*F38</f>
        <v>0</v>
      </c>
      <c r="H38" s="21">
        <f>G38-D38</f>
        <v>0</v>
      </c>
      <c r="I38" s="22" t="str">
        <f t="shared" si="2"/>
        <v>N/A</v>
      </c>
      <c r="J38" s="22">
        <f t="shared" si="10"/>
        <v>0</v>
      </c>
      <c r="K38" s="107">
        <f t="shared" si="11"/>
        <v>0</v>
      </c>
    </row>
    <row r="39" spans="1:11" x14ac:dyDescent="0.2">
      <c r="A39" s="106" t="s">
        <v>44</v>
      </c>
      <c r="B39" s="72">
        <v>1</v>
      </c>
      <c r="C39" s="21">
        <v>0.25</v>
      </c>
      <c r="D39" s="21">
        <f>B39*C39</f>
        <v>0.25</v>
      </c>
      <c r="E39" s="72">
        <f t="shared" si="6"/>
        <v>1</v>
      </c>
      <c r="F39" s="21">
        <f>C39</f>
        <v>0.25</v>
      </c>
      <c r="G39" s="21">
        <f>E39*F39</f>
        <v>0.25</v>
      </c>
      <c r="H39" s="21">
        <f t="shared" si="1"/>
        <v>0</v>
      </c>
      <c r="I39" s="22">
        <f t="shared" si="2"/>
        <v>0</v>
      </c>
      <c r="J39" s="22">
        <f t="shared" si="10"/>
        <v>1.8349932661316339E-3</v>
      </c>
      <c r="K39" s="107">
        <f t="shared" si="11"/>
        <v>1.8039525249027052E-3</v>
      </c>
    </row>
    <row r="40" spans="1:11" s="1" customFormat="1" x14ac:dyDescent="0.2">
      <c r="A40" s="109" t="s">
        <v>45</v>
      </c>
      <c r="B40" s="73"/>
      <c r="C40" s="34"/>
      <c r="D40" s="34">
        <f>SUM(D36:D39)</f>
        <v>4.7987994999999994</v>
      </c>
      <c r="E40" s="72"/>
      <c r="F40" s="34"/>
      <c r="G40" s="34">
        <f>SUM(G36:G39)</f>
        <v>4.7987994999999994</v>
      </c>
      <c r="H40" s="34">
        <f t="shared" si="1"/>
        <v>0</v>
      </c>
      <c r="I40" s="35">
        <f t="shared" si="2"/>
        <v>0</v>
      </c>
      <c r="J40" s="35">
        <f t="shared" si="10"/>
        <v>3.5223059072063405E-2</v>
      </c>
      <c r="K40" s="110">
        <f t="shared" si="11"/>
        <v>3.4627225898107357E-2</v>
      </c>
    </row>
    <row r="41" spans="1:11" s="1" customFormat="1" ht="13.5" thickBot="1" x14ac:dyDescent="0.25">
      <c r="A41" s="111" t="s">
        <v>46</v>
      </c>
      <c r="B41" s="112">
        <f>B4</f>
        <v>755</v>
      </c>
      <c r="C41" s="113">
        <v>0</v>
      </c>
      <c r="D41" s="114">
        <f>B41*C41</f>
        <v>0</v>
      </c>
      <c r="E41" s="115">
        <f t="shared" si="6"/>
        <v>755</v>
      </c>
      <c r="F41" s="113">
        <f>C41</f>
        <v>0</v>
      </c>
      <c r="G41" s="114">
        <f>E41*F41</f>
        <v>0</v>
      </c>
      <c r="H41" s="114">
        <f t="shared" si="1"/>
        <v>0</v>
      </c>
      <c r="I41" s="116" t="str">
        <f t="shared" si="2"/>
        <v>N/A</v>
      </c>
      <c r="J41" s="116">
        <f t="shared" si="10"/>
        <v>0</v>
      </c>
      <c r="K41" s="117">
        <f t="shared" si="11"/>
        <v>0</v>
      </c>
    </row>
    <row r="42" spans="1:11" s="1" customFormat="1" x14ac:dyDescent="0.2">
      <c r="A42" s="36" t="s">
        <v>107</v>
      </c>
      <c r="B42" s="37"/>
      <c r="C42" s="38"/>
      <c r="D42" s="38">
        <f>SUM(D14,D25,D26,D27,D33,D40,D41)</f>
        <v>129.05264949999997</v>
      </c>
      <c r="E42" s="37"/>
      <c r="F42" s="38"/>
      <c r="G42" s="38">
        <f>SUM(G14,G25,G26,G27,G33,G40,G41)</f>
        <v>129.75264949999999</v>
      </c>
      <c r="H42" s="38">
        <f t="shared" si="1"/>
        <v>0.70000000000001705</v>
      </c>
      <c r="I42" s="39">
        <f t="shared" si="2"/>
        <v>5.4241428030504498E-3</v>
      </c>
      <c r="J42" s="39">
        <f t="shared" si="10"/>
        <v>0.95238095238095244</v>
      </c>
      <c r="K42" s="40"/>
    </row>
    <row r="43" spans="1:11" x14ac:dyDescent="0.2">
      <c r="A43" s="142" t="s">
        <v>108</v>
      </c>
      <c r="B43" s="42"/>
      <c r="C43" s="25">
        <v>0.13</v>
      </c>
      <c r="D43" s="25">
        <f>D42*C43</f>
        <v>16.776844434999997</v>
      </c>
      <c r="E43" s="25"/>
      <c r="F43" s="25">
        <f>C43</f>
        <v>0.13</v>
      </c>
      <c r="G43" s="25">
        <f>G42*F43</f>
        <v>16.867844434999999</v>
      </c>
      <c r="H43" s="25">
        <f t="shared" si="1"/>
        <v>9.100000000000108E-2</v>
      </c>
      <c r="I43" s="43">
        <f t="shared" si="2"/>
        <v>5.4241428030503813E-3</v>
      </c>
      <c r="J43" s="43">
        <f t="shared" si="10"/>
        <v>0.12380952380952381</v>
      </c>
      <c r="K43" s="44"/>
    </row>
    <row r="44" spans="1:11" s="1" customFormat="1" x14ac:dyDescent="0.2">
      <c r="A44" s="45" t="s">
        <v>109</v>
      </c>
      <c r="B44" s="23"/>
      <c r="C44" s="24"/>
      <c r="D44" s="24">
        <f>SUM(D42:D43)</f>
        <v>145.82949393499996</v>
      </c>
      <c r="E44" s="24"/>
      <c r="F44" s="24"/>
      <c r="G44" s="24">
        <f>SUM(G42:G43)</f>
        <v>146.62049393499998</v>
      </c>
      <c r="H44" s="24">
        <f t="shared" si="1"/>
        <v>0.79100000000002524</v>
      </c>
      <c r="I44" s="26">
        <f t="shared" si="2"/>
        <v>5.4241428030504905E-3</v>
      </c>
      <c r="J44" s="26">
        <f t="shared" si="10"/>
        <v>1.0761904761904761</v>
      </c>
      <c r="K44" s="46"/>
    </row>
    <row r="45" spans="1:11" x14ac:dyDescent="0.2">
      <c r="A45" s="41" t="s">
        <v>110</v>
      </c>
      <c r="B45" s="42"/>
      <c r="C45" s="25">
        <v>-0.08</v>
      </c>
      <c r="D45" s="25">
        <f>D42*C45</f>
        <v>-10.324211959999998</v>
      </c>
      <c r="E45" s="25"/>
      <c r="F45" s="25">
        <f>C45</f>
        <v>-0.08</v>
      </c>
      <c r="G45" s="25">
        <f>G42*F45</f>
        <v>-10.380211959999999</v>
      </c>
      <c r="H45" s="25">
        <f t="shared" si="1"/>
        <v>-5.6000000000000938E-2</v>
      </c>
      <c r="I45" s="43">
        <f t="shared" si="2"/>
        <v>-5.4241428030504081E-3</v>
      </c>
      <c r="J45" s="43">
        <f t="shared" si="10"/>
        <v>-7.6190476190476183E-2</v>
      </c>
      <c r="K45" s="44"/>
    </row>
    <row r="46" spans="1:11" s="1" customFormat="1" ht="13.5" thickBot="1" x14ac:dyDescent="0.25">
      <c r="A46" s="47" t="s">
        <v>111</v>
      </c>
      <c r="B46" s="48"/>
      <c r="C46" s="49"/>
      <c r="D46" s="49">
        <f>SUM(D44:D45)</f>
        <v>135.50528197499997</v>
      </c>
      <c r="E46" s="49"/>
      <c r="F46" s="49"/>
      <c r="G46" s="49">
        <f>SUM(G44:G45)</f>
        <v>136.24028197499999</v>
      </c>
      <c r="H46" s="49">
        <f t="shared" si="1"/>
        <v>0.73500000000001364</v>
      </c>
      <c r="I46" s="50">
        <f t="shared" si="2"/>
        <v>5.4241428030504177E-3</v>
      </c>
      <c r="J46" s="50">
        <f t="shared" si="10"/>
        <v>1</v>
      </c>
      <c r="K46" s="51"/>
    </row>
    <row r="47" spans="1:11" x14ac:dyDescent="0.2">
      <c r="A47" s="52" t="s">
        <v>112</v>
      </c>
      <c r="B47" s="53"/>
      <c r="C47" s="54"/>
      <c r="D47" s="54">
        <f>SUM(D18,D25,D26,D28,D33,D40,D41)</f>
        <v>131.28531269999999</v>
      </c>
      <c r="E47" s="54"/>
      <c r="F47" s="54"/>
      <c r="G47" s="54">
        <f>SUM(G18,G25,G26,G28,G33,G40,G41)</f>
        <v>131.98531269999998</v>
      </c>
      <c r="H47" s="54">
        <f>G47-D47</f>
        <v>0.69999999999998863</v>
      </c>
      <c r="I47" s="55">
        <f t="shared" si="2"/>
        <v>5.3318987905338526E-3</v>
      </c>
      <c r="J47" s="55"/>
      <c r="K47" s="56">
        <f>G47/$G$51</f>
        <v>0.95238095238095222</v>
      </c>
    </row>
    <row r="48" spans="1:11" x14ac:dyDescent="0.2">
      <c r="A48" s="57" t="s">
        <v>108</v>
      </c>
      <c r="B48" s="58"/>
      <c r="C48" s="30">
        <v>0.13</v>
      </c>
      <c r="D48" s="30">
        <f>D47*C48</f>
        <v>17.067090651000001</v>
      </c>
      <c r="E48" s="30"/>
      <c r="F48" s="30">
        <f>C48</f>
        <v>0.13</v>
      </c>
      <c r="G48" s="30">
        <f>G47*F48</f>
        <v>17.158090650999998</v>
      </c>
      <c r="H48" s="30">
        <f>G48-D48</f>
        <v>9.0999999999997527E-2</v>
      </c>
      <c r="I48" s="31">
        <f t="shared" si="2"/>
        <v>5.3318987905337937E-3</v>
      </c>
      <c r="J48" s="31"/>
      <c r="K48" s="59">
        <f>G48/$G$51</f>
        <v>0.1238095238095238</v>
      </c>
    </row>
    <row r="49" spans="1:11" x14ac:dyDescent="0.2">
      <c r="A49" s="60" t="s">
        <v>113</v>
      </c>
      <c r="B49" s="28"/>
      <c r="C49" s="29"/>
      <c r="D49" s="29">
        <f>SUM(D47:D48)</f>
        <v>148.35240335099999</v>
      </c>
      <c r="E49" s="29"/>
      <c r="F49" s="29"/>
      <c r="G49" s="29">
        <f>SUM(G47:G48)</f>
        <v>149.14340335099999</v>
      </c>
      <c r="H49" s="29">
        <f>G49-D49</f>
        <v>0.79099999999999682</v>
      </c>
      <c r="I49" s="32">
        <f t="shared" si="2"/>
        <v>5.3318987905339177E-3</v>
      </c>
      <c r="J49" s="32"/>
      <c r="K49" s="61">
        <f>G49/$G$51</f>
        <v>1.0761904761904761</v>
      </c>
    </row>
    <row r="50" spans="1:11" x14ac:dyDescent="0.2">
      <c r="A50" s="57" t="s">
        <v>110</v>
      </c>
      <c r="B50" s="58"/>
      <c r="C50" s="30">
        <v>-0.08</v>
      </c>
      <c r="D50" s="30">
        <f>D47*C50</f>
        <v>-10.502825015999999</v>
      </c>
      <c r="E50" s="30"/>
      <c r="F50" s="30">
        <f>C50</f>
        <v>-0.08</v>
      </c>
      <c r="G50" s="30">
        <f>G47*F50</f>
        <v>-10.558825015999998</v>
      </c>
      <c r="H50" s="30">
        <f>G50-D50</f>
        <v>-5.5999999999999162E-2</v>
      </c>
      <c r="I50" s="31">
        <f t="shared" si="2"/>
        <v>-5.3318987905338596E-3</v>
      </c>
      <c r="J50" s="31"/>
      <c r="K50" s="59">
        <f>G50/$G$51</f>
        <v>-7.6190476190476183E-2</v>
      </c>
    </row>
    <row r="51" spans="1:11" ht="13.5" thickBot="1" x14ac:dyDescent="0.25">
      <c r="A51" s="62" t="s">
        <v>114</v>
      </c>
      <c r="B51" s="63"/>
      <c r="C51" s="64"/>
      <c r="D51" s="64">
        <f>SUM(D49:D50)</f>
        <v>137.84957833499999</v>
      </c>
      <c r="E51" s="64"/>
      <c r="F51" s="64"/>
      <c r="G51" s="64">
        <f>SUM(G49:G50)</f>
        <v>138.584578335</v>
      </c>
      <c r="H51" s="64">
        <f>G51-D51</f>
        <v>0.73500000000001364</v>
      </c>
      <c r="I51" s="65">
        <f t="shared" si="2"/>
        <v>5.3318987905340383E-3</v>
      </c>
      <c r="J51" s="65"/>
      <c r="K51" s="66">
        <f>G51/$G$51</f>
        <v>1</v>
      </c>
    </row>
    <row r="52" spans="1:11" x14ac:dyDescent="0.2">
      <c r="C52" s="67"/>
      <c r="F52" s="68"/>
    </row>
    <row r="53" spans="1:11" x14ac:dyDescent="0.2">
      <c r="F53" s="68"/>
    </row>
    <row r="54" spans="1:11" x14ac:dyDescent="0.2">
      <c r="F54" s="68"/>
    </row>
    <row r="55" spans="1:11" x14ac:dyDescent="0.2">
      <c r="A55" s="69"/>
      <c r="B55" s="70"/>
      <c r="F55" s="68"/>
    </row>
    <row r="56" spans="1:11" x14ac:dyDescent="0.2">
      <c r="B56" s="70"/>
      <c r="F56" s="68"/>
    </row>
    <row r="57" spans="1:11" x14ac:dyDescent="0.2">
      <c r="F57" s="68"/>
    </row>
    <row r="58" spans="1:11" x14ac:dyDescent="0.2">
      <c r="D58" s="71"/>
      <c r="F58" s="68"/>
    </row>
    <row r="59" spans="1:11" x14ac:dyDescent="0.2">
      <c r="F59" s="68"/>
    </row>
    <row r="60" spans="1:11" x14ac:dyDescent="0.2">
      <c r="A60" s="69"/>
      <c r="B60" s="70"/>
      <c r="F60" s="68"/>
    </row>
    <row r="61" spans="1:11" x14ac:dyDescent="0.2">
      <c r="B61" s="71"/>
      <c r="D61" s="71"/>
      <c r="F61" s="68"/>
    </row>
    <row r="62" spans="1:11" x14ac:dyDescent="0.2">
      <c r="F62" s="68"/>
    </row>
    <row r="63" spans="1:11" x14ac:dyDescent="0.2">
      <c r="F63" s="68"/>
    </row>
    <row r="64" spans="1:11" x14ac:dyDescent="0.2">
      <c r="F64" s="68"/>
      <c r="K64"/>
    </row>
    <row r="65" spans="6:11" x14ac:dyDescent="0.2">
      <c r="F65" s="68"/>
      <c r="K65"/>
    </row>
    <row r="66" spans="6:11" x14ac:dyDescent="0.2">
      <c r="F66" s="68"/>
      <c r="K66"/>
    </row>
    <row r="67" spans="6:11" x14ac:dyDescent="0.2">
      <c r="F67" s="68"/>
      <c r="K67"/>
    </row>
    <row r="68" spans="6:11" x14ac:dyDescent="0.2">
      <c r="F68" s="68"/>
      <c r="K68"/>
    </row>
  </sheetData>
  <mergeCells count="1">
    <mergeCell ref="A1:K1"/>
  </mergeCells>
  <pageMargins left="0.7" right="0.7" top="0.75" bottom="0.75" header="0.3" footer="0.3"/>
  <pageSetup scale="7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tabColor theme="1" tint="0.499984740745262"/>
    <pageSetUpPr fitToPage="1"/>
  </sheetPr>
  <dimension ref="A1:K68"/>
  <sheetViews>
    <sheetView tabSelected="1" topLeftCell="A7"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3"/>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205" t="s">
        <v>124</v>
      </c>
      <c r="B1" s="206"/>
      <c r="C1" s="206"/>
      <c r="D1" s="206"/>
      <c r="E1" s="206"/>
      <c r="F1" s="206"/>
      <c r="G1" s="206"/>
      <c r="H1" s="206"/>
      <c r="I1" s="206"/>
      <c r="J1" s="206"/>
      <c r="K1" s="207"/>
    </row>
    <row r="3" spans="1:11" x14ac:dyDescent="0.2">
      <c r="A3" s="12" t="s">
        <v>13</v>
      </c>
      <c r="B3" s="12" t="s">
        <v>120</v>
      </c>
    </row>
    <row r="4" spans="1:11" x14ac:dyDescent="0.2">
      <c r="A4" s="14" t="s">
        <v>62</v>
      </c>
      <c r="B4" s="14">
        <v>1000</v>
      </c>
    </row>
    <row r="5" spans="1:11" x14ac:dyDescent="0.2">
      <c r="A5" s="14" t="s">
        <v>16</v>
      </c>
      <c r="B5" s="14">
        <f>VLOOKUP($B$3,'Data for Bill Impacts'!$A$3:$Y$25,5,0)</f>
        <v>0</v>
      </c>
    </row>
    <row r="6" spans="1:11" x14ac:dyDescent="0.2">
      <c r="A6" s="14" t="s">
        <v>20</v>
      </c>
      <c r="B6" s="14">
        <f>VLOOKUP($B$3,'Data for Bill Impacts'!$A$3:$Y$25,2,0)</f>
        <v>1.0667</v>
      </c>
    </row>
    <row r="7" spans="1:11" x14ac:dyDescent="0.2">
      <c r="A7" s="14" t="s">
        <v>15</v>
      </c>
      <c r="B7" s="14">
        <f>VLOOKUP($B$3,'Data for Bill Impacts'!$A$3:$Y$25,4,0)</f>
        <v>750</v>
      </c>
    </row>
    <row r="8" spans="1:11" x14ac:dyDescent="0.2">
      <c r="A8" s="14" t="s">
        <v>82</v>
      </c>
      <c r="B8" s="14">
        <f>B4*B6</f>
        <v>1066.7</v>
      </c>
    </row>
    <row r="9" spans="1:11" x14ac:dyDescent="0.2">
      <c r="A9" s="14" t="s">
        <v>21</v>
      </c>
      <c r="B9" s="15" t="str">
        <f>VLOOKUP($B$3,'Data for Bill Impacts'!$A$3:$Y$25,6,0)</f>
        <v>kWh</v>
      </c>
    </row>
    <row r="10" spans="1:11" ht="13.5" thickBot="1" x14ac:dyDescent="0.25"/>
    <row r="11" spans="1:11" s="19" customFormat="1" ht="51.75" thickBot="1" x14ac:dyDescent="0.25">
      <c r="A11" s="16"/>
      <c r="B11" s="17" t="s">
        <v>22</v>
      </c>
      <c r="C11" s="17" t="s">
        <v>23</v>
      </c>
      <c r="D11" s="17" t="s">
        <v>24</v>
      </c>
      <c r="E11" s="17" t="s">
        <v>22</v>
      </c>
      <c r="F11" s="17" t="s">
        <v>25</v>
      </c>
      <c r="G11" s="17" t="s">
        <v>26</v>
      </c>
      <c r="H11" s="17" t="s">
        <v>27</v>
      </c>
      <c r="I11" s="17" t="s">
        <v>28</v>
      </c>
      <c r="J11" s="17" t="s">
        <v>29</v>
      </c>
      <c r="K11" s="18" t="s">
        <v>30</v>
      </c>
    </row>
    <row r="12" spans="1:11" x14ac:dyDescent="0.2">
      <c r="A12" s="100" t="s">
        <v>31</v>
      </c>
      <c r="B12" s="101">
        <f>IF(B4&gt;B7,B7,B4)</f>
        <v>750</v>
      </c>
      <c r="C12" s="102">
        <v>9.0999999999999998E-2</v>
      </c>
      <c r="D12" s="103">
        <f>B12*C12</f>
        <v>68.25</v>
      </c>
      <c r="E12" s="101">
        <f>B12</f>
        <v>750</v>
      </c>
      <c r="F12" s="102">
        <f>C12</f>
        <v>9.0999999999999998E-2</v>
      </c>
      <c r="G12" s="103">
        <f>E12*F12</f>
        <v>68.25</v>
      </c>
      <c r="H12" s="103">
        <f>G12-D12</f>
        <v>0</v>
      </c>
      <c r="I12" s="104">
        <f>IF(ISERROR(H12/ABS(D12)),"N/A",(H12/ABS(D12)))</f>
        <v>0</v>
      </c>
      <c r="J12" s="104">
        <f>G12/$G$46</f>
        <v>0.34274135503480196</v>
      </c>
      <c r="K12" s="105"/>
    </row>
    <row r="13" spans="1:11" x14ac:dyDescent="0.2">
      <c r="A13" s="106" t="s">
        <v>32</v>
      </c>
      <c r="B13" s="72">
        <f>IF(B4&gt;B7,(B4)-B7,0)</f>
        <v>250</v>
      </c>
      <c r="C13" s="20">
        <v>0.106</v>
      </c>
      <c r="D13" s="21">
        <f>B13*C13</f>
        <v>26.5</v>
      </c>
      <c r="E13" s="72">
        <f t="shared" ref="E13" si="0">B13</f>
        <v>250</v>
      </c>
      <c r="F13" s="20">
        <f>C13</f>
        <v>0.106</v>
      </c>
      <c r="G13" s="21">
        <f>E13*F13</f>
        <v>26.5</v>
      </c>
      <c r="H13" s="21">
        <f t="shared" ref="H13:H46" si="1">G13-D13</f>
        <v>0</v>
      </c>
      <c r="I13" s="22">
        <f t="shared" ref="I13:I51" si="2">IF(ISERROR(H13/ABS(D13)),"N/A",(H13/ABS(D13)))</f>
        <v>0</v>
      </c>
      <c r="J13" s="22">
        <f>G13/$G$46</f>
        <v>0.13307906092926375</v>
      </c>
      <c r="K13" s="107"/>
    </row>
    <row r="14" spans="1:11" s="1" customFormat="1" x14ac:dyDescent="0.2">
      <c r="A14" s="45" t="s">
        <v>33</v>
      </c>
      <c r="B14" s="23"/>
      <c r="C14" s="24"/>
      <c r="D14" s="24">
        <f>SUM(D12:D13)</f>
        <v>94.75</v>
      </c>
      <c r="E14" s="75"/>
      <c r="F14" s="24"/>
      <c r="G14" s="24">
        <f>SUM(G12:G13)</f>
        <v>94.75</v>
      </c>
      <c r="H14" s="24">
        <f t="shared" si="1"/>
        <v>0</v>
      </c>
      <c r="I14" s="26">
        <f t="shared" si="2"/>
        <v>0</v>
      </c>
      <c r="J14" s="26">
        <f>G14/$G$46</f>
        <v>0.47582041596406571</v>
      </c>
      <c r="K14" s="107"/>
    </row>
    <row r="15" spans="1:11" s="1" customFormat="1" x14ac:dyDescent="0.2">
      <c r="A15" s="108" t="s">
        <v>34</v>
      </c>
      <c r="B15" s="74">
        <f>B4*0.65</f>
        <v>650</v>
      </c>
      <c r="C15" s="27">
        <v>7.6999999999999999E-2</v>
      </c>
      <c r="D15" s="21">
        <f>B15*C15</f>
        <v>50.05</v>
      </c>
      <c r="E15" s="72">
        <f t="shared" ref="E15:F17" si="3">B15</f>
        <v>650</v>
      </c>
      <c r="F15" s="27">
        <f t="shared" si="3"/>
        <v>7.6999999999999999E-2</v>
      </c>
      <c r="G15" s="21">
        <f>E15*F15</f>
        <v>50.05</v>
      </c>
      <c r="H15" s="21">
        <f t="shared" si="1"/>
        <v>0</v>
      </c>
      <c r="I15" s="22">
        <f t="shared" si="2"/>
        <v>0</v>
      </c>
      <c r="J15" s="22"/>
      <c r="K15" s="107">
        <f t="shared" ref="K15:K41" si="4">G15/$G$51</f>
        <v>0.24845571222721033</v>
      </c>
    </row>
    <row r="16" spans="1:11" s="1" customFormat="1" x14ac:dyDescent="0.2">
      <c r="A16" s="108" t="s">
        <v>35</v>
      </c>
      <c r="B16" s="74">
        <f>B4*0.17</f>
        <v>170</v>
      </c>
      <c r="C16" s="27">
        <v>0.113</v>
      </c>
      <c r="D16" s="21">
        <f>B16*C16</f>
        <v>19.21</v>
      </c>
      <c r="E16" s="72">
        <f t="shared" si="3"/>
        <v>170</v>
      </c>
      <c r="F16" s="27">
        <f t="shared" si="3"/>
        <v>0.113</v>
      </c>
      <c r="G16" s="21">
        <f>E16*F16</f>
        <v>19.21</v>
      </c>
      <c r="H16" s="21">
        <f t="shared" si="1"/>
        <v>0</v>
      </c>
      <c r="I16" s="22">
        <f t="shared" si="2"/>
        <v>0</v>
      </c>
      <c r="J16" s="22"/>
      <c r="K16" s="107">
        <f t="shared" si="4"/>
        <v>9.5361323314379839E-2</v>
      </c>
    </row>
    <row r="17" spans="1:11" s="1" customFormat="1" x14ac:dyDescent="0.2">
      <c r="A17" s="108" t="s">
        <v>36</v>
      </c>
      <c r="B17" s="74">
        <f>B4*0.18</f>
        <v>180</v>
      </c>
      <c r="C17" s="27">
        <v>0.157</v>
      </c>
      <c r="D17" s="21">
        <f>B17*C17</f>
        <v>28.26</v>
      </c>
      <c r="E17" s="72">
        <f t="shared" si="3"/>
        <v>180</v>
      </c>
      <c r="F17" s="27">
        <f t="shared" si="3"/>
        <v>0.157</v>
      </c>
      <c r="G17" s="21">
        <f>E17*F17</f>
        <v>28.26</v>
      </c>
      <c r="H17" s="21">
        <f t="shared" si="1"/>
        <v>0</v>
      </c>
      <c r="I17" s="22">
        <f t="shared" si="2"/>
        <v>0</v>
      </c>
      <c r="J17" s="22"/>
      <c r="K17" s="107">
        <f t="shared" si="4"/>
        <v>0.14028688166915015</v>
      </c>
    </row>
    <row r="18" spans="1:11" s="1" customFormat="1" x14ac:dyDescent="0.2">
      <c r="A18" s="60" t="s">
        <v>37</v>
      </c>
      <c r="B18" s="28"/>
      <c r="C18" s="29"/>
      <c r="D18" s="29">
        <f>SUM(D15:D17)</f>
        <v>97.52</v>
      </c>
      <c r="E18" s="76"/>
      <c r="F18" s="29"/>
      <c r="G18" s="29">
        <f>SUM(G15:G17)</f>
        <v>97.52</v>
      </c>
      <c r="H18" s="30">
        <f t="shared" si="1"/>
        <v>0</v>
      </c>
      <c r="I18" s="31">
        <f t="shared" si="2"/>
        <v>0</v>
      </c>
      <c r="J18" s="32">
        <f t="shared" ref="J18:J24" si="5">G18/$G$46</f>
        <v>0.4897309442196906</v>
      </c>
      <c r="K18" s="61">
        <f t="shared" si="4"/>
        <v>0.48410391721074031</v>
      </c>
    </row>
    <row r="19" spans="1:11" x14ac:dyDescent="0.2">
      <c r="A19" s="106" t="s">
        <v>38</v>
      </c>
      <c r="B19" s="72">
        <v>1</v>
      </c>
      <c r="C19" s="77">
        <f>VLOOKUP($B$3,'Data for Bill Impacts'!$A$3:$Y$25,7,0)</f>
        <v>40.92</v>
      </c>
      <c r="D19" s="21">
        <f>B19*C19</f>
        <v>40.92</v>
      </c>
      <c r="E19" s="72">
        <f t="shared" ref="E19:E41" si="6">B19</f>
        <v>1</v>
      </c>
      <c r="F19" s="77">
        <f>VLOOKUP($B$3,'Data for Bill Impacts'!$A$3:$Y$25,17,0)</f>
        <v>43.26</v>
      </c>
      <c r="G19" s="21">
        <f>E19*F19</f>
        <v>43.26</v>
      </c>
      <c r="H19" s="21">
        <f t="shared" si="1"/>
        <v>2.3399999999999963</v>
      </c>
      <c r="I19" s="22">
        <f t="shared" si="2"/>
        <v>5.7184750733137737E-2</v>
      </c>
      <c r="J19" s="22">
        <f t="shared" si="5"/>
        <v>0.2172452896528283</v>
      </c>
      <c r="K19" s="107">
        <f t="shared" si="4"/>
        <v>0.21474913308589649</v>
      </c>
    </row>
    <row r="20" spans="1:11" hidden="1" x14ac:dyDescent="0.2">
      <c r="A20" s="106" t="s">
        <v>83</v>
      </c>
      <c r="B20" s="72">
        <v>1</v>
      </c>
      <c r="C20" s="77">
        <f>VLOOKUP($B$3,'Data for Bill Impacts'!$A$3:$Y$25,8,0)</f>
        <v>0</v>
      </c>
      <c r="D20" s="21">
        <f>B20*C20</f>
        <v>0</v>
      </c>
      <c r="E20" s="72">
        <f t="shared" si="6"/>
        <v>1</v>
      </c>
      <c r="F20" s="77">
        <v>0</v>
      </c>
      <c r="G20" s="21">
        <f t="shared" ref="G20:G22" si="7">E20*F20</f>
        <v>0</v>
      </c>
      <c r="H20" s="21">
        <f t="shared" si="1"/>
        <v>0</v>
      </c>
      <c r="I20" s="22" t="str">
        <f t="shared" si="2"/>
        <v>N/A</v>
      </c>
      <c r="J20" s="22">
        <f t="shared" si="5"/>
        <v>0</v>
      </c>
      <c r="K20" s="107">
        <f t="shared" si="4"/>
        <v>0</v>
      </c>
    </row>
    <row r="21" spans="1:11" hidden="1" x14ac:dyDescent="0.2">
      <c r="A21" s="106" t="s">
        <v>84</v>
      </c>
      <c r="B21" s="72">
        <v>1</v>
      </c>
      <c r="C21" s="77">
        <f>VLOOKUP($B$3,'Data for Bill Impacts'!$A$3:$Y$25,11,0)</f>
        <v>0</v>
      </c>
      <c r="D21" s="21">
        <f t="shared" ref="D21:D22" si="8">B21*C21</f>
        <v>0</v>
      </c>
      <c r="E21" s="72">
        <f t="shared" si="6"/>
        <v>1</v>
      </c>
      <c r="F21" s="120">
        <f>VLOOKUP($B$3,'Data for Bill Impacts'!$A$3:$Y$25,12,0)</f>
        <v>0</v>
      </c>
      <c r="G21" s="21">
        <f t="shared" si="7"/>
        <v>0</v>
      </c>
      <c r="H21" s="21">
        <f t="shared" si="1"/>
        <v>0</v>
      </c>
      <c r="I21" s="22" t="str">
        <f t="shared" si="2"/>
        <v>N/A</v>
      </c>
      <c r="J21" s="22">
        <f t="shared" si="5"/>
        <v>0</v>
      </c>
      <c r="K21" s="107">
        <f t="shared" si="4"/>
        <v>0</v>
      </c>
    </row>
    <row r="22" spans="1:11" x14ac:dyDescent="0.2">
      <c r="A22" s="106" t="s">
        <v>85</v>
      </c>
      <c r="B22" s="72">
        <v>1</v>
      </c>
      <c r="C22" s="120">
        <f>VLOOKUP($B$3,'Data for Bill Impacts'!$A$3:$Y$25,13,0)</f>
        <v>0</v>
      </c>
      <c r="D22" s="21">
        <f t="shared" si="8"/>
        <v>0</v>
      </c>
      <c r="E22" s="72">
        <f t="shared" si="6"/>
        <v>1</v>
      </c>
      <c r="F22" s="120">
        <f>VLOOKUP($B$3,'Data for Bill Impacts'!$A$3:$Y$25,22,0)</f>
        <v>0</v>
      </c>
      <c r="G22" s="21">
        <f t="shared" si="7"/>
        <v>0</v>
      </c>
      <c r="H22" s="21">
        <f t="shared" si="1"/>
        <v>0</v>
      </c>
      <c r="I22" s="22" t="str">
        <f t="shared" si="2"/>
        <v>N/A</v>
      </c>
      <c r="J22" s="22">
        <f t="shared" si="5"/>
        <v>0</v>
      </c>
      <c r="K22" s="107">
        <f t="shared" si="4"/>
        <v>0</v>
      </c>
    </row>
    <row r="23" spans="1:11" x14ac:dyDescent="0.2">
      <c r="A23" s="106" t="s">
        <v>39</v>
      </c>
      <c r="B23" s="72">
        <f>IF($B$9="kWh",$B$4,$B$5)</f>
        <v>1000</v>
      </c>
      <c r="C23" s="124">
        <f>VLOOKUP($B$3,'Data for Bill Impacts'!$A$3:$Y$25,10,0)</f>
        <v>1.8800000000000001E-2</v>
      </c>
      <c r="D23" s="21">
        <f>B23*C23</f>
        <v>18.8</v>
      </c>
      <c r="E23" s="72">
        <f t="shared" si="6"/>
        <v>1000</v>
      </c>
      <c r="F23" s="77">
        <f>VLOOKUP($B$3,'Data for Bill Impacts'!$A$3:$Y$25,19,0)</f>
        <v>2.01E-2</v>
      </c>
      <c r="G23" s="21">
        <f>E23*F23</f>
        <v>20.100000000000001</v>
      </c>
      <c r="H23" s="21">
        <f t="shared" si="1"/>
        <v>1.3000000000000007</v>
      </c>
      <c r="I23" s="22">
        <f t="shared" si="2"/>
        <v>6.9148936170212796E-2</v>
      </c>
      <c r="J23" s="22">
        <f t="shared" si="5"/>
        <v>0.10093921225200761</v>
      </c>
      <c r="K23" s="107">
        <f t="shared" si="4"/>
        <v>9.9779416898440124E-2</v>
      </c>
    </row>
    <row r="24" spans="1:11" x14ac:dyDescent="0.2">
      <c r="A24" s="106" t="s">
        <v>129</v>
      </c>
      <c r="B24" s="72">
        <f>IF($B$9="kWh",$B$4,$B$5)</f>
        <v>1000</v>
      </c>
      <c r="C24" s="124">
        <f>VLOOKUP($B$3,'Data for Bill Impacts'!$A$3:$Y$25,14,0)</f>
        <v>0</v>
      </c>
      <c r="D24" s="33">
        <f>B24*C24</f>
        <v>0</v>
      </c>
      <c r="E24" s="72">
        <f t="shared" si="6"/>
        <v>1000</v>
      </c>
      <c r="F24" s="124">
        <f>VLOOKUP($B$3,'Data for Bill Impacts'!$A$3:$Y$25,23,0)</f>
        <v>0</v>
      </c>
      <c r="G24" s="33">
        <f>E24*F24</f>
        <v>0</v>
      </c>
      <c r="H24" s="21">
        <f t="shared" si="1"/>
        <v>0</v>
      </c>
      <c r="I24" s="22" t="str">
        <f t="shared" si="2"/>
        <v>N/A</v>
      </c>
      <c r="J24" s="22">
        <f t="shared" si="5"/>
        <v>0</v>
      </c>
      <c r="K24" s="107">
        <f t="shared" si="4"/>
        <v>0</v>
      </c>
    </row>
    <row r="25" spans="1:11" s="1" customFormat="1" x14ac:dyDescent="0.2">
      <c r="A25" s="109" t="s">
        <v>72</v>
      </c>
      <c r="B25" s="73"/>
      <c r="C25" s="34"/>
      <c r="D25" s="34">
        <f>SUM(D19:D24)</f>
        <v>59.72</v>
      </c>
      <c r="E25" s="72"/>
      <c r="F25" s="34"/>
      <c r="G25" s="34">
        <f>SUM(G19:G24)</f>
        <v>63.36</v>
      </c>
      <c r="H25" s="34">
        <f t="shared" si="1"/>
        <v>3.6400000000000006</v>
      </c>
      <c r="I25" s="35">
        <f t="shared" si="2"/>
        <v>6.0951105157401216E-2</v>
      </c>
      <c r="J25" s="35">
        <f>G25/$G$46</f>
        <v>0.31818450190483594</v>
      </c>
      <c r="K25" s="110">
        <f t="shared" si="4"/>
        <v>0.3145285499843366</v>
      </c>
    </row>
    <row r="26" spans="1:11" s="1" customFormat="1" x14ac:dyDescent="0.2">
      <c r="A26" s="118" t="s">
        <v>73</v>
      </c>
      <c r="B26" s="119">
        <v>1</v>
      </c>
      <c r="C26" s="77">
        <f>VLOOKUP($B$3,'Data for Bill Impacts'!$A$3:$Y$25,9,0)</f>
        <v>0.79</v>
      </c>
      <c r="D26" s="21">
        <f>B26*C26</f>
        <v>0.79</v>
      </c>
      <c r="E26" s="72">
        <v>1</v>
      </c>
      <c r="F26" s="77">
        <f>VLOOKUP($B$3,'Data for Bill Impacts'!$A$3:$Y$25,18,0)</f>
        <v>0.79</v>
      </c>
      <c r="G26" s="21">
        <f>E26*F26</f>
        <v>0.79</v>
      </c>
      <c r="H26" s="21">
        <f t="shared" si="1"/>
        <v>0</v>
      </c>
      <c r="I26" s="22">
        <f t="shared" si="2"/>
        <v>0</v>
      </c>
      <c r="J26" s="22">
        <f>G26/$G$46</f>
        <v>3.9672625710988063E-3</v>
      </c>
      <c r="K26" s="107">
        <f t="shared" si="4"/>
        <v>3.9216785746153081E-3</v>
      </c>
    </row>
    <row r="27" spans="1:11" s="1" customFormat="1" x14ac:dyDescent="0.2">
      <c r="A27" s="118" t="s">
        <v>75</v>
      </c>
      <c r="B27" s="119">
        <f>B8-B4</f>
        <v>66.700000000000045</v>
      </c>
      <c r="C27" s="186">
        <f>IF(B4&gt;B7,C13,C12)</f>
        <v>0.106</v>
      </c>
      <c r="D27" s="21">
        <f>B27*C27</f>
        <v>7.0702000000000043</v>
      </c>
      <c r="E27" s="72">
        <f>B27</f>
        <v>66.700000000000045</v>
      </c>
      <c r="F27" s="186">
        <f>C27</f>
        <v>0.106</v>
      </c>
      <c r="G27" s="21">
        <f>E27*F27</f>
        <v>7.0702000000000043</v>
      </c>
      <c r="H27" s="21">
        <f t="shared" si="1"/>
        <v>0</v>
      </c>
      <c r="I27" s="22">
        <f t="shared" si="2"/>
        <v>0</v>
      </c>
      <c r="J27" s="22">
        <f t="shared" ref="J27:J46" si="9">G27/$G$46</f>
        <v>3.5505493455927593E-2</v>
      </c>
      <c r="K27" s="107">
        <f t="shared" si="4"/>
        <v>3.5097533997778693E-2</v>
      </c>
    </row>
    <row r="28" spans="1:11" s="1" customFormat="1" x14ac:dyDescent="0.2">
      <c r="A28" s="118" t="s">
        <v>74</v>
      </c>
      <c r="B28" s="119">
        <f>B8-B4</f>
        <v>66.700000000000045</v>
      </c>
      <c r="C28" s="186">
        <f>0.65*C15+0.17*C16+0.18*C17</f>
        <v>9.7519999999999996E-2</v>
      </c>
      <c r="D28" s="21">
        <f>B28*C28</f>
        <v>6.5045840000000039</v>
      </c>
      <c r="E28" s="72">
        <f>B28</f>
        <v>66.700000000000045</v>
      </c>
      <c r="F28" s="186">
        <f>C28</f>
        <v>9.7519999999999996E-2</v>
      </c>
      <c r="G28" s="21">
        <f>E28*F28</f>
        <v>6.5045840000000039</v>
      </c>
      <c r="H28" s="21">
        <f t="shared" si="1"/>
        <v>0</v>
      </c>
      <c r="I28" s="22">
        <f t="shared" si="2"/>
        <v>0</v>
      </c>
      <c r="J28" s="22">
        <f t="shared" si="9"/>
        <v>3.2665053979453386E-2</v>
      </c>
      <c r="K28" s="107">
        <f t="shared" si="4"/>
        <v>3.2289731277956396E-2</v>
      </c>
    </row>
    <row r="29" spans="1:11" s="1" customFormat="1" x14ac:dyDescent="0.2">
      <c r="A29" s="109" t="s">
        <v>78</v>
      </c>
      <c r="B29" s="73"/>
      <c r="C29" s="34"/>
      <c r="D29" s="34">
        <f>SUM(D25,D26:D27)</f>
        <v>67.580200000000005</v>
      </c>
      <c r="E29" s="72"/>
      <c r="F29" s="34"/>
      <c r="G29" s="34">
        <f>SUM(G25,G26:G27)</f>
        <v>71.220200000000006</v>
      </c>
      <c r="H29" s="34">
        <f t="shared" si="1"/>
        <v>3.6400000000000006</v>
      </c>
      <c r="I29" s="35">
        <f t="shared" si="2"/>
        <v>5.3861929973572142E-2</v>
      </c>
      <c r="J29" s="35">
        <f t="shared" si="9"/>
        <v>0.35765725793186232</v>
      </c>
      <c r="K29" s="110">
        <f t="shared" si="4"/>
        <v>0.35354776255673065</v>
      </c>
    </row>
    <row r="30" spans="1:11" s="1" customFormat="1" x14ac:dyDescent="0.2">
      <c r="A30" s="109" t="s">
        <v>77</v>
      </c>
      <c r="B30" s="73"/>
      <c r="C30" s="34"/>
      <c r="D30" s="34">
        <f>SUM(D25,D26,D28)</f>
        <v>67.014583999999999</v>
      </c>
      <c r="E30" s="72"/>
      <c r="F30" s="34"/>
      <c r="G30" s="34">
        <f>SUM(G25,G26,G28)</f>
        <v>70.654584000000014</v>
      </c>
      <c r="H30" s="34">
        <f t="shared" si="1"/>
        <v>3.6400000000000148</v>
      </c>
      <c r="I30" s="35">
        <f t="shared" si="2"/>
        <v>5.4316535039596978E-2</v>
      </c>
      <c r="J30" s="35">
        <f t="shared" si="9"/>
        <v>0.35481681845538815</v>
      </c>
      <c r="K30" s="110">
        <f t="shared" si="4"/>
        <v>0.35073995983690837</v>
      </c>
    </row>
    <row r="31" spans="1:11" x14ac:dyDescent="0.2">
      <c r="A31" s="106" t="s">
        <v>40</v>
      </c>
      <c r="B31" s="72">
        <f>B8</f>
        <v>1066.7</v>
      </c>
      <c r="C31" s="124">
        <f>VLOOKUP($B$3,'Data for Bill Impacts'!$A$3:$Y$25,15,0)</f>
        <v>5.3E-3</v>
      </c>
      <c r="D31" s="21">
        <f>B31*C31</f>
        <v>5.6535100000000007</v>
      </c>
      <c r="E31" s="72">
        <f t="shared" si="6"/>
        <v>1066.7</v>
      </c>
      <c r="F31" s="77">
        <f>VLOOKUP($B$3,'Data for Bill Impacts'!$A$3:$Y$25,24,0)</f>
        <v>5.3E-3</v>
      </c>
      <c r="G31" s="21">
        <f>E31*F31</f>
        <v>5.6535100000000007</v>
      </c>
      <c r="H31" s="21">
        <f t="shared" si="1"/>
        <v>0</v>
      </c>
      <c r="I31" s="22">
        <f t="shared" si="2"/>
        <v>0</v>
      </c>
      <c r="J31" s="22">
        <f t="shared" si="9"/>
        <v>2.8391086858649134E-2</v>
      </c>
      <c r="K31" s="107">
        <f t="shared" si="4"/>
        <v>2.806487220047265E-2</v>
      </c>
    </row>
    <row r="32" spans="1:11" x14ac:dyDescent="0.2">
      <c r="A32" s="106" t="s">
        <v>41</v>
      </c>
      <c r="B32" s="72">
        <f>B8</f>
        <v>1066.7</v>
      </c>
      <c r="C32" s="124">
        <f>VLOOKUP($B$3,'Data for Bill Impacts'!$A$3:$Y$25,16,0)</f>
        <v>4.4000000000000003E-3</v>
      </c>
      <c r="D32" s="21">
        <f>B32*C32</f>
        <v>4.6934800000000001</v>
      </c>
      <c r="E32" s="72">
        <f t="shared" si="6"/>
        <v>1066.7</v>
      </c>
      <c r="F32" s="77">
        <f>VLOOKUP($B$3,'Data for Bill Impacts'!$A$3:$Y$25,25,0)</f>
        <v>4.4000000000000003E-3</v>
      </c>
      <c r="G32" s="21">
        <f>E32*F32</f>
        <v>4.6934800000000001</v>
      </c>
      <c r="H32" s="21">
        <f t="shared" si="1"/>
        <v>0</v>
      </c>
      <c r="I32" s="22">
        <f t="shared" si="2"/>
        <v>0</v>
      </c>
      <c r="J32" s="22">
        <f t="shared" si="9"/>
        <v>2.3569958901520034E-2</v>
      </c>
      <c r="K32" s="107">
        <f t="shared" si="4"/>
        <v>2.3299139185298048E-2</v>
      </c>
    </row>
    <row r="33" spans="1:11" s="1" customFormat="1" x14ac:dyDescent="0.2">
      <c r="A33" s="109" t="s">
        <v>76</v>
      </c>
      <c r="B33" s="73"/>
      <c r="C33" s="34"/>
      <c r="D33" s="34">
        <f>SUM(D31:D32)</f>
        <v>10.346990000000002</v>
      </c>
      <c r="E33" s="72"/>
      <c r="F33" s="34"/>
      <c r="G33" s="34">
        <f>SUM(G31:G32)</f>
        <v>10.346990000000002</v>
      </c>
      <c r="H33" s="34">
        <f t="shared" si="1"/>
        <v>0</v>
      </c>
      <c r="I33" s="35">
        <f t="shared" si="2"/>
        <v>0</v>
      </c>
      <c r="J33" s="35">
        <f t="shared" si="9"/>
        <v>5.1961045760169175E-2</v>
      </c>
      <c r="K33" s="110">
        <f t="shared" si="4"/>
        <v>5.1364011385770701E-2</v>
      </c>
    </row>
    <row r="34" spans="1:11" s="1" customFormat="1" x14ac:dyDescent="0.2">
      <c r="A34" s="109" t="s">
        <v>93</v>
      </c>
      <c r="B34" s="73"/>
      <c r="C34" s="34"/>
      <c r="D34" s="34">
        <f>D29+D33</f>
        <v>77.92719000000001</v>
      </c>
      <c r="E34" s="72"/>
      <c r="F34" s="34"/>
      <c r="G34" s="34">
        <f>G29+G33</f>
        <v>81.567190000000011</v>
      </c>
      <c r="H34" s="34">
        <f t="shared" si="1"/>
        <v>3.6400000000000006</v>
      </c>
      <c r="I34" s="35">
        <f t="shared" si="2"/>
        <v>4.6710268906141744E-2</v>
      </c>
      <c r="J34" s="35">
        <f t="shared" si="9"/>
        <v>0.4096183036920315</v>
      </c>
      <c r="K34" s="110">
        <f t="shared" si="4"/>
        <v>0.40491177394250133</v>
      </c>
    </row>
    <row r="35" spans="1:11" s="1" customFormat="1" x14ac:dyDescent="0.2">
      <c r="A35" s="109" t="s">
        <v>94</v>
      </c>
      <c r="B35" s="73"/>
      <c r="C35" s="34"/>
      <c r="D35" s="34">
        <f>D30+D33</f>
        <v>77.361574000000005</v>
      </c>
      <c r="E35" s="72"/>
      <c r="F35" s="34"/>
      <c r="G35" s="34">
        <f>G30+G33</f>
        <v>81.001574000000019</v>
      </c>
      <c r="H35" s="34">
        <f t="shared" si="1"/>
        <v>3.6400000000000148</v>
      </c>
      <c r="I35" s="35">
        <f t="shared" si="2"/>
        <v>4.7051783098415428E-2</v>
      </c>
      <c r="J35" s="35">
        <f t="shared" si="9"/>
        <v>0.40677786421555734</v>
      </c>
      <c r="K35" s="110">
        <f t="shared" si="4"/>
        <v>0.4021039712226791</v>
      </c>
    </row>
    <row r="36" spans="1:11" x14ac:dyDescent="0.2">
      <c r="A36" s="106" t="s">
        <v>42</v>
      </c>
      <c r="B36" s="72">
        <f>B8</f>
        <v>1066.7</v>
      </c>
      <c r="C36" s="33">
        <v>3.5999999999999999E-3</v>
      </c>
      <c r="D36" s="21">
        <f>B36*C36</f>
        <v>3.8401200000000002</v>
      </c>
      <c r="E36" s="72">
        <f t="shared" si="6"/>
        <v>1066.7</v>
      </c>
      <c r="F36" s="33">
        <v>3.5999999999999999E-3</v>
      </c>
      <c r="G36" s="21">
        <f>E36*F36</f>
        <v>3.8401200000000002</v>
      </c>
      <c r="H36" s="21">
        <f t="shared" si="1"/>
        <v>0</v>
      </c>
      <c r="I36" s="22">
        <f t="shared" si="2"/>
        <v>0</v>
      </c>
      <c r="J36" s="22">
        <f t="shared" si="9"/>
        <v>1.9284511828516392E-2</v>
      </c>
      <c r="K36" s="107">
        <f t="shared" si="4"/>
        <v>1.9062932060698402E-2</v>
      </c>
    </row>
    <row r="37" spans="1:11" x14ac:dyDescent="0.2">
      <c r="A37" s="106" t="s">
        <v>43</v>
      </c>
      <c r="B37" s="72">
        <f>B8</f>
        <v>1066.7</v>
      </c>
      <c r="C37" s="33">
        <v>2.0999999999999999E-3</v>
      </c>
      <c r="D37" s="21">
        <f>B37*C37</f>
        <v>2.2400699999999998</v>
      </c>
      <c r="E37" s="72">
        <f t="shared" si="6"/>
        <v>1066.7</v>
      </c>
      <c r="F37" s="33">
        <v>2.0999999999999999E-3</v>
      </c>
      <c r="G37" s="21">
        <f>E37*F37</f>
        <v>2.2400699999999998</v>
      </c>
      <c r="H37" s="21">
        <f>G37-D37</f>
        <v>0</v>
      </c>
      <c r="I37" s="22">
        <f t="shared" si="2"/>
        <v>0</v>
      </c>
      <c r="J37" s="22">
        <f t="shared" si="9"/>
        <v>1.124929856663456E-2</v>
      </c>
      <c r="K37" s="107">
        <f t="shared" si="4"/>
        <v>1.1120043702074067E-2</v>
      </c>
    </row>
    <row r="38" spans="1:11" x14ac:dyDescent="0.2">
      <c r="A38" s="106" t="s">
        <v>99</v>
      </c>
      <c r="B38" s="72">
        <f>B8</f>
        <v>1066.7</v>
      </c>
      <c r="C38" s="33">
        <v>0</v>
      </c>
      <c r="D38" s="21">
        <f>B38*C38</f>
        <v>0</v>
      </c>
      <c r="E38" s="72">
        <f t="shared" si="6"/>
        <v>1066.7</v>
      </c>
      <c r="F38" s="33">
        <v>0</v>
      </c>
      <c r="G38" s="21">
        <f>E38*F38</f>
        <v>0</v>
      </c>
      <c r="H38" s="21">
        <f>G38-D38</f>
        <v>0</v>
      </c>
      <c r="I38" s="22" t="str">
        <f t="shared" si="2"/>
        <v>N/A</v>
      </c>
      <c r="J38" s="22">
        <f t="shared" si="9"/>
        <v>0</v>
      </c>
      <c r="K38" s="107">
        <f t="shared" si="4"/>
        <v>0</v>
      </c>
    </row>
    <row r="39" spans="1:11" x14ac:dyDescent="0.2">
      <c r="A39" s="106" t="s">
        <v>44</v>
      </c>
      <c r="B39" s="72">
        <v>1</v>
      </c>
      <c r="C39" s="21">
        <v>0.25</v>
      </c>
      <c r="D39" s="21">
        <f>B39*C39</f>
        <v>0.25</v>
      </c>
      <c r="E39" s="72">
        <f t="shared" si="6"/>
        <v>1</v>
      </c>
      <c r="F39" s="21">
        <f>C39</f>
        <v>0.25</v>
      </c>
      <c r="G39" s="21">
        <f>E39*F39</f>
        <v>0.25</v>
      </c>
      <c r="H39" s="21">
        <f t="shared" si="1"/>
        <v>0</v>
      </c>
      <c r="I39" s="22">
        <f t="shared" si="2"/>
        <v>0</v>
      </c>
      <c r="J39" s="22">
        <f t="shared" si="9"/>
        <v>1.2554628389553186E-3</v>
      </c>
      <c r="K39" s="107">
        <f t="shared" si="4"/>
        <v>1.2410375236124394E-3</v>
      </c>
    </row>
    <row r="40" spans="1:11" s="1" customFormat="1" x14ac:dyDescent="0.2">
      <c r="A40" s="109" t="s">
        <v>45</v>
      </c>
      <c r="B40" s="73"/>
      <c r="C40" s="34"/>
      <c r="D40" s="34">
        <f>SUM(D36:D39)</f>
        <v>6.33019</v>
      </c>
      <c r="E40" s="72"/>
      <c r="F40" s="34"/>
      <c r="G40" s="34">
        <f>SUM(G36:G39)</f>
        <v>6.33019</v>
      </c>
      <c r="H40" s="34">
        <f t="shared" si="1"/>
        <v>0</v>
      </c>
      <c r="I40" s="35">
        <f t="shared" si="2"/>
        <v>0</v>
      </c>
      <c r="J40" s="35">
        <f t="shared" si="9"/>
        <v>3.1789273234106269E-2</v>
      </c>
      <c r="K40" s="110">
        <f t="shared" si="4"/>
        <v>3.1424013286384909E-2</v>
      </c>
    </row>
    <row r="41" spans="1:11" s="1" customFormat="1" ht="13.5" thickBot="1" x14ac:dyDescent="0.25">
      <c r="A41" s="111" t="s">
        <v>46</v>
      </c>
      <c r="B41" s="112">
        <f>B4</f>
        <v>1000</v>
      </c>
      <c r="C41" s="113">
        <v>7.0000000000000001E-3</v>
      </c>
      <c r="D41" s="114">
        <f>B41*C41</f>
        <v>7</v>
      </c>
      <c r="E41" s="115">
        <f t="shared" si="6"/>
        <v>1000</v>
      </c>
      <c r="F41" s="113">
        <f>C41</f>
        <v>7.0000000000000001E-3</v>
      </c>
      <c r="G41" s="114">
        <f>E41*F41</f>
        <v>7</v>
      </c>
      <c r="H41" s="114">
        <f t="shared" si="1"/>
        <v>0</v>
      </c>
      <c r="I41" s="116">
        <f t="shared" si="2"/>
        <v>0</v>
      </c>
      <c r="J41" s="116">
        <f t="shared" si="9"/>
        <v>3.5152959490748918E-2</v>
      </c>
      <c r="K41" s="117">
        <f t="shared" si="4"/>
        <v>3.4749050661148299E-2</v>
      </c>
    </row>
    <row r="42" spans="1:11" s="1" customFormat="1" x14ac:dyDescent="0.2">
      <c r="A42" s="36" t="s">
        <v>107</v>
      </c>
      <c r="B42" s="37"/>
      <c r="C42" s="38"/>
      <c r="D42" s="38">
        <f>SUM(D14,D25,D26,D27,D33,D40,D41)</f>
        <v>186.00737999999998</v>
      </c>
      <c r="E42" s="37"/>
      <c r="F42" s="38"/>
      <c r="G42" s="38">
        <f>SUM(G14,G25,G26,G27,G33,G40,G41)</f>
        <v>189.64738</v>
      </c>
      <c r="H42" s="38">
        <f t="shared" si="1"/>
        <v>3.6400000000000148</v>
      </c>
      <c r="I42" s="39">
        <f t="shared" si="2"/>
        <v>1.9569116021095588E-2</v>
      </c>
      <c r="J42" s="39">
        <f t="shared" si="9"/>
        <v>0.95238095238095233</v>
      </c>
      <c r="K42" s="40"/>
    </row>
    <row r="43" spans="1:11" x14ac:dyDescent="0.2">
      <c r="A43" s="142" t="s">
        <v>108</v>
      </c>
      <c r="B43" s="42"/>
      <c r="C43" s="25">
        <v>0.13</v>
      </c>
      <c r="D43" s="25">
        <f>D42*C43</f>
        <v>24.180959399999999</v>
      </c>
      <c r="E43" s="25"/>
      <c r="F43" s="25">
        <f>C43</f>
        <v>0.13</v>
      </c>
      <c r="G43" s="25">
        <f>G42*F43</f>
        <v>24.654159400000001</v>
      </c>
      <c r="H43" s="25">
        <f t="shared" si="1"/>
        <v>0.47320000000000206</v>
      </c>
      <c r="I43" s="43">
        <f t="shared" si="2"/>
        <v>1.9569116021095592E-2</v>
      </c>
      <c r="J43" s="43">
        <f t="shared" si="9"/>
        <v>0.12380952380952381</v>
      </c>
      <c r="K43" s="44"/>
    </row>
    <row r="44" spans="1:11" s="1" customFormat="1" x14ac:dyDescent="0.2">
      <c r="A44" s="45" t="s">
        <v>109</v>
      </c>
      <c r="B44" s="23"/>
      <c r="C44" s="24"/>
      <c r="D44" s="24">
        <f>SUM(D42:D43)</f>
        <v>210.18833939999999</v>
      </c>
      <c r="E44" s="24"/>
      <c r="F44" s="24"/>
      <c r="G44" s="24">
        <f>SUM(G42:G43)</f>
        <v>214.3015394</v>
      </c>
      <c r="H44" s="24">
        <f t="shared" si="1"/>
        <v>4.1132000000000062</v>
      </c>
      <c r="I44" s="26">
        <f t="shared" si="2"/>
        <v>1.9569116021095536E-2</v>
      </c>
      <c r="J44" s="26">
        <f t="shared" si="9"/>
        <v>1.0761904761904761</v>
      </c>
      <c r="K44" s="46"/>
    </row>
    <row r="45" spans="1:11" x14ac:dyDescent="0.2">
      <c r="A45" s="41" t="s">
        <v>110</v>
      </c>
      <c r="B45" s="42"/>
      <c r="C45" s="25">
        <v>-0.08</v>
      </c>
      <c r="D45" s="25">
        <f>D42*C45</f>
        <v>-14.880590399999999</v>
      </c>
      <c r="E45" s="25"/>
      <c r="F45" s="25">
        <f>C45</f>
        <v>-0.08</v>
      </c>
      <c r="G45" s="25">
        <f>G42*F45</f>
        <v>-15.171790400000001</v>
      </c>
      <c r="H45" s="25">
        <f t="shared" si="1"/>
        <v>-0.29120000000000168</v>
      </c>
      <c r="I45" s="43">
        <f t="shared" si="2"/>
        <v>-1.9569116021095623E-2</v>
      </c>
      <c r="J45" s="43">
        <f t="shared" si="9"/>
        <v>-7.6190476190476197E-2</v>
      </c>
      <c r="K45" s="44"/>
    </row>
    <row r="46" spans="1:11" s="1" customFormat="1" ht="13.5" thickBot="1" x14ac:dyDescent="0.25">
      <c r="A46" s="47" t="s">
        <v>111</v>
      </c>
      <c r="B46" s="48"/>
      <c r="C46" s="49"/>
      <c r="D46" s="49">
        <f>SUM(D44:D45)</f>
        <v>195.307749</v>
      </c>
      <c r="E46" s="49"/>
      <c r="F46" s="49"/>
      <c r="G46" s="49">
        <f>SUM(G44:G45)</f>
        <v>199.129749</v>
      </c>
      <c r="H46" s="49">
        <f t="shared" si="1"/>
        <v>3.8220000000000027</v>
      </c>
      <c r="I46" s="50">
        <f t="shared" si="2"/>
        <v>1.9569116021095522E-2</v>
      </c>
      <c r="J46" s="50">
        <f t="shared" si="9"/>
        <v>1</v>
      </c>
      <c r="K46" s="51"/>
    </row>
    <row r="47" spans="1:11" x14ac:dyDescent="0.2">
      <c r="A47" s="52" t="s">
        <v>112</v>
      </c>
      <c r="B47" s="53"/>
      <c r="C47" s="54"/>
      <c r="D47" s="54">
        <f>SUM(D18,D25,D26,D28,D33,D40,D41)</f>
        <v>188.21176399999999</v>
      </c>
      <c r="E47" s="54"/>
      <c r="F47" s="54"/>
      <c r="G47" s="54">
        <f>SUM(G18,G25,G26,G28,G33,G40,G41)</f>
        <v>191.85176399999997</v>
      </c>
      <c r="H47" s="54">
        <f>G47-D47</f>
        <v>3.6399999999999864</v>
      </c>
      <c r="I47" s="55">
        <f t="shared" si="2"/>
        <v>1.9339917562219897E-2</v>
      </c>
      <c r="J47" s="55"/>
      <c r="K47" s="56">
        <f>G47/$G$51</f>
        <v>0.95238095238095244</v>
      </c>
    </row>
    <row r="48" spans="1:11" x14ac:dyDescent="0.2">
      <c r="A48" s="143" t="s">
        <v>108</v>
      </c>
      <c r="B48" s="58"/>
      <c r="C48" s="30">
        <v>0.13</v>
      </c>
      <c r="D48" s="30">
        <f>D47*C48</f>
        <v>24.467529320000001</v>
      </c>
      <c r="E48" s="30"/>
      <c r="F48" s="30">
        <f>C48</f>
        <v>0.13</v>
      </c>
      <c r="G48" s="30">
        <f>G47*F48</f>
        <v>24.940729319999999</v>
      </c>
      <c r="H48" s="30">
        <f>G48-D48</f>
        <v>0.47319999999999851</v>
      </c>
      <c r="I48" s="31">
        <f t="shared" si="2"/>
        <v>1.9339917562219908E-2</v>
      </c>
      <c r="J48" s="31"/>
      <c r="K48" s="59">
        <f>G48/$G$51</f>
        <v>0.12380952380952383</v>
      </c>
    </row>
    <row r="49" spans="1:11" x14ac:dyDescent="0.2">
      <c r="A49" s="135" t="s">
        <v>113</v>
      </c>
      <c r="B49" s="28"/>
      <c r="C49" s="29"/>
      <c r="D49" s="29">
        <f>SUM(D47:D48)</f>
        <v>212.67929332</v>
      </c>
      <c r="E49" s="29"/>
      <c r="F49" s="29"/>
      <c r="G49" s="29">
        <f>SUM(G47:G48)</f>
        <v>216.79249331999998</v>
      </c>
      <c r="H49" s="29">
        <f>G49-D49</f>
        <v>4.1131999999999778</v>
      </c>
      <c r="I49" s="32">
        <f t="shared" si="2"/>
        <v>1.9339917562219863E-2</v>
      </c>
      <c r="J49" s="32"/>
      <c r="K49" s="61">
        <f>G49/$G$51</f>
        <v>1.0761904761904761</v>
      </c>
    </row>
    <row r="50" spans="1:11" x14ac:dyDescent="0.2">
      <c r="A50" s="57" t="s">
        <v>110</v>
      </c>
      <c r="B50" s="58"/>
      <c r="C50" s="30">
        <v>-0.08</v>
      </c>
      <c r="D50" s="30">
        <f>D47*C50</f>
        <v>-15.056941119999999</v>
      </c>
      <c r="E50" s="30"/>
      <c r="F50" s="30">
        <f>C50</f>
        <v>-0.08</v>
      </c>
      <c r="G50" s="30">
        <f>G47*F50</f>
        <v>-15.348141119999998</v>
      </c>
      <c r="H50" s="30">
        <f>G50-D50</f>
        <v>-0.29119999999999813</v>
      </c>
      <c r="I50" s="31">
        <f t="shared" si="2"/>
        <v>-1.9339917562219845E-2</v>
      </c>
      <c r="J50" s="31"/>
      <c r="K50" s="59">
        <f>G50/$G$51</f>
        <v>-7.6190476190476183E-2</v>
      </c>
    </row>
    <row r="51" spans="1:11" ht="13.5" thickBot="1" x14ac:dyDescent="0.25">
      <c r="A51" s="62" t="s">
        <v>114</v>
      </c>
      <c r="B51" s="63"/>
      <c r="C51" s="64"/>
      <c r="D51" s="64">
        <f>SUM(D49:D50)</f>
        <v>197.62235219999999</v>
      </c>
      <c r="E51" s="64"/>
      <c r="F51" s="64"/>
      <c r="G51" s="64">
        <f>SUM(G49:G50)</f>
        <v>201.44435219999997</v>
      </c>
      <c r="H51" s="64">
        <f>G51-D51</f>
        <v>3.8219999999999743</v>
      </c>
      <c r="I51" s="65">
        <f t="shared" si="2"/>
        <v>1.9339917562219838E-2</v>
      </c>
      <c r="J51" s="65"/>
      <c r="K51" s="66">
        <f>G51/$G$51</f>
        <v>1</v>
      </c>
    </row>
    <row r="52" spans="1:11" x14ac:dyDescent="0.2">
      <c r="C52" s="67"/>
      <c r="F52" s="68"/>
    </row>
    <row r="53" spans="1:11" x14ac:dyDescent="0.2">
      <c r="F53" s="68"/>
    </row>
    <row r="54" spans="1:11" x14ac:dyDescent="0.2">
      <c r="F54" s="68"/>
    </row>
    <row r="55" spans="1:11" x14ac:dyDescent="0.2">
      <c r="A55" s="69"/>
      <c r="B55" s="70"/>
      <c r="F55" s="68"/>
    </row>
    <row r="56" spans="1:11" x14ac:dyDescent="0.2">
      <c r="B56" s="70"/>
      <c r="F56" s="68"/>
    </row>
    <row r="57" spans="1:11" x14ac:dyDescent="0.2">
      <c r="F57" s="68"/>
    </row>
    <row r="58" spans="1:11" x14ac:dyDescent="0.2">
      <c r="D58" s="71"/>
      <c r="F58" s="68"/>
    </row>
    <row r="59" spans="1:11" x14ac:dyDescent="0.2">
      <c r="F59" s="68"/>
    </row>
    <row r="60" spans="1:11" x14ac:dyDescent="0.2">
      <c r="A60" s="69"/>
      <c r="B60" s="70"/>
      <c r="F60" s="68"/>
    </row>
    <row r="61" spans="1:11" x14ac:dyDescent="0.2">
      <c r="B61" s="71"/>
      <c r="D61" s="71"/>
      <c r="F61" s="68"/>
    </row>
    <row r="62" spans="1:11" x14ac:dyDescent="0.2">
      <c r="F62" s="68"/>
    </row>
    <row r="63" spans="1:11" x14ac:dyDescent="0.2">
      <c r="F63" s="68"/>
    </row>
    <row r="64" spans="1:11" x14ac:dyDescent="0.2">
      <c r="F64" s="68"/>
      <c r="K64"/>
    </row>
    <row r="65" spans="6:11" x14ac:dyDescent="0.2">
      <c r="F65" s="68"/>
      <c r="K65"/>
    </row>
    <row r="66" spans="6:11" x14ac:dyDescent="0.2">
      <c r="F66" s="68"/>
      <c r="K66"/>
    </row>
    <row r="67" spans="6:11" x14ac:dyDescent="0.2">
      <c r="F67" s="68"/>
      <c r="K67"/>
    </row>
    <row r="68" spans="6:11" x14ac:dyDescent="0.2">
      <c r="F68" s="68"/>
      <c r="K68"/>
    </row>
  </sheetData>
  <mergeCells count="1">
    <mergeCell ref="A1:K1"/>
  </mergeCells>
  <pageMargins left="0.7" right="0.7" top="0.75" bottom="0.75" header="0.3" footer="0.3"/>
  <pageSetup scale="7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Impacts'!$A$3:$A$21</xm:f>
          </x14:formula1>
          <xm:sqref>B3</xm:sqref>
        </x14:dataValidation>
      </x14:dataValidations>
    </ext>
  </extLst>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tabColor theme="1" tint="0.499984740745262"/>
    <pageSetUpPr fitToPage="1"/>
  </sheetPr>
  <dimension ref="A1:K68"/>
  <sheetViews>
    <sheetView tabSelected="1" topLeftCell="A28"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3"/>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205" t="s">
        <v>126</v>
      </c>
      <c r="B1" s="206"/>
      <c r="C1" s="206"/>
      <c r="D1" s="206"/>
      <c r="E1" s="206"/>
      <c r="F1" s="206"/>
      <c r="G1" s="206"/>
      <c r="H1" s="206"/>
      <c r="I1" s="206"/>
      <c r="J1" s="206"/>
      <c r="K1" s="207"/>
    </row>
    <row r="3" spans="1:11" x14ac:dyDescent="0.2">
      <c r="A3" s="12" t="s">
        <v>13</v>
      </c>
      <c r="B3" s="12" t="s">
        <v>120</v>
      </c>
    </row>
    <row r="4" spans="1:11" x14ac:dyDescent="0.2">
      <c r="A4" s="14" t="s">
        <v>62</v>
      </c>
      <c r="B4" s="14">
        <v>2000</v>
      </c>
    </row>
    <row r="5" spans="1:11" x14ac:dyDescent="0.2">
      <c r="A5" s="14" t="s">
        <v>16</v>
      </c>
      <c r="B5" s="14">
        <f>VLOOKUP($B$3,'Data for Bill Impacts'!$A$3:$Y$25,5,0)</f>
        <v>0</v>
      </c>
    </row>
    <row r="6" spans="1:11" x14ac:dyDescent="0.2">
      <c r="A6" s="14" t="s">
        <v>20</v>
      </c>
      <c r="B6" s="14">
        <f>VLOOKUP($B$3,'Data for Bill Impacts'!$A$3:$Y$25,2,0)</f>
        <v>1.0667</v>
      </c>
    </row>
    <row r="7" spans="1:11" x14ac:dyDescent="0.2">
      <c r="A7" s="14" t="s">
        <v>15</v>
      </c>
      <c r="B7" s="14">
        <f>VLOOKUP($B$3,'Data for Bill Impacts'!$A$3:$Y$25,4,0)</f>
        <v>750</v>
      </c>
    </row>
    <row r="8" spans="1:11" x14ac:dyDescent="0.2">
      <c r="A8" s="14" t="s">
        <v>82</v>
      </c>
      <c r="B8" s="14">
        <f>B4*B6</f>
        <v>2133.4</v>
      </c>
    </row>
    <row r="9" spans="1:11" x14ac:dyDescent="0.2">
      <c r="A9" s="14" t="s">
        <v>21</v>
      </c>
      <c r="B9" s="15" t="str">
        <f>VLOOKUP($B$3,'Data for Bill Impacts'!$A$3:$Y$25,6,0)</f>
        <v>kWh</v>
      </c>
    </row>
    <row r="10" spans="1:11" ht="13.5" thickBot="1" x14ac:dyDescent="0.25"/>
    <row r="11" spans="1:11" s="19" customFormat="1" ht="51.75" thickBot="1" x14ac:dyDescent="0.25">
      <c r="A11" s="16"/>
      <c r="B11" s="17" t="s">
        <v>22</v>
      </c>
      <c r="C11" s="17" t="s">
        <v>23</v>
      </c>
      <c r="D11" s="17" t="s">
        <v>24</v>
      </c>
      <c r="E11" s="17" t="s">
        <v>22</v>
      </c>
      <c r="F11" s="17" t="s">
        <v>25</v>
      </c>
      <c r="G11" s="17" t="s">
        <v>26</v>
      </c>
      <c r="H11" s="17" t="s">
        <v>27</v>
      </c>
      <c r="I11" s="17" t="s">
        <v>28</v>
      </c>
      <c r="J11" s="17" t="s">
        <v>29</v>
      </c>
      <c r="K11" s="18" t="s">
        <v>30</v>
      </c>
    </row>
    <row r="12" spans="1:11" x14ac:dyDescent="0.2">
      <c r="A12" s="100" t="s">
        <v>31</v>
      </c>
      <c r="B12" s="101">
        <f>IF(B4&gt;B7,B7,B4)</f>
        <v>750</v>
      </c>
      <c r="C12" s="102">
        <v>9.0999999999999998E-2</v>
      </c>
      <c r="D12" s="103">
        <f>B12*C12</f>
        <v>68.25</v>
      </c>
      <c r="E12" s="101">
        <f>B12</f>
        <v>750</v>
      </c>
      <c r="F12" s="102">
        <f>C12</f>
        <v>9.0999999999999998E-2</v>
      </c>
      <c r="G12" s="103">
        <f>E12*F12</f>
        <v>68.25</v>
      </c>
      <c r="H12" s="103">
        <f>G12-D12</f>
        <v>0</v>
      </c>
      <c r="I12" s="104">
        <f>IF(ISERROR(H12/ABS(D12)),"N/A",(H12/ABS(D12)))</f>
        <v>0</v>
      </c>
      <c r="J12" s="104">
        <f>G12/$G$46</f>
        <v>0.18772847277168897</v>
      </c>
      <c r="K12" s="105"/>
    </row>
    <row r="13" spans="1:11" x14ac:dyDescent="0.2">
      <c r="A13" s="106" t="s">
        <v>32</v>
      </c>
      <c r="B13" s="72">
        <f>IF(B4&gt;B7,(B4)-B7,0)</f>
        <v>1250</v>
      </c>
      <c r="C13" s="20">
        <v>0.106</v>
      </c>
      <c r="D13" s="21">
        <f>B13*C13</f>
        <v>132.5</v>
      </c>
      <c r="E13" s="72">
        <f t="shared" ref="E13" si="0">B13</f>
        <v>1250</v>
      </c>
      <c r="F13" s="20">
        <f>C13</f>
        <v>0.106</v>
      </c>
      <c r="G13" s="21">
        <f>E13*F13</f>
        <v>132.5</v>
      </c>
      <c r="H13" s="21">
        <f t="shared" ref="H13:H46" si="1">G13-D13</f>
        <v>0</v>
      </c>
      <c r="I13" s="22">
        <f t="shared" ref="I13:I51" si="2">IF(ISERROR(H13/ABS(D13)),"N/A",(H13/ABS(D13)))</f>
        <v>0</v>
      </c>
      <c r="J13" s="22">
        <f>G13/$G$46</f>
        <v>0.36445454420877349</v>
      </c>
      <c r="K13" s="107"/>
    </row>
    <row r="14" spans="1:11" s="1" customFormat="1" x14ac:dyDescent="0.2">
      <c r="A14" s="45" t="s">
        <v>33</v>
      </c>
      <c r="B14" s="23"/>
      <c r="C14" s="24"/>
      <c r="D14" s="24">
        <f>SUM(D12:D13)</f>
        <v>200.75</v>
      </c>
      <c r="E14" s="75"/>
      <c r="F14" s="24"/>
      <c r="G14" s="24">
        <f>SUM(G12:G13)</f>
        <v>200.75</v>
      </c>
      <c r="H14" s="24">
        <f t="shared" si="1"/>
        <v>0</v>
      </c>
      <c r="I14" s="26">
        <f t="shared" si="2"/>
        <v>0</v>
      </c>
      <c r="J14" s="26">
        <f>G14/$G$46</f>
        <v>0.55218301698046246</v>
      </c>
      <c r="K14" s="107"/>
    </row>
    <row r="15" spans="1:11" s="1" customFormat="1" x14ac:dyDescent="0.2">
      <c r="A15" s="108" t="s">
        <v>34</v>
      </c>
      <c r="B15" s="74">
        <f>B4*0.65</f>
        <v>1300</v>
      </c>
      <c r="C15" s="27">
        <v>7.6999999999999999E-2</v>
      </c>
      <c r="D15" s="21">
        <f>B15*C15</f>
        <v>100.1</v>
      </c>
      <c r="E15" s="72">
        <f t="shared" ref="E15:F17" si="3">B15</f>
        <v>1300</v>
      </c>
      <c r="F15" s="27">
        <f t="shared" si="3"/>
        <v>7.6999999999999999E-2</v>
      </c>
      <c r="G15" s="21">
        <f>E15*F15</f>
        <v>100.1</v>
      </c>
      <c r="H15" s="21">
        <f t="shared" si="1"/>
        <v>0</v>
      </c>
      <c r="I15" s="22">
        <f t="shared" si="2"/>
        <v>0</v>
      </c>
      <c r="J15" s="22"/>
      <c r="K15" s="107">
        <f t="shared" ref="K15:K41" si="4">G15/$G$51</f>
        <v>0.28088492154192729</v>
      </c>
    </row>
    <row r="16" spans="1:11" s="1" customFormat="1" x14ac:dyDescent="0.2">
      <c r="A16" s="108" t="s">
        <v>35</v>
      </c>
      <c r="B16" s="74">
        <f>B4*0.17</f>
        <v>340</v>
      </c>
      <c r="C16" s="27">
        <v>0.113</v>
      </c>
      <c r="D16" s="21">
        <f>B16*C16</f>
        <v>38.42</v>
      </c>
      <c r="E16" s="72">
        <f t="shared" si="3"/>
        <v>340</v>
      </c>
      <c r="F16" s="27">
        <f t="shared" si="3"/>
        <v>0.113</v>
      </c>
      <c r="G16" s="21">
        <f>E16*F16</f>
        <v>38.42</v>
      </c>
      <c r="H16" s="21">
        <f t="shared" si="1"/>
        <v>0</v>
      </c>
      <c r="I16" s="22">
        <f t="shared" si="2"/>
        <v>0</v>
      </c>
      <c r="J16" s="22"/>
      <c r="K16" s="107">
        <f t="shared" si="4"/>
        <v>0.10780817867773075</v>
      </c>
    </row>
    <row r="17" spans="1:11" s="1" customFormat="1" x14ac:dyDescent="0.2">
      <c r="A17" s="108" t="s">
        <v>36</v>
      </c>
      <c r="B17" s="74">
        <f>B4*0.18</f>
        <v>360</v>
      </c>
      <c r="C17" s="27">
        <v>0.157</v>
      </c>
      <c r="D17" s="21">
        <f>B17*C17</f>
        <v>56.52</v>
      </c>
      <c r="E17" s="72">
        <f t="shared" si="3"/>
        <v>360</v>
      </c>
      <c r="F17" s="27">
        <f t="shared" si="3"/>
        <v>0.157</v>
      </c>
      <c r="G17" s="21">
        <f>E17*F17</f>
        <v>56.52</v>
      </c>
      <c r="H17" s="21">
        <f t="shared" si="1"/>
        <v>0</v>
      </c>
      <c r="I17" s="22">
        <f t="shared" si="2"/>
        <v>0</v>
      </c>
      <c r="J17" s="22"/>
      <c r="K17" s="107">
        <f t="shared" si="4"/>
        <v>0.15859756009540193</v>
      </c>
    </row>
    <row r="18" spans="1:11" s="1" customFormat="1" x14ac:dyDescent="0.2">
      <c r="A18" s="60" t="s">
        <v>37</v>
      </c>
      <c r="B18" s="28"/>
      <c r="C18" s="29"/>
      <c r="D18" s="29">
        <f>SUM(D15:D17)</f>
        <v>195.04</v>
      </c>
      <c r="E18" s="76"/>
      <c r="F18" s="29"/>
      <c r="G18" s="29">
        <f>SUM(G15:G17)</f>
        <v>195.04</v>
      </c>
      <c r="H18" s="30">
        <f t="shared" si="1"/>
        <v>0</v>
      </c>
      <c r="I18" s="31">
        <f t="shared" si="2"/>
        <v>0</v>
      </c>
      <c r="J18" s="32">
        <f t="shared" ref="J18:J24" si="5">G18/$G$46</f>
        <v>0.53647708907531455</v>
      </c>
      <c r="K18" s="61">
        <f t="shared" si="4"/>
        <v>0.54729066031505991</v>
      </c>
    </row>
    <row r="19" spans="1:11" x14ac:dyDescent="0.2">
      <c r="A19" s="106" t="s">
        <v>38</v>
      </c>
      <c r="B19" s="72">
        <v>1</v>
      </c>
      <c r="C19" s="77">
        <f>VLOOKUP($B$3,'Data for Bill Impacts'!$A$3:$Y$25,7,0)</f>
        <v>40.92</v>
      </c>
      <c r="D19" s="21">
        <f>B19*C19</f>
        <v>40.92</v>
      </c>
      <c r="E19" s="72">
        <f t="shared" ref="E19:E41" si="6">B19</f>
        <v>1</v>
      </c>
      <c r="F19" s="77">
        <f>VLOOKUP($B$3,'Data for Bill Impacts'!$A$3:$Y$25,17,0)</f>
        <v>43.26</v>
      </c>
      <c r="G19" s="21">
        <f>E19*F19</f>
        <v>43.26</v>
      </c>
      <c r="H19" s="21">
        <f t="shared" si="1"/>
        <v>2.3399999999999963</v>
      </c>
      <c r="I19" s="22">
        <f t="shared" si="2"/>
        <v>5.7184750733137737E-2</v>
      </c>
      <c r="J19" s="22">
        <f t="shared" si="5"/>
        <v>0.11899097043374747</v>
      </c>
      <c r="K19" s="107">
        <f t="shared" si="4"/>
        <v>0.12138942763140635</v>
      </c>
    </row>
    <row r="20" spans="1:11" hidden="1" x14ac:dyDescent="0.2">
      <c r="A20" s="106" t="s">
        <v>83</v>
      </c>
      <c r="B20" s="72">
        <v>1</v>
      </c>
      <c r="C20" s="77">
        <f>VLOOKUP($B$3,'Data for Bill Impacts'!$A$3:$Y$25,8,0)</f>
        <v>0</v>
      </c>
      <c r="D20" s="21">
        <f>B20*C20</f>
        <v>0</v>
      </c>
      <c r="E20" s="72">
        <f t="shared" si="6"/>
        <v>1</v>
      </c>
      <c r="F20" s="77">
        <v>0</v>
      </c>
      <c r="G20" s="21">
        <f t="shared" ref="G20:G22" si="7">E20*F20</f>
        <v>0</v>
      </c>
      <c r="H20" s="21">
        <f t="shared" si="1"/>
        <v>0</v>
      </c>
      <c r="I20" s="22" t="str">
        <f t="shared" si="2"/>
        <v>N/A</v>
      </c>
      <c r="J20" s="22">
        <f t="shared" si="5"/>
        <v>0</v>
      </c>
      <c r="K20" s="107">
        <f t="shared" si="4"/>
        <v>0</v>
      </c>
    </row>
    <row r="21" spans="1:11" hidden="1" x14ac:dyDescent="0.2">
      <c r="A21" s="106" t="s">
        <v>84</v>
      </c>
      <c r="B21" s="72">
        <v>1</v>
      </c>
      <c r="C21" s="77">
        <f>VLOOKUP($B$3,'Data for Bill Impacts'!$A$3:$Y$25,11,0)</f>
        <v>0</v>
      </c>
      <c r="D21" s="21">
        <f t="shared" ref="D21:D22" si="8">B21*C21</f>
        <v>0</v>
      </c>
      <c r="E21" s="72">
        <f t="shared" si="6"/>
        <v>1</v>
      </c>
      <c r="F21" s="120">
        <f>VLOOKUP($B$3,'Data for Bill Impacts'!$A$3:$Y$25,12,0)</f>
        <v>0</v>
      </c>
      <c r="G21" s="21">
        <f t="shared" si="7"/>
        <v>0</v>
      </c>
      <c r="H21" s="21">
        <f t="shared" si="1"/>
        <v>0</v>
      </c>
      <c r="I21" s="22" t="str">
        <f t="shared" si="2"/>
        <v>N/A</v>
      </c>
      <c r="J21" s="22">
        <f t="shared" si="5"/>
        <v>0</v>
      </c>
      <c r="K21" s="107">
        <f t="shared" si="4"/>
        <v>0</v>
      </c>
    </row>
    <row r="22" spans="1:11" x14ac:dyDescent="0.2">
      <c r="A22" s="106" t="s">
        <v>85</v>
      </c>
      <c r="B22" s="72">
        <v>1</v>
      </c>
      <c r="C22" s="120">
        <f>VLOOKUP($B$3,'Data for Bill Impacts'!$A$3:$Y$25,13,0)</f>
        <v>0</v>
      </c>
      <c r="D22" s="21">
        <f t="shared" si="8"/>
        <v>0</v>
      </c>
      <c r="E22" s="72">
        <f t="shared" si="6"/>
        <v>1</v>
      </c>
      <c r="F22" s="120">
        <f>VLOOKUP($B$3,'Data for Bill Impacts'!$A$3:$Y$25,22,0)</f>
        <v>0</v>
      </c>
      <c r="G22" s="21">
        <f t="shared" si="7"/>
        <v>0</v>
      </c>
      <c r="H22" s="21">
        <f t="shared" si="1"/>
        <v>0</v>
      </c>
      <c r="I22" s="22" t="str">
        <f t="shared" si="2"/>
        <v>N/A</v>
      </c>
      <c r="J22" s="22">
        <f t="shared" si="5"/>
        <v>0</v>
      </c>
      <c r="K22" s="107">
        <f t="shared" si="4"/>
        <v>0</v>
      </c>
    </row>
    <row r="23" spans="1:11" x14ac:dyDescent="0.2">
      <c r="A23" s="106" t="s">
        <v>39</v>
      </c>
      <c r="B23" s="72">
        <f>IF($B$9="kWh",$B$4,$B$5)</f>
        <v>2000</v>
      </c>
      <c r="C23" s="124">
        <f>VLOOKUP($B$3,'Data for Bill Impacts'!$A$3:$Y$25,10,0)</f>
        <v>1.8800000000000001E-2</v>
      </c>
      <c r="D23" s="21">
        <f>B23*C23</f>
        <v>37.6</v>
      </c>
      <c r="E23" s="72">
        <f t="shared" si="6"/>
        <v>2000</v>
      </c>
      <c r="F23" s="77">
        <f>VLOOKUP($B$3,'Data for Bill Impacts'!$A$3:$Y$25,19,0)</f>
        <v>2.01E-2</v>
      </c>
      <c r="G23" s="21">
        <f>E23*F23</f>
        <v>40.200000000000003</v>
      </c>
      <c r="H23" s="21">
        <f t="shared" si="1"/>
        <v>2.6000000000000014</v>
      </c>
      <c r="I23" s="22">
        <f t="shared" si="2"/>
        <v>6.9148936170212796E-2</v>
      </c>
      <c r="J23" s="22">
        <f t="shared" si="5"/>
        <v>0.11057413341277506</v>
      </c>
      <c r="K23" s="107">
        <f t="shared" si="4"/>
        <v>0.11280293552433046</v>
      </c>
    </row>
    <row r="24" spans="1:11" x14ac:dyDescent="0.2">
      <c r="A24" s="106" t="s">
        <v>129</v>
      </c>
      <c r="B24" s="72">
        <f>IF($B$9="kWh",$B$4,$B$5)</f>
        <v>2000</v>
      </c>
      <c r="C24" s="124">
        <f>VLOOKUP($B$3,'Data for Bill Impacts'!$A$3:$Y$25,14,0)</f>
        <v>0</v>
      </c>
      <c r="D24" s="33">
        <f>B24*C24</f>
        <v>0</v>
      </c>
      <c r="E24" s="72">
        <f t="shared" si="6"/>
        <v>2000</v>
      </c>
      <c r="F24" s="124">
        <f>VLOOKUP($B$3,'Data for Bill Impacts'!$A$3:$Y$25,23,0)</f>
        <v>0</v>
      </c>
      <c r="G24" s="33">
        <f>E24*F24</f>
        <v>0</v>
      </c>
      <c r="H24" s="21">
        <f t="shared" si="1"/>
        <v>0</v>
      </c>
      <c r="I24" s="22" t="str">
        <f t="shared" si="2"/>
        <v>N/A</v>
      </c>
      <c r="J24" s="22">
        <f t="shared" si="5"/>
        <v>0</v>
      </c>
      <c r="K24" s="107">
        <f t="shared" si="4"/>
        <v>0</v>
      </c>
    </row>
    <row r="25" spans="1:11" s="1" customFormat="1" x14ac:dyDescent="0.2">
      <c r="A25" s="109" t="s">
        <v>72</v>
      </c>
      <c r="B25" s="73"/>
      <c r="C25" s="34"/>
      <c r="D25" s="34">
        <f>SUM(D19:D24)</f>
        <v>78.52000000000001</v>
      </c>
      <c r="E25" s="72"/>
      <c r="F25" s="34"/>
      <c r="G25" s="34">
        <f>SUM(G19:G24)</f>
        <v>83.460000000000008</v>
      </c>
      <c r="H25" s="34">
        <f t="shared" si="1"/>
        <v>4.9399999999999977</v>
      </c>
      <c r="I25" s="35">
        <f t="shared" si="2"/>
        <v>6.2913907284768172E-2</v>
      </c>
      <c r="J25" s="35">
        <f>G25/$G$46</f>
        <v>0.22956510384652254</v>
      </c>
      <c r="K25" s="110">
        <f t="shared" si="4"/>
        <v>0.23419236315573683</v>
      </c>
    </row>
    <row r="26" spans="1:11" s="1" customFormat="1" x14ac:dyDescent="0.2">
      <c r="A26" s="118" t="s">
        <v>73</v>
      </c>
      <c r="B26" s="119">
        <v>1</v>
      </c>
      <c r="C26" s="77">
        <f>VLOOKUP($B$3,'Data for Bill Impacts'!$A$3:$Y$25,9,0)</f>
        <v>0.79</v>
      </c>
      <c r="D26" s="21">
        <f>B26*C26</f>
        <v>0.79</v>
      </c>
      <c r="E26" s="72">
        <v>1</v>
      </c>
      <c r="F26" s="77">
        <f>VLOOKUP($B$3,'Data for Bill Impacts'!$A$3:$Y$25,18,0)</f>
        <v>0.79</v>
      </c>
      <c r="G26" s="21">
        <f>E26*F26</f>
        <v>0.79</v>
      </c>
      <c r="H26" s="21">
        <f t="shared" si="1"/>
        <v>0</v>
      </c>
      <c r="I26" s="22">
        <f t="shared" si="2"/>
        <v>0</v>
      </c>
      <c r="J26" s="22">
        <f>G26/$G$46</f>
        <v>2.1729742635843855E-3</v>
      </c>
      <c r="K26" s="107">
        <f t="shared" si="4"/>
        <v>2.2167741060751507E-3</v>
      </c>
    </row>
    <row r="27" spans="1:11" s="1" customFormat="1" x14ac:dyDescent="0.2">
      <c r="A27" s="118" t="s">
        <v>75</v>
      </c>
      <c r="B27" s="119">
        <f>B8-B4</f>
        <v>133.40000000000009</v>
      </c>
      <c r="C27" s="186">
        <f>IF(B4&gt;B7,C13,C12)</f>
        <v>0.106</v>
      </c>
      <c r="D27" s="21">
        <f>B27*C27</f>
        <v>14.140400000000009</v>
      </c>
      <c r="E27" s="72">
        <f>B27</f>
        <v>133.40000000000009</v>
      </c>
      <c r="F27" s="186">
        <f>C27</f>
        <v>0.106</v>
      </c>
      <c r="G27" s="21">
        <f>E27*F27</f>
        <v>14.140400000000009</v>
      </c>
      <c r="H27" s="21">
        <f t="shared" si="1"/>
        <v>0</v>
      </c>
      <c r="I27" s="22">
        <f t="shared" si="2"/>
        <v>0</v>
      </c>
      <c r="J27" s="22">
        <f t="shared" ref="J27:J46" si="9">G27/$G$46</f>
        <v>3.889458895796033E-2</v>
      </c>
      <c r="K27" s="107">
        <f t="shared" si="4"/>
        <v>3.967857287284187E-2</v>
      </c>
    </row>
    <row r="28" spans="1:11" s="1" customFormat="1" x14ac:dyDescent="0.2">
      <c r="A28" s="118" t="s">
        <v>74</v>
      </c>
      <c r="B28" s="119">
        <f>B8-B4</f>
        <v>133.40000000000009</v>
      </c>
      <c r="C28" s="186">
        <f>0.65*C15+0.17*C16+0.18*C17</f>
        <v>9.7519999999999996E-2</v>
      </c>
      <c r="D28" s="21">
        <f>B28*C28</f>
        <v>13.009168000000008</v>
      </c>
      <c r="E28" s="72">
        <f>B28</f>
        <v>133.40000000000009</v>
      </c>
      <c r="F28" s="186">
        <f>C28</f>
        <v>9.7519999999999996E-2</v>
      </c>
      <c r="G28" s="21">
        <f>E28*F28</f>
        <v>13.009168000000008</v>
      </c>
      <c r="H28" s="21">
        <f t="shared" si="1"/>
        <v>0</v>
      </c>
      <c r="I28" s="22">
        <f t="shared" si="2"/>
        <v>0</v>
      </c>
      <c r="J28" s="22">
        <f t="shared" si="9"/>
        <v>3.5783021841323502E-2</v>
      </c>
      <c r="K28" s="107">
        <f t="shared" si="4"/>
        <v>3.6504287043014526E-2</v>
      </c>
    </row>
    <row r="29" spans="1:11" s="1" customFormat="1" x14ac:dyDescent="0.2">
      <c r="A29" s="109" t="s">
        <v>78</v>
      </c>
      <c r="B29" s="73"/>
      <c r="C29" s="34"/>
      <c r="D29" s="34">
        <f>SUM(D25,D26:D27)</f>
        <v>93.45040000000003</v>
      </c>
      <c r="E29" s="72"/>
      <c r="F29" s="34"/>
      <c r="G29" s="34">
        <f>SUM(G25,G26:G27)</f>
        <v>98.390400000000028</v>
      </c>
      <c r="H29" s="34">
        <f t="shared" si="1"/>
        <v>4.9399999999999977</v>
      </c>
      <c r="I29" s="35">
        <f t="shared" si="2"/>
        <v>5.2862267042195606E-2</v>
      </c>
      <c r="J29" s="35">
        <f t="shared" si="9"/>
        <v>0.27063266706806727</v>
      </c>
      <c r="K29" s="110">
        <f t="shared" si="4"/>
        <v>0.27608771013465389</v>
      </c>
    </row>
    <row r="30" spans="1:11" s="1" customFormat="1" x14ac:dyDescent="0.2">
      <c r="A30" s="109" t="s">
        <v>77</v>
      </c>
      <c r="B30" s="73"/>
      <c r="C30" s="34"/>
      <c r="D30" s="34">
        <f>SUM(D25,D26,D28)</f>
        <v>92.319168000000019</v>
      </c>
      <c r="E30" s="72"/>
      <c r="F30" s="34"/>
      <c r="G30" s="34">
        <f>SUM(G25,G26,G28)</f>
        <v>97.259168000000017</v>
      </c>
      <c r="H30" s="34">
        <f t="shared" si="1"/>
        <v>4.9399999999999977</v>
      </c>
      <c r="I30" s="35">
        <f t="shared" si="2"/>
        <v>5.3510014301688648E-2</v>
      </c>
      <c r="J30" s="35">
        <f t="shared" si="9"/>
        <v>0.26752109995143042</v>
      </c>
      <c r="K30" s="110">
        <f t="shared" si="4"/>
        <v>0.27291342430482651</v>
      </c>
    </row>
    <row r="31" spans="1:11" x14ac:dyDescent="0.2">
      <c r="A31" s="106" t="s">
        <v>40</v>
      </c>
      <c r="B31" s="72">
        <f>B8</f>
        <v>2133.4</v>
      </c>
      <c r="C31" s="124">
        <f>VLOOKUP($B$3,'Data for Bill Impacts'!$A$3:$Y$25,15,0)</f>
        <v>5.3E-3</v>
      </c>
      <c r="D31" s="21">
        <f>B31*C31</f>
        <v>11.307020000000001</v>
      </c>
      <c r="E31" s="72">
        <f t="shared" si="6"/>
        <v>2133.4</v>
      </c>
      <c r="F31" s="77">
        <f>VLOOKUP($B$3,'Data for Bill Impacts'!$A$3:$Y$25,24,0)</f>
        <v>5.3E-3</v>
      </c>
      <c r="G31" s="21">
        <f>E31*F31</f>
        <v>11.307020000000001</v>
      </c>
      <c r="H31" s="21">
        <f t="shared" si="1"/>
        <v>0</v>
      </c>
      <c r="I31" s="22">
        <f t="shared" si="2"/>
        <v>0</v>
      </c>
      <c r="J31" s="22">
        <f t="shared" si="9"/>
        <v>3.1101092984599898E-2</v>
      </c>
      <c r="K31" s="107">
        <f t="shared" si="4"/>
        <v>3.1727986269460572E-2</v>
      </c>
    </row>
    <row r="32" spans="1:11" x14ac:dyDescent="0.2">
      <c r="A32" s="106" t="s">
        <v>41</v>
      </c>
      <c r="B32" s="72">
        <f>B8</f>
        <v>2133.4</v>
      </c>
      <c r="C32" s="124">
        <f>VLOOKUP($B$3,'Data for Bill Impacts'!$A$3:$Y$25,16,0)</f>
        <v>4.4000000000000003E-3</v>
      </c>
      <c r="D32" s="21">
        <f>B32*C32</f>
        <v>9.3869600000000002</v>
      </c>
      <c r="E32" s="72">
        <f t="shared" si="6"/>
        <v>2133.4</v>
      </c>
      <c r="F32" s="77">
        <f>VLOOKUP($B$3,'Data for Bill Impacts'!$A$3:$Y$25,25,0)</f>
        <v>4.4000000000000003E-3</v>
      </c>
      <c r="G32" s="21">
        <f>E32*F32</f>
        <v>9.3869600000000002</v>
      </c>
      <c r="H32" s="21">
        <f t="shared" si="1"/>
        <v>0</v>
      </c>
      <c r="I32" s="22">
        <f t="shared" si="2"/>
        <v>0</v>
      </c>
      <c r="J32" s="22">
        <f t="shared" si="9"/>
        <v>2.5819775307969722E-2</v>
      </c>
      <c r="K32" s="107">
        <f t="shared" si="4"/>
        <v>2.6340215016155945E-2</v>
      </c>
    </row>
    <row r="33" spans="1:11" s="1" customFormat="1" x14ac:dyDescent="0.2">
      <c r="A33" s="109" t="s">
        <v>76</v>
      </c>
      <c r="B33" s="73"/>
      <c r="C33" s="34"/>
      <c r="D33" s="34">
        <f>SUM(D31:D32)</f>
        <v>20.693980000000003</v>
      </c>
      <c r="E33" s="72"/>
      <c r="F33" s="34"/>
      <c r="G33" s="34">
        <f>SUM(G31:G32)</f>
        <v>20.693980000000003</v>
      </c>
      <c r="H33" s="34">
        <f t="shared" si="1"/>
        <v>0</v>
      </c>
      <c r="I33" s="35">
        <f t="shared" si="2"/>
        <v>0</v>
      </c>
      <c r="J33" s="35">
        <f t="shared" si="9"/>
        <v>5.6920868292569628E-2</v>
      </c>
      <c r="K33" s="110">
        <f t="shared" si="4"/>
        <v>5.8068201285616523E-2</v>
      </c>
    </row>
    <row r="34" spans="1:11" s="1" customFormat="1" x14ac:dyDescent="0.2">
      <c r="A34" s="109" t="s">
        <v>93</v>
      </c>
      <c r="B34" s="73"/>
      <c r="C34" s="34"/>
      <c r="D34" s="34">
        <f>D29+D33</f>
        <v>114.14438000000004</v>
      </c>
      <c r="E34" s="72"/>
      <c r="F34" s="34"/>
      <c r="G34" s="34">
        <f>G29+G33</f>
        <v>119.08438000000004</v>
      </c>
      <c r="H34" s="34">
        <f t="shared" si="1"/>
        <v>4.9399999999999977</v>
      </c>
      <c r="I34" s="35">
        <f t="shared" si="2"/>
        <v>4.3278521465533355E-2</v>
      </c>
      <c r="J34" s="35">
        <f t="shared" si="9"/>
        <v>0.32755353536063692</v>
      </c>
      <c r="K34" s="110">
        <f t="shared" si="4"/>
        <v>0.3341559114202704</v>
      </c>
    </row>
    <row r="35" spans="1:11" s="1" customFormat="1" x14ac:dyDescent="0.2">
      <c r="A35" s="109" t="s">
        <v>94</v>
      </c>
      <c r="B35" s="73"/>
      <c r="C35" s="34"/>
      <c r="D35" s="34">
        <f>D30+D33</f>
        <v>113.01314800000003</v>
      </c>
      <c r="E35" s="72"/>
      <c r="F35" s="34"/>
      <c r="G35" s="34">
        <f>G30+G33</f>
        <v>117.95314800000003</v>
      </c>
      <c r="H35" s="34">
        <f t="shared" si="1"/>
        <v>4.9399999999999977</v>
      </c>
      <c r="I35" s="35">
        <f t="shared" si="2"/>
        <v>4.3711728125651328E-2</v>
      </c>
      <c r="J35" s="35">
        <f t="shared" si="9"/>
        <v>0.32444196824400007</v>
      </c>
      <c r="K35" s="110">
        <f t="shared" si="4"/>
        <v>0.33098162559044303</v>
      </c>
    </row>
    <row r="36" spans="1:11" x14ac:dyDescent="0.2">
      <c r="A36" s="106" t="s">
        <v>42</v>
      </c>
      <c r="B36" s="72">
        <f>B8</f>
        <v>2133.4</v>
      </c>
      <c r="C36" s="33">
        <v>3.5999999999999999E-3</v>
      </c>
      <c r="D36" s="21">
        <f>B36*C36</f>
        <v>7.6802400000000004</v>
      </c>
      <c r="E36" s="72">
        <f t="shared" si="6"/>
        <v>2133.4</v>
      </c>
      <c r="F36" s="33">
        <v>3.5999999999999999E-3</v>
      </c>
      <c r="G36" s="21">
        <f>E36*F36</f>
        <v>7.6802400000000004</v>
      </c>
      <c r="H36" s="21">
        <f t="shared" si="1"/>
        <v>0</v>
      </c>
      <c r="I36" s="22">
        <f t="shared" si="2"/>
        <v>0</v>
      </c>
      <c r="J36" s="22">
        <f t="shared" si="9"/>
        <v>2.1125270706520684E-2</v>
      </c>
      <c r="K36" s="107">
        <f t="shared" si="4"/>
        <v>2.15510850132185E-2</v>
      </c>
    </row>
    <row r="37" spans="1:11" x14ac:dyDescent="0.2">
      <c r="A37" s="106" t="s">
        <v>43</v>
      </c>
      <c r="B37" s="72">
        <f>B8</f>
        <v>2133.4</v>
      </c>
      <c r="C37" s="33">
        <v>2.0999999999999999E-3</v>
      </c>
      <c r="D37" s="21">
        <f>B37*C37</f>
        <v>4.4801399999999996</v>
      </c>
      <c r="E37" s="72">
        <f t="shared" si="6"/>
        <v>2133.4</v>
      </c>
      <c r="F37" s="33">
        <v>2.0999999999999999E-3</v>
      </c>
      <c r="G37" s="21">
        <f>E37*F37</f>
        <v>4.4801399999999996</v>
      </c>
      <c r="H37" s="21">
        <f>G37-D37</f>
        <v>0</v>
      </c>
      <c r="I37" s="22">
        <f t="shared" si="2"/>
        <v>0</v>
      </c>
      <c r="J37" s="22">
        <f t="shared" si="9"/>
        <v>1.232307457880373E-2</v>
      </c>
      <c r="K37" s="107">
        <f t="shared" si="4"/>
        <v>1.257146625771079E-2</v>
      </c>
    </row>
    <row r="38" spans="1:11" x14ac:dyDescent="0.2">
      <c r="A38" s="106" t="s">
        <v>99</v>
      </c>
      <c r="B38" s="72">
        <f>B8</f>
        <v>2133.4</v>
      </c>
      <c r="C38" s="33">
        <v>0</v>
      </c>
      <c r="D38" s="21">
        <f>B38*C38</f>
        <v>0</v>
      </c>
      <c r="E38" s="72">
        <f t="shared" si="6"/>
        <v>2133.4</v>
      </c>
      <c r="F38" s="33">
        <v>0</v>
      </c>
      <c r="G38" s="21">
        <f>E38*F38</f>
        <v>0</v>
      </c>
      <c r="H38" s="21">
        <f>G38-D38</f>
        <v>0</v>
      </c>
      <c r="I38" s="22" t="str">
        <f t="shared" si="2"/>
        <v>N/A</v>
      </c>
      <c r="J38" s="22">
        <f t="shared" si="9"/>
        <v>0</v>
      </c>
      <c r="K38" s="107">
        <f t="shared" si="4"/>
        <v>0</v>
      </c>
    </row>
    <row r="39" spans="1:11" x14ac:dyDescent="0.2">
      <c r="A39" s="106" t="s">
        <v>44</v>
      </c>
      <c r="B39" s="72">
        <v>1</v>
      </c>
      <c r="C39" s="21">
        <v>0.25</v>
      </c>
      <c r="D39" s="21">
        <f>B39*C39</f>
        <v>0.25</v>
      </c>
      <c r="E39" s="72">
        <f t="shared" si="6"/>
        <v>1</v>
      </c>
      <c r="F39" s="21">
        <f>C39</f>
        <v>0.25</v>
      </c>
      <c r="G39" s="21">
        <f>E39*F39</f>
        <v>0.25</v>
      </c>
      <c r="H39" s="21">
        <f t="shared" si="1"/>
        <v>0</v>
      </c>
      <c r="I39" s="22">
        <f t="shared" si="2"/>
        <v>0</v>
      </c>
      <c r="J39" s="22">
        <f t="shared" si="9"/>
        <v>6.876500834127802E-4</v>
      </c>
      <c r="K39" s="107">
        <f t="shared" si="4"/>
        <v>7.0151079306175648E-4</v>
      </c>
    </row>
    <row r="40" spans="1:11" s="1" customFormat="1" x14ac:dyDescent="0.2">
      <c r="A40" s="109" t="s">
        <v>45</v>
      </c>
      <c r="B40" s="73"/>
      <c r="C40" s="34"/>
      <c r="D40" s="34">
        <f>SUM(D36:D39)</f>
        <v>12.41038</v>
      </c>
      <c r="E40" s="72"/>
      <c r="F40" s="34"/>
      <c r="G40" s="34">
        <f>SUM(G36:G39)</f>
        <v>12.41038</v>
      </c>
      <c r="H40" s="34">
        <f t="shared" si="1"/>
        <v>0</v>
      </c>
      <c r="I40" s="35">
        <f t="shared" si="2"/>
        <v>0</v>
      </c>
      <c r="J40" s="35">
        <f t="shared" si="9"/>
        <v>3.4135995368737196E-2</v>
      </c>
      <c r="K40" s="110">
        <f t="shared" si="4"/>
        <v>3.4824062063991051E-2</v>
      </c>
    </row>
    <row r="41" spans="1:11" s="1" customFormat="1" ht="13.5" thickBot="1" x14ac:dyDescent="0.25">
      <c r="A41" s="111" t="s">
        <v>46</v>
      </c>
      <c r="B41" s="112">
        <f>B4</f>
        <v>2000</v>
      </c>
      <c r="C41" s="113">
        <v>7.0000000000000001E-3</v>
      </c>
      <c r="D41" s="114">
        <f>B41*C41</f>
        <v>14</v>
      </c>
      <c r="E41" s="115">
        <f t="shared" si="6"/>
        <v>2000</v>
      </c>
      <c r="F41" s="113">
        <f>C41</f>
        <v>7.0000000000000001E-3</v>
      </c>
      <c r="G41" s="114">
        <f>E41*F41</f>
        <v>14</v>
      </c>
      <c r="H41" s="114">
        <f t="shared" si="1"/>
        <v>0</v>
      </c>
      <c r="I41" s="116">
        <f t="shared" si="2"/>
        <v>0</v>
      </c>
      <c r="J41" s="116">
        <f t="shared" si="9"/>
        <v>3.8508404671115687E-2</v>
      </c>
      <c r="K41" s="117">
        <f t="shared" si="4"/>
        <v>3.9284604411458368E-2</v>
      </c>
    </row>
    <row r="42" spans="1:11" s="1" customFormat="1" x14ac:dyDescent="0.2">
      <c r="A42" s="36" t="s">
        <v>107</v>
      </c>
      <c r="B42" s="37"/>
      <c r="C42" s="38"/>
      <c r="D42" s="38">
        <f>SUM(D14,D25,D26,D27,D33,D40,D41)</f>
        <v>341.30475999999999</v>
      </c>
      <c r="E42" s="37"/>
      <c r="F42" s="38"/>
      <c r="G42" s="38">
        <f>SUM(G14,G25,G26,G27,G33,G40,G41)</f>
        <v>346.24476000000004</v>
      </c>
      <c r="H42" s="38">
        <f t="shared" si="1"/>
        <v>4.9400000000000546</v>
      </c>
      <c r="I42" s="39">
        <f t="shared" si="2"/>
        <v>1.4473867871048898E-2</v>
      </c>
      <c r="J42" s="39">
        <f t="shared" si="9"/>
        <v>0.95238095238095233</v>
      </c>
      <c r="K42" s="40"/>
    </row>
    <row r="43" spans="1:11" x14ac:dyDescent="0.2">
      <c r="A43" s="142" t="s">
        <v>108</v>
      </c>
      <c r="B43" s="42"/>
      <c r="C43" s="25">
        <v>0.13</v>
      </c>
      <c r="D43" s="25">
        <f>D42*C43</f>
        <v>44.369618799999998</v>
      </c>
      <c r="E43" s="25"/>
      <c r="F43" s="25">
        <f>C43</f>
        <v>0.13</v>
      </c>
      <c r="G43" s="25">
        <f>G42*F43</f>
        <v>45.011818800000007</v>
      </c>
      <c r="H43" s="25">
        <f t="shared" si="1"/>
        <v>0.64220000000000965</v>
      </c>
      <c r="I43" s="43">
        <f t="shared" si="2"/>
        <v>1.4473867871048955E-2</v>
      </c>
      <c r="J43" s="43">
        <f t="shared" si="9"/>
        <v>0.1238095238095238</v>
      </c>
      <c r="K43" s="44"/>
    </row>
    <row r="44" spans="1:11" s="1" customFormat="1" x14ac:dyDescent="0.2">
      <c r="A44" s="45" t="s">
        <v>109</v>
      </c>
      <c r="B44" s="23"/>
      <c r="C44" s="24"/>
      <c r="D44" s="24">
        <f>SUM(D42:D43)</f>
        <v>385.6743788</v>
      </c>
      <c r="E44" s="24"/>
      <c r="F44" s="24"/>
      <c r="G44" s="24">
        <f>SUM(G42:G43)</f>
        <v>391.25657880000006</v>
      </c>
      <c r="H44" s="24">
        <f t="shared" si="1"/>
        <v>5.5822000000000571</v>
      </c>
      <c r="I44" s="26">
        <f t="shared" si="2"/>
        <v>1.4473867871048885E-2</v>
      </c>
      <c r="J44" s="26">
        <f t="shared" si="9"/>
        <v>1.0761904761904761</v>
      </c>
      <c r="K44" s="46"/>
    </row>
    <row r="45" spans="1:11" x14ac:dyDescent="0.2">
      <c r="A45" s="41" t="s">
        <v>110</v>
      </c>
      <c r="B45" s="42"/>
      <c r="C45" s="25">
        <v>-0.08</v>
      </c>
      <c r="D45" s="25">
        <f>D42*C45</f>
        <v>-27.304380800000001</v>
      </c>
      <c r="E45" s="25"/>
      <c r="F45" s="25">
        <f>C45</f>
        <v>-0.08</v>
      </c>
      <c r="G45" s="25">
        <f>G42*F45</f>
        <v>-27.699580800000003</v>
      </c>
      <c r="H45" s="25">
        <f t="shared" si="1"/>
        <v>-0.39520000000000266</v>
      </c>
      <c r="I45" s="43">
        <f t="shared" si="2"/>
        <v>-1.4473867871048833E-2</v>
      </c>
      <c r="J45" s="43">
        <f t="shared" si="9"/>
        <v>-7.6190476190476183E-2</v>
      </c>
      <c r="K45" s="44"/>
    </row>
    <row r="46" spans="1:11" s="1" customFormat="1" ht="13.5" thickBot="1" x14ac:dyDescent="0.25">
      <c r="A46" s="47" t="s">
        <v>111</v>
      </c>
      <c r="B46" s="48"/>
      <c r="C46" s="49"/>
      <c r="D46" s="49">
        <f>SUM(D44:D45)</f>
        <v>358.36999800000001</v>
      </c>
      <c r="E46" s="49"/>
      <c r="F46" s="49"/>
      <c r="G46" s="49">
        <f>SUM(G44:G45)</f>
        <v>363.55699800000008</v>
      </c>
      <c r="H46" s="49">
        <f t="shared" si="1"/>
        <v>5.1870000000000687</v>
      </c>
      <c r="I46" s="50">
        <f t="shared" si="2"/>
        <v>1.4473867871048927E-2</v>
      </c>
      <c r="J46" s="50">
        <f t="shared" si="9"/>
        <v>1</v>
      </c>
      <c r="K46" s="51"/>
    </row>
    <row r="47" spans="1:11" x14ac:dyDescent="0.2">
      <c r="A47" s="52" t="s">
        <v>112</v>
      </c>
      <c r="B47" s="53"/>
      <c r="C47" s="54"/>
      <c r="D47" s="54">
        <f>SUM(D18,D25,D26,D28,D33,D40,D41)</f>
        <v>334.463528</v>
      </c>
      <c r="E47" s="54"/>
      <c r="F47" s="54"/>
      <c r="G47" s="54">
        <f>SUM(G18,G25,G26,G28,G33,G40,G41)</f>
        <v>339.40352799999999</v>
      </c>
      <c r="H47" s="54">
        <f>G47-D47</f>
        <v>4.9399999999999977</v>
      </c>
      <c r="I47" s="55">
        <f t="shared" si="2"/>
        <v>1.4769921341019872E-2</v>
      </c>
      <c r="J47" s="55"/>
      <c r="K47" s="56">
        <f>G47/$G$51</f>
        <v>0.95238095238095233</v>
      </c>
    </row>
    <row r="48" spans="1:11" x14ac:dyDescent="0.2">
      <c r="A48" s="57" t="s">
        <v>108</v>
      </c>
      <c r="B48" s="58"/>
      <c r="C48" s="30">
        <v>0.13</v>
      </c>
      <c r="D48" s="30">
        <f>D47*C48</f>
        <v>43.480258640000002</v>
      </c>
      <c r="E48" s="30"/>
      <c r="F48" s="30">
        <f>C48</f>
        <v>0.13</v>
      </c>
      <c r="G48" s="30">
        <f>G47*F48</f>
        <v>44.122458639999998</v>
      </c>
      <c r="H48" s="30">
        <f>G48-D48</f>
        <v>0.64219999999999544</v>
      </c>
      <c r="I48" s="31">
        <f t="shared" si="2"/>
        <v>1.4769921341019773E-2</v>
      </c>
      <c r="J48" s="31"/>
      <c r="K48" s="59">
        <f>G48/$G$51</f>
        <v>0.1238095238095238</v>
      </c>
    </row>
    <row r="49" spans="1:11" x14ac:dyDescent="0.2">
      <c r="A49" s="135" t="s">
        <v>113</v>
      </c>
      <c r="B49" s="28"/>
      <c r="C49" s="29"/>
      <c r="D49" s="29">
        <f>SUM(D47:D48)</f>
        <v>377.94378663999998</v>
      </c>
      <c r="E49" s="29"/>
      <c r="F49" s="29"/>
      <c r="G49" s="29">
        <f>SUM(G47:G48)</f>
        <v>383.52598663999999</v>
      </c>
      <c r="H49" s="29">
        <f>G49-D49</f>
        <v>5.5822000000000003</v>
      </c>
      <c r="I49" s="32">
        <f t="shared" si="2"/>
        <v>1.4769921341019881E-2</v>
      </c>
      <c r="J49" s="32"/>
      <c r="K49" s="61">
        <f>G49/$G$51</f>
        <v>1.0761904761904761</v>
      </c>
    </row>
    <row r="50" spans="1:11" x14ac:dyDescent="0.2">
      <c r="A50" s="57" t="s">
        <v>110</v>
      </c>
      <c r="B50" s="58"/>
      <c r="C50" s="30">
        <v>-0.08</v>
      </c>
      <c r="D50" s="30">
        <f>D47*C50</f>
        <v>-26.757082239999999</v>
      </c>
      <c r="E50" s="30"/>
      <c r="F50" s="30">
        <f>C50</f>
        <v>-0.08</v>
      </c>
      <c r="G50" s="30">
        <f>G47*F50</f>
        <v>-27.152282240000002</v>
      </c>
      <c r="H50" s="30">
        <f>G50-D50</f>
        <v>-0.39520000000000266</v>
      </c>
      <c r="I50" s="31">
        <f t="shared" si="2"/>
        <v>-1.476992134101998E-2</v>
      </c>
      <c r="J50" s="31"/>
      <c r="K50" s="59">
        <f>G50/$G$51</f>
        <v>-7.6190476190476197E-2</v>
      </c>
    </row>
    <row r="51" spans="1:11" ht="13.5" thickBot="1" x14ac:dyDescent="0.25">
      <c r="A51" s="62" t="s">
        <v>114</v>
      </c>
      <c r="B51" s="63"/>
      <c r="C51" s="64"/>
      <c r="D51" s="64">
        <f>SUM(D49:D50)</f>
        <v>351.1867044</v>
      </c>
      <c r="E51" s="64"/>
      <c r="F51" s="64"/>
      <c r="G51" s="64">
        <f>SUM(G49:G50)</f>
        <v>356.37370440000001</v>
      </c>
      <c r="H51" s="64">
        <f>G51-D51</f>
        <v>5.1870000000000118</v>
      </c>
      <c r="I51" s="65">
        <f t="shared" si="2"/>
        <v>1.4769921341019914E-2</v>
      </c>
      <c r="J51" s="65"/>
      <c r="K51" s="66">
        <f>G51/$G$51</f>
        <v>1</v>
      </c>
    </row>
    <row r="52" spans="1:11" x14ac:dyDescent="0.2">
      <c r="C52" s="67"/>
      <c r="F52" s="68"/>
    </row>
    <row r="53" spans="1:11" x14ac:dyDescent="0.2">
      <c r="F53" s="68"/>
    </row>
    <row r="54" spans="1:11" x14ac:dyDescent="0.2">
      <c r="F54" s="68"/>
    </row>
    <row r="55" spans="1:11" x14ac:dyDescent="0.2">
      <c r="A55" s="69"/>
      <c r="B55" s="70"/>
      <c r="F55" s="68"/>
    </row>
    <row r="56" spans="1:11" x14ac:dyDescent="0.2">
      <c r="B56" s="70"/>
      <c r="F56" s="68"/>
    </row>
    <row r="57" spans="1:11" x14ac:dyDescent="0.2">
      <c r="F57" s="68"/>
    </row>
    <row r="58" spans="1:11" x14ac:dyDescent="0.2">
      <c r="D58" s="71"/>
      <c r="F58" s="68"/>
    </row>
    <row r="59" spans="1:11" x14ac:dyDescent="0.2">
      <c r="F59" s="68"/>
    </row>
    <row r="60" spans="1:11" x14ac:dyDescent="0.2">
      <c r="A60" s="69"/>
      <c r="B60" s="70"/>
      <c r="F60" s="68"/>
    </row>
    <row r="61" spans="1:11" x14ac:dyDescent="0.2">
      <c r="B61" s="71"/>
      <c r="D61" s="71"/>
      <c r="F61" s="68"/>
    </row>
    <row r="62" spans="1:11" x14ac:dyDescent="0.2">
      <c r="F62" s="68"/>
    </row>
    <row r="63" spans="1:11" x14ac:dyDescent="0.2">
      <c r="F63" s="68"/>
    </row>
    <row r="64" spans="1:11" x14ac:dyDescent="0.2">
      <c r="F64" s="68"/>
      <c r="K64"/>
    </row>
    <row r="65" spans="6:11" x14ac:dyDescent="0.2">
      <c r="F65" s="68"/>
      <c r="K65"/>
    </row>
    <row r="66" spans="6:11" x14ac:dyDescent="0.2">
      <c r="F66" s="68"/>
      <c r="K66"/>
    </row>
    <row r="67" spans="6:11" x14ac:dyDescent="0.2">
      <c r="F67" s="68"/>
      <c r="K67"/>
    </row>
    <row r="68" spans="6:11" x14ac:dyDescent="0.2">
      <c r="F68" s="68"/>
      <c r="K68"/>
    </row>
  </sheetData>
  <mergeCells count="1">
    <mergeCell ref="A1:K1"/>
  </mergeCells>
  <pageMargins left="0.7" right="0.7" top="0.75" bottom="0.75" header="0.3" footer="0.3"/>
  <pageSetup scale="7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Impacts'!$A$3:$A$21</xm:f>
          </x14:formula1>
          <xm:sqref>B3</xm:sqref>
        </x14:dataValidation>
      </x14:dataValidations>
    </ext>
  </extLst>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tabColor theme="1" tint="0.499984740745262"/>
    <pageSetUpPr fitToPage="1"/>
  </sheetPr>
  <dimension ref="A1:K68"/>
  <sheetViews>
    <sheetView tabSelected="1" zoomScaleNormal="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3"/>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205" t="s">
        <v>127</v>
      </c>
      <c r="B1" s="206"/>
      <c r="C1" s="206"/>
      <c r="D1" s="206"/>
      <c r="E1" s="206"/>
      <c r="F1" s="206"/>
      <c r="G1" s="206"/>
      <c r="H1" s="206"/>
      <c r="I1" s="206"/>
      <c r="J1" s="206"/>
      <c r="K1" s="207"/>
    </row>
    <row r="3" spans="1:11" x14ac:dyDescent="0.2">
      <c r="A3" s="12" t="s">
        <v>13</v>
      </c>
      <c r="B3" s="12" t="s">
        <v>120</v>
      </c>
    </row>
    <row r="4" spans="1:11" x14ac:dyDescent="0.2">
      <c r="A4" s="14" t="s">
        <v>62</v>
      </c>
      <c r="B4" s="78">
        <f>VLOOKUP(B3,'Data for Bill Impacts_HONI Avg '!A2:F21,3,FALSE)</f>
        <v>1988</v>
      </c>
    </row>
    <row r="5" spans="1:11" x14ac:dyDescent="0.2">
      <c r="A5" s="14" t="s">
        <v>16</v>
      </c>
      <c r="B5" s="14">
        <f>VLOOKUP($B$3,'Data for Bill Impacts'!$A$3:$Y$25,5,0)</f>
        <v>0</v>
      </c>
    </row>
    <row r="6" spans="1:11" x14ac:dyDescent="0.2">
      <c r="A6" s="14" t="s">
        <v>20</v>
      </c>
      <c r="B6" s="14">
        <f>VLOOKUP($B$3,'Data for Bill Impacts'!$A$3:$Y$25,2,0)</f>
        <v>1.0667</v>
      </c>
    </row>
    <row r="7" spans="1:11" x14ac:dyDescent="0.2">
      <c r="A7" s="14" t="s">
        <v>15</v>
      </c>
      <c r="B7" s="14">
        <f>VLOOKUP($B$3,'Data for Bill Impacts'!$A$3:$Y$25,4,0)</f>
        <v>750</v>
      </c>
    </row>
    <row r="8" spans="1:11" x14ac:dyDescent="0.2">
      <c r="A8" s="14" t="s">
        <v>82</v>
      </c>
      <c r="B8" s="148">
        <f>B4*B6</f>
        <v>2120.5996</v>
      </c>
    </row>
    <row r="9" spans="1:11" x14ac:dyDescent="0.2">
      <c r="A9" s="14" t="s">
        <v>21</v>
      </c>
      <c r="B9" s="15" t="str">
        <f>VLOOKUP($B$3,'Data for Bill Impacts'!$A$3:$Y$25,6,0)</f>
        <v>kWh</v>
      </c>
    </row>
    <row r="10" spans="1:11" ht="13.5" thickBot="1" x14ac:dyDescent="0.25"/>
    <row r="11" spans="1:11" s="19" customFormat="1" ht="51.75" thickBot="1" x14ac:dyDescent="0.25">
      <c r="A11" s="16"/>
      <c r="B11" s="17" t="s">
        <v>22</v>
      </c>
      <c r="C11" s="17" t="s">
        <v>23</v>
      </c>
      <c r="D11" s="17" t="s">
        <v>24</v>
      </c>
      <c r="E11" s="17" t="s">
        <v>22</v>
      </c>
      <c r="F11" s="17" t="s">
        <v>25</v>
      </c>
      <c r="G11" s="17" t="s">
        <v>26</v>
      </c>
      <c r="H11" s="17" t="s">
        <v>27</v>
      </c>
      <c r="I11" s="17" t="s">
        <v>28</v>
      </c>
      <c r="J11" s="17" t="s">
        <v>29</v>
      </c>
      <c r="K11" s="18" t="s">
        <v>30</v>
      </c>
    </row>
    <row r="12" spans="1:11" x14ac:dyDescent="0.2">
      <c r="A12" s="100" t="s">
        <v>31</v>
      </c>
      <c r="B12" s="101">
        <f>IF(B4&gt;B7,B7,B4)</f>
        <v>750</v>
      </c>
      <c r="C12" s="102">
        <v>9.0999999999999998E-2</v>
      </c>
      <c r="D12" s="103">
        <f>B12*C12</f>
        <v>68.25</v>
      </c>
      <c r="E12" s="101">
        <f>B12</f>
        <v>750</v>
      </c>
      <c r="F12" s="102">
        <f>C12</f>
        <v>9.0999999999999998E-2</v>
      </c>
      <c r="G12" s="103">
        <f>E12*F12</f>
        <v>68.25</v>
      </c>
      <c r="H12" s="103">
        <f>G12-D12</f>
        <v>0</v>
      </c>
      <c r="I12" s="104">
        <f>IF(ISERROR(H12/ABS(D12)),"N/A",(H12/ABS(D12)))</f>
        <v>0</v>
      </c>
      <c r="J12" s="104">
        <f>G12/$G$46</f>
        <v>0.18875288825517042</v>
      </c>
      <c r="K12" s="105"/>
    </row>
    <row r="13" spans="1:11" x14ac:dyDescent="0.2">
      <c r="A13" s="106" t="s">
        <v>32</v>
      </c>
      <c r="B13" s="72">
        <f>IF(B4&gt;B7,(B4)-B7,0)</f>
        <v>1238</v>
      </c>
      <c r="C13" s="20">
        <v>0.106</v>
      </c>
      <c r="D13" s="21">
        <f>B13*C13</f>
        <v>131.22800000000001</v>
      </c>
      <c r="E13" s="72">
        <f t="shared" ref="E13" si="0">B13</f>
        <v>1238</v>
      </c>
      <c r="F13" s="20">
        <f>C13</f>
        <v>0.106</v>
      </c>
      <c r="G13" s="21">
        <f>E13*F13</f>
        <v>131.22800000000001</v>
      </c>
      <c r="H13" s="21">
        <f t="shared" ref="H13:H46" si="1">G13-D13</f>
        <v>0</v>
      </c>
      <c r="I13" s="22">
        <f t="shared" ref="I13:I51" si="2">IF(ISERROR(H13/ABS(D13)),"N/A",(H13/ABS(D13)))</f>
        <v>0</v>
      </c>
      <c r="J13" s="22">
        <f>G13/$G$46</f>
        <v>0.3629254801457803</v>
      </c>
      <c r="K13" s="107"/>
    </row>
    <row r="14" spans="1:11" s="1" customFormat="1" x14ac:dyDescent="0.2">
      <c r="A14" s="45" t="s">
        <v>33</v>
      </c>
      <c r="B14" s="23"/>
      <c r="C14" s="24"/>
      <c r="D14" s="24">
        <f>SUM(D12:D13)</f>
        <v>199.47800000000001</v>
      </c>
      <c r="E14" s="75"/>
      <c r="F14" s="24"/>
      <c r="G14" s="24">
        <f>SUM(G12:G13)</f>
        <v>199.47800000000001</v>
      </c>
      <c r="H14" s="24">
        <f t="shared" si="1"/>
        <v>0</v>
      </c>
      <c r="I14" s="26">
        <f t="shared" si="2"/>
        <v>0</v>
      </c>
      <c r="J14" s="26">
        <f>G14/$G$46</f>
        <v>0.55167836840095075</v>
      </c>
      <c r="K14" s="107"/>
    </row>
    <row r="15" spans="1:11" s="1" customFormat="1" x14ac:dyDescent="0.2">
      <c r="A15" s="108" t="s">
        <v>34</v>
      </c>
      <c r="B15" s="74">
        <f>B4*0.65</f>
        <v>1292.2</v>
      </c>
      <c r="C15" s="27">
        <v>7.6999999999999999E-2</v>
      </c>
      <c r="D15" s="21">
        <f>B15*C15</f>
        <v>99.499400000000009</v>
      </c>
      <c r="E15" s="72">
        <f t="shared" ref="E15:F17" si="3">B15</f>
        <v>1292.2</v>
      </c>
      <c r="F15" s="27">
        <f t="shared" si="3"/>
        <v>7.6999999999999999E-2</v>
      </c>
      <c r="G15" s="21">
        <f>E15*F15</f>
        <v>99.499400000000009</v>
      </c>
      <c r="H15" s="21">
        <f t="shared" si="1"/>
        <v>0</v>
      </c>
      <c r="I15" s="22">
        <f t="shared" si="2"/>
        <v>0</v>
      </c>
      <c r="J15" s="22"/>
      <c r="K15" s="107">
        <f t="shared" ref="K15:K41" si="4">G15/$G$51</f>
        <v>0.28066379614024073</v>
      </c>
    </row>
    <row r="16" spans="1:11" s="1" customFormat="1" x14ac:dyDescent="0.2">
      <c r="A16" s="108" t="s">
        <v>35</v>
      </c>
      <c r="B16" s="74">
        <f>B4*0.17</f>
        <v>337.96000000000004</v>
      </c>
      <c r="C16" s="27">
        <v>0.113</v>
      </c>
      <c r="D16" s="21">
        <f>B16*C16</f>
        <v>38.189480000000003</v>
      </c>
      <c r="E16" s="72">
        <f t="shared" si="3"/>
        <v>337.96000000000004</v>
      </c>
      <c r="F16" s="27">
        <f t="shared" si="3"/>
        <v>0.113</v>
      </c>
      <c r="G16" s="21">
        <f>E16*F16</f>
        <v>38.189480000000003</v>
      </c>
      <c r="H16" s="21">
        <f t="shared" si="1"/>
        <v>0</v>
      </c>
      <c r="I16" s="22">
        <f t="shared" si="2"/>
        <v>0</v>
      </c>
      <c r="J16" s="22"/>
      <c r="K16" s="107">
        <f t="shared" si="4"/>
        <v>0.10772330716991058</v>
      </c>
    </row>
    <row r="17" spans="1:11" s="1" customFormat="1" x14ac:dyDescent="0.2">
      <c r="A17" s="108" t="s">
        <v>36</v>
      </c>
      <c r="B17" s="74">
        <f>B4*0.18</f>
        <v>357.84</v>
      </c>
      <c r="C17" s="27">
        <v>0.157</v>
      </c>
      <c r="D17" s="21">
        <f>B17*C17</f>
        <v>56.180879999999995</v>
      </c>
      <c r="E17" s="72">
        <f t="shared" si="3"/>
        <v>357.84</v>
      </c>
      <c r="F17" s="27">
        <f t="shared" si="3"/>
        <v>0.157</v>
      </c>
      <c r="G17" s="21">
        <f>E17*F17</f>
        <v>56.180879999999995</v>
      </c>
      <c r="H17" s="21">
        <f t="shared" si="1"/>
        <v>0</v>
      </c>
      <c r="I17" s="22">
        <f t="shared" si="2"/>
        <v>0</v>
      </c>
      <c r="J17" s="22"/>
      <c r="K17" s="107">
        <f t="shared" si="4"/>
        <v>0.15847270487359044</v>
      </c>
    </row>
    <row r="18" spans="1:11" s="1" customFormat="1" x14ac:dyDescent="0.2">
      <c r="A18" s="60" t="s">
        <v>37</v>
      </c>
      <c r="B18" s="28"/>
      <c r="C18" s="29"/>
      <c r="D18" s="29">
        <f>SUM(D15:D17)</f>
        <v>193.86976000000001</v>
      </c>
      <c r="E18" s="76"/>
      <c r="F18" s="29"/>
      <c r="G18" s="29">
        <f>SUM(G15:G17)</f>
        <v>193.86976000000001</v>
      </c>
      <c r="H18" s="30">
        <f t="shared" si="1"/>
        <v>0</v>
      </c>
      <c r="I18" s="31">
        <f t="shared" si="2"/>
        <v>0</v>
      </c>
      <c r="J18" s="32">
        <f t="shared" ref="J18:J24" si="5">G18/$G$46</f>
        <v>0.53616816330163686</v>
      </c>
      <c r="K18" s="61">
        <f t="shared" si="4"/>
        <v>0.5468598081837418</v>
      </c>
    </row>
    <row r="19" spans="1:11" x14ac:dyDescent="0.2">
      <c r="A19" s="106" t="s">
        <v>38</v>
      </c>
      <c r="B19" s="72">
        <v>1</v>
      </c>
      <c r="C19" s="77">
        <f>VLOOKUP($B$3,'Data for Bill Impacts'!$A$3:$Y$25,7,0)</f>
        <v>40.92</v>
      </c>
      <c r="D19" s="21">
        <f>B19*C19</f>
        <v>40.92</v>
      </c>
      <c r="E19" s="72">
        <f t="shared" ref="E19:E41" si="6">B19</f>
        <v>1</v>
      </c>
      <c r="F19" s="77">
        <f>VLOOKUP($B$3,'Data for Bill Impacts'!$A$3:$Y$25,17,0)</f>
        <v>43.26</v>
      </c>
      <c r="G19" s="21">
        <f>E19*F19</f>
        <v>43.26</v>
      </c>
      <c r="H19" s="21">
        <f t="shared" si="1"/>
        <v>2.3399999999999963</v>
      </c>
      <c r="I19" s="22">
        <f t="shared" si="2"/>
        <v>5.7184750733137737E-2</v>
      </c>
      <c r="J19" s="22">
        <f t="shared" si="5"/>
        <v>0.11964029224789263</v>
      </c>
      <c r="K19" s="107">
        <f t="shared" si="4"/>
        <v>0.12202602046873461</v>
      </c>
    </row>
    <row r="20" spans="1:11" hidden="1" x14ac:dyDescent="0.2">
      <c r="A20" s="106" t="s">
        <v>83</v>
      </c>
      <c r="B20" s="72">
        <v>1</v>
      </c>
      <c r="C20" s="77">
        <f>VLOOKUP($B$3,'Data for Bill Impacts'!$A$3:$Y$25,8,0)</f>
        <v>0</v>
      </c>
      <c r="D20" s="21">
        <f>B20*C20</f>
        <v>0</v>
      </c>
      <c r="E20" s="72">
        <f t="shared" si="6"/>
        <v>1</v>
      </c>
      <c r="F20" s="77">
        <v>0</v>
      </c>
      <c r="G20" s="21">
        <f t="shared" ref="G20:G22" si="7">E20*F20</f>
        <v>0</v>
      </c>
      <c r="H20" s="21">
        <f t="shared" si="1"/>
        <v>0</v>
      </c>
      <c r="I20" s="22" t="str">
        <f t="shared" si="2"/>
        <v>N/A</v>
      </c>
      <c r="J20" s="22">
        <f t="shared" si="5"/>
        <v>0</v>
      </c>
      <c r="K20" s="107">
        <f t="shared" si="4"/>
        <v>0</v>
      </c>
    </row>
    <row r="21" spans="1:11" hidden="1" x14ac:dyDescent="0.2">
      <c r="A21" s="106" t="s">
        <v>84</v>
      </c>
      <c r="B21" s="72">
        <v>1</v>
      </c>
      <c r="C21" s="77">
        <f>VLOOKUP($B$3,'Data for Bill Impacts'!$A$3:$Y$25,11,0)</f>
        <v>0</v>
      </c>
      <c r="D21" s="21">
        <f t="shared" ref="D21:D22" si="8">B21*C21</f>
        <v>0</v>
      </c>
      <c r="E21" s="72">
        <f t="shared" si="6"/>
        <v>1</v>
      </c>
      <c r="F21" s="120">
        <f>VLOOKUP($B$3,'Data for Bill Impacts'!$A$3:$Y$25,12,0)</f>
        <v>0</v>
      </c>
      <c r="G21" s="21">
        <f t="shared" si="7"/>
        <v>0</v>
      </c>
      <c r="H21" s="21">
        <f t="shared" si="1"/>
        <v>0</v>
      </c>
      <c r="I21" s="22" t="str">
        <f t="shared" si="2"/>
        <v>N/A</v>
      </c>
      <c r="J21" s="22">
        <f t="shared" si="5"/>
        <v>0</v>
      </c>
      <c r="K21" s="107">
        <f t="shared" si="4"/>
        <v>0</v>
      </c>
    </row>
    <row r="22" spans="1:11" x14ac:dyDescent="0.2">
      <c r="A22" s="106" t="s">
        <v>85</v>
      </c>
      <c r="B22" s="72">
        <v>1</v>
      </c>
      <c r="C22" s="120">
        <f>VLOOKUP($B$3,'Data for Bill Impacts'!$A$3:$Y$25,13,0)</f>
        <v>0</v>
      </c>
      <c r="D22" s="21">
        <f t="shared" si="8"/>
        <v>0</v>
      </c>
      <c r="E22" s="72">
        <f t="shared" si="6"/>
        <v>1</v>
      </c>
      <c r="F22" s="120">
        <f>VLOOKUP($B$3,'Data for Bill Impacts'!$A$3:$Y$25,22,0)</f>
        <v>0</v>
      </c>
      <c r="G22" s="21">
        <f t="shared" si="7"/>
        <v>0</v>
      </c>
      <c r="H22" s="21">
        <f t="shared" si="1"/>
        <v>0</v>
      </c>
      <c r="I22" s="22" t="str">
        <f t="shared" si="2"/>
        <v>N/A</v>
      </c>
      <c r="J22" s="22">
        <f t="shared" si="5"/>
        <v>0</v>
      </c>
      <c r="K22" s="107">
        <f t="shared" si="4"/>
        <v>0</v>
      </c>
    </row>
    <row r="23" spans="1:11" x14ac:dyDescent="0.2">
      <c r="A23" s="106" t="s">
        <v>39</v>
      </c>
      <c r="B23" s="72">
        <f>IF($B$9="kWh",$B$4,$B$5)</f>
        <v>1988</v>
      </c>
      <c r="C23" s="124">
        <f>VLOOKUP($B$3,'Data for Bill Impacts'!$A$3:$Y$25,10,0)</f>
        <v>1.8800000000000001E-2</v>
      </c>
      <c r="D23" s="21">
        <f>B23*C23</f>
        <v>37.374400000000001</v>
      </c>
      <c r="E23" s="72">
        <f t="shared" si="6"/>
        <v>1988</v>
      </c>
      <c r="F23" s="77">
        <f>VLOOKUP($B$3,'Data for Bill Impacts'!$A$3:$Y$25,19,0)</f>
        <v>2.01E-2</v>
      </c>
      <c r="G23" s="21">
        <f>E23*F23</f>
        <v>39.958799999999997</v>
      </c>
      <c r="H23" s="21">
        <f t="shared" si="1"/>
        <v>2.5843999999999951</v>
      </c>
      <c r="I23" s="22">
        <f t="shared" si="2"/>
        <v>6.914893617021263E-2</v>
      </c>
      <c r="J23" s="22">
        <f t="shared" si="5"/>
        <v>0.11051046023751947</v>
      </c>
      <c r="K23" s="107">
        <f t="shared" si="4"/>
        <v>0.11271413191646029</v>
      </c>
    </row>
    <row r="24" spans="1:11" x14ac:dyDescent="0.2">
      <c r="A24" s="106" t="s">
        <v>129</v>
      </c>
      <c r="B24" s="72">
        <f>IF($B$9="kWh",$B$4,$B$5)</f>
        <v>1988</v>
      </c>
      <c r="C24" s="124">
        <f>VLOOKUP($B$3,'Data for Bill Impacts'!$A$3:$Y$25,14,0)</f>
        <v>0</v>
      </c>
      <c r="D24" s="33">
        <f>B24*C24</f>
        <v>0</v>
      </c>
      <c r="E24" s="72">
        <f t="shared" si="6"/>
        <v>1988</v>
      </c>
      <c r="F24" s="124">
        <f>VLOOKUP($B$3,'Data for Bill Impacts'!$A$3:$Y$25,23,0)</f>
        <v>0</v>
      </c>
      <c r="G24" s="33">
        <f>E24*F24</f>
        <v>0</v>
      </c>
      <c r="H24" s="21">
        <f t="shared" si="1"/>
        <v>0</v>
      </c>
      <c r="I24" s="22" t="str">
        <f t="shared" si="2"/>
        <v>N/A</v>
      </c>
      <c r="J24" s="22">
        <f t="shared" si="5"/>
        <v>0</v>
      </c>
      <c r="K24" s="107">
        <f t="shared" si="4"/>
        <v>0</v>
      </c>
    </row>
    <row r="25" spans="1:11" s="1" customFormat="1" x14ac:dyDescent="0.2">
      <c r="A25" s="109" t="s">
        <v>72</v>
      </c>
      <c r="B25" s="73"/>
      <c r="C25" s="34"/>
      <c r="D25" s="34">
        <f>SUM(D19:D24)</f>
        <v>78.294399999999996</v>
      </c>
      <c r="E25" s="72"/>
      <c r="F25" s="34"/>
      <c r="G25" s="34">
        <f>SUM(G19:G24)</f>
        <v>83.218799999999987</v>
      </c>
      <c r="H25" s="34">
        <f t="shared" si="1"/>
        <v>4.9243999999999915</v>
      </c>
      <c r="I25" s="35">
        <f t="shared" si="2"/>
        <v>6.2895941472186925E-2</v>
      </c>
      <c r="J25" s="35">
        <f>G25/$G$46</f>
        <v>0.23015075248541209</v>
      </c>
      <c r="K25" s="110">
        <f t="shared" si="4"/>
        <v>0.23474015238519488</v>
      </c>
    </row>
    <row r="26" spans="1:11" s="1" customFormat="1" x14ac:dyDescent="0.2">
      <c r="A26" s="118" t="s">
        <v>73</v>
      </c>
      <c r="B26" s="119">
        <v>1</v>
      </c>
      <c r="C26" s="77">
        <f>VLOOKUP($B$3,'Data for Bill Impacts'!$A$3:$Y$25,9,0)</f>
        <v>0.79</v>
      </c>
      <c r="D26" s="21">
        <f>B26*C26</f>
        <v>0.79</v>
      </c>
      <c r="E26" s="72">
        <v>1</v>
      </c>
      <c r="F26" s="77">
        <f>VLOOKUP($B$3,'Data for Bill Impacts'!$A$3:$Y$25,18,0)</f>
        <v>0.79</v>
      </c>
      <c r="G26" s="21">
        <f>E26*F26</f>
        <v>0.79</v>
      </c>
      <c r="H26" s="21">
        <f t="shared" si="1"/>
        <v>0</v>
      </c>
      <c r="I26" s="22">
        <f t="shared" si="2"/>
        <v>0</v>
      </c>
      <c r="J26" s="22">
        <f>G26/$G$46</f>
        <v>2.1848319666166248E-3</v>
      </c>
      <c r="K26" s="107">
        <f t="shared" si="4"/>
        <v>2.2283993566874793E-3</v>
      </c>
    </row>
    <row r="27" spans="1:11" s="1" customFormat="1" x14ac:dyDescent="0.2">
      <c r="A27" s="118" t="s">
        <v>75</v>
      </c>
      <c r="B27" s="119">
        <f>B8-B4</f>
        <v>132.59960000000001</v>
      </c>
      <c r="C27" s="186">
        <f>IF(B4&gt;B7,C13,C12)</f>
        <v>0.106</v>
      </c>
      <c r="D27" s="21">
        <f>B27*C27</f>
        <v>14.0555576</v>
      </c>
      <c r="E27" s="72">
        <f>B27</f>
        <v>132.59960000000001</v>
      </c>
      <c r="F27" s="186">
        <f>C27</f>
        <v>0.106</v>
      </c>
      <c r="G27" s="21">
        <f>E27*F27</f>
        <v>14.0555576</v>
      </c>
      <c r="H27" s="21">
        <f t="shared" si="1"/>
        <v>0</v>
      </c>
      <c r="I27" s="22">
        <f t="shared" si="2"/>
        <v>0</v>
      </c>
      <c r="J27" s="22">
        <f t="shared" ref="J27:J46" si="9">G27/$G$46</f>
        <v>3.8872191839368665E-2</v>
      </c>
      <c r="K27" s="107">
        <f t="shared" si="4"/>
        <v>3.9647336093321273E-2</v>
      </c>
    </row>
    <row r="28" spans="1:11" s="1" customFormat="1" x14ac:dyDescent="0.2">
      <c r="A28" s="118" t="s">
        <v>74</v>
      </c>
      <c r="B28" s="119">
        <f>B8-B4</f>
        <v>132.59960000000001</v>
      </c>
      <c r="C28" s="186">
        <f>0.65*C15+0.17*C16+0.18*C17</f>
        <v>9.7519999999999996E-2</v>
      </c>
      <c r="D28" s="21">
        <f>B28*C28</f>
        <v>12.931112992000001</v>
      </c>
      <c r="E28" s="72">
        <f>B28</f>
        <v>132.59960000000001</v>
      </c>
      <c r="F28" s="186">
        <f>C28</f>
        <v>9.7519999999999996E-2</v>
      </c>
      <c r="G28" s="21">
        <f>E28*F28</f>
        <v>12.931112992000001</v>
      </c>
      <c r="H28" s="21">
        <f t="shared" si="1"/>
        <v>0</v>
      </c>
      <c r="I28" s="22">
        <f t="shared" si="2"/>
        <v>0</v>
      </c>
      <c r="J28" s="22">
        <f t="shared" si="9"/>
        <v>3.5762416492219173E-2</v>
      </c>
      <c r="K28" s="107">
        <f t="shared" si="4"/>
        <v>3.6475549205855579E-2</v>
      </c>
    </row>
    <row r="29" spans="1:11" s="1" customFormat="1" x14ac:dyDescent="0.2">
      <c r="A29" s="109" t="s">
        <v>78</v>
      </c>
      <c r="B29" s="73"/>
      <c r="C29" s="34"/>
      <c r="D29" s="34">
        <f>SUM(D25,D26:D27)</f>
        <v>93.139957600000002</v>
      </c>
      <c r="E29" s="72"/>
      <c r="F29" s="34"/>
      <c r="G29" s="34">
        <f>SUM(G25,G26:G27)</f>
        <v>98.064357599999994</v>
      </c>
      <c r="H29" s="34">
        <f t="shared" si="1"/>
        <v>4.9243999999999915</v>
      </c>
      <c r="I29" s="35">
        <f t="shared" si="2"/>
        <v>5.2870971029945923E-2</v>
      </c>
      <c r="J29" s="35">
        <f t="shared" si="9"/>
        <v>0.27120777629139736</v>
      </c>
      <c r="K29" s="110">
        <f t="shared" si="4"/>
        <v>0.27661588783520363</v>
      </c>
    </row>
    <row r="30" spans="1:11" s="1" customFormat="1" x14ac:dyDescent="0.2">
      <c r="A30" s="109" t="s">
        <v>77</v>
      </c>
      <c r="B30" s="73"/>
      <c r="C30" s="34"/>
      <c r="D30" s="34">
        <f>SUM(D25,D26,D28)</f>
        <v>92.015512991999998</v>
      </c>
      <c r="E30" s="72"/>
      <c r="F30" s="34"/>
      <c r="G30" s="34">
        <f>SUM(G25,G26,G28)</f>
        <v>96.939912991999989</v>
      </c>
      <c r="H30" s="34">
        <f t="shared" si="1"/>
        <v>4.9243999999999915</v>
      </c>
      <c r="I30" s="35">
        <f t="shared" si="2"/>
        <v>5.351706293729111E-2</v>
      </c>
      <c r="J30" s="35">
        <f t="shared" si="9"/>
        <v>0.26809800094424791</v>
      </c>
      <c r="K30" s="110">
        <f t="shared" si="4"/>
        <v>0.27344410094773797</v>
      </c>
    </row>
    <row r="31" spans="1:11" x14ac:dyDescent="0.2">
      <c r="A31" s="106" t="s">
        <v>40</v>
      </c>
      <c r="B31" s="72">
        <f>B8</f>
        <v>2120.5996</v>
      </c>
      <c r="C31" s="124">
        <f>VLOOKUP($B$3,'Data for Bill Impacts'!$A$3:$Y$25,15,0)</f>
        <v>5.3E-3</v>
      </c>
      <c r="D31" s="21">
        <f>B31*C31</f>
        <v>11.23917788</v>
      </c>
      <c r="E31" s="72">
        <f t="shared" si="6"/>
        <v>2120.5996</v>
      </c>
      <c r="F31" s="77">
        <f>VLOOKUP($B$3,'Data for Bill Impacts'!$A$3:$Y$25,24,0)</f>
        <v>5.3E-3</v>
      </c>
      <c r="G31" s="21">
        <f>E31*F31</f>
        <v>11.23917788</v>
      </c>
      <c r="H31" s="21">
        <f t="shared" si="1"/>
        <v>0</v>
      </c>
      <c r="I31" s="22">
        <f t="shared" si="2"/>
        <v>0</v>
      </c>
      <c r="J31" s="22">
        <f t="shared" si="9"/>
        <v>3.1083183684448693E-2</v>
      </c>
      <c r="K31" s="107">
        <f t="shared" si="4"/>
        <v>3.1703008553782462E-2</v>
      </c>
    </row>
    <row r="32" spans="1:11" x14ac:dyDescent="0.2">
      <c r="A32" s="106" t="s">
        <v>41</v>
      </c>
      <c r="B32" s="72">
        <f>B8</f>
        <v>2120.5996</v>
      </c>
      <c r="C32" s="124">
        <f>VLOOKUP($B$3,'Data for Bill Impacts'!$A$3:$Y$25,16,0)</f>
        <v>4.4000000000000003E-3</v>
      </c>
      <c r="D32" s="21">
        <f>B32*C32</f>
        <v>9.3306382400000007</v>
      </c>
      <c r="E32" s="72">
        <f t="shared" si="6"/>
        <v>2120.5996</v>
      </c>
      <c r="F32" s="77">
        <f>VLOOKUP($B$3,'Data for Bill Impacts'!$A$3:$Y$25,25,0)</f>
        <v>4.4000000000000003E-3</v>
      </c>
      <c r="G32" s="21">
        <f>E32*F32</f>
        <v>9.3306382400000007</v>
      </c>
      <c r="H32" s="21">
        <f t="shared" si="1"/>
        <v>0</v>
      </c>
      <c r="I32" s="22">
        <f t="shared" si="2"/>
        <v>0</v>
      </c>
      <c r="J32" s="22">
        <f t="shared" si="9"/>
        <v>2.5804907209730991E-2</v>
      </c>
      <c r="K32" s="107">
        <f t="shared" si="4"/>
        <v>2.6319478799366573E-2</v>
      </c>
    </row>
    <row r="33" spans="1:11" s="1" customFormat="1" x14ac:dyDescent="0.2">
      <c r="A33" s="109" t="s">
        <v>76</v>
      </c>
      <c r="B33" s="73"/>
      <c r="C33" s="34"/>
      <c r="D33" s="34">
        <f>SUM(D31:D32)</f>
        <v>20.569816119999999</v>
      </c>
      <c r="E33" s="72"/>
      <c r="F33" s="34"/>
      <c r="G33" s="34">
        <f>SUM(G31:G32)</f>
        <v>20.569816119999999</v>
      </c>
      <c r="H33" s="34">
        <f t="shared" si="1"/>
        <v>0</v>
      </c>
      <c r="I33" s="35">
        <f t="shared" si="2"/>
        <v>0</v>
      </c>
      <c r="J33" s="35">
        <f t="shared" si="9"/>
        <v>5.6888090894179677E-2</v>
      </c>
      <c r="K33" s="110">
        <f t="shared" si="4"/>
        <v>5.8022487353149028E-2</v>
      </c>
    </row>
    <row r="34" spans="1:11" s="1" customFormat="1" x14ac:dyDescent="0.2">
      <c r="A34" s="109" t="s">
        <v>93</v>
      </c>
      <c r="B34" s="73"/>
      <c r="C34" s="34"/>
      <c r="D34" s="34">
        <f>D29+D33</f>
        <v>113.70977372</v>
      </c>
      <c r="E34" s="72"/>
      <c r="F34" s="34"/>
      <c r="G34" s="34">
        <f>G29+G33</f>
        <v>118.63417371999999</v>
      </c>
      <c r="H34" s="34">
        <f t="shared" si="1"/>
        <v>4.9243999999999915</v>
      </c>
      <c r="I34" s="35">
        <f t="shared" si="2"/>
        <v>4.3306743465393573E-2</v>
      </c>
      <c r="J34" s="35">
        <f t="shared" si="9"/>
        <v>0.32809586718557709</v>
      </c>
      <c r="K34" s="110">
        <f t="shared" si="4"/>
        <v>0.33463837518835271</v>
      </c>
    </row>
    <row r="35" spans="1:11" s="1" customFormat="1" x14ac:dyDescent="0.2">
      <c r="A35" s="109" t="s">
        <v>94</v>
      </c>
      <c r="B35" s="73"/>
      <c r="C35" s="34"/>
      <c r="D35" s="34">
        <f>D30+D33</f>
        <v>112.585329112</v>
      </c>
      <c r="E35" s="72"/>
      <c r="F35" s="34"/>
      <c r="G35" s="34">
        <f>G30+G33</f>
        <v>117.50972911199999</v>
      </c>
      <c r="H35" s="34">
        <f t="shared" si="1"/>
        <v>4.9243999999999915</v>
      </c>
      <c r="I35" s="35">
        <f t="shared" si="2"/>
        <v>4.3739269040117948E-2</v>
      </c>
      <c r="J35" s="35">
        <f t="shared" si="9"/>
        <v>0.32498609183842758</v>
      </c>
      <c r="K35" s="110">
        <f t="shared" si="4"/>
        <v>0.33146658830088699</v>
      </c>
    </row>
    <row r="36" spans="1:11" x14ac:dyDescent="0.2">
      <c r="A36" s="106" t="s">
        <v>42</v>
      </c>
      <c r="B36" s="72">
        <f>B8</f>
        <v>2120.5996</v>
      </c>
      <c r="C36" s="33">
        <v>3.5999999999999999E-3</v>
      </c>
      <c r="D36" s="21">
        <f>B36*C36</f>
        <v>7.6341585599999995</v>
      </c>
      <c r="E36" s="72">
        <f t="shared" si="6"/>
        <v>2120.5996</v>
      </c>
      <c r="F36" s="33">
        <v>3.5999999999999999E-3</v>
      </c>
      <c r="G36" s="21">
        <f>E36*F36</f>
        <v>7.6341585599999995</v>
      </c>
      <c r="H36" s="21">
        <f t="shared" si="1"/>
        <v>0</v>
      </c>
      <c r="I36" s="22">
        <f t="shared" si="2"/>
        <v>0</v>
      </c>
      <c r="J36" s="22">
        <f t="shared" si="9"/>
        <v>2.1113105898870808E-2</v>
      </c>
      <c r="K36" s="107">
        <f t="shared" si="4"/>
        <v>2.1534119017663559E-2</v>
      </c>
    </row>
    <row r="37" spans="1:11" x14ac:dyDescent="0.2">
      <c r="A37" s="106" t="s">
        <v>43</v>
      </c>
      <c r="B37" s="72">
        <f>B8</f>
        <v>2120.5996</v>
      </c>
      <c r="C37" s="33">
        <v>2.0999999999999999E-3</v>
      </c>
      <c r="D37" s="21">
        <f>B37*C37</f>
        <v>4.45325916</v>
      </c>
      <c r="E37" s="72">
        <f t="shared" si="6"/>
        <v>2120.5996</v>
      </c>
      <c r="F37" s="33">
        <v>2.0999999999999999E-3</v>
      </c>
      <c r="G37" s="21">
        <f>E37*F37</f>
        <v>4.45325916</v>
      </c>
      <c r="H37" s="21">
        <f>G37-D37</f>
        <v>0</v>
      </c>
      <c r="I37" s="22">
        <f t="shared" si="2"/>
        <v>0</v>
      </c>
      <c r="J37" s="22">
        <f t="shared" si="9"/>
        <v>1.2315978441007973E-2</v>
      </c>
      <c r="K37" s="107">
        <f t="shared" si="4"/>
        <v>1.256156942697041E-2</v>
      </c>
    </row>
    <row r="38" spans="1:11" x14ac:dyDescent="0.2">
      <c r="A38" s="106" t="s">
        <v>99</v>
      </c>
      <c r="B38" s="72">
        <f>B8</f>
        <v>2120.5996</v>
      </c>
      <c r="C38" s="33">
        <v>0</v>
      </c>
      <c r="D38" s="21">
        <f>B38*C38</f>
        <v>0</v>
      </c>
      <c r="E38" s="72">
        <f t="shared" si="6"/>
        <v>2120.5996</v>
      </c>
      <c r="F38" s="33">
        <v>0</v>
      </c>
      <c r="G38" s="21">
        <f>E38*F38</f>
        <v>0</v>
      </c>
      <c r="H38" s="21">
        <f>G38-D38</f>
        <v>0</v>
      </c>
      <c r="I38" s="22" t="str">
        <f t="shared" si="2"/>
        <v>N/A</v>
      </c>
      <c r="J38" s="22">
        <f t="shared" si="9"/>
        <v>0</v>
      </c>
      <c r="K38" s="107">
        <f t="shared" si="4"/>
        <v>0</v>
      </c>
    </row>
    <row r="39" spans="1:11" x14ac:dyDescent="0.2">
      <c r="A39" s="106" t="s">
        <v>44</v>
      </c>
      <c r="B39" s="72">
        <v>1</v>
      </c>
      <c r="C39" s="21">
        <v>0.25</v>
      </c>
      <c r="D39" s="21">
        <f>B39*C39</f>
        <v>0.25</v>
      </c>
      <c r="E39" s="72">
        <f t="shared" si="6"/>
        <v>1</v>
      </c>
      <c r="F39" s="21">
        <f>C39</f>
        <v>0.25</v>
      </c>
      <c r="G39" s="21">
        <f>E39*F39</f>
        <v>0.25</v>
      </c>
      <c r="H39" s="21">
        <f t="shared" si="1"/>
        <v>0</v>
      </c>
      <c r="I39" s="22">
        <f t="shared" si="2"/>
        <v>0</v>
      </c>
      <c r="J39" s="22">
        <f t="shared" si="9"/>
        <v>6.9140252108121033E-4</v>
      </c>
      <c r="K39" s="107">
        <f t="shared" si="4"/>
        <v>7.0518966983780984E-4</v>
      </c>
    </row>
    <row r="40" spans="1:11" s="1" customFormat="1" x14ac:dyDescent="0.2">
      <c r="A40" s="109" t="s">
        <v>45</v>
      </c>
      <c r="B40" s="73"/>
      <c r="C40" s="34"/>
      <c r="D40" s="34">
        <f>SUM(D36:D39)</f>
        <v>12.337417719999999</v>
      </c>
      <c r="E40" s="72"/>
      <c r="F40" s="34"/>
      <c r="G40" s="34">
        <f>SUM(G36:G39)</f>
        <v>12.337417719999999</v>
      </c>
      <c r="H40" s="34">
        <f t="shared" si="1"/>
        <v>0</v>
      </c>
      <c r="I40" s="35">
        <f t="shared" si="2"/>
        <v>0</v>
      </c>
      <c r="J40" s="35">
        <f t="shared" si="9"/>
        <v>3.4120486860959989E-2</v>
      </c>
      <c r="K40" s="110">
        <f t="shared" si="4"/>
        <v>3.480087811447178E-2</v>
      </c>
    </row>
    <row r="41" spans="1:11" s="1" customFormat="1" ht="13.5" thickBot="1" x14ac:dyDescent="0.25">
      <c r="A41" s="111" t="s">
        <v>46</v>
      </c>
      <c r="B41" s="112">
        <f>B4</f>
        <v>1988</v>
      </c>
      <c r="C41" s="113">
        <v>7.0000000000000001E-3</v>
      </c>
      <c r="D41" s="114">
        <f>B41*C41</f>
        <v>13.916</v>
      </c>
      <c r="E41" s="115">
        <f t="shared" si="6"/>
        <v>1988</v>
      </c>
      <c r="F41" s="113">
        <f>C41</f>
        <v>7.0000000000000001E-3</v>
      </c>
      <c r="G41" s="114">
        <f>E41*F41</f>
        <v>13.916</v>
      </c>
      <c r="H41" s="114">
        <f t="shared" si="1"/>
        <v>0</v>
      </c>
      <c r="I41" s="116">
        <f t="shared" si="2"/>
        <v>0</v>
      </c>
      <c r="J41" s="116">
        <f t="shared" si="9"/>
        <v>3.8486229933464497E-2</v>
      </c>
      <c r="K41" s="117">
        <f t="shared" si="4"/>
        <v>3.9253677781851848E-2</v>
      </c>
    </row>
    <row r="42" spans="1:11" s="1" customFormat="1" x14ac:dyDescent="0.2">
      <c r="A42" s="36" t="s">
        <v>107</v>
      </c>
      <c r="B42" s="37"/>
      <c r="C42" s="38"/>
      <c r="D42" s="38">
        <f>SUM(D14,D25,D26,D27,D33,D40,D41)</f>
        <v>339.44119144000001</v>
      </c>
      <c r="E42" s="37"/>
      <c r="F42" s="38"/>
      <c r="G42" s="38">
        <f>SUM(G14,G25,G26,G27,G33,G40,G41)</f>
        <v>344.36559144</v>
      </c>
      <c r="H42" s="38">
        <f t="shared" si="1"/>
        <v>4.9243999999999915</v>
      </c>
      <c r="I42" s="39">
        <f t="shared" si="2"/>
        <v>1.450737307133932E-2</v>
      </c>
      <c r="J42" s="39">
        <f t="shared" si="9"/>
        <v>0.95238095238095233</v>
      </c>
      <c r="K42" s="40"/>
    </row>
    <row r="43" spans="1:11" x14ac:dyDescent="0.2">
      <c r="A43" s="142" t="s">
        <v>108</v>
      </c>
      <c r="B43" s="42"/>
      <c r="C43" s="25">
        <v>0.13</v>
      </c>
      <c r="D43" s="25">
        <f>D42*C43</f>
        <v>44.127354887200006</v>
      </c>
      <c r="E43" s="25"/>
      <c r="F43" s="25">
        <f>C43</f>
        <v>0.13</v>
      </c>
      <c r="G43" s="25">
        <f>G42*F43</f>
        <v>44.767526887199999</v>
      </c>
      <c r="H43" s="25">
        <f t="shared" si="1"/>
        <v>0.64017199999999264</v>
      </c>
      <c r="I43" s="43">
        <f t="shared" si="2"/>
        <v>1.4507373071339178E-2</v>
      </c>
      <c r="J43" s="43">
        <f t="shared" si="9"/>
        <v>0.1238095238095238</v>
      </c>
      <c r="K43" s="44"/>
    </row>
    <row r="44" spans="1:11" s="1" customFormat="1" x14ac:dyDescent="0.2">
      <c r="A44" s="45" t="s">
        <v>109</v>
      </c>
      <c r="B44" s="23"/>
      <c r="C44" s="24"/>
      <c r="D44" s="24">
        <f>SUM(D42:D43)</f>
        <v>383.56854632720001</v>
      </c>
      <c r="E44" s="24"/>
      <c r="F44" s="24"/>
      <c r="G44" s="24">
        <f>SUM(G42:G43)</f>
        <v>389.13311832720001</v>
      </c>
      <c r="H44" s="24">
        <f t="shared" si="1"/>
        <v>5.5645719999999983</v>
      </c>
      <c r="I44" s="26">
        <f t="shared" si="2"/>
        <v>1.4507373071339341E-2</v>
      </c>
      <c r="J44" s="26">
        <f t="shared" si="9"/>
        <v>1.0761904761904761</v>
      </c>
      <c r="K44" s="46"/>
    </row>
    <row r="45" spans="1:11" x14ac:dyDescent="0.2">
      <c r="A45" s="41" t="s">
        <v>110</v>
      </c>
      <c r="B45" s="42"/>
      <c r="C45" s="25">
        <v>-0.08</v>
      </c>
      <c r="D45" s="25">
        <f>D42*C45</f>
        <v>-27.1552953152</v>
      </c>
      <c r="E45" s="25"/>
      <c r="F45" s="25">
        <f>C45</f>
        <v>-0.08</v>
      </c>
      <c r="G45" s="25">
        <f>G42*F45</f>
        <v>-27.549247315200002</v>
      </c>
      <c r="H45" s="25">
        <f t="shared" si="1"/>
        <v>-0.3939520000000023</v>
      </c>
      <c r="I45" s="43">
        <f t="shared" si="2"/>
        <v>-1.4507373071339431E-2</v>
      </c>
      <c r="J45" s="43">
        <f t="shared" si="9"/>
        <v>-7.6190476190476183E-2</v>
      </c>
      <c r="K45" s="44"/>
    </row>
    <row r="46" spans="1:11" s="1" customFormat="1" ht="13.5" thickBot="1" x14ac:dyDescent="0.25">
      <c r="A46" s="47" t="s">
        <v>111</v>
      </c>
      <c r="B46" s="48"/>
      <c r="C46" s="49"/>
      <c r="D46" s="49">
        <f>SUM(D44:D45)</f>
        <v>356.41325101199999</v>
      </c>
      <c r="E46" s="49"/>
      <c r="F46" s="49"/>
      <c r="G46" s="49">
        <f>SUM(G44:G45)</f>
        <v>361.58387101200003</v>
      </c>
      <c r="H46" s="49">
        <f t="shared" si="1"/>
        <v>5.1706200000000422</v>
      </c>
      <c r="I46" s="50">
        <f t="shared" si="2"/>
        <v>1.4507373071339466E-2</v>
      </c>
      <c r="J46" s="50">
        <f t="shared" si="9"/>
        <v>1</v>
      </c>
      <c r="K46" s="51"/>
    </row>
    <row r="47" spans="1:11" x14ac:dyDescent="0.2">
      <c r="A47" s="52" t="s">
        <v>112</v>
      </c>
      <c r="B47" s="53"/>
      <c r="C47" s="54"/>
      <c r="D47" s="54">
        <f>SUM(D18,D25,D26,D28,D33,D40,D41)</f>
        <v>332.70850683200007</v>
      </c>
      <c r="E47" s="54"/>
      <c r="F47" s="54"/>
      <c r="G47" s="54">
        <f>SUM(G18,G25,G26,G28,G33,G40,G41)</f>
        <v>337.63290683200006</v>
      </c>
      <c r="H47" s="54">
        <f>G47-D47</f>
        <v>4.9243999999999915</v>
      </c>
      <c r="I47" s="55">
        <f t="shared" si="2"/>
        <v>1.4800944066292086E-2</v>
      </c>
      <c r="J47" s="55"/>
      <c r="K47" s="56">
        <f>G47/$G$51</f>
        <v>0.95238095238095255</v>
      </c>
    </row>
    <row r="48" spans="1:11" x14ac:dyDescent="0.2">
      <c r="A48" s="57" t="s">
        <v>108</v>
      </c>
      <c r="B48" s="58"/>
      <c r="C48" s="30">
        <v>0.13</v>
      </c>
      <c r="D48" s="30">
        <f>D47*C48</f>
        <v>43.25210588816001</v>
      </c>
      <c r="E48" s="30"/>
      <c r="F48" s="30">
        <f>C48</f>
        <v>0.13</v>
      </c>
      <c r="G48" s="30">
        <f>G47*F48</f>
        <v>43.89227788816001</v>
      </c>
      <c r="H48" s="30">
        <f>G48-D48</f>
        <v>0.64017199999999974</v>
      </c>
      <c r="I48" s="31">
        <f t="shared" si="2"/>
        <v>1.4800944066292105E-2</v>
      </c>
      <c r="J48" s="31"/>
      <c r="K48" s="59">
        <f>G48/$G$51</f>
        <v>0.12380952380952383</v>
      </c>
    </row>
    <row r="49" spans="1:11" x14ac:dyDescent="0.2">
      <c r="A49" s="135" t="s">
        <v>113</v>
      </c>
      <c r="B49" s="28"/>
      <c r="C49" s="29"/>
      <c r="D49" s="29">
        <f>SUM(D47:D48)</f>
        <v>375.9606127201601</v>
      </c>
      <c r="E49" s="29"/>
      <c r="F49" s="29"/>
      <c r="G49" s="29">
        <f>SUM(G47:G48)</f>
        <v>381.52518472016004</v>
      </c>
      <c r="H49" s="29">
        <f>G49-D49</f>
        <v>5.5645719999999415</v>
      </c>
      <c r="I49" s="32">
        <f t="shared" si="2"/>
        <v>1.4800944066291954E-2</v>
      </c>
      <c r="J49" s="32"/>
      <c r="K49" s="61">
        <f>G49/$G$51</f>
        <v>1.0761904761904764</v>
      </c>
    </row>
    <row r="50" spans="1:11" x14ac:dyDescent="0.2">
      <c r="A50" s="57" t="s">
        <v>110</v>
      </c>
      <c r="B50" s="58"/>
      <c r="C50" s="30">
        <v>-0.08</v>
      </c>
      <c r="D50" s="30">
        <f>D47*C50</f>
        <v>-26.616680546560005</v>
      </c>
      <c r="E50" s="30"/>
      <c r="F50" s="30">
        <f>C50</f>
        <v>-0.08</v>
      </c>
      <c r="G50" s="30">
        <f>G47*F50</f>
        <v>-27.010632546560004</v>
      </c>
      <c r="H50" s="30">
        <f>G50-D50</f>
        <v>-0.39395199999999875</v>
      </c>
      <c r="I50" s="31">
        <f t="shared" si="2"/>
        <v>-1.4800944066292065E-2</v>
      </c>
      <c r="J50" s="31"/>
      <c r="K50" s="59">
        <f>G50/$G$51</f>
        <v>-7.6190476190476197E-2</v>
      </c>
    </row>
    <row r="51" spans="1:11" ht="13.5" thickBot="1" x14ac:dyDescent="0.25">
      <c r="A51" s="62" t="s">
        <v>114</v>
      </c>
      <c r="B51" s="63"/>
      <c r="C51" s="64"/>
      <c r="D51" s="64">
        <f>SUM(D49:D50)</f>
        <v>349.34393217360008</v>
      </c>
      <c r="E51" s="64"/>
      <c r="F51" s="64"/>
      <c r="G51" s="64">
        <f>SUM(G49:G50)</f>
        <v>354.51455217360001</v>
      </c>
      <c r="H51" s="64">
        <f>G51-D51</f>
        <v>5.1706199999999285</v>
      </c>
      <c r="I51" s="65">
        <f t="shared" si="2"/>
        <v>1.4800944066291908E-2</v>
      </c>
      <c r="J51" s="65"/>
      <c r="K51" s="66">
        <f>G51/$G$51</f>
        <v>1</v>
      </c>
    </row>
    <row r="52" spans="1:11" x14ac:dyDescent="0.2">
      <c r="C52" s="67"/>
      <c r="F52" s="68"/>
    </row>
    <row r="53" spans="1:11" x14ac:dyDescent="0.2">
      <c r="F53" s="68"/>
    </row>
    <row r="54" spans="1:11" x14ac:dyDescent="0.2">
      <c r="F54" s="68"/>
    </row>
    <row r="55" spans="1:11" x14ac:dyDescent="0.2">
      <c r="A55" s="69"/>
      <c r="B55" s="70"/>
      <c r="F55" s="68"/>
    </row>
    <row r="56" spans="1:11" x14ac:dyDescent="0.2">
      <c r="B56" s="70"/>
      <c r="F56" s="68"/>
    </row>
    <row r="57" spans="1:11" x14ac:dyDescent="0.2">
      <c r="F57" s="68"/>
    </row>
    <row r="58" spans="1:11" x14ac:dyDescent="0.2">
      <c r="D58" s="71"/>
      <c r="F58" s="68"/>
    </row>
    <row r="59" spans="1:11" x14ac:dyDescent="0.2">
      <c r="F59" s="68"/>
    </row>
    <row r="60" spans="1:11" x14ac:dyDescent="0.2">
      <c r="A60" s="69"/>
      <c r="B60" s="70"/>
      <c r="F60" s="68"/>
    </row>
    <row r="61" spans="1:11" x14ac:dyDescent="0.2">
      <c r="B61" s="71"/>
      <c r="D61" s="71"/>
      <c r="F61" s="68"/>
    </row>
    <row r="62" spans="1:11" x14ac:dyDescent="0.2">
      <c r="F62" s="68"/>
    </row>
    <row r="63" spans="1:11" x14ac:dyDescent="0.2">
      <c r="F63" s="68"/>
    </row>
    <row r="64" spans="1:11" x14ac:dyDescent="0.2">
      <c r="F64" s="68"/>
      <c r="K64"/>
    </row>
    <row r="65" spans="6:11" x14ac:dyDescent="0.2">
      <c r="F65" s="68"/>
      <c r="K65"/>
    </row>
    <row r="66" spans="6:11" x14ac:dyDescent="0.2">
      <c r="F66" s="68"/>
      <c r="K66"/>
    </row>
    <row r="67" spans="6:11" x14ac:dyDescent="0.2">
      <c r="F67" s="68"/>
      <c r="K67"/>
    </row>
    <row r="68" spans="6:11" x14ac:dyDescent="0.2">
      <c r="F68" s="68"/>
      <c r="K68"/>
    </row>
  </sheetData>
  <mergeCells count="1">
    <mergeCell ref="A1:K1"/>
  </mergeCells>
  <pageMargins left="0.7" right="0.7" top="0.75" bottom="0.75" header="0.3" footer="0.3"/>
  <pageSetup scale="7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Impacts'!$A$3:$A$21</xm:f>
          </x14:formula1>
          <xm:sqref>B3</xm:sqref>
        </x14:dataValidation>
      </x14:dataValidations>
    </ext>
  </extLst>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9">
    <tabColor theme="1" tint="0.499984740745262"/>
    <pageSetUpPr fitToPage="1"/>
  </sheetPr>
  <dimension ref="A1:K68"/>
  <sheetViews>
    <sheetView tabSelected="1" topLeftCell="A28"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3"/>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205" t="s">
        <v>128</v>
      </c>
      <c r="B1" s="206"/>
      <c r="C1" s="206"/>
      <c r="D1" s="206"/>
      <c r="E1" s="206"/>
      <c r="F1" s="206"/>
      <c r="G1" s="206"/>
      <c r="H1" s="206"/>
      <c r="I1" s="206"/>
      <c r="J1" s="206"/>
      <c r="K1" s="207"/>
    </row>
    <row r="3" spans="1:11" x14ac:dyDescent="0.2">
      <c r="A3" s="12" t="s">
        <v>13</v>
      </c>
      <c r="B3" s="12" t="s">
        <v>120</v>
      </c>
    </row>
    <row r="4" spans="1:11" x14ac:dyDescent="0.2">
      <c r="A4" s="14" t="s">
        <v>62</v>
      </c>
      <c r="B4" s="147">
        <v>15000</v>
      </c>
    </row>
    <row r="5" spans="1:11" x14ac:dyDescent="0.2">
      <c r="A5" s="14" t="s">
        <v>16</v>
      </c>
      <c r="B5" s="14">
        <f>VLOOKUP($B$3,'Data for Bill Impacts'!$A$3:$Y$25,5,0)</f>
        <v>0</v>
      </c>
    </row>
    <row r="6" spans="1:11" x14ac:dyDescent="0.2">
      <c r="A6" s="14" t="s">
        <v>20</v>
      </c>
      <c r="B6" s="14">
        <f>VLOOKUP($B$3,'Data for Bill Impacts'!$A$3:$Y$25,2,0)</f>
        <v>1.0667</v>
      </c>
    </row>
    <row r="7" spans="1:11" x14ac:dyDescent="0.2">
      <c r="A7" s="14" t="s">
        <v>15</v>
      </c>
      <c r="B7" s="14">
        <f>VLOOKUP($B$3,'Data for Bill Impacts'!$A$3:$Y$25,4,0)</f>
        <v>750</v>
      </c>
    </row>
    <row r="8" spans="1:11" x14ac:dyDescent="0.2">
      <c r="A8" s="14" t="s">
        <v>82</v>
      </c>
      <c r="B8" s="14">
        <f>B4*B6</f>
        <v>16000.5</v>
      </c>
    </row>
    <row r="9" spans="1:11" x14ac:dyDescent="0.2">
      <c r="A9" s="14" t="s">
        <v>21</v>
      </c>
      <c r="B9" s="15" t="str">
        <f>VLOOKUP($B$3,'Data for Bill Impacts'!$A$3:$Y$25,6,0)</f>
        <v>kWh</v>
      </c>
    </row>
    <row r="10" spans="1:11" ht="13.5" thickBot="1" x14ac:dyDescent="0.25"/>
    <row r="11" spans="1:11" s="19" customFormat="1" ht="51.75" thickBot="1" x14ac:dyDescent="0.25">
      <c r="A11" s="16"/>
      <c r="B11" s="17" t="s">
        <v>22</v>
      </c>
      <c r="C11" s="17" t="s">
        <v>23</v>
      </c>
      <c r="D11" s="17" t="s">
        <v>24</v>
      </c>
      <c r="E11" s="17" t="s">
        <v>22</v>
      </c>
      <c r="F11" s="17" t="s">
        <v>25</v>
      </c>
      <c r="G11" s="17" t="s">
        <v>26</v>
      </c>
      <c r="H11" s="17" t="s">
        <v>27</v>
      </c>
      <c r="I11" s="17" t="s">
        <v>28</v>
      </c>
      <c r="J11" s="17" t="s">
        <v>29</v>
      </c>
      <c r="K11" s="18" t="s">
        <v>30</v>
      </c>
    </row>
    <row r="12" spans="1:11" x14ac:dyDescent="0.2">
      <c r="A12" s="100" t="s">
        <v>31</v>
      </c>
      <c r="B12" s="101">
        <f>IF(B4&gt;B7,B7,B4)</f>
        <v>750</v>
      </c>
      <c r="C12" s="102">
        <v>9.0999999999999998E-2</v>
      </c>
      <c r="D12" s="103">
        <f>B12*C12</f>
        <v>68.25</v>
      </c>
      <c r="E12" s="101">
        <f>B12</f>
        <v>750</v>
      </c>
      <c r="F12" s="102">
        <f>C12</f>
        <v>9.0999999999999998E-2</v>
      </c>
      <c r="G12" s="103">
        <f>E12*F12</f>
        <v>68.25</v>
      </c>
      <c r="H12" s="103">
        <f>G12-D12</f>
        <v>0</v>
      </c>
      <c r="I12" s="104">
        <f>IF(ISERROR(H12/ABS(D12)),"N/A",(H12/ABS(D12)))</f>
        <v>0</v>
      </c>
      <c r="J12" s="104">
        <f>G12/$G$46</f>
        <v>2.7287870705198759E-2</v>
      </c>
      <c r="K12" s="105"/>
    </row>
    <row r="13" spans="1:11" x14ac:dyDescent="0.2">
      <c r="A13" s="106" t="s">
        <v>32</v>
      </c>
      <c r="B13" s="72">
        <f>IF(B4&gt;B7,(B4)-B7,0)</f>
        <v>14250</v>
      </c>
      <c r="C13" s="20">
        <v>0.106</v>
      </c>
      <c r="D13" s="21">
        <f>B13*C13</f>
        <v>1510.5</v>
      </c>
      <c r="E13" s="72">
        <f t="shared" ref="E13" si="0">B13</f>
        <v>14250</v>
      </c>
      <c r="F13" s="20">
        <f>C13</f>
        <v>0.106</v>
      </c>
      <c r="G13" s="21">
        <f>E13*F13</f>
        <v>1510.5</v>
      </c>
      <c r="H13" s="21">
        <f t="shared" ref="H13:H46" si="1">G13-D13</f>
        <v>0</v>
      </c>
      <c r="I13" s="22">
        <f t="shared" ref="I13:I51" si="2">IF(ISERROR(H13/ABS(D13)),"N/A",(H13/ABS(D13)))</f>
        <v>0</v>
      </c>
      <c r="J13" s="22">
        <f>G13/$G$46</f>
        <v>0.60393155604692639</v>
      </c>
      <c r="K13" s="107"/>
    </row>
    <row r="14" spans="1:11" s="1" customFormat="1" x14ac:dyDescent="0.2">
      <c r="A14" s="45" t="s">
        <v>33</v>
      </c>
      <c r="B14" s="23"/>
      <c r="C14" s="24"/>
      <c r="D14" s="24">
        <f>SUM(D12:D13)</f>
        <v>1578.75</v>
      </c>
      <c r="E14" s="75"/>
      <c r="F14" s="24"/>
      <c r="G14" s="24">
        <f>SUM(G12:G13)</f>
        <v>1578.75</v>
      </c>
      <c r="H14" s="24">
        <f t="shared" si="1"/>
        <v>0</v>
      </c>
      <c r="I14" s="26">
        <f t="shared" si="2"/>
        <v>0</v>
      </c>
      <c r="J14" s="26">
        <f>G14/$G$46</f>
        <v>0.63121942675212517</v>
      </c>
      <c r="K14" s="107"/>
    </row>
    <row r="15" spans="1:11" s="1" customFormat="1" x14ac:dyDescent="0.2">
      <c r="A15" s="108" t="s">
        <v>34</v>
      </c>
      <c r="B15" s="74">
        <f>B4*0.65</f>
        <v>9750</v>
      </c>
      <c r="C15" s="27">
        <v>7.6999999999999999E-2</v>
      </c>
      <c r="D15" s="21">
        <f>B15*C15</f>
        <v>750.75</v>
      </c>
      <c r="E15" s="72">
        <f t="shared" ref="E15:F17" si="3">B15</f>
        <v>9750</v>
      </c>
      <c r="F15" s="27">
        <f t="shared" si="3"/>
        <v>7.6999999999999999E-2</v>
      </c>
      <c r="G15" s="21">
        <f>E15*F15</f>
        <v>750.75</v>
      </c>
      <c r="H15" s="21">
        <f t="shared" si="1"/>
        <v>0</v>
      </c>
      <c r="I15" s="22">
        <f t="shared" si="2"/>
        <v>0</v>
      </c>
      <c r="J15" s="22"/>
      <c r="K15" s="107">
        <f t="shared" ref="K15:K41" si="4">G15/$G$51</f>
        <v>0.3167113108541183</v>
      </c>
    </row>
    <row r="16" spans="1:11" s="1" customFormat="1" x14ac:dyDescent="0.2">
      <c r="A16" s="108" t="s">
        <v>35</v>
      </c>
      <c r="B16" s="74">
        <f>B4*0.17</f>
        <v>2550</v>
      </c>
      <c r="C16" s="27">
        <v>0.113</v>
      </c>
      <c r="D16" s="21">
        <f>B16*C16</f>
        <v>288.15000000000003</v>
      </c>
      <c r="E16" s="72">
        <f t="shared" si="3"/>
        <v>2550</v>
      </c>
      <c r="F16" s="27">
        <f t="shared" si="3"/>
        <v>0.113</v>
      </c>
      <c r="G16" s="21">
        <f>E16*F16</f>
        <v>288.15000000000003</v>
      </c>
      <c r="H16" s="21">
        <f t="shared" si="1"/>
        <v>0</v>
      </c>
      <c r="I16" s="22">
        <f t="shared" si="2"/>
        <v>0</v>
      </c>
      <c r="J16" s="22"/>
      <c r="K16" s="107">
        <f t="shared" si="4"/>
        <v>0.12155892670344881</v>
      </c>
    </row>
    <row r="17" spans="1:11" s="1" customFormat="1" x14ac:dyDescent="0.2">
      <c r="A17" s="108" t="s">
        <v>36</v>
      </c>
      <c r="B17" s="74">
        <f>B4*0.18</f>
        <v>2700</v>
      </c>
      <c r="C17" s="27">
        <v>0.157</v>
      </c>
      <c r="D17" s="21">
        <f>B17*C17</f>
        <v>423.9</v>
      </c>
      <c r="E17" s="72">
        <f t="shared" si="3"/>
        <v>2700</v>
      </c>
      <c r="F17" s="27">
        <f t="shared" si="3"/>
        <v>0.157</v>
      </c>
      <c r="G17" s="21">
        <f>E17*F17</f>
        <v>423.9</v>
      </c>
      <c r="H17" s="21">
        <f t="shared" si="1"/>
        <v>0</v>
      </c>
      <c r="I17" s="22">
        <f t="shared" si="2"/>
        <v>0</v>
      </c>
      <c r="J17" s="22"/>
      <c r="K17" s="107">
        <f t="shared" si="4"/>
        <v>0.17882640648825937</v>
      </c>
    </row>
    <row r="18" spans="1:11" s="1" customFormat="1" x14ac:dyDescent="0.2">
      <c r="A18" s="60" t="s">
        <v>37</v>
      </c>
      <c r="B18" s="28"/>
      <c r="C18" s="29"/>
      <c r="D18" s="29">
        <f>SUM(D15:D17)</f>
        <v>1462.8000000000002</v>
      </c>
      <c r="E18" s="76"/>
      <c r="F18" s="29"/>
      <c r="G18" s="29">
        <f>SUM(G15:G17)</f>
        <v>1462.8000000000002</v>
      </c>
      <c r="H18" s="30">
        <f t="shared" si="1"/>
        <v>0</v>
      </c>
      <c r="I18" s="31">
        <f t="shared" si="2"/>
        <v>0</v>
      </c>
      <c r="J18" s="32">
        <f t="shared" ref="J18:J24" si="5">G18/$G$46</f>
        <v>0.58486003322439195</v>
      </c>
      <c r="K18" s="61">
        <f t="shared" si="4"/>
        <v>0.61709664404582654</v>
      </c>
    </row>
    <row r="19" spans="1:11" x14ac:dyDescent="0.2">
      <c r="A19" s="106" t="s">
        <v>38</v>
      </c>
      <c r="B19" s="72">
        <v>1</v>
      </c>
      <c r="C19" s="77">
        <f>VLOOKUP($B$3,'Data for Bill Impacts'!$A$3:$Y$25,7,0)</f>
        <v>40.92</v>
      </c>
      <c r="D19" s="21">
        <f>B19*C19</f>
        <v>40.92</v>
      </c>
      <c r="E19" s="72">
        <f t="shared" ref="E19:E41" si="6">B19</f>
        <v>1</v>
      </c>
      <c r="F19" s="77">
        <f>VLOOKUP($B$3,'Data for Bill Impacts'!$A$3:$Y$25,17,0)</f>
        <v>43.26</v>
      </c>
      <c r="G19" s="21">
        <f>E19*F19</f>
        <v>43.26</v>
      </c>
      <c r="H19" s="21">
        <f t="shared" si="1"/>
        <v>2.3399999999999963</v>
      </c>
      <c r="I19" s="22">
        <f t="shared" si="2"/>
        <v>5.7184750733137737E-2</v>
      </c>
      <c r="J19" s="22">
        <f t="shared" si="5"/>
        <v>1.7296311893141368E-2</v>
      </c>
      <c r="K19" s="107">
        <f t="shared" si="4"/>
        <v>1.8249658751314228E-2</v>
      </c>
    </row>
    <row r="20" spans="1:11" hidden="1" x14ac:dyDescent="0.2">
      <c r="A20" s="106" t="s">
        <v>83</v>
      </c>
      <c r="B20" s="72">
        <v>1</v>
      </c>
      <c r="C20" s="77">
        <f>VLOOKUP($B$3,'Data for Bill Impacts'!$A$3:$Y$25,8,0)</f>
        <v>0</v>
      </c>
      <c r="D20" s="21">
        <f>B20*C20</f>
        <v>0</v>
      </c>
      <c r="E20" s="72">
        <f t="shared" si="6"/>
        <v>1</v>
      </c>
      <c r="F20" s="77">
        <v>0</v>
      </c>
      <c r="G20" s="21">
        <f t="shared" ref="G20:G22" si="7">E20*F20</f>
        <v>0</v>
      </c>
      <c r="H20" s="21">
        <f t="shared" si="1"/>
        <v>0</v>
      </c>
      <c r="I20" s="22" t="str">
        <f t="shared" si="2"/>
        <v>N/A</v>
      </c>
      <c r="J20" s="22">
        <f t="shared" si="5"/>
        <v>0</v>
      </c>
      <c r="K20" s="107">
        <f t="shared" si="4"/>
        <v>0</v>
      </c>
    </row>
    <row r="21" spans="1:11" hidden="1" x14ac:dyDescent="0.2">
      <c r="A21" s="106" t="s">
        <v>84</v>
      </c>
      <c r="B21" s="72">
        <v>1</v>
      </c>
      <c r="C21" s="77">
        <f>VLOOKUP($B$3,'Data for Bill Impacts'!$A$3:$Y$25,11,0)</f>
        <v>0</v>
      </c>
      <c r="D21" s="21">
        <f t="shared" ref="D21:D22" si="8">B21*C21</f>
        <v>0</v>
      </c>
      <c r="E21" s="72">
        <f t="shared" si="6"/>
        <v>1</v>
      </c>
      <c r="F21" s="120">
        <f>VLOOKUP($B$3,'Data for Bill Impacts'!$A$3:$Y$25,12,0)</f>
        <v>0</v>
      </c>
      <c r="G21" s="21">
        <f t="shared" si="7"/>
        <v>0</v>
      </c>
      <c r="H21" s="21">
        <f t="shared" si="1"/>
        <v>0</v>
      </c>
      <c r="I21" s="22" t="str">
        <f t="shared" si="2"/>
        <v>N/A</v>
      </c>
      <c r="J21" s="22">
        <f t="shared" si="5"/>
        <v>0</v>
      </c>
      <c r="K21" s="107">
        <f t="shared" si="4"/>
        <v>0</v>
      </c>
    </row>
    <row r="22" spans="1:11" x14ac:dyDescent="0.2">
      <c r="A22" s="106" t="s">
        <v>85</v>
      </c>
      <c r="B22" s="72">
        <v>1</v>
      </c>
      <c r="C22" s="120">
        <f>VLOOKUP($B$3,'Data for Bill Impacts'!$A$3:$Y$25,13,0)</f>
        <v>0</v>
      </c>
      <c r="D22" s="21">
        <f t="shared" si="8"/>
        <v>0</v>
      </c>
      <c r="E22" s="72">
        <f t="shared" si="6"/>
        <v>1</v>
      </c>
      <c r="F22" s="120">
        <f>VLOOKUP($B$3,'Data for Bill Impacts'!$A$3:$Y$25,22,0)</f>
        <v>0</v>
      </c>
      <c r="G22" s="21">
        <f t="shared" si="7"/>
        <v>0</v>
      </c>
      <c r="H22" s="21">
        <f t="shared" si="1"/>
        <v>0</v>
      </c>
      <c r="I22" s="22" t="str">
        <f t="shared" si="2"/>
        <v>N/A</v>
      </c>
      <c r="J22" s="22">
        <f t="shared" si="5"/>
        <v>0</v>
      </c>
      <c r="K22" s="107">
        <f t="shared" si="4"/>
        <v>0</v>
      </c>
    </row>
    <row r="23" spans="1:11" x14ac:dyDescent="0.2">
      <c r="A23" s="106" t="s">
        <v>39</v>
      </c>
      <c r="B23" s="72">
        <f>IF($B$9="kWh",$B$4,$B$5)</f>
        <v>15000</v>
      </c>
      <c r="C23" s="124">
        <f>VLOOKUP($B$3,'Data for Bill Impacts'!$A$3:$Y$25,10,0)</f>
        <v>1.8800000000000001E-2</v>
      </c>
      <c r="D23" s="21">
        <f>B23*C23</f>
        <v>282</v>
      </c>
      <c r="E23" s="72">
        <f t="shared" si="6"/>
        <v>15000</v>
      </c>
      <c r="F23" s="77">
        <f>VLOOKUP($B$3,'Data for Bill Impacts'!$A$3:$Y$25,19,0)</f>
        <v>2.01E-2</v>
      </c>
      <c r="G23" s="21">
        <f>E23*F23</f>
        <v>301.5</v>
      </c>
      <c r="H23" s="21">
        <f t="shared" si="1"/>
        <v>19.5</v>
      </c>
      <c r="I23" s="22">
        <f t="shared" si="2"/>
        <v>6.9148936170212769E-2</v>
      </c>
      <c r="J23" s="22">
        <f t="shared" si="5"/>
        <v>0.12054641784054837</v>
      </c>
      <c r="K23" s="107">
        <f t="shared" si="4"/>
        <v>0.1271907562071484</v>
      </c>
    </row>
    <row r="24" spans="1:11" x14ac:dyDescent="0.2">
      <c r="A24" s="106" t="s">
        <v>129</v>
      </c>
      <c r="B24" s="72">
        <f>IF($B$9="kWh",$B$4,$B$5)</f>
        <v>15000</v>
      </c>
      <c r="C24" s="124">
        <f>VLOOKUP($B$3,'Data for Bill Impacts'!$A$3:$Y$25,14,0)</f>
        <v>0</v>
      </c>
      <c r="D24" s="33">
        <f>B24*C24</f>
        <v>0</v>
      </c>
      <c r="E24" s="72">
        <f t="shared" si="6"/>
        <v>15000</v>
      </c>
      <c r="F24" s="124">
        <f>VLOOKUP($B$3,'Data for Bill Impacts'!$A$3:$Y$25,23,0)</f>
        <v>0</v>
      </c>
      <c r="G24" s="33">
        <f>E24*F24</f>
        <v>0</v>
      </c>
      <c r="H24" s="21">
        <f t="shared" si="1"/>
        <v>0</v>
      </c>
      <c r="I24" s="22" t="str">
        <f t="shared" si="2"/>
        <v>N/A</v>
      </c>
      <c r="J24" s="22">
        <f t="shared" si="5"/>
        <v>0</v>
      </c>
      <c r="K24" s="107">
        <f t="shared" si="4"/>
        <v>0</v>
      </c>
    </row>
    <row r="25" spans="1:11" s="1" customFormat="1" x14ac:dyDescent="0.2">
      <c r="A25" s="109" t="s">
        <v>72</v>
      </c>
      <c r="B25" s="73"/>
      <c r="C25" s="34"/>
      <c r="D25" s="34">
        <f>SUM(D19:D24)</f>
        <v>322.92</v>
      </c>
      <c r="E25" s="72"/>
      <c r="F25" s="34"/>
      <c r="G25" s="34">
        <f>SUM(G19:G24)</f>
        <v>344.76</v>
      </c>
      <c r="H25" s="34">
        <f t="shared" si="1"/>
        <v>21.839999999999975</v>
      </c>
      <c r="I25" s="35">
        <f t="shared" si="2"/>
        <v>6.7632850241545819E-2</v>
      </c>
      <c r="J25" s="35">
        <f>G25/$G$46</f>
        <v>0.13784272973368975</v>
      </c>
      <c r="K25" s="110">
        <f t="shared" si="4"/>
        <v>0.14544041495846263</v>
      </c>
    </row>
    <row r="26" spans="1:11" s="1" customFormat="1" x14ac:dyDescent="0.2">
      <c r="A26" s="118" t="s">
        <v>73</v>
      </c>
      <c r="B26" s="119">
        <v>1</v>
      </c>
      <c r="C26" s="77">
        <f>VLOOKUP($B$3,'Data for Bill Impacts'!$A$3:$Y$25,9,0)</f>
        <v>0.79</v>
      </c>
      <c r="D26" s="21">
        <f>B26*C26</f>
        <v>0.79</v>
      </c>
      <c r="E26" s="72">
        <v>1</v>
      </c>
      <c r="F26" s="77">
        <f>VLOOKUP($B$3,'Data for Bill Impacts'!$A$3:$Y$25,18,0)</f>
        <v>0.79</v>
      </c>
      <c r="G26" s="21">
        <f>E26*F26</f>
        <v>0.79</v>
      </c>
      <c r="H26" s="21">
        <f t="shared" si="1"/>
        <v>0</v>
      </c>
      <c r="I26" s="22">
        <f t="shared" si="2"/>
        <v>0</v>
      </c>
      <c r="J26" s="22">
        <f>G26/$G$46</f>
        <v>3.1585960230193439E-4</v>
      </c>
      <c r="K26" s="107">
        <f t="shared" si="4"/>
        <v>3.3326931145488307E-4</v>
      </c>
    </row>
    <row r="27" spans="1:11" s="1" customFormat="1" x14ac:dyDescent="0.2">
      <c r="A27" s="118" t="s">
        <v>75</v>
      </c>
      <c r="B27" s="119">
        <f>B8-B4</f>
        <v>1000.5</v>
      </c>
      <c r="C27" s="186">
        <f>IF(B4&gt;B7,C13,C12)</f>
        <v>0.106</v>
      </c>
      <c r="D27" s="21">
        <f>B27*C27</f>
        <v>106.053</v>
      </c>
      <c r="E27" s="72">
        <f>B27</f>
        <v>1000.5</v>
      </c>
      <c r="F27" s="186">
        <f>C27</f>
        <v>0.106</v>
      </c>
      <c r="G27" s="21">
        <f>E27*F27</f>
        <v>106.053</v>
      </c>
      <c r="H27" s="21">
        <f t="shared" si="1"/>
        <v>0</v>
      </c>
      <c r="I27" s="22">
        <f t="shared" si="2"/>
        <v>0</v>
      </c>
      <c r="J27" s="22">
        <f t="shared" ref="J27:J46" si="9">G27/$G$46</f>
        <v>4.2402352408768412E-2</v>
      </c>
      <c r="K27" s="107">
        <f t="shared" si="4"/>
        <v>4.4739506693322419E-2</v>
      </c>
    </row>
    <row r="28" spans="1:11" s="1" customFormat="1" x14ac:dyDescent="0.2">
      <c r="A28" s="118" t="s">
        <v>74</v>
      </c>
      <c r="B28" s="119">
        <f>B8-B4</f>
        <v>1000.5</v>
      </c>
      <c r="C28" s="186">
        <f>0.65*C15+0.17*C16+0.18*C17</f>
        <v>9.7519999999999996E-2</v>
      </c>
      <c r="D28" s="21">
        <f>B28*C28</f>
        <v>97.568759999999997</v>
      </c>
      <c r="E28" s="72">
        <f>B28</f>
        <v>1000.5</v>
      </c>
      <c r="F28" s="186">
        <f>C28</f>
        <v>9.7519999999999996E-2</v>
      </c>
      <c r="G28" s="21">
        <f>E28*F28</f>
        <v>97.568759999999997</v>
      </c>
      <c r="H28" s="21">
        <f t="shared" si="1"/>
        <v>0</v>
      </c>
      <c r="I28" s="22">
        <f t="shared" si="2"/>
        <v>0</v>
      </c>
      <c r="J28" s="22">
        <f t="shared" si="9"/>
        <v>3.9010164216066935E-2</v>
      </c>
      <c r="K28" s="107">
        <f t="shared" si="4"/>
        <v>4.1160346157856624E-2</v>
      </c>
    </row>
    <row r="29" spans="1:11" s="1" customFormat="1" x14ac:dyDescent="0.2">
      <c r="A29" s="109" t="s">
        <v>78</v>
      </c>
      <c r="B29" s="73"/>
      <c r="C29" s="34"/>
      <c r="D29" s="34">
        <f>SUM(D25,D26:D27)</f>
        <v>429.76300000000003</v>
      </c>
      <c r="E29" s="72"/>
      <c r="F29" s="34"/>
      <c r="G29" s="34">
        <f>SUM(G25,G26:G27)</f>
        <v>451.60300000000001</v>
      </c>
      <c r="H29" s="34">
        <f t="shared" si="1"/>
        <v>21.839999999999975</v>
      </c>
      <c r="I29" s="35">
        <f t="shared" si="2"/>
        <v>5.0818707054818522E-2</v>
      </c>
      <c r="J29" s="35">
        <f t="shared" si="9"/>
        <v>0.18056094174476009</v>
      </c>
      <c r="K29" s="110">
        <f t="shared" si="4"/>
        <v>0.19051319096323993</v>
      </c>
    </row>
    <row r="30" spans="1:11" s="1" customFormat="1" x14ac:dyDescent="0.2">
      <c r="A30" s="109" t="s">
        <v>77</v>
      </c>
      <c r="B30" s="73"/>
      <c r="C30" s="34"/>
      <c r="D30" s="34">
        <f>SUM(D25,D26,D28)</f>
        <v>421.27876000000003</v>
      </c>
      <c r="E30" s="72"/>
      <c r="F30" s="34"/>
      <c r="G30" s="34">
        <f>SUM(G25,G26,G28)</f>
        <v>443.11876000000001</v>
      </c>
      <c r="H30" s="34">
        <f t="shared" si="1"/>
        <v>21.839999999999975</v>
      </c>
      <c r="I30" s="35">
        <f t="shared" si="2"/>
        <v>5.184215790988364E-2</v>
      </c>
      <c r="J30" s="35">
        <f t="shared" si="9"/>
        <v>0.17716875355205861</v>
      </c>
      <c r="K30" s="110">
        <f t="shared" si="4"/>
        <v>0.18693403042777415</v>
      </c>
    </row>
    <row r="31" spans="1:11" x14ac:dyDescent="0.2">
      <c r="A31" s="106" t="s">
        <v>40</v>
      </c>
      <c r="B31" s="72">
        <f>B8</f>
        <v>16000.5</v>
      </c>
      <c r="C31" s="124">
        <f>VLOOKUP($B$3,'Data for Bill Impacts'!$A$3:$Y$25,15,0)</f>
        <v>5.3E-3</v>
      </c>
      <c r="D31" s="21">
        <f>B31*C31</f>
        <v>84.80265</v>
      </c>
      <c r="E31" s="72">
        <f t="shared" si="6"/>
        <v>16000.5</v>
      </c>
      <c r="F31" s="77">
        <f>VLOOKUP($B$3,'Data for Bill Impacts'!$A$3:$Y$25,24,0)</f>
        <v>5.3E-3</v>
      </c>
      <c r="G31" s="21">
        <f>E31*F31</f>
        <v>84.80265</v>
      </c>
      <c r="H31" s="21">
        <f t="shared" si="1"/>
        <v>0</v>
      </c>
      <c r="I31" s="22">
        <f t="shared" si="2"/>
        <v>0</v>
      </c>
      <c r="J31" s="22">
        <f t="shared" si="9"/>
        <v>3.3905988991329281E-2</v>
      </c>
      <c r="K31" s="107">
        <f t="shared" si="4"/>
        <v>3.5774836424113214E-2</v>
      </c>
    </row>
    <row r="32" spans="1:11" x14ac:dyDescent="0.2">
      <c r="A32" s="106" t="s">
        <v>41</v>
      </c>
      <c r="B32" s="72">
        <f>B8</f>
        <v>16000.5</v>
      </c>
      <c r="C32" s="124">
        <f>VLOOKUP($B$3,'Data for Bill Impacts'!$A$3:$Y$25,16,0)</f>
        <v>4.4000000000000003E-3</v>
      </c>
      <c r="D32" s="21">
        <f>B32*C32</f>
        <v>70.402200000000008</v>
      </c>
      <c r="E32" s="72">
        <f t="shared" si="6"/>
        <v>16000.5</v>
      </c>
      <c r="F32" s="77">
        <f>VLOOKUP($B$3,'Data for Bill Impacts'!$A$3:$Y$25,25,0)</f>
        <v>4.4000000000000003E-3</v>
      </c>
      <c r="G32" s="21">
        <f>E32*F32</f>
        <v>70.402200000000008</v>
      </c>
      <c r="H32" s="21">
        <f t="shared" si="1"/>
        <v>0</v>
      </c>
      <c r="I32" s="22">
        <f t="shared" si="2"/>
        <v>0</v>
      </c>
      <c r="J32" s="22">
        <f t="shared" si="9"/>
        <v>2.8148368219216766E-2</v>
      </c>
      <c r="K32" s="107">
        <f t="shared" si="4"/>
        <v>2.9699864201150596E-2</v>
      </c>
    </row>
    <row r="33" spans="1:11" s="1" customFormat="1" x14ac:dyDescent="0.2">
      <c r="A33" s="109" t="s">
        <v>76</v>
      </c>
      <c r="B33" s="73"/>
      <c r="C33" s="34"/>
      <c r="D33" s="34">
        <f>SUM(D31:D32)</f>
        <v>155.20485000000002</v>
      </c>
      <c r="E33" s="72"/>
      <c r="F33" s="34"/>
      <c r="G33" s="34">
        <f>SUM(G31:G32)</f>
        <v>155.20485000000002</v>
      </c>
      <c r="H33" s="34">
        <f t="shared" si="1"/>
        <v>0</v>
      </c>
      <c r="I33" s="35">
        <f t="shared" si="2"/>
        <v>0</v>
      </c>
      <c r="J33" s="35">
        <f t="shared" si="9"/>
        <v>6.2054357210546057E-2</v>
      </c>
      <c r="K33" s="110">
        <f t="shared" si="4"/>
        <v>6.547470062526381E-2</v>
      </c>
    </row>
    <row r="34" spans="1:11" s="1" customFormat="1" x14ac:dyDescent="0.2">
      <c r="A34" s="109" t="s">
        <v>93</v>
      </c>
      <c r="B34" s="73"/>
      <c r="C34" s="34"/>
      <c r="D34" s="34">
        <f>D29+D33</f>
        <v>584.96785</v>
      </c>
      <c r="E34" s="72"/>
      <c r="F34" s="34"/>
      <c r="G34" s="34">
        <f>G29+G33</f>
        <v>606.80785000000003</v>
      </c>
      <c r="H34" s="34">
        <f t="shared" si="1"/>
        <v>21.840000000000032</v>
      </c>
      <c r="I34" s="35">
        <f t="shared" si="2"/>
        <v>3.7335385183989225E-2</v>
      </c>
      <c r="J34" s="35">
        <f t="shared" si="9"/>
        <v>0.24261529895530615</v>
      </c>
      <c r="K34" s="110">
        <f t="shared" si="4"/>
        <v>0.25598789158850377</v>
      </c>
    </row>
    <row r="35" spans="1:11" s="1" customFormat="1" x14ac:dyDescent="0.2">
      <c r="A35" s="109" t="s">
        <v>94</v>
      </c>
      <c r="B35" s="73"/>
      <c r="C35" s="34"/>
      <c r="D35" s="34">
        <f>D30+D33</f>
        <v>576.48361</v>
      </c>
      <c r="E35" s="72"/>
      <c r="F35" s="34"/>
      <c r="G35" s="34">
        <f>G30+G33</f>
        <v>598.32361000000003</v>
      </c>
      <c r="H35" s="34">
        <f t="shared" si="1"/>
        <v>21.840000000000032</v>
      </c>
      <c r="I35" s="35">
        <f t="shared" si="2"/>
        <v>3.7884858513150155E-2</v>
      </c>
      <c r="J35" s="35">
        <f t="shared" si="9"/>
        <v>0.23922311076260466</v>
      </c>
      <c r="K35" s="110">
        <f t="shared" si="4"/>
        <v>0.25240873105303796</v>
      </c>
    </row>
    <row r="36" spans="1:11" x14ac:dyDescent="0.2">
      <c r="A36" s="106" t="s">
        <v>42</v>
      </c>
      <c r="B36" s="72">
        <f>B8</f>
        <v>16000.5</v>
      </c>
      <c r="C36" s="33">
        <v>3.5999999999999999E-3</v>
      </c>
      <c r="D36" s="21">
        <f>B36*C36</f>
        <v>57.601799999999997</v>
      </c>
      <c r="E36" s="72">
        <f t="shared" si="6"/>
        <v>16000.5</v>
      </c>
      <c r="F36" s="33">
        <v>3.5999999999999999E-3</v>
      </c>
      <c r="G36" s="21">
        <f>E36*F36</f>
        <v>57.601799999999997</v>
      </c>
      <c r="H36" s="21">
        <f t="shared" si="1"/>
        <v>0</v>
      </c>
      <c r="I36" s="22">
        <f t="shared" si="2"/>
        <v>0</v>
      </c>
      <c r="J36" s="22">
        <f t="shared" si="9"/>
        <v>2.3030483088450078E-2</v>
      </c>
      <c r="K36" s="107">
        <f t="shared" si="4"/>
        <v>2.4299888891850481E-2</v>
      </c>
    </row>
    <row r="37" spans="1:11" x14ac:dyDescent="0.2">
      <c r="A37" s="106" t="s">
        <v>43</v>
      </c>
      <c r="B37" s="72">
        <f>B8</f>
        <v>16000.5</v>
      </c>
      <c r="C37" s="33">
        <v>2.0999999999999999E-3</v>
      </c>
      <c r="D37" s="21">
        <f>B37*C37</f>
        <v>33.601050000000001</v>
      </c>
      <c r="E37" s="72">
        <f t="shared" si="6"/>
        <v>16000.5</v>
      </c>
      <c r="F37" s="33">
        <v>2.0999999999999999E-3</v>
      </c>
      <c r="G37" s="21">
        <f>E37*F37</f>
        <v>33.601050000000001</v>
      </c>
      <c r="H37" s="21">
        <f>G37-D37</f>
        <v>0</v>
      </c>
      <c r="I37" s="22">
        <f t="shared" si="2"/>
        <v>0</v>
      </c>
      <c r="J37" s="22">
        <f t="shared" si="9"/>
        <v>1.3434448468262547E-2</v>
      </c>
      <c r="K37" s="107">
        <f t="shared" si="4"/>
        <v>1.4174935186912782E-2</v>
      </c>
    </row>
    <row r="38" spans="1:11" x14ac:dyDescent="0.2">
      <c r="A38" s="106" t="s">
        <v>99</v>
      </c>
      <c r="B38" s="72">
        <f>B8</f>
        <v>16000.5</v>
      </c>
      <c r="C38" s="33">
        <v>0</v>
      </c>
      <c r="D38" s="21">
        <f>B38*C38</f>
        <v>0</v>
      </c>
      <c r="E38" s="72">
        <f t="shared" si="6"/>
        <v>16000.5</v>
      </c>
      <c r="F38" s="33">
        <v>0</v>
      </c>
      <c r="G38" s="21">
        <f>E38*F38</f>
        <v>0</v>
      </c>
      <c r="H38" s="21">
        <f>G38-D38</f>
        <v>0</v>
      </c>
      <c r="I38" s="22" t="str">
        <f t="shared" si="2"/>
        <v>N/A</v>
      </c>
      <c r="J38" s="22">
        <f t="shared" si="9"/>
        <v>0</v>
      </c>
      <c r="K38" s="107">
        <f t="shared" si="4"/>
        <v>0</v>
      </c>
    </row>
    <row r="39" spans="1:11" x14ac:dyDescent="0.2">
      <c r="A39" s="106" t="s">
        <v>44</v>
      </c>
      <c r="B39" s="72">
        <v>1</v>
      </c>
      <c r="C39" s="21">
        <v>0.25</v>
      </c>
      <c r="D39" s="21">
        <f>B39*C39</f>
        <v>0.25</v>
      </c>
      <c r="E39" s="72">
        <f t="shared" si="6"/>
        <v>1</v>
      </c>
      <c r="F39" s="21">
        <f>C39</f>
        <v>0.25</v>
      </c>
      <c r="G39" s="21">
        <f>E39*F39</f>
        <v>0.25</v>
      </c>
      <c r="H39" s="21">
        <f t="shared" si="1"/>
        <v>0</v>
      </c>
      <c r="I39" s="22">
        <f t="shared" si="2"/>
        <v>0</v>
      </c>
      <c r="J39" s="22">
        <f t="shared" si="9"/>
        <v>9.9955570348713409E-5</v>
      </c>
      <c r="K39" s="107">
        <f t="shared" si="4"/>
        <v>1.0546497197939337E-4</v>
      </c>
    </row>
    <row r="40" spans="1:11" s="1" customFormat="1" x14ac:dyDescent="0.2">
      <c r="A40" s="109" t="s">
        <v>45</v>
      </c>
      <c r="B40" s="73"/>
      <c r="C40" s="34"/>
      <c r="D40" s="34">
        <f>SUM(D36:D39)</f>
        <v>91.452849999999998</v>
      </c>
      <c r="E40" s="72"/>
      <c r="F40" s="34"/>
      <c r="G40" s="34">
        <f>SUM(G36:G39)</f>
        <v>91.452849999999998</v>
      </c>
      <c r="H40" s="34">
        <f t="shared" si="1"/>
        <v>0</v>
      </c>
      <c r="I40" s="35">
        <f t="shared" si="2"/>
        <v>0</v>
      </c>
      <c r="J40" s="35">
        <f t="shared" si="9"/>
        <v>3.6564887127061338E-2</v>
      </c>
      <c r="K40" s="110">
        <f t="shared" si="4"/>
        <v>3.8580289050742657E-2</v>
      </c>
    </row>
    <row r="41" spans="1:11" s="1" customFormat="1" ht="13.5" thickBot="1" x14ac:dyDescent="0.25">
      <c r="A41" s="111" t="s">
        <v>46</v>
      </c>
      <c r="B41" s="112">
        <f>B4</f>
        <v>15000</v>
      </c>
      <c r="C41" s="113">
        <v>7.0000000000000001E-3</v>
      </c>
      <c r="D41" s="114">
        <f>B41*C41</f>
        <v>105</v>
      </c>
      <c r="E41" s="115">
        <f t="shared" si="6"/>
        <v>15000</v>
      </c>
      <c r="F41" s="113">
        <f>C41</f>
        <v>7.0000000000000001E-3</v>
      </c>
      <c r="G41" s="114">
        <f>E41*F41</f>
        <v>105</v>
      </c>
      <c r="H41" s="114">
        <f t="shared" si="1"/>
        <v>0</v>
      </c>
      <c r="I41" s="116">
        <f t="shared" si="2"/>
        <v>0</v>
      </c>
      <c r="J41" s="116">
        <f t="shared" si="9"/>
        <v>4.1981339546459634E-2</v>
      </c>
      <c r="K41" s="117">
        <f t="shared" si="4"/>
        <v>4.4295288231345216E-2</v>
      </c>
    </row>
    <row r="42" spans="1:11" s="1" customFormat="1" x14ac:dyDescent="0.2">
      <c r="A42" s="36" t="s">
        <v>107</v>
      </c>
      <c r="B42" s="37"/>
      <c r="C42" s="38"/>
      <c r="D42" s="38">
        <f>SUM(D14,D25,D26,D27,D33,D40,D41)</f>
        <v>2360.1707000000001</v>
      </c>
      <c r="E42" s="37"/>
      <c r="F42" s="38"/>
      <c r="G42" s="38">
        <f>SUM(G14,G25,G26,G27,G33,G40,G41)</f>
        <v>2382.0107000000003</v>
      </c>
      <c r="H42" s="38">
        <f t="shared" si="1"/>
        <v>21.840000000000146</v>
      </c>
      <c r="I42" s="39">
        <f t="shared" si="2"/>
        <v>9.2535679728589729E-3</v>
      </c>
      <c r="J42" s="39">
        <f t="shared" si="9"/>
        <v>0.95238095238095233</v>
      </c>
      <c r="K42" s="40"/>
    </row>
    <row r="43" spans="1:11" x14ac:dyDescent="0.2">
      <c r="A43" s="142" t="s">
        <v>108</v>
      </c>
      <c r="B43" s="42"/>
      <c r="C43" s="25">
        <v>0.13</v>
      </c>
      <c r="D43" s="25">
        <f>D42*C43</f>
        <v>306.82219100000003</v>
      </c>
      <c r="E43" s="25"/>
      <c r="F43" s="25">
        <f>C43</f>
        <v>0.13</v>
      </c>
      <c r="G43" s="25">
        <f>G42*F43</f>
        <v>309.66139100000004</v>
      </c>
      <c r="H43" s="25">
        <f t="shared" si="1"/>
        <v>2.8392000000000053</v>
      </c>
      <c r="I43" s="43">
        <f t="shared" si="2"/>
        <v>9.2535679728589278E-3</v>
      </c>
      <c r="J43" s="43">
        <f t="shared" si="9"/>
        <v>0.12380952380952381</v>
      </c>
      <c r="K43" s="44"/>
    </row>
    <row r="44" spans="1:11" s="1" customFormat="1" x14ac:dyDescent="0.2">
      <c r="A44" s="45" t="s">
        <v>109</v>
      </c>
      <c r="B44" s="23"/>
      <c r="C44" s="24"/>
      <c r="D44" s="24">
        <f>SUM(D42:D43)</f>
        <v>2666.9928910000003</v>
      </c>
      <c r="E44" s="24"/>
      <c r="F44" s="24"/>
      <c r="G44" s="24">
        <f>SUM(G42:G43)</f>
        <v>2691.6720910000004</v>
      </c>
      <c r="H44" s="24">
        <f t="shared" si="1"/>
        <v>24.679200000000037</v>
      </c>
      <c r="I44" s="26">
        <f t="shared" si="2"/>
        <v>9.2535679728589244E-3</v>
      </c>
      <c r="J44" s="26">
        <f t="shared" si="9"/>
        <v>1.0761904761904761</v>
      </c>
      <c r="K44" s="46"/>
    </row>
    <row r="45" spans="1:11" x14ac:dyDescent="0.2">
      <c r="A45" s="41" t="s">
        <v>110</v>
      </c>
      <c r="B45" s="42"/>
      <c r="C45" s="25">
        <v>-0.08</v>
      </c>
      <c r="D45" s="25">
        <f>D42*C45</f>
        <v>-188.81365600000001</v>
      </c>
      <c r="E45" s="25"/>
      <c r="F45" s="25">
        <f>C45</f>
        <v>-0.08</v>
      </c>
      <c r="G45" s="25">
        <f>G42*F45</f>
        <v>-190.56085600000003</v>
      </c>
      <c r="H45" s="25">
        <f t="shared" si="1"/>
        <v>-1.7472000000000207</v>
      </c>
      <c r="I45" s="43">
        <f t="shared" si="2"/>
        <v>-9.2535679728590215E-3</v>
      </c>
      <c r="J45" s="43">
        <f t="shared" si="9"/>
        <v>-7.6190476190476197E-2</v>
      </c>
      <c r="K45" s="44"/>
    </row>
    <row r="46" spans="1:11" s="1" customFormat="1" ht="13.5" thickBot="1" x14ac:dyDescent="0.25">
      <c r="A46" s="47" t="s">
        <v>111</v>
      </c>
      <c r="B46" s="48"/>
      <c r="C46" s="49"/>
      <c r="D46" s="49">
        <f>SUM(D44:D45)</f>
        <v>2478.1792350000005</v>
      </c>
      <c r="E46" s="49"/>
      <c r="F46" s="49"/>
      <c r="G46" s="49">
        <f>SUM(G44:G45)</f>
        <v>2501.1112350000003</v>
      </c>
      <c r="H46" s="49">
        <f t="shared" si="1"/>
        <v>22.931999999999789</v>
      </c>
      <c r="I46" s="50">
        <f t="shared" si="2"/>
        <v>9.2535679728588255E-3</v>
      </c>
      <c r="J46" s="50">
        <f t="shared" si="9"/>
        <v>1</v>
      </c>
      <c r="K46" s="51"/>
    </row>
    <row r="47" spans="1:11" x14ac:dyDescent="0.2">
      <c r="A47" s="52" t="s">
        <v>112</v>
      </c>
      <c r="B47" s="53"/>
      <c r="C47" s="54"/>
      <c r="D47" s="54">
        <f>SUM(D18,D25,D26,D28,D33,D40,D41)</f>
        <v>2235.7364600000005</v>
      </c>
      <c r="E47" s="54"/>
      <c r="F47" s="54"/>
      <c r="G47" s="54">
        <f>SUM(G18,G25,G26,G28,G33,G40,G41)</f>
        <v>2257.5764600000002</v>
      </c>
      <c r="H47" s="54">
        <f>G47-D47</f>
        <v>21.839999999999691</v>
      </c>
      <c r="I47" s="55">
        <f t="shared" si="2"/>
        <v>9.7685932088792272E-3</v>
      </c>
      <c r="J47" s="55"/>
      <c r="K47" s="56">
        <f>G47/$G$51</f>
        <v>0.95238095238095233</v>
      </c>
    </row>
    <row r="48" spans="1:11" x14ac:dyDescent="0.2">
      <c r="A48" s="57" t="s">
        <v>108</v>
      </c>
      <c r="B48" s="58"/>
      <c r="C48" s="30">
        <v>0.13</v>
      </c>
      <c r="D48" s="30">
        <f>D47*C48</f>
        <v>290.64573980000006</v>
      </c>
      <c r="E48" s="30"/>
      <c r="F48" s="30">
        <f>C48</f>
        <v>0.13</v>
      </c>
      <c r="G48" s="30">
        <f>G47*F48</f>
        <v>293.48493980000006</v>
      </c>
      <c r="H48" s="30">
        <f>G48-D48</f>
        <v>2.8392000000000053</v>
      </c>
      <c r="I48" s="31">
        <f t="shared" si="2"/>
        <v>9.768593208879385E-3</v>
      </c>
      <c r="J48" s="31"/>
      <c r="K48" s="59">
        <f>G48/$G$51</f>
        <v>0.12380952380952383</v>
      </c>
    </row>
    <row r="49" spans="1:11" x14ac:dyDescent="0.2">
      <c r="A49" s="135" t="s">
        <v>113</v>
      </c>
      <c r="B49" s="28"/>
      <c r="C49" s="29"/>
      <c r="D49" s="29">
        <f>SUM(D47:D48)</f>
        <v>2526.3821998000008</v>
      </c>
      <c r="E49" s="29"/>
      <c r="F49" s="29"/>
      <c r="G49" s="29">
        <f>SUM(G47:G48)</f>
        <v>2551.0613998000003</v>
      </c>
      <c r="H49" s="29">
        <f>G49-D49</f>
        <v>24.679199999999582</v>
      </c>
      <c r="I49" s="32">
        <f t="shared" si="2"/>
        <v>9.7685932088791994E-3</v>
      </c>
      <c r="J49" s="32"/>
      <c r="K49" s="61">
        <f>G49/$G$51</f>
        <v>1.0761904761904761</v>
      </c>
    </row>
    <row r="50" spans="1:11" x14ac:dyDescent="0.2">
      <c r="A50" s="57" t="s">
        <v>110</v>
      </c>
      <c r="B50" s="58"/>
      <c r="C50" s="30">
        <v>-0.08</v>
      </c>
      <c r="D50" s="30">
        <f>D47*C50</f>
        <v>-178.85891680000006</v>
      </c>
      <c r="E50" s="30"/>
      <c r="F50" s="30">
        <f>C50</f>
        <v>-0.08</v>
      </c>
      <c r="G50" s="30">
        <f>G47*F50</f>
        <v>-180.60611680000002</v>
      </c>
      <c r="H50" s="30">
        <f>G50-D50</f>
        <v>-1.7471999999999639</v>
      </c>
      <c r="I50" s="31">
        <f t="shared" si="2"/>
        <v>-9.768593208879163E-3</v>
      </c>
      <c r="J50" s="31"/>
      <c r="K50" s="59">
        <f>G50/$G$51</f>
        <v>-7.6190476190476197E-2</v>
      </c>
    </row>
    <row r="51" spans="1:11" ht="13.5" thickBot="1" x14ac:dyDescent="0.25">
      <c r="A51" s="62" t="s">
        <v>114</v>
      </c>
      <c r="B51" s="63"/>
      <c r="C51" s="64"/>
      <c r="D51" s="64">
        <f>SUM(D49:D50)</f>
        <v>2347.5232830000009</v>
      </c>
      <c r="E51" s="64"/>
      <c r="F51" s="64"/>
      <c r="G51" s="64">
        <f>SUM(G49:G50)</f>
        <v>2370.4552830000002</v>
      </c>
      <c r="H51" s="64">
        <f>G51-D51</f>
        <v>22.931999999999334</v>
      </c>
      <c r="I51" s="65">
        <f t="shared" si="2"/>
        <v>9.7685932088790815E-3</v>
      </c>
      <c r="J51" s="65"/>
      <c r="K51" s="66">
        <f>G51/$G$51</f>
        <v>1</v>
      </c>
    </row>
    <row r="52" spans="1:11" x14ac:dyDescent="0.2">
      <c r="C52" s="67"/>
      <c r="F52" s="68"/>
    </row>
    <row r="53" spans="1:11" x14ac:dyDescent="0.2">
      <c r="F53" s="68"/>
    </row>
    <row r="54" spans="1:11" x14ac:dyDescent="0.2">
      <c r="F54" s="68"/>
    </row>
    <row r="55" spans="1:11" x14ac:dyDescent="0.2">
      <c r="A55" s="69"/>
      <c r="B55" s="70"/>
      <c r="F55" s="68"/>
    </row>
    <row r="56" spans="1:11" x14ac:dyDescent="0.2">
      <c r="B56" s="70"/>
      <c r="F56" s="68"/>
    </row>
    <row r="57" spans="1:11" x14ac:dyDescent="0.2">
      <c r="F57" s="68"/>
    </row>
    <row r="58" spans="1:11" x14ac:dyDescent="0.2">
      <c r="D58" s="71"/>
      <c r="F58" s="68"/>
    </row>
    <row r="59" spans="1:11" x14ac:dyDescent="0.2">
      <c r="F59" s="68"/>
    </row>
    <row r="60" spans="1:11" x14ac:dyDescent="0.2">
      <c r="A60" s="69"/>
      <c r="B60" s="70"/>
      <c r="F60" s="68"/>
    </row>
    <row r="61" spans="1:11" x14ac:dyDescent="0.2">
      <c r="B61" s="71"/>
      <c r="D61" s="71"/>
      <c r="F61" s="68"/>
    </row>
    <row r="62" spans="1:11" x14ac:dyDescent="0.2">
      <c r="F62" s="68"/>
    </row>
    <row r="63" spans="1:11" x14ac:dyDescent="0.2">
      <c r="F63" s="68"/>
    </row>
    <row r="64" spans="1:11" x14ac:dyDescent="0.2">
      <c r="F64" s="68"/>
    </row>
    <row r="65" spans="6:6" x14ac:dyDescent="0.2">
      <c r="F65" s="68"/>
    </row>
    <row r="66" spans="6:6" x14ac:dyDescent="0.2">
      <c r="F66" s="68"/>
    </row>
    <row r="67" spans="6:6" x14ac:dyDescent="0.2">
      <c r="F67" s="68"/>
    </row>
    <row r="68" spans="6:6" x14ac:dyDescent="0.2">
      <c r="F68" s="68"/>
    </row>
  </sheetData>
  <mergeCells count="1">
    <mergeCell ref="A1:K1"/>
  </mergeCells>
  <pageMargins left="0.7" right="0.7" top="0.75" bottom="0.75" header="0.3" footer="0.3"/>
  <pageSetup scale="76"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Impacts'!$A$3:$A$21</xm:f>
          </x14:formula1>
          <xm:sqref>B3</xm:sqref>
        </x14:dataValidation>
      </x14:dataValidations>
    </ext>
  </extLst>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tabColor theme="1" tint="0.499984740745262"/>
    <pageSetUpPr fitToPage="1"/>
  </sheetPr>
  <dimension ref="A1:J54"/>
  <sheetViews>
    <sheetView tabSelected="1" topLeftCell="A7" zoomScaleNormal="100" zoomScaleSheetLayoutView="100" workbookViewId="0">
      <selection activeCell="N13" sqref="N13"/>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205" t="s">
        <v>124</v>
      </c>
      <c r="B1" s="206"/>
      <c r="C1" s="206"/>
      <c r="D1" s="206"/>
      <c r="E1" s="206"/>
      <c r="F1" s="206"/>
      <c r="G1" s="206"/>
      <c r="H1" s="206"/>
      <c r="I1" s="206"/>
      <c r="J1" s="207"/>
    </row>
    <row r="3" spans="1:10" x14ac:dyDescent="0.2">
      <c r="A3" s="12" t="s">
        <v>13</v>
      </c>
      <c r="B3" s="12" t="s">
        <v>132</v>
      </c>
    </row>
    <row r="4" spans="1:10" x14ac:dyDescent="0.2">
      <c r="A4" s="14" t="s">
        <v>62</v>
      </c>
      <c r="B4" s="78">
        <v>15000</v>
      </c>
    </row>
    <row r="5" spans="1:10" x14ac:dyDescent="0.2">
      <c r="A5" s="14" t="s">
        <v>16</v>
      </c>
      <c r="B5" s="78">
        <v>60</v>
      </c>
    </row>
    <row r="6" spans="1:10" x14ac:dyDescent="0.2">
      <c r="A6" s="14" t="s">
        <v>20</v>
      </c>
      <c r="B6" s="79">
        <f>VLOOKUP($B$3,'Data for Bill Impacts'!$A$3:$Y$25,2,0)</f>
        <v>1.0465</v>
      </c>
    </row>
    <row r="7" spans="1:10" x14ac:dyDescent="0.2">
      <c r="A7" s="80" t="s">
        <v>48</v>
      </c>
      <c r="B7" s="81">
        <f>B4/(B5*730)</f>
        <v>0.34246575342465752</v>
      </c>
    </row>
    <row r="8" spans="1:10" x14ac:dyDescent="0.2">
      <c r="A8" s="14" t="s">
        <v>15</v>
      </c>
      <c r="B8" s="78">
        <f>VLOOKUP($B$3,'Data for Bill Impacts'!$A$3:$Y$25,4,0)</f>
        <v>0</v>
      </c>
    </row>
    <row r="9" spans="1:10" x14ac:dyDescent="0.2">
      <c r="A9" s="14" t="s">
        <v>82</v>
      </c>
      <c r="B9" s="78">
        <f>B4*B6</f>
        <v>15697.5</v>
      </c>
    </row>
    <row r="10" spans="1:10" x14ac:dyDescent="0.2">
      <c r="A10" s="14" t="s">
        <v>21</v>
      </c>
      <c r="B10" s="15" t="s">
        <v>19</v>
      </c>
    </row>
    <row r="11" spans="1:10" ht="13.5" thickBot="1" x14ac:dyDescent="0.25"/>
    <row r="12" spans="1:10" s="19" customFormat="1" ht="26.25" thickBot="1" x14ac:dyDescent="0.25">
      <c r="A12" s="16"/>
      <c r="B12" s="17" t="s">
        <v>22</v>
      </c>
      <c r="C12" s="17" t="s">
        <v>23</v>
      </c>
      <c r="D12" s="17" t="s">
        <v>24</v>
      </c>
      <c r="E12" s="17" t="s">
        <v>22</v>
      </c>
      <c r="F12" s="17" t="s">
        <v>25</v>
      </c>
      <c r="G12" s="17" t="s">
        <v>26</v>
      </c>
      <c r="H12" s="17" t="s">
        <v>27</v>
      </c>
      <c r="I12" s="17" t="s">
        <v>27</v>
      </c>
      <c r="J12" s="121" t="s">
        <v>49</v>
      </c>
    </row>
    <row r="13" spans="1:10" x14ac:dyDescent="0.2">
      <c r="A13" s="100" t="s">
        <v>31</v>
      </c>
      <c r="B13" s="101">
        <f>B9</f>
        <v>15697.5</v>
      </c>
      <c r="C13" s="102">
        <v>9.0999999999999998E-2</v>
      </c>
      <c r="D13" s="103">
        <f>B13*C13</f>
        <v>1428.4724999999999</v>
      </c>
      <c r="E13" s="101">
        <f>B13</f>
        <v>15697.5</v>
      </c>
      <c r="F13" s="102">
        <f>C13</f>
        <v>9.0999999999999998E-2</v>
      </c>
      <c r="G13" s="103">
        <f>E13*F13</f>
        <v>1428.4724999999999</v>
      </c>
      <c r="H13" s="103">
        <f>G13-D13</f>
        <v>0</v>
      </c>
      <c r="I13" s="104">
        <f t="shared" ref="I13:I38" si="0">IF(ISERROR(H13/ABS(D13)),"N/A",(H13/ABS(D13)))</f>
        <v>0</v>
      </c>
      <c r="J13" s="122">
        <f t="shared" ref="J13:J38" si="1">G13/$G$38</f>
        <v>0.5209339652769932</v>
      </c>
    </row>
    <row r="14" spans="1:10" x14ac:dyDescent="0.2">
      <c r="A14" s="106" t="s">
        <v>32</v>
      </c>
      <c r="B14" s="72">
        <v>0</v>
      </c>
      <c r="C14" s="20">
        <v>0.106</v>
      </c>
      <c r="D14" s="21">
        <f>B14*C14</f>
        <v>0</v>
      </c>
      <c r="E14" s="72">
        <f t="shared" ref="E14" si="2">B14</f>
        <v>0</v>
      </c>
      <c r="F14" s="20">
        <f>C14</f>
        <v>0.106</v>
      </c>
      <c r="G14" s="21">
        <f>E14*F14</f>
        <v>0</v>
      </c>
      <c r="H14" s="21">
        <f t="shared" ref="H14:H38" si="3">G14-D14</f>
        <v>0</v>
      </c>
      <c r="I14" s="22" t="str">
        <f t="shared" si="0"/>
        <v>N/A</v>
      </c>
      <c r="J14" s="123">
        <f t="shared" si="1"/>
        <v>0</v>
      </c>
    </row>
    <row r="15" spans="1:10" s="1" customFormat="1" x14ac:dyDescent="0.2">
      <c r="A15" s="45" t="s">
        <v>33</v>
      </c>
      <c r="B15" s="23"/>
      <c r="C15" s="24"/>
      <c r="D15" s="24">
        <f>SUM(D13:D14)</f>
        <v>1428.4724999999999</v>
      </c>
      <c r="E15" s="75"/>
      <c r="F15" s="24"/>
      <c r="G15" s="24">
        <f>SUM(G13:G14)</f>
        <v>1428.4724999999999</v>
      </c>
      <c r="H15" s="24">
        <f t="shared" si="3"/>
        <v>0</v>
      </c>
      <c r="I15" s="26">
        <f t="shared" si="0"/>
        <v>0</v>
      </c>
      <c r="J15" s="46">
        <f t="shared" si="1"/>
        <v>0.5209339652769932</v>
      </c>
    </row>
    <row r="16" spans="1:10" s="1" customFormat="1" x14ac:dyDescent="0.2">
      <c r="A16" s="106" t="s">
        <v>38</v>
      </c>
      <c r="B16" s="72">
        <v>1</v>
      </c>
      <c r="C16" s="77">
        <f>VLOOKUP($B$3,'Data for Bill Impacts'!$A$3:$Y$25,7,0)</f>
        <v>207.78</v>
      </c>
      <c r="D16" s="21">
        <f>B16*C16</f>
        <v>207.78</v>
      </c>
      <c r="E16" s="72">
        <f t="shared" ref="E16:E33" si="4">B16</f>
        <v>1</v>
      </c>
      <c r="F16" s="77">
        <f>VLOOKUP($B$3,'Data for Bill Impacts'!$A$3:$Y$25,17,0)</f>
        <v>283.62</v>
      </c>
      <c r="G16" s="21">
        <f>E16*F16</f>
        <v>283.62</v>
      </c>
      <c r="H16" s="21">
        <f t="shared" si="3"/>
        <v>75.84</v>
      </c>
      <c r="I16" s="22">
        <f t="shared" si="0"/>
        <v>0.3650014438348253</v>
      </c>
      <c r="J16" s="123">
        <f t="shared" si="1"/>
        <v>0.10343026640825136</v>
      </c>
    </row>
    <row r="17" spans="1:10" hidden="1" x14ac:dyDescent="0.2">
      <c r="A17" s="106" t="s">
        <v>83</v>
      </c>
      <c r="B17" s="72">
        <v>1</v>
      </c>
      <c r="C17" s="77">
        <f>VLOOKUP($B$3,'Data for Bill Impacts'!$A$3:$Y$25,8,0)</f>
        <v>0</v>
      </c>
      <c r="D17" s="21">
        <f>B17*C17</f>
        <v>0</v>
      </c>
      <c r="E17" s="72">
        <f t="shared" si="4"/>
        <v>1</v>
      </c>
      <c r="F17" s="77">
        <v>0</v>
      </c>
      <c r="G17" s="21">
        <f t="shared" ref="G17:G19" si="5">E17*F17</f>
        <v>0</v>
      </c>
      <c r="H17" s="21">
        <f t="shared" si="3"/>
        <v>0</v>
      </c>
      <c r="I17" s="22" t="str">
        <f t="shared" si="0"/>
        <v>N/A</v>
      </c>
      <c r="J17" s="123">
        <f t="shared" si="1"/>
        <v>0</v>
      </c>
    </row>
    <row r="18" spans="1:10" hidden="1" x14ac:dyDescent="0.2">
      <c r="A18" s="106" t="s">
        <v>84</v>
      </c>
      <c r="B18" s="72">
        <v>1</v>
      </c>
      <c r="C18" s="77">
        <f>VLOOKUP($B$3,'Data for Bill Impacts'!$A$3:$Y$25,11,0)</f>
        <v>0</v>
      </c>
      <c r="D18" s="21">
        <f t="shared" ref="D18:D19" si="6">B18*C18</f>
        <v>0</v>
      </c>
      <c r="E18" s="72">
        <f t="shared" si="4"/>
        <v>1</v>
      </c>
      <c r="F18" s="77">
        <f>VLOOKUP($B$3,'Data for Bill Impacts'!$A$3:$Y$25,12,0)</f>
        <v>0</v>
      </c>
      <c r="G18" s="21">
        <f t="shared" si="5"/>
        <v>0</v>
      </c>
      <c r="H18" s="21">
        <f t="shared" si="3"/>
        <v>0</v>
      </c>
      <c r="I18" s="22" t="str">
        <f t="shared" si="0"/>
        <v>N/A</v>
      </c>
      <c r="J18" s="123">
        <f t="shared" si="1"/>
        <v>0</v>
      </c>
    </row>
    <row r="19" spans="1:10" x14ac:dyDescent="0.2">
      <c r="A19" s="106" t="s">
        <v>85</v>
      </c>
      <c r="B19" s="72">
        <v>1</v>
      </c>
      <c r="C19" s="120">
        <f>VLOOKUP($B$3,'Data for Bill Impacts'!$A$3:$Y$25,13,0)</f>
        <v>0</v>
      </c>
      <c r="D19" s="21">
        <f t="shared" si="6"/>
        <v>0</v>
      </c>
      <c r="E19" s="72">
        <f t="shared" si="4"/>
        <v>1</v>
      </c>
      <c r="F19" s="120">
        <f>VLOOKUP($B$3,'Data for Bill Impacts'!$A$3:$Y$25,22,0)</f>
        <v>0</v>
      </c>
      <c r="G19" s="21">
        <f t="shared" si="5"/>
        <v>0</v>
      </c>
      <c r="H19" s="21">
        <f t="shared" si="3"/>
        <v>0</v>
      </c>
      <c r="I19" s="22" t="str">
        <f t="shared" si="0"/>
        <v>N/A</v>
      </c>
      <c r="J19" s="123">
        <f t="shared" si="1"/>
        <v>0</v>
      </c>
    </row>
    <row r="20" spans="1:10" x14ac:dyDescent="0.2">
      <c r="A20" s="106" t="s">
        <v>39</v>
      </c>
      <c r="B20" s="72">
        <f>IF($B$10="kWh",$B$4,$B$5)</f>
        <v>60</v>
      </c>
      <c r="C20" s="77">
        <f>VLOOKUP($B$3,'Data for Bill Impacts'!$A$3:$Y$25,10,0)</f>
        <v>3.9915999999999996</v>
      </c>
      <c r="D20" s="21">
        <f>B20*C20</f>
        <v>239.49599999999998</v>
      </c>
      <c r="E20" s="72">
        <f t="shared" si="4"/>
        <v>60</v>
      </c>
      <c r="F20" s="77">
        <f>VLOOKUP($B$3,'Data for Bill Impacts'!$A$3:$Y$25,19,0)</f>
        <v>5.2968000000000002</v>
      </c>
      <c r="G20" s="21">
        <f>E20*F20</f>
        <v>317.80799999999999</v>
      </c>
      <c r="H20" s="21">
        <f t="shared" si="3"/>
        <v>78.312000000000012</v>
      </c>
      <c r="I20" s="22">
        <f t="shared" si="0"/>
        <v>0.32698667201122367</v>
      </c>
      <c r="J20" s="123">
        <f t="shared" si="1"/>
        <v>0.11589791307620601</v>
      </c>
    </row>
    <row r="21" spans="1:10" s="1" customFormat="1" x14ac:dyDescent="0.2">
      <c r="A21" s="106" t="s">
        <v>129</v>
      </c>
      <c r="B21" s="72">
        <f>IF($B$10="kWh",$B$4,$B$5)</f>
        <v>60</v>
      </c>
      <c r="C21" s="124">
        <f>VLOOKUP($B$3,'Data for Bill Impacts'!$A$3:$Y$25,14,0)</f>
        <v>0</v>
      </c>
      <c r="D21" s="21">
        <f>B21*C21</f>
        <v>0</v>
      </c>
      <c r="E21" s="72">
        <f>B21</f>
        <v>60</v>
      </c>
      <c r="F21" s="124">
        <f>VLOOKUP($B$3,'Data for Bill Impacts'!$A$3:$Y$25,23,0)</f>
        <v>0</v>
      </c>
      <c r="G21" s="21">
        <f>E21*F21</f>
        <v>0</v>
      </c>
      <c r="H21" s="21">
        <f>G21-D21</f>
        <v>0</v>
      </c>
      <c r="I21" s="22" t="str">
        <f t="shared" si="0"/>
        <v>N/A</v>
      </c>
      <c r="J21" s="123">
        <f t="shared" si="1"/>
        <v>0</v>
      </c>
    </row>
    <row r="22" spans="1:10" s="1" customFormat="1" x14ac:dyDescent="0.2">
      <c r="A22" s="106" t="s">
        <v>117</v>
      </c>
      <c r="B22" s="72">
        <f>B9</f>
        <v>15697.5</v>
      </c>
      <c r="C22" s="124">
        <f>VLOOKUP($B$3,'Data for Bill Impacts'!$A$3:$Y$25,20,0)</f>
        <v>0</v>
      </c>
      <c r="D22" s="21">
        <f>B22*C22</f>
        <v>0</v>
      </c>
      <c r="E22" s="72">
        <f t="shared" si="4"/>
        <v>15697.5</v>
      </c>
      <c r="F22" s="124">
        <f>VLOOKUP($B$3,'Data for Bill Impacts'!$A$3:$Y$25,21,0)</f>
        <v>0</v>
      </c>
      <c r="G22" s="21">
        <f>E22*F22</f>
        <v>0</v>
      </c>
      <c r="H22" s="21">
        <f t="shared" si="3"/>
        <v>0</v>
      </c>
      <c r="I22" s="22" t="str">
        <f t="shared" si="0"/>
        <v>N/A</v>
      </c>
      <c r="J22" s="123">
        <f t="shared" si="1"/>
        <v>0</v>
      </c>
    </row>
    <row r="23" spans="1:10" x14ac:dyDescent="0.2">
      <c r="A23" s="109" t="s">
        <v>95</v>
      </c>
      <c r="B23" s="73"/>
      <c r="C23" s="34"/>
      <c r="D23" s="34">
        <f>SUM(D16:D22)</f>
        <v>447.27599999999995</v>
      </c>
      <c r="E23" s="72"/>
      <c r="F23" s="34"/>
      <c r="G23" s="34">
        <f>SUM(G16:G22)</f>
        <v>601.428</v>
      </c>
      <c r="H23" s="34">
        <f t="shared" si="3"/>
        <v>154.15200000000004</v>
      </c>
      <c r="I23" s="35">
        <f t="shared" si="0"/>
        <v>0.3446462586859122</v>
      </c>
      <c r="J23" s="110">
        <f t="shared" si="1"/>
        <v>0.21932817948445735</v>
      </c>
    </row>
    <row r="24" spans="1:10" x14ac:dyDescent="0.2">
      <c r="A24" s="106" t="s">
        <v>40</v>
      </c>
      <c r="B24" s="72">
        <f>B5</f>
        <v>60</v>
      </c>
      <c r="C24" s="124">
        <f>VLOOKUP($B$3,'Data for Bill Impacts'!$A$3:$Y$25,15,0)</f>
        <v>1.8612</v>
      </c>
      <c r="D24" s="21">
        <f>B24*C24</f>
        <v>111.672</v>
      </c>
      <c r="E24" s="72">
        <f t="shared" si="4"/>
        <v>60</v>
      </c>
      <c r="F24" s="77">
        <f>VLOOKUP($B$3,'Data for Bill Impacts'!$A$3:$Y$25,24,0)</f>
        <v>1.8612</v>
      </c>
      <c r="G24" s="21">
        <f>E24*F24</f>
        <v>111.672</v>
      </c>
      <c r="H24" s="21">
        <f t="shared" si="3"/>
        <v>0</v>
      </c>
      <c r="I24" s="22">
        <f t="shared" si="0"/>
        <v>0</v>
      </c>
      <c r="J24" s="123">
        <f t="shared" si="1"/>
        <v>4.0724436606523674E-2</v>
      </c>
    </row>
    <row r="25" spans="1:10" s="1" customFormat="1" x14ac:dyDescent="0.2">
      <c r="A25" s="106" t="s">
        <v>41</v>
      </c>
      <c r="B25" s="72">
        <f>B5</f>
        <v>60</v>
      </c>
      <c r="C25" s="124">
        <f>VLOOKUP($B$3,'Data for Bill Impacts'!$A$3:$Y$25,16,0)</f>
        <v>1.5062</v>
      </c>
      <c r="D25" s="21">
        <f>B25*C25</f>
        <v>90.372</v>
      </c>
      <c r="E25" s="72">
        <f t="shared" si="4"/>
        <v>60</v>
      </c>
      <c r="F25" s="77">
        <f>VLOOKUP($B$3,'Data for Bill Impacts'!$A$3:$Y$25,25,0)</f>
        <v>1.5062</v>
      </c>
      <c r="G25" s="21">
        <f>E25*F25</f>
        <v>90.372</v>
      </c>
      <c r="H25" s="21">
        <f t="shared" si="3"/>
        <v>0</v>
      </c>
      <c r="I25" s="22">
        <f t="shared" si="0"/>
        <v>0</v>
      </c>
      <c r="J25" s="123">
        <f t="shared" si="1"/>
        <v>3.29567732735579E-2</v>
      </c>
    </row>
    <row r="26" spans="1:10" x14ac:dyDescent="0.2">
      <c r="A26" s="109" t="s">
        <v>76</v>
      </c>
      <c r="B26" s="73"/>
      <c r="C26" s="34"/>
      <c r="D26" s="34">
        <f>SUM(D24:D25)</f>
        <v>202.04399999999998</v>
      </c>
      <c r="E26" s="72"/>
      <c r="F26" s="34"/>
      <c r="G26" s="34">
        <f>SUM(G24:G25)</f>
        <v>202.04399999999998</v>
      </c>
      <c r="H26" s="34">
        <f t="shared" si="3"/>
        <v>0</v>
      </c>
      <c r="I26" s="35">
        <f t="shared" si="0"/>
        <v>0</v>
      </c>
      <c r="J26" s="110">
        <f t="shared" si="1"/>
        <v>7.3681209880081575E-2</v>
      </c>
    </row>
    <row r="27" spans="1:10" s="1" customFormat="1" x14ac:dyDescent="0.2">
      <c r="A27" s="109" t="s">
        <v>80</v>
      </c>
      <c r="B27" s="73"/>
      <c r="C27" s="34"/>
      <c r="D27" s="34">
        <f>D23+D26</f>
        <v>649.31999999999994</v>
      </c>
      <c r="E27" s="72"/>
      <c r="F27" s="34"/>
      <c r="G27" s="34">
        <f>G23+G26</f>
        <v>803.47199999999998</v>
      </c>
      <c r="H27" s="34">
        <f t="shared" si="3"/>
        <v>154.15200000000004</v>
      </c>
      <c r="I27" s="35">
        <f t="shared" si="0"/>
        <v>0.23740528552947709</v>
      </c>
      <c r="J27" s="110">
        <f t="shared" si="1"/>
        <v>0.29300938936453891</v>
      </c>
    </row>
    <row r="28" spans="1:10" x14ac:dyDescent="0.2">
      <c r="A28" s="106" t="s">
        <v>42</v>
      </c>
      <c r="B28" s="72">
        <f>B9</f>
        <v>15697.5</v>
      </c>
      <c r="C28" s="33">
        <v>3.5999999999999999E-3</v>
      </c>
      <c r="D28" s="21">
        <f>B28*C28</f>
        <v>56.510999999999996</v>
      </c>
      <c r="E28" s="72">
        <f t="shared" si="4"/>
        <v>15697.5</v>
      </c>
      <c r="F28" s="33">
        <v>3.5999999999999999E-3</v>
      </c>
      <c r="G28" s="21">
        <f>E28*F28</f>
        <v>56.510999999999996</v>
      </c>
      <c r="H28" s="21">
        <f t="shared" si="3"/>
        <v>0</v>
      </c>
      <c r="I28" s="22">
        <f t="shared" si="0"/>
        <v>0</v>
      </c>
      <c r="J28" s="123">
        <f t="shared" si="1"/>
        <v>2.060837664832061E-2</v>
      </c>
    </row>
    <row r="29" spans="1:10" x14ac:dyDescent="0.2">
      <c r="A29" s="106" t="s">
        <v>43</v>
      </c>
      <c r="B29" s="72">
        <f>B9</f>
        <v>15697.5</v>
      </c>
      <c r="C29" s="33">
        <v>2.0999999999999999E-3</v>
      </c>
      <c r="D29" s="21">
        <f>B29*C29</f>
        <v>32.964749999999995</v>
      </c>
      <c r="E29" s="72">
        <f t="shared" si="4"/>
        <v>15697.5</v>
      </c>
      <c r="F29" s="33">
        <v>2.0999999999999999E-3</v>
      </c>
      <c r="G29" s="21">
        <f>E29*F29</f>
        <v>32.964749999999995</v>
      </c>
      <c r="H29" s="21">
        <f>G29-D29</f>
        <v>0</v>
      </c>
      <c r="I29" s="22">
        <f t="shared" si="0"/>
        <v>0</v>
      </c>
      <c r="J29" s="123">
        <f t="shared" si="1"/>
        <v>1.2021553044853689E-2</v>
      </c>
    </row>
    <row r="30" spans="1:10" x14ac:dyDescent="0.2">
      <c r="A30" s="106" t="s">
        <v>99</v>
      </c>
      <c r="B30" s="72">
        <f>B9</f>
        <v>15697.5</v>
      </c>
      <c r="C30" s="33">
        <v>0</v>
      </c>
      <c r="D30" s="21">
        <f>B30*C30</f>
        <v>0</v>
      </c>
      <c r="E30" s="72">
        <f t="shared" si="4"/>
        <v>15697.5</v>
      </c>
      <c r="F30" s="33">
        <v>0</v>
      </c>
      <c r="G30" s="21">
        <f>E30*F30</f>
        <v>0</v>
      </c>
      <c r="H30" s="21">
        <f>G30-D30</f>
        <v>0</v>
      </c>
      <c r="I30" s="22" t="str">
        <f t="shared" si="0"/>
        <v>N/A</v>
      </c>
      <c r="J30" s="123">
        <f t="shared" si="1"/>
        <v>0</v>
      </c>
    </row>
    <row r="31" spans="1:10" x14ac:dyDescent="0.2">
      <c r="A31" s="106" t="s">
        <v>44</v>
      </c>
      <c r="B31" s="72">
        <v>1</v>
      </c>
      <c r="C31" s="21">
        <v>0.25</v>
      </c>
      <c r="D31" s="21">
        <f>B31*C31</f>
        <v>0.25</v>
      </c>
      <c r="E31" s="72">
        <f t="shared" si="4"/>
        <v>1</v>
      </c>
      <c r="F31" s="21">
        <f>C31</f>
        <v>0.25</v>
      </c>
      <c r="G31" s="21">
        <f>E31*F31</f>
        <v>0.25</v>
      </c>
      <c r="H31" s="21">
        <f t="shared" si="3"/>
        <v>0</v>
      </c>
      <c r="I31" s="22">
        <f t="shared" si="0"/>
        <v>0</v>
      </c>
      <c r="J31" s="123">
        <f t="shared" si="1"/>
        <v>9.1169757429175797E-5</v>
      </c>
    </row>
    <row r="32" spans="1:10" x14ac:dyDescent="0.2">
      <c r="A32" s="109" t="s">
        <v>45</v>
      </c>
      <c r="B32" s="73"/>
      <c r="C32" s="34"/>
      <c r="D32" s="34">
        <f>SUM(D28:D31)</f>
        <v>89.725749999999991</v>
      </c>
      <c r="E32" s="72"/>
      <c r="F32" s="34"/>
      <c r="G32" s="34">
        <f>SUM(G28:G31)</f>
        <v>89.725749999999991</v>
      </c>
      <c r="H32" s="34">
        <f t="shared" si="3"/>
        <v>0</v>
      </c>
      <c r="I32" s="35">
        <f t="shared" si="0"/>
        <v>0</v>
      </c>
      <c r="J32" s="110">
        <f t="shared" si="1"/>
        <v>3.2721099450603475E-2</v>
      </c>
    </row>
    <row r="33" spans="1:10" ht="13.5" thickBot="1" x14ac:dyDescent="0.25">
      <c r="A33" s="111" t="s">
        <v>46</v>
      </c>
      <c r="B33" s="112">
        <f>B4</f>
        <v>15000</v>
      </c>
      <c r="C33" s="113">
        <v>7.0000000000000001E-3</v>
      </c>
      <c r="D33" s="114">
        <f>B33*C33</f>
        <v>105</v>
      </c>
      <c r="E33" s="115">
        <f t="shared" si="4"/>
        <v>15000</v>
      </c>
      <c r="F33" s="113">
        <f>C33</f>
        <v>7.0000000000000001E-3</v>
      </c>
      <c r="G33" s="114">
        <f>E33*F33</f>
        <v>105</v>
      </c>
      <c r="H33" s="114">
        <f t="shared" si="3"/>
        <v>0</v>
      </c>
      <c r="I33" s="116">
        <f t="shared" si="0"/>
        <v>0</v>
      </c>
      <c r="J33" s="117">
        <f t="shared" si="1"/>
        <v>3.8291298120253836E-2</v>
      </c>
    </row>
    <row r="34" spans="1:10" x14ac:dyDescent="0.2">
      <c r="A34" s="36" t="s">
        <v>116</v>
      </c>
      <c r="B34" s="37"/>
      <c r="C34" s="38"/>
      <c r="D34" s="38">
        <f>SUM(D15,D23,D26,D32,D33)</f>
        <v>2272.5182499999996</v>
      </c>
      <c r="E34" s="37"/>
      <c r="F34" s="38"/>
      <c r="G34" s="38">
        <f>SUM(G15,G23,G26,G32,G33)</f>
        <v>2426.6702499999997</v>
      </c>
      <c r="H34" s="38">
        <f t="shared" si="3"/>
        <v>154.15200000000004</v>
      </c>
      <c r="I34" s="39">
        <f t="shared" si="0"/>
        <v>6.7833118611918763E-2</v>
      </c>
      <c r="J34" s="40">
        <f t="shared" si="1"/>
        <v>0.88495575221238942</v>
      </c>
    </row>
    <row r="35" spans="1:10" x14ac:dyDescent="0.2">
      <c r="A35" s="142" t="s">
        <v>108</v>
      </c>
      <c r="B35" s="42"/>
      <c r="C35" s="25">
        <v>0.13</v>
      </c>
      <c r="D35" s="25">
        <f>D34*C35</f>
        <v>295.42737249999993</v>
      </c>
      <c r="E35" s="25"/>
      <c r="F35" s="25">
        <f>C35</f>
        <v>0.13</v>
      </c>
      <c r="G35" s="25">
        <f>G34*F35</f>
        <v>315.46713249999999</v>
      </c>
      <c r="H35" s="25">
        <f t="shared" si="3"/>
        <v>20.039760000000058</v>
      </c>
      <c r="I35" s="43">
        <f t="shared" si="0"/>
        <v>6.7833118611918944E-2</v>
      </c>
      <c r="J35" s="44">
        <f t="shared" si="1"/>
        <v>0.11504424778761063</v>
      </c>
    </row>
    <row r="36" spans="1:10" x14ac:dyDescent="0.2">
      <c r="A36" s="45" t="s">
        <v>109</v>
      </c>
      <c r="B36" s="23"/>
      <c r="C36" s="24"/>
      <c r="D36" s="24">
        <f>SUM(D34:D35)</f>
        <v>2567.9456224999994</v>
      </c>
      <c r="E36" s="24"/>
      <c r="F36" s="24"/>
      <c r="G36" s="24">
        <f>SUM(G34:G35)</f>
        <v>2742.1373824999996</v>
      </c>
      <c r="H36" s="24">
        <f t="shared" si="3"/>
        <v>174.19176000000016</v>
      </c>
      <c r="I36" s="26">
        <f t="shared" si="0"/>
        <v>6.7833118611918819E-2</v>
      </c>
      <c r="J36" s="46">
        <f t="shared" si="1"/>
        <v>1</v>
      </c>
    </row>
    <row r="37" spans="1:10" x14ac:dyDescent="0.2">
      <c r="A37" s="41" t="s">
        <v>110</v>
      </c>
      <c r="B37" s="42"/>
      <c r="C37" s="25">
        <v>0</v>
      </c>
      <c r="D37" s="25">
        <f>D34*C37</f>
        <v>0</v>
      </c>
      <c r="E37" s="25"/>
      <c r="F37" s="25">
        <f>C37</f>
        <v>0</v>
      </c>
      <c r="G37" s="25">
        <f>G34*F37</f>
        <v>0</v>
      </c>
      <c r="H37" s="25">
        <f t="shared" si="3"/>
        <v>0</v>
      </c>
      <c r="I37" s="43" t="str">
        <f t="shared" si="0"/>
        <v>N/A</v>
      </c>
      <c r="J37" s="44">
        <f t="shared" si="1"/>
        <v>0</v>
      </c>
    </row>
    <row r="38" spans="1:10" ht="13.5" thickBot="1" x14ac:dyDescent="0.25">
      <c r="A38" s="47" t="s">
        <v>111</v>
      </c>
      <c r="B38" s="48"/>
      <c r="C38" s="49"/>
      <c r="D38" s="49">
        <f>SUM(D36:D37)</f>
        <v>2567.9456224999994</v>
      </c>
      <c r="E38" s="49"/>
      <c r="F38" s="49"/>
      <c r="G38" s="49">
        <f>SUM(G36:G37)</f>
        <v>2742.1373824999996</v>
      </c>
      <c r="H38" s="49">
        <f t="shared" si="3"/>
        <v>174.19176000000016</v>
      </c>
      <c r="I38" s="50">
        <f t="shared" si="0"/>
        <v>6.7833118611918819E-2</v>
      </c>
      <c r="J38" s="51">
        <f t="shared" si="1"/>
        <v>1</v>
      </c>
    </row>
    <row r="39" spans="1:10" x14ac:dyDescent="0.2">
      <c r="A39" s="184"/>
      <c r="F39" s="68"/>
    </row>
    <row r="40" spans="1:10" x14ac:dyDescent="0.2">
      <c r="A40" s="184"/>
      <c r="F40" s="68"/>
    </row>
    <row r="41" spans="1:10" x14ac:dyDescent="0.2">
      <c r="A41" s="184"/>
    </row>
    <row r="42" spans="1:10" x14ac:dyDescent="0.2">
      <c r="A42" s="184"/>
    </row>
    <row r="43" spans="1:10" x14ac:dyDescent="0.2">
      <c r="A43" s="184"/>
    </row>
    <row r="44" spans="1:10" x14ac:dyDescent="0.2">
      <c r="A44" s="184"/>
    </row>
    <row r="45" spans="1:10" x14ac:dyDescent="0.2">
      <c r="A45" s="184"/>
    </row>
    <row r="46" spans="1:10" x14ac:dyDescent="0.2">
      <c r="A46" s="184"/>
    </row>
    <row r="47" spans="1:10" x14ac:dyDescent="0.2">
      <c r="A47" s="184"/>
    </row>
    <row r="48" spans="1:10" x14ac:dyDescent="0.2">
      <c r="A48" s="184"/>
    </row>
    <row r="49" spans="1:1" x14ac:dyDescent="0.2">
      <c r="A49" s="184"/>
    </row>
    <row r="50" spans="1:1" x14ac:dyDescent="0.2">
      <c r="A50" s="184"/>
    </row>
    <row r="51" spans="1:1" x14ac:dyDescent="0.2">
      <c r="A51" s="184"/>
    </row>
    <row r="52" spans="1:1" x14ac:dyDescent="0.2">
      <c r="A52" s="184"/>
    </row>
    <row r="53" spans="1:1" x14ac:dyDescent="0.2">
      <c r="A53" s="184"/>
    </row>
    <row r="54" spans="1:1" x14ac:dyDescent="0.2">
      <c r="A54" s="184"/>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scale="71"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Impacts'!$A$12:$A$21</xm:f>
          </x14:formula1>
          <xm:sqref>B3</xm:sqref>
        </x14:dataValidation>
      </x14:dataValidations>
    </ext>
  </extLst>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2">
    <tabColor theme="1" tint="0.499984740745262"/>
    <pageSetUpPr fitToPage="1"/>
  </sheetPr>
  <dimension ref="A1:J54"/>
  <sheetViews>
    <sheetView tabSelected="1" zoomScaleNormal="100" workbookViewId="0">
      <selection activeCell="N13" sqref="N13"/>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205" t="s">
        <v>127</v>
      </c>
      <c r="B1" s="206"/>
      <c r="C1" s="206"/>
      <c r="D1" s="206"/>
      <c r="E1" s="206"/>
      <c r="F1" s="206"/>
      <c r="G1" s="206"/>
      <c r="H1" s="206"/>
      <c r="I1" s="206"/>
      <c r="J1" s="207"/>
    </row>
    <row r="3" spans="1:10" x14ac:dyDescent="0.2">
      <c r="A3" s="12" t="s">
        <v>13</v>
      </c>
      <c r="B3" s="12" t="s">
        <v>132</v>
      </c>
    </row>
    <row r="4" spans="1:10" x14ac:dyDescent="0.2">
      <c r="A4" s="14" t="s">
        <v>62</v>
      </c>
      <c r="B4" s="78">
        <f>VLOOKUP(B3,'Data for Bill Impacts_HONI Avg '!A2:F21,3,FALSE)</f>
        <v>61239</v>
      </c>
    </row>
    <row r="5" spans="1:10" x14ac:dyDescent="0.2">
      <c r="A5" s="14" t="s">
        <v>16</v>
      </c>
      <c r="B5" s="78">
        <f>VLOOKUP(B3,'Data for Bill Impacts_HONI Avg '!A2:F21,5,FALSE)</f>
        <v>177</v>
      </c>
    </row>
    <row r="6" spans="1:10" x14ac:dyDescent="0.2">
      <c r="A6" s="14" t="s">
        <v>20</v>
      </c>
      <c r="B6" s="79">
        <f>VLOOKUP($B$3,'Data for Bill Impacts'!$A$3:$Y$25,2,0)</f>
        <v>1.0465</v>
      </c>
    </row>
    <row r="7" spans="1:10" x14ac:dyDescent="0.2">
      <c r="A7" s="80" t="s">
        <v>48</v>
      </c>
      <c r="B7" s="81">
        <f>B4/(B5*730)</f>
        <v>0.47394938472254472</v>
      </c>
    </row>
    <row r="8" spans="1:10" x14ac:dyDescent="0.2">
      <c r="A8" s="14" t="s">
        <v>15</v>
      </c>
      <c r="B8" s="78">
        <f>VLOOKUP($B$3,'Data for Bill Impacts'!$A$3:$Y$25,4,0)</f>
        <v>0</v>
      </c>
    </row>
    <row r="9" spans="1:10" x14ac:dyDescent="0.2">
      <c r="A9" s="14" t="s">
        <v>82</v>
      </c>
      <c r="B9" s="78">
        <f>B4*B6</f>
        <v>64086.613499999999</v>
      </c>
    </row>
    <row r="10" spans="1:10" x14ac:dyDescent="0.2">
      <c r="A10" s="14" t="s">
        <v>21</v>
      </c>
      <c r="B10" s="15" t="s">
        <v>19</v>
      </c>
    </row>
    <row r="11" spans="1:10" ht="13.5" thickBot="1" x14ac:dyDescent="0.25"/>
    <row r="12" spans="1:10" s="19" customFormat="1" ht="26.25" thickBot="1" x14ac:dyDescent="0.25">
      <c r="A12" s="16"/>
      <c r="B12" s="17" t="s">
        <v>22</v>
      </c>
      <c r="C12" s="17" t="s">
        <v>23</v>
      </c>
      <c r="D12" s="17" t="s">
        <v>24</v>
      </c>
      <c r="E12" s="17" t="s">
        <v>22</v>
      </c>
      <c r="F12" s="17" t="s">
        <v>25</v>
      </c>
      <c r="G12" s="17" t="s">
        <v>26</v>
      </c>
      <c r="H12" s="17" t="s">
        <v>27</v>
      </c>
      <c r="I12" s="17" t="s">
        <v>27</v>
      </c>
      <c r="J12" s="121" t="s">
        <v>49</v>
      </c>
    </row>
    <row r="13" spans="1:10" x14ac:dyDescent="0.2">
      <c r="A13" s="100" t="s">
        <v>31</v>
      </c>
      <c r="B13" s="101">
        <f>B9</f>
        <v>64086.613499999999</v>
      </c>
      <c r="C13" s="102">
        <v>9.0999999999999998E-2</v>
      </c>
      <c r="D13" s="103">
        <f>B13*C13</f>
        <v>5831.8818284999998</v>
      </c>
      <c r="E13" s="101">
        <f>B13</f>
        <v>64086.613499999999</v>
      </c>
      <c r="F13" s="102">
        <f>C13</f>
        <v>9.0999999999999998E-2</v>
      </c>
      <c r="G13" s="103">
        <f>E13*F13</f>
        <v>5831.8818284999998</v>
      </c>
      <c r="H13" s="103">
        <f>G13-D13</f>
        <v>0</v>
      </c>
      <c r="I13" s="104">
        <f t="shared" ref="I13:I38" si="0">IF(ISERROR(H13/ABS(D13)),"N/A",(H13/ABS(D13)))</f>
        <v>0</v>
      </c>
      <c r="J13" s="122">
        <f t="shared" ref="J13:J38" si="1">G13/$G$38</f>
        <v>0.61125015318956322</v>
      </c>
    </row>
    <row r="14" spans="1:10" x14ac:dyDescent="0.2">
      <c r="A14" s="106" t="s">
        <v>32</v>
      </c>
      <c r="B14" s="72">
        <v>0</v>
      </c>
      <c r="C14" s="20">
        <v>0.106</v>
      </c>
      <c r="D14" s="21">
        <f>B14*C14</f>
        <v>0</v>
      </c>
      <c r="E14" s="72">
        <f t="shared" ref="E14" si="2">B14</f>
        <v>0</v>
      </c>
      <c r="F14" s="20">
        <f>C14</f>
        <v>0.106</v>
      </c>
      <c r="G14" s="21">
        <f>E14*F14</f>
        <v>0</v>
      </c>
      <c r="H14" s="21">
        <f t="shared" ref="H14:H38" si="3">G14-D14</f>
        <v>0</v>
      </c>
      <c r="I14" s="22" t="str">
        <f t="shared" si="0"/>
        <v>N/A</v>
      </c>
      <c r="J14" s="123">
        <f t="shared" si="1"/>
        <v>0</v>
      </c>
    </row>
    <row r="15" spans="1:10" s="1" customFormat="1" x14ac:dyDescent="0.2">
      <c r="A15" s="45" t="s">
        <v>33</v>
      </c>
      <c r="B15" s="23"/>
      <c r="C15" s="24"/>
      <c r="D15" s="24">
        <f>SUM(D13:D14)</f>
        <v>5831.8818284999998</v>
      </c>
      <c r="E15" s="75"/>
      <c r="F15" s="24"/>
      <c r="G15" s="24">
        <f>SUM(G13:G14)</f>
        <v>5831.8818284999998</v>
      </c>
      <c r="H15" s="24">
        <f t="shared" si="3"/>
        <v>0</v>
      </c>
      <c r="I15" s="26">
        <f t="shared" si="0"/>
        <v>0</v>
      </c>
      <c r="J15" s="46">
        <f t="shared" si="1"/>
        <v>0.61125015318956322</v>
      </c>
    </row>
    <row r="16" spans="1:10" s="1" customFormat="1" x14ac:dyDescent="0.2">
      <c r="A16" s="106" t="s">
        <v>38</v>
      </c>
      <c r="B16" s="72">
        <v>1</v>
      </c>
      <c r="C16" s="77">
        <f>VLOOKUP($B$3,'Data for Bill Impacts'!$A$3:$Y$25,7,0)</f>
        <v>207.78</v>
      </c>
      <c r="D16" s="21">
        <f>B16*C16</f>
        <v>207.78</v>
      </c>
      <c r="E16" s="72">
        <f t="shared" ref="E16:E31" si="4">B16</f>
        <v>1</v>
      </c>
      <c r="F16" s="77">
        <f>VLOOKUP($B$3,'Data for Bill Impacts'!$A$3:$Y$25,17,0)</f>
        <v>283.62</v>
      </c>
      <c r="G16" s="21">
        <f>E16*F16</f>
        <v>283.62</v>
      </c>
      <c r="H16" s="21">
        <f t="shared" si="3"/>
        <v>75.84</v>
      </c>
      <c r="I16" s="22">
        <f t="shared" si="0"/>
        <v>0.3650014438348253</v>
      </c>
      <c r="J16" s="123">
        <f t="shared" si="1"/>
        <v>2.9726728617924351E-2</v>
      </c>
    </row>
    <row r="17" spans="1:10" hidden="1" x14ac:dyDescent="0.2">
      <c r="A17" s="106" t="s">
        <v>83</v>
      </c>
      <c r="B17" s="72">
        <v>1</v>
      </c>
      <c r="C17" s="77">
        <f>VLOOKUP($B$3,'Data for Bill Impacts'!$A$3:$Y$25,8,0)</f>
        <v>0</v>
      </c>
      <c r="D17" s="21">
        <f>B17*C17</f>
        <v>0</v>
      </c>
      <c r="E17" s="72">
        <f t="shared" si="4"/>
        <v>1</v>
      </c>
      <c r="F17" s="77">
        <v>0</v>
      </c>
      <c r="G17" s="21">
        <f t="shared" ref="G17:G19" si="5">E17*F17</f>
        <v>0</v>
      </c>
      <c r="H17" s="21">
        <f t="shared" si="3"/>
        <v>0</v>
      </c>
      <c r="I17" s="22" t="str">
        <f t="shared" si="0"/>
        <v>N/A</v>
      </c>
      <c r="J17" s="123">
        <f t="shared" si="1"/>
        <v>0</v>
      </c>
    </row>
    <row r="18" spans="1:10" hidden="1" x14ac:dyDescent="0.2">
      <c r="A18" s="106" t="s">
        <v>84</v>
      </c>
      <c r="B18" s="72">
        <v>1</v>
      </c>
      <c r="C18" s="77">
        <f>VLOOKUP($B$3,'Data for Bill Impacts'!$A$3:$Y$25,11,0)</f>
        <v>0</v>
      </c>
      <c r="D18" s="21">
        <f t="shared" ref="D18:D19" si="6">B18*C18</f>
        <v>0</v>
      </c>
      <c r="E18" s="72">
        <f t="shared" si="4"/>
        <v>1</v>
      </c>
      <c r="F18" s="77">
        <f>VLOOKUP($B$3,'Data for Bill Impacts'!$A$3:$Y$25,12,0)</f>
        <v>0</v>
      </c>
      <c r="G18" s="21">
        <f t="shared" si="5"/>
        <v>0</v>
      </c>
      <c r="H18" s="21">
        <f t="shared" si="3"/>
        <v>0</v>
      </c>
      <c r="I18" s="22" t="str">
        <f t="shared" si="0"/>
        <v>N/A</v>
      </c>
      <c r="J18" s="123">
        <f t="shared" si="1"/>
        <v>0</v>
      </c>
    </row>
    <row r="19" spans="1:10" x14ac:dyDescent="0.2">
      <c r="A19" s="106" t="s">
        <v>85</v>
      </c>
      <c r="B19" s="72">
        <v>1</v>
      </c>
      <c r="C19" s="120">
        <f>VLOOKUP($B$3,'Data for Bill Impacts'!$A$3:$Y$25,13,0)</f>
        <v>0</v>
      </c>
      <c r="D19" s="21">
        <f t="shared" si="6"/>
        <v>0</v>
      </c>
      <c r="E19" s="72">
        <f t="shared" si="4"/>
        <v>1</v>
      </c>
      <c r="F19" s="120">
        <f>VLOOKUP($B$3,'Data for Bill Impacts'!$A$3:$Y$25,22,0)</f>
        <v>0</v>
      </c>
      <c r="G19" s="21">
        <f t="shared" si="5"/>
        <v>0</v>
      </c>
      <c r="H19" s="21">
        <f t="shared" si="3"/>
        <v>0</v>
      </c>
      <c r="I19" s="22" t="str">
        <f t="shared" si="0"/>
        <v>N/A</v>
      </c>
      <c r="J19" s="123">
        <f t="shared" si="1"/>
        <v>0</v>
      </c>
    </row>
    <row r="20" spans="1:10" x14ac:dyDescent="0.2">
      <c r="A20" s="106" t="s">
        <v>39</v>
      </c>
      <c r="B20" s="72">
        <f>IF($B$10="kWh",$B$4,$B$5)</f>
        <v>177</v>
      </c>
      <c r="C20" s="77">
        <f>VLOOKUP($B$3,'Data for Bill Impacts'!$A$3:$Y$25,10,0)</f>
        <v>3.9915999999999996</v>
      </c>
      <c r="D20" s="21">
        <f>B20*C20</f>
        <v>706.51319999999998</v>
      </c>
      <c r="E20" s="72">
        <f t="shared" si="4"/>
        <v>177</v>
      </c>
      <c r="F20" s="77">
        <f>VLOOKUP($B$3,'Data for Bill Impacts'!$A$3:$Y$25,19,0)</f>
        <v>5.2968000000000002</v>
      </c>
      <c r="G20" s="21">
        <f>E20*F20</f>
        <v>937.53359999999998</v>
      </c>
      <c r="H20" s="21">
        <f t="shared" si="3"/>
        <v>231.0204</v>
      </c>
      <c r="I20" s="22">
        <f t="shared" si="0"/>
        <v>0.32698667201122356</v>
      </c>
      <c r="J20" s="123">
        <f t="shared" si="1"/>
        <v>9.8264603685867147E-2</v>
      </c>
    </row>
    <row r="21" spans="1:10" s="1" customFormat="1" x14ac:dyDescent="0.2">
      <c r="A21" s="106" t="s">
        <v>129</v>
      </c>
      <c r="B21" s="72">
        <f>IF($B$10="kWh",$B$4,$B$5)</f>
        <v>177</v>
      </c>
      <c r="C21" s="124">
        <f>VLOOKUP($B$3,'Data for Bill Impacts'!$A$3:$Y$25,14,0)</f>
        <v>0</v>
      </c>
      <c r="D21" s="21">
        <f>B21*C21</f>
        <v>0</v>
      </c>
      <c r="E21" s="72">
        <f>B21</f>
        <v>177</v>
      </c>
      <c r="F21" s="124">
        <f>VLOOKUP($B$3,'Data for Bill Impacts'!$A$3:$Y$25,23,0)</f>
        <v>0</v>
      </c>
      <c r="G21" s="21">
        <f>E21*F21</f>
        <v>0</v>
      </c>
      <c r="H21" s="21">
        <f>G21-D21</f>
        <v>0</v>
      </c>
      <c r="I21" s="22" t="str">
        <f t="shared" si="0"/>
        <v>N/A</v>
      </c>
      <c r="J21" s="123">
        <f t="shared" si="1"/>
        <v>0</v>
      </c>
    </row>
    <row r="22" spans="1:10" s="1" customFormat="1" x14ac:dyDescent="0.2">
      <c r="A22" s="106" t="s">
        <v>117</v>
      </c>
      <c r="B22" s="72">
        <f>B9</f>
        <v>64086.613499999999</v>
      </c>
      <c r="C22" s="124">
        <f>VLOOKUP($B$3,'Data for Bill Impacts'!$A$3:$Y$25,20,0)</f>
        <v>0</v>
      </c>
      <c r="D22" s="21">
        <f>B22*C22</f>
        <v>0</v>
      </c>
      <c r="E22" s="72">
        <f t="shared" si="4"/>
        <v>64086.613499999999</v>
      </c>
      <c r="F22" s="124">
        <f>VLOOKUP($B$3,'Data for Bill Impacts'!$A$3:$Y$25,21,0)</f>
        <v>0</v>
      </c>
      <c r="G22" s="21">
        <f>E22*F22</f>
        <v>0</v>
      </c>
      <c r="H22" s="21">
        <f t="shared" si="3"/>
        <v>0</v>
      </c>
      <c r="I22" s="22" t="str">
        <f t="shared" si="0"/>
        <v>N/A</v>
      </c>
      <c r="J22" s="123">
        <f t="shared" si="1"/>
        <v>0</v>
      </c>
    </row>
    <row r="23" spans="1:10" x14ac:dyDescent="0.2">
      <c r="A23" s="109" t="s">
        <v>95</v>
      </c>
      <c r="B23" s="73"/>
      <c r="C23" s="34"/>
      <c r="D23" s="34">
        <f>SUM(D16:D22)</f>
        <v>914.29319999999996</v>
      </c>
      <c r="E23" s="72"/>
      <c r="F23" s="34"/>
      <c r="G23" s="34">
        <f>SUM(G16:G22)</f>
        <v>1221.1536000000001</v>
      </c>
      <c r="H23" s="34">
        <f t="shared" si="3"/>
        <v>306.86040000000014</v>
      </c>
      <c r="I23" s="35">
        <f t="shared" si="0"/>
        <v>0.33562581456364343</v>
      </c>
      <c r="J23" s="110">
        <f t="shared" si="1"/>
        <v>0.12799133230379151</v>
      </c>
    </row>
    <row r="24" spans="1:10" x14ac:dyDescent="0.2">
      <c r="A24" s="106" t="s">
        <v>40</v>
      </c>
      <c r="B24" s="72">
        <f>B5</f>
        <v>177</v>
      </c>
      <c r="C24" s="124">
        <f>VLOOKUP($B$3,'Data for Bill Impacts'!$A$3:$Y$25,15,0)</f>
        <v>1.8612</v>
      </c>
      <c r="D24" s="21">
        <f>B24*C24</f>
        <v>329.43239999999997</v>
      </c>
      <c r="E24" s="72">
        <f t="shared" si="4"/>
        <v>177</v>
      </c>
      <c r="F24" s="77">
        <f>VLOOKUP($B$3,'Data for Bill Impacts'!$A$3:$Y$25,24,0)</f>
        <v>1.8612</v>
      </c>
      <c r="G24" s="21">
        <f>E24*F24</f>
        <v>329.43239999999997</v>
      </c>
      <c r="H24" s="21">
        <f t="shared" si="3"/>
        <v>0</v>
      </c>
      <c r="I24" s="22">
        <f t="shared" si="0"/>
        <v>0</v>
      </c>
      <c r="J24" s="123">
        <f t="shared" si="1"/>
        <v>3.4528409677566818E-2</v>
      </c>
    </row>
    <row r="25" spans="1:10" s="1" customFormat="1" x14ac:dyDescent="0.2">
      <c r="A25" s="106" t="s">
        <v>41</v>
      </c>
      <c r="B25" s="72">
        <f>B5</f>
        <v>177</v>
      </c>
      <c r="C25" s="124">
        <f>VLOOKUP($B$3,'Data for Bill Impacts'!$A$3:$Y$25,16,0)</f>
        <v>1.5062</v>
      </c>
      <c r="D25" s="21">
        <f>B25*C25</f>
        <v>266.59739999999999</v>
      </c>
      <c r="E25" s="72">
        <f t="shared" si="4"/>
        <v>177</v>
      </c>
      <c r="F25" s="77">
        <f>VLOOKUP($B$3,'Data for Bill Impacts'!$A$3:$Y$25,25,0)</f>
        <v>1.5062</v>
      </c>
      <c r="G25" s="21">
        <f>E25*F25</f>
        <v>266.59739999999999</v>
      </c>
      <c r="H25" s="21">
        <f t="shared" si="3"/>
        <v>0</v>
      </c>
      <c r="I25" s="22">
        <f t="shared" si="0"/>
        <v>0</v>
      </c>
      <c r="J25" s="123">
        <f t="shared" si="1"/>
        <v>2.7942558917016518E-2</v>
      </c>
    </row>
    <row r="26" spans="1:10" x14ac:dyDescent="0.2">
      <c r="A26" s="109" t="s">
        <v>76</v>
      </c>
      <c r="B26" s="73"/>
      <c r="C26" s="34"/>
      <c r="D26" s="34">
        <f>SUM(D24:D25)</f>
        <v>596.02980000000002</v>
      </c>
      <c r="E26" s="72"/>
      <c r="F26" s="34"/>
      <c r="G26" s="34">
        <f>SUM(G24:G25)</f>
        <v>596.02980000000002</v>
      </c>
      <c r="H26" s="34">
        <f t="shared" si="3"/>
        <v>0</v>
      </c>
      <c r="I26" s="35">
        <f t="shared" si="0"/>
        <v>0</v>
      </c>
      <c r="J26" s="110">
        <f t="shared" si="1"/>
        <v>6.2470968594583343E-2</v>
      </c>
    </row>
    <row r="27" spans="1:10" s="1" customFormat="1" x14ac:dyDescent="0.2">
      <c r="A27" s="109" t="s">
        <v>80</v>
      </c>
      <c r="B27" s="73"/>
      <c r="C27" s="34"/>
      <c r="D27" s="34">
        <f>D23+D26</f>
        <v>1510.3229999999999</v>
      </c>
      <c r="E27" s="72"/>
      <c r="F27" s="34"/>
      <c r="G27" s="34">
        <f>G23+G26</f>
        <v>1817.1834000000001</v>
      </c>
      <c r="H27" s="34">
        <f t="shared" si="3"/>
        <v>306.86040000000025</v>
      </c>
      <c r="I27" s="35">
        <f t="shared" si="0"/>
        <v>0.20317534726015579</v>
      </c>
      <c r="J27" s="110">
        <f t="shared" si="1"/>
        <v>0.19046230089837485</v>
      </c>
    </row>
    <row r="28" spans="1:10" x14ac:dyDescent="0.2">
      <c r="A28" s="106" t="s">
        <v>42</v>
      </c>
      <c r="B28" s="72">
        <f>B9</f>
        <v>64086.613499999999</v>
      </c>
      <c r="C28" s="33">
        <v>3.5999999999999999E-3</v>
      </c>
      <c r="D28" s="21">
        <f>B28*C28</f>
        <v>230.71180859999998</v>
      </c>
      <c r="E28" s="72">
        <f t="shared" si="4"/>
        <v>64086.613499999999</v>
      </c>
      <c r="F28" s="33">
        <v>3.5999999999999999E-3</v>
      </c>
      <c r="G28" s="21">
        <f>E28*F28</f>
        <v>230.71180859999998</v>
      </c>
      <c r="H28" s="21">
        <f t="shared" si="3"/>
        <v>0</v>
      </c>
      <c r="I28" s="22">
        <f t="shared" si="0"/>
        <v>0</v>
      </c>
      <c r="J28" s="123">
        <f t="shared" si="1"/>
        <v>2.418132474156514E-2</v>
      </c>
    </row>
    <row r="29" spans="1:10" x14ac:dyDescent="0.2">
      <c r="A29" s="106" t="s">
        <v>43</v>
      </c>
      <c r="B29" s="72">
        <f>B9</f>
        <v>64086.613499999999</v>
      </c>
      <c r="C29" s="33">
        <v>2.0999999999999999E-3</v>
      </c>
      <c r="D29" s="21">
        <f>B29*C29</f>
        <v>134.58188834999999</v>
      </c>
      <c r="E29" s="72">
        <f t="shared" si="4"/>
        <v>64086.613499999999</v>
      </c>
      <c r="F29" s="33">
        <v>2.0999999999999999E-3</v>
      </c>
      <c r="G29" s="21">
        <f>E29*F29</f>
        <v>134.58188834999999</v>
      </c>
      <c r="H29" s="21">
        <f>G29-D29</f>
        <v>0</v>
      </c>
      <c r="I29" s="22">
        <f t="shared" si="0"/>
        <v>0</v>
      </c>
      <c r="J29" s="123">
        <f t="shared" si="1"/>
        <v>1.4105772765912997E-2</v>
      </c>
    </row>
    <row r="30" spans="1:10" x14ac:dyDescent="0.2">
      <c r="A30" s="106" t="s">
        <v>99</v>
      </c>
      <c r="B30" s="72">
        <f>B9</f>
        <v>64086.613499999999</v>
      </c>
      <c r="C30" s="33">
        <v>0</v>
      </c>
      <c r="D30" s="21">
        <f>B30*C30</f>
        <v>0</v>
      </c>
      <c r="E30" s="72">
        <f t="shared" si="4"/>
        <v>64086.613499999999</v>
      </c>
      <c r="F30" s="33">
        <v>0</v>
      </c>
      <c r="G30" s="21">
        <f>E30*F30</f>
        <v>0</v>
      </c>
      <c r="H30" s="21">
        <f>G30-D30</f>
        <v>0</v>
      </c>
      <c r="I30" s="22" t="str">
        <f t="shared" si="0"/>
        <v>N/A</v>
      </c>
      <c r="J30" s="123">
        <f t="shared" si="1"/>
        <v>0</v>
      </c>
    </row>
    <row r="31" spans="1:10" x14ac:dyDescent="0.2">
      <c r="A31" s="106" t="s">
        <v>44</v>
      </c>
      <c r="B31" s="72">
        <v>1</v>
      </c>
      <c r="C31" s="21">
        <v>0.25</v>
      </c>
      <c r="D31" s="21">
        <f>B31*C31</f>
        <v>0.25</v>
      </c>
      <c r="E31" s="72">
        <f t="shared" si="4"/>
        <v>1</v>
      </c>
      <c r="F31" s="21">
        <f>C31</f>
        <v>0.25</v>
      </c>
      <c r="G31" s="21">
        <f>E31*F31</f>
        <v>0.25</v>
      </c>
      <c r="H31" s="21">
        <f t="shared" si="3"/>
        <v>0</v>
      </c>
      <c r="I31" s="22">
        <f t="shared" si="0"/>
        <v>0</v>
      </c>
      <c r="J31" s="123">
        <f t="shared" si="1"/>
        <v>2.6202955202316787E-5</v>
      </c>
    </row>
    <row r="32" spans="1:10" x14ac:dyDescent="0.2">
      <c r="A32" s="109" t="s">
        <v>45</v>
      </c>
      <c r="B32" s="73"/>
      <c r="C32" s="34"/>
      <c r="D32" s="34">
        <f>SUM(D28:D31)</f>
        <v>365.54369694999997</v>
      </c>
      <c r="E32" s="72"/>
      <c r="F32" s="34"/>
      <c r="G32" s="34">
        <f>SUM(G28:G31)</f>
        <v>365.54369694999997</v>
      </c>
      <c r="H32" s="34">
        <f t="shared" si="3"/>
        <v>0</v>
      </c>
      <c r="I32" s="35">
        <f t="shared" si="0"/>
        <v>0</v>
      </c>
      <c r="J32" s="110">
        <f t="shared" si="1"/>
        <v>3.8313300462680451E-2</v>
      </c>
    </row>
    <row r="33" spans="1:10" ht="13.5" thickBot="1" x14ac:dyDescent="0.25">
      <c r="A33" s="111" t="s">
        <v>46</v>
      </c>
      <c r="B33" s="112">
        <f>B4</f>
        <v>61239</v>
      </c>
      <c r="C33" s="113">
        <v>7.0000000000000001E-3</v>
      </c>
      <c r="D33" s="114">
        <f>B33*C33</f>
        <v>428.673</v>
      </c>
      <c r="E33" s="115">
        <f t="shared" ref="E33" si="7">B33</f>
        <v>61239</v>
      </c>
      <c r="F33" s="113">
        <f>C33</f>
        <v>7.0000000000000001E-3</v>
      </c>
      <c r="G33" s="114">
        <f>E33*F33</f>
        <v>428.673</v>
      </c>
      <c r="H33" s="114">
        <f t="shared" si="3"/>
        <v>0</v>
      </c>
      <c r="I33" s="116">
        <f t="shared" si="0"/>
        <v>0</v>
      </c>
      <c r="J33" s="117">
        <f t="shared" si="1"/>
        <v>4.4929997661770978E-2</v>
      </c>
    </row>
    <row r="34" spans="1:10" x14ac:dyDescent="0.2">
      <c r="A34" s="36" t="s">
        <v>116</v>
      </c>
      <c r="B34" s="37"/>
      <c r="C34" s="38"/>
      <c r="D34" s="38">
        <f>SUM(D15,D23,D26,D32,D33)</f>
        <v>8136.4215254499995</v>
      </c>
      <c r="E34" s="37"/>
      <c r="F34" s="38"/>
      <c r="G34" s="38">
        <f>SUM(G15,G23,G26,G32,G33)</f>
        <v>8443.2819254499991</v>
      </c>
      <c r="H34" s="38">
        <f t="shared" si="3"/>
        <v>306.86039999999957</v>
      </c>
      <c r="I34" s="39">
        <f t="shared" si="0"/>
        <v>3.7714417700726005E-2</v>
      </c>
      <c r="J34" s="40">
        <f t="shared" si="1"/>
        <v>0.88495575221238942</v>
      </c>
    </row>
    <row r="35" spans="1:10" x14ac:dyDescent="0.2">
      <c r="A35" s="45" t="s">
        <v>108</v>
      </c>
      <c r="B35" s="42"/>
      <c r="C35" s="25">
        <v>0.13</v>
      </c>
      <c r="D35" s="25">
        <f>D34*C35</f>
        <v>1057.7347983084999</v>
      </c>
      <c r="E35" s="25"/>
      <c r="F35" s="25">
        <f>C35</f>
        <v>0.13</v>
      </c>
      <c r="G35" s="25">
        <f>G34*F35</f>
        <v>1097.6266503084998</v>
      </c>
      <c r="H35" s="25">
        <f t="shared" si="3"/>
        <v>39.891851999999972</v>
      </c>
      <c r="I35" s="43">
        <f t="shared" si="0"/>
        <v>3.771441770072604E-2</v>
      </c>
      <c r="J35" s="44">
        <f t="shared" si="1"/>
        <v>0.11504424778761063</v>
      </c>
    </row>
    <row r="36" spans="1:10" x14ac:dyDescent="0.2">
      <c r="A36" s="45" t="s">
        <v>109</v>
      </c>
      <c r="B36" s="23"/>
      <c r="C36" s="24"/>
      <c r="D36" s="24">
        <f>SUM(D34:D35)</f>
        <v>9194.1563237584996</v>
      </c>
      <c r="E36" s="24"/>
      <c r="F36" s="24"/>
      <c r="G36" s="24">
        <f>SUM(G34:G35)</f>
        <v>9540.908575758498</v>
      </c>
      <c r="H36" s="24">
        <f t="shared" si="3"/>
        <v>346.75225199999841</v>
      </c>
      <c r="I36" s="26">
        <f t="shared" si="0"/>
        <v>3.7714417700725887E-2</v>
      </c>
      <c r="J36" s="46">
        <f t="shared" si="1"/>
        <v>1</v>
      </c>
    </row>
    <row r="37" spans="1:10" x14ac:dyDescent="0.2">
      <c r="A37" s="45" t="s">
        <v>110</v>
      </c>
      <c r="B37" s="42"/>
      <c r="C37" s="25">
        <v>0</v>
      </c>
      <c r="D37" s="25">
        <f>D34*C37</f>
        <v>0</v>
      </c>
      <c r="E37" s="25"/>
      <c r="F37" s="25">
        <f>C37</f>
        <v>0</v>
      </c>
      <c r="G37" s="25">
        <f>G34*F37</f>
        <v>0</v>
      </c>
      <c r="H37" s="25">
        <f t="shared" si="3"/>
        <v>0</v>
      </c>
      <c r="I37" s="43" t="str">
        <f t="shared" si="0"/>
        <v>N/A</v>
      </c>
      <c r="J37" s="44">
        <f t="shared" si="1"/>
        <v>0</v>
      </c>
    </row>
    <row r="38" spans="1:10" ht="13.5" thickBot="1" x14ac:dyDescent="0.25">
      <c r="A38" s="45" t="s">
        <v>111</v>
      </c>
      <c r="B38" s="48"/>
      <c r="C38" s="49"/>
      <c r="D38" s="49">
        <f>SUM(D36:D37)</f>
        <v>9194.1563237584996</v>
      </c>
      <c r="E38" s="49"/>
      <c r="F38" s="49"/>
      <c r="G38" s="49">
        <f>SUM(G36:G37)</f>
        <v>9540.908575758498</v>
      </c>
      <c r="H38" s="49">
        <f t="shared" si="3"/>
        <v>346.75225199999841</v>
      </c>
      <c r="I38" s="50">
        <f t="shared" si="0"/>
        <v>3.7714417700725887E-2</v>
      </c>
      <c r="J38" s="51">
        <f t="shared" si="1"/>
        <v>1</v>
      </c>
    </row>
    <row r="39" spans="1:10" x14ac:dyDescent="0.2">
      <c r="A39" s="184"/>
      <c r="F39" s="68"/>
    </row>
    <row r="40" spans="1:10" x14ac:dyDescent="0.2">
      <c r="A40" s="184"/>
      <c r="F40" s="68"/>
    </row>
    <row r="41" spans="1:10" x14ac:dyDescent="0.2">
      <c r="A41" s="184"/>
    </row>
    <row r="42" spans="1:10" x14ac:dyDescent="0.2">
      <c r="A42" s="184"/>
    </row>
    <row r="43" spans="1:10" x14ac:dyDescent="0.2">
      <c r="A43" s="184"/>
    </row>
    <row r="44" spans="1:10" x14ac:dyDescent="0.2">
      <c r="A44" s="184"/>
    </row>
    <row r="45" spans="1:10" x14ac:dyDescent="0.2">
      <c r="A45" s="184"/>
    </row>
    <row r="46" spans="1:10" x14ac:dyDescent="0.2">
      <c r="A46" s="184"/>
    </row>
    <row r="47" spans="1:10" x14ac:dyDescent="0.2">
      <c r="A47" s="184"/>
    </row>
    <row r="48" spans="1:10" x14ac:dyDescent="0.2">
      <c r="A48" s="184"/>
    </row>
    <row r="49" spans="1:1" x14ac:dyDescent="0.2">
      <c r="A49" s="184"/>
    </row>
    <row r="50" spans="1:1" x14ac:dyDescent="0.2">
      <c r="A50" s="184"/>
    </row>
    <row r="51" spans="1:1" x14ac:dyDescent="0.2">
      <c r="A51" s="184"/>
    </row>
    <row r="52" spans="1:1" x14ac:dyDescent="0.2">
      <c r="A52" s="184"/>
    </row>
    <row r="53" spans="1:1" x14ac:dyDescent="0.2">
      <c r="A53" s="184"/>
    </row>
    <row r="54" spans="1:1" x14ac:dyDescent="0.2">
      <c r="A54" s="184"/>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scale="71"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Impacts'!$A$12:$A$21</xm:f>
          </x14:formula1>
          <xm:sqref>B3</xm:sqref>
        </x14:dataValidation>
      </x14:dataValidations>
    </ext>
  </extLst>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tabColor theme="1" tint="0.499984740745262"/>
    <pageSetUpPr fitToPage="1"/>
  </sheetPr>
  <dimension ref="A1:J54"/>
  <sheetViews>
    <sheetView tabSelected="1" zoomScaleNormal="100" zoomScaleSheetLayoutView="100" workbookViewId="0">
      <selection activeCell="N13" sqref="N13"/>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205" t="s">
        <v>128</v>
      </c>
      <c r="B1" s="206"/>
      <c r="C1" s="206"/>
      <c r="D1" s="206"/>
      <c r="E1" s="206"/>
      <c r="F1" s="206"/>
      <c r="G1" s="206"/>
      <c r="H1" s="206"/>
      <c r="I1" s="206"/>
      <c r="J1" s="207"/>
    </row>
    <row r="3" spans="1:10" x14ac:dyDescent="0.2">
      <c r="A3" s="12" t="s">
        <v>13</v>
      </c>
      <c r="B3" s="12" t="s">
        <v>132</v>
      </c>
    </row>
    <row r="4" spans="1:10" x14ac:dyDescent="0.2">
      <c r="A4" s="14" t="s">
        <v>62</v>
      </c>
      <c r="B4" s="78">
        <v>175000</v>
      </c>
    </row>
    <row r="5" spans="1:10" x14ac:dyDescent="0.2">
      <c r="A5" s="14" t="s">
        <v>16</v>
      </c>
      <c r="B5" s="78">
        <v>500</v>
      </c>
    </row>
    <row r="6" spans="1:10" x14ac:dyDescent="0.2">
      <c r="A6" s="14" t="s">
        <v>20</v>
      </c>
      <c r="B6" s="79">
        <f>VLOOKUP($B$3,'Data for Bill Impacts'!$A$3:$Y$25,2,0)</f>
        <v>1.0465</v>
      </c>
    </row>
    <row r="7" spans="1:10" x14ac:dyDescent="0.2">
      <c r="A7" s="80" t="s">
        <v>48</v>
      </c>
      <c r="B7" s="81">
        <f>B4/(B5*730)</f>
        <v>0.47945205479452052</v>
      </c>
    </row>
    <row r="8" spans="1:10" x14ac:dyDescent="0.2">
      <c r="A8" s="14" t="s">
        <v>15</v>
      </c>
      <c r="B8" s="78">
        <f>VLOOKUP($B$3,'Data for Bill Impacts'!$A$3:$Y$25,4,0)</f>
        <v>0</v>
      </c>
    </row>
    <row r="9" spans="1:10" x14ac:dyDescent="0.2">
      <c r="A9" s="14" t="s">
        <v>82</v>
      </c>
      <c r="B9" s="78">
        <f>B4*B6</f>
        <v>183137.5</v>
      </c>
    </row>
    <row r="10" spans="1:10" x14ac:dyDescent="0.2">
      <c r="A10" s="14" t="s">
        <v>21</v>
      </c>
      <c r="B10" s="15" t="s">
        <v>19</v>
      </c>
    </row>
    <row r="11" spans="1:10" ht="13.5" thickBot="1" x14ac:dyDescent="0.25"/>
    <row r="12" spans="1:10" s="19" customFormat="1" ht="26.25" thickBot="1" x14ac:dyDescent="0.25">
      <c r="A12" s="16"/>
      <c r="B12" s="17" t="s">
        <v>22</v>
      </c>
      <c r="C12" s="17" t="s">
        <v>23</v>
      </c>
      <c r="D12" s="17" t="s">
        <v>24</v>
      </c>
      <c r="E12" s="17" t="s">
        <v>22</v>
      </c>
      <c r="F12" s="17" t="s">
        <v>25</v>
      </c>
      <c r="G12" s="17" t="s">
        <v>26</v>
      </c>
      <c r="H12" s="17" t="s">
        <v>27</v>
      </c>
      <c r="I12" s="17" t="s">
        <v>27</v>
      </c>
      <c r="J12" s="121" t="s">
        <v>49</v>
      </c>
    </row>
    <row r="13" spans="1:10" x14ac:dyDescent="0.2">
      <c r="A13" s="100" t="s">
        <v>31</v>
      </c>
      <c r="B13" s="101">
        <f>B9</f>
        <v>183137.5</v>
      </c>
      <c r="C13" s="102">
        <v>9.0999999999999998E-2</v>
      </c>
      <c r="D13" s="103">
        <f>B13*C13</f>
        <v>16665.512500000001</v>
      </c>
      <c r="E13" s="101">
        <f>B13</f>
        <v>183137.5</v>
      </c>
      <c r="F13" s="102">
        <f>C13</f>
        <v>9.0999999999999998E-2</v>
      </c>
      <c r="G13" s="103">
        <f>E13*F13</f>
        <v>16665.512500000001</v>
      </c>
      <c r="H13" s="103">
        <f>G13-D13</f>
        <v>0</v>
      </c>
      <c r="I13" s="104">
        <f t="shared" ref="I13:I38" si="0">IF(ISERROR(H13/ABS(D13)),"N/A",(H13/ABS(D13)))</f>
        <v>0</v>
      </c>
      <c r="J13" s="122">
        <f t="shared" ref="J13:J38" si="1">G13/$G$38</f>
        <v>0.70559109004601317</v>
      </c>
    </row>
    <row r="14" spans="1:10" x14ac:dyDescent="0.2">
      <c r="A14" s="106" t="s">
        <v>32</v>
      </c>
      <c r="B14" s="72">
        <v>0</v>
      </c>
      <c r="C14" s="20">
        <v>0.106</v>
      </c>
      <c r="D14" s="21">
        <f>B14*C14</f>
        <v>0</v>
      </c>
      <c r="E14" s="72">
        <f t="shared" ref="E14" si="2">B14</f>
        <v>0</v>
      </c>
      <c r="F14" s="20">
        <f>C14</f>
        <v>0.106</v>
      </c>
      <c r="G14" s="21">
        <f>E14*F14</f>
        <v>0</v>
      </c>
      <c r="H14" s="21">
        <f t="shared" ref="H14:H38" si="3">G14-D14</f>
        <v>0</v>
      </c>
      <c r="I14" s="22" t="str">
        <f t="shared" si="0"/>
        <v>N/A</v>
      </c>
      <c r="J14" s="123">
        <f t="shared" si="1"/>
        <v>0</v>
      </c>
    </row>
    <row r="15" spans="1:10" s="1" customFormat="1" x14ac:dyDescent="0.2">
      <c r="A15" s="45" t="s">
        <v>33</v>
      </c>
      <c r="B15" s="23"/>
      <c r="C15" s="24"/>
      <c r="D15" s="24">
        <f>SUM(D13:D14)</f>
        <v>16665.512500000001</v>
      </c>
      <c r="E15" s="75"/>
      <c r="F15" s="24"/>
      <c r="G15" s="24">
        <f>SUM(G13:G14)</f>
        <v>16665.512500000001</v>
      </c>
      <c r="H15" s="24">
        <f t="shared" si="3"/>
        <v>0</v>
      </c>
      <c r="I15" s="26">
        <f t="shared" si="0"/>
        <v>0</v>
      </c>
      <c r="J15" s="46">
        <f t="shared" si="1"/>
        <v>0.70559109004601317</v>
      </c>
    </row>
    <row r="16" spans="1:10" s="1" customFormat="1" hidden="1" x14ac:dyDescent="0.2">
      <c r="A16" s="106" t="s">
        <v>38</v>
      </c>
      <c r="B16" s="72">
        <v>1</v>
      </c>
      <c r="C16" s="77">
        <f>VLOOKUP($B$3,'Data for Bill Impacts'!$A$3:$Y$25,7,0)</f>
        <v>207.78</v>
      </c>
      <c r="D16" s="21">
        <f>B16*C16</f>
        <v>207.78</v>
      </c>
      <c r="E16" s="72">
        <f t="shared" ref="E16:E31" si="4">B16</f>
        <v>1</v>
      </c>
      <c r="F16" s="77">
        <f>VLOOKUP($B$3,'Data for Bill Impacts'!$A$3:$Y$25,17,0)</f>
        <v>283.62</v>
      </c>
      <c r="G16" s="21">
        <f>E16*F16</f>
        <v>283.62</v>
      </c>
      <c r="H16" s="21">
        <f t="shared" si="3"/>
        <v>75.84</v>
      </c>
      <c r="I16" s="22">
        <f t="shared" si="0"/>
        <v>0.3650014438348253</v>
      </c>
      <c r="J16" s="123">
        <f t="shared" si="1"/>
        <v>1.200801625265651E-2</v>
      </c>
    </row>
    <row r="17" spans="1:10" hidden="1" x14ac:dyDescent="0.2">
      <c r="A17" s="106" t="s">
        <v>83</v>
      </c>
      <c r="B17" s="72">
        <v>1</v>
      </c>
      <c r="C17" s="77">
        <f>VLOOKUP($B$3,'Data for Bill Impacts'!$A$3:$Y$25,8,0)</f>
        <v>0</v>
      </c>
      <c r="D17" s="21">
        <f>B17*C17</f>
        <v>0</v>
      </c>
      <c r="E17" s="72">
        <f t="shared" si="4"/>
        <v>1</v>
      </c>
      <c r="F17" s="77">
        <f>VLOOKUP($B$3,'Data for Bill Impacts'!$A$3:$Y$25,12,0)</f>
        <v>0</v>
      </c>
      <c r="G17" s="21">
        <f t="shared" ref="G17:G19" si="5">E17*F17</f>
        <v>0</v>
      </c>
      <c r="H17" s="21">
        <f t="shared" si="3"/>
        <v>0</v>
      </c>
      <c r="I17" s="22" t="str">
        <f t="shared" si="0"/>
        <v>N/A</v>
      </c>
      <c r="J17" s="123">
        <f t="shared" si="1"/>
        <v>0</v>
      </c>
    </row>
    <row r="18" spans="1:10" x14ac:dyDescent="0.2">
      <c r="A18" s="106" t="s">
        <v>84</v>
      </c>
      <c r="B18" s="72">
        <v>1</v>
      </c>
      <c r="C18" s="77">
        <f>VLOOKUP($B$3,'Data for Bill Impacts'!$A$3:$Y$25,11,0)</f>
        <v>0</v>
      </c>
      <c r="D18" s="21">
        <f t="shared" ref="D18:D19" si="6">B18*C18</f>
        <v>0</v>
      </c>
      <c r="E18" s="72">
        <f t="shared" si="4"/>
        <v>1</v>
      </c>
      <c r="F18" s="77">
        <f>VLOOKUP($B$3,'Data for Bill Impacts'!$A$3:$Y$25,20,0)</f>
        <v>0</v>
      </c>
      <c r="G18" s="21">
        <f t="shared" si="5"/>
        <v>0</v>
      </c>
      <c r="H18" s="21">
        <f t="shared" si="3"/>
        <v>0</v>
      </c>
      <c r="I18" s="22" t="str">
        <f t="shared" si="0"/>
        <v>N/A</v>
      </c>
      <c r="J18" s="123">
        <f t="shared" si="1"/>
        <v>0</v>
      </c>
    </row>
    <row r="19" spans="1:10" x14ac:dyDescent="0.2">
      <c r="A19" s="106" t="s">
        <v>85</v>
      </c>
      <c r="B19" s="72">
        <v>1</v>
      </c>
      <c r="C19" s="120">
        <f>VLOOKUP($B$3,'Data for Bill Impacts'!$A$3:$Y$25,13,0)</f>
        <v>0</v>
      </c>
      <c r="D19" s="21">
        <f t="shared" si="6"/>
        <v>0</v>
      </c>
      <c r="E19" s="72">
        <f t="shared" si="4"/>
        <v>1</v>
      </c>
      <c r="F19" s="120">
        <f>VLOOKUP($B$3,'Data for Bill Impacts'!$A$3:$Y$25,22,0)</f>
        <v>0</v>
      </c>
      <c r="G19" s="21">
        <f t="shared" si="5"/>
        <v>0</v>
      </c>
      <c r="H19" s="21">
        <f t="shared" si="3"/>
        <v>0</v>
      </c>
      <c r="I19" s="22" t="str">
        <f t="shared" si="0"/>
        <v>N/A</v>
      </c>
      <c r="J19" s="123">
        <f t="shared" si="1"/>
        <v>0</v>
      </c>
    </row>
    <row r="20" spans="1:10" s="1" customFormat="1" x14ac:dyDescent="0.2">
      <c r="A20" s="106" t="s">
        <v>86</v>
      </c>
      <c r="B20" s="72">
        <f>IF($B$10="kWh",$B$4,$B$5)</f>
        <v>500</v>
      </c>
      <c r="C20" s="77">
        <f>VLOOKUP($B$3,'Data for Bill Impacts'!$A$3:$Y$25,12,0)</f>
        <v>0</v>
      </c>
      <c r="D20" s="21">
        <f>B20*C20</f>
        <v>0</v>
      </c>
      <c r="E20" s="72">
        <f>B20</f>
        <v>500</v>
      </c>
      <c r="F20" s="77">
        <f>VLOOKUP($B$3,'Data for Bill Impacts'!$A$3:$Y$25,21,0)</f>
        <v>0</v>
      </c>
      <c r="G20" s="21">
        <f>E20*F20</f>
        <v>0</v>
      </c>
      <c r="H20" s="21">
        <f>G20-D20</f>
        <v>0</v>
      </c>
      <c r="I20" s="22" t="str">
        <f t="shared" si="0"/>
        <v>N/A</v>
      </c>
      <c r="J20" s="123">
        <f t="shared" si="1"/>
        <v>0</v>
      </c>
    </row>
    <row r="21" spans="1:10" x14ac:dyDescent="0.2">
      <c r="A21" s="106" t="s">
        <v>117</v>
      </c>
      <c r="B21" s="72">
        <f>B9</f>
        <v>183137.5</v>
      </c>
      <c r="C21" s="124">
        <f>VLOOKUP($B$3,'Data for Bill Impacts'!$A$3:$Y$25,20,0)</f>
        <v>0</v>
      </c>
      <c r="D21" s="21">
        <f>B21*C21</f>
        <v>0</v>
      </c>
      <c r="E21" s="72">
        <f t="shared" si="4"/>
        <v>183137.5</v>
      </c>
      <c r="F21" s="124">
        <f>VLOOKUP($B$3,'Data for Bill Impacts'!$A$3:$Y$25,21,0)</f>
        <v>0</v>
      </c>
      <c r="G21" s="21">
        <f>E21*F21</f>
        <v>0</v>
      </c>
      <c r="H21" s="21">
        <f t="shared" si="3"/>
        <v>0</v>
      </c>
      <c r="I21" s="22" t="str">
        <f t="shared" si="0"/>
        <v>N/A</v>
      </c>
      <c r="J21" s="123">
        <f t="shared" si="1"/>
        <v>0</v>
      </c>
    </row>
    <row r="22" spans="1:10" s="1" customFormat="1" x14ac:dyDescent="0.2">
      <c r="A22" s="106" t="s">
        <v>129</v>
      </c>
      <c r="B22" s="72">
        <f>IF($B$10="kWh",$B$4,$B$5)</f>
        <v>500</v>
      </c>
      <c r="C22" s="77">
        <f>VLOOKUP($B$3,'Data for Bill Impacts'!$A$3:$Y$25,14,0)</f>
        <v>0</v>
      </c>
      <c r="D22" s="21">
        <f>B22*C22</f>
        <v>0</v>
      </c>
      <c r="E22" s="72">
        <f t="shared" si="4"/>
        <v>500</v>
      </c>
      <c r="F22" s="77">
        <f>VLOOKUP($B$3,'Data for Bill Impacts'!$A$3:$Y$25,23,0)</f>
        <v>0</v>
      </c>
      <c r="G22" s="21">
        <f>E22*F22</f>
        <v>0</v>
      </c>
      <c r="H22" s="21">
        <f t="shared" si="3"/>
        <v>0</v>
      </c>
      <c r="I22" s="22" t="str">
        <f t="shared" si="0"/>
        <v>N/A</v>
      </c>
      <c r="J22" s="123">
        <f t="shared" si="1"/>
        <v>0</v>
      </c>
    </row>
    <row r="23" spans="1:10" x14ac:dyDescent="0.2">
      <c r="A23" s="109" t="s">
        <v>95</v>
      </c>
      <c r="B23" s="73"/>
      <c r="C23" s="153"/>
      <c r="D23" s="34">
        <f>SUM(D16:D22)</f>
        <v>207.78</v>
      </c>
      <c r="E23" s="72"/>
      <c r="F23" s="34"/>
      <c r="G23" s="34">
        <f>SUM(G16:G22)</f>
        <v>283.62</v>
      </c>
      <c r="H23" s="34">
        <f t="shared" si="3"/>
        <v>75.84</v>
      </c>
      <c r="I23" s="35">
        <f t="shared" si="0"/>
        <v>0.3650014438348253</v>
      </c>
      <c r="J23" s="110">
        <f t="shared" si="1"/>
        <v>1.200801625265651E-2</v>
      </c>
    </row>
    <row r="24" spans="1:10" x14ac:dyDescent="0.2">
      <c r="A24" s="106" t="s">
        <v>40</v>
      </c>
      <c r="B24" s="72">
        <f>B5</f>
        <v>500</v>
      </c>
      <c r="C24" s="124">
        <f>VLOOKUP($B$3,'Data for Bill Impacts'!$A$3:$Y$25,15,0)</f>
        <v>1.8612</v>
      </c>
      <c r="D24" s="21">
        <f>B24*C24</f>
        <v>930.6</v>
      </c>
      <c r="E24" s="72">
        <f t="shared" si="4"/>
        <v>500</v>
      </c>
      <c r="F24" s="77">
        <f>VLOOKUP($B$3,'Data for Bill Impacts'!$A$3:$Y$25,24,0)</f>
        <v>1.8612</v>
      </c>
      <c r="G24" s="21">
        <f>E24*F24</f>
        <v>930.6</v>
      </c>
      <c r="H24" s="21">
        <f t="shared" si="3"/>
        <v>0</v>
      </c>
      <c r="I24" s="22">
        <f t="shared" si="0"/>
        <v>0</v>
      </c>
      <c r="J24" s="123">
        <f t="shared" si="1"/>
        <v>3.9400112561604077E-2</v>
      </c>
    </row>
    <row r="25" spans="1:10" s="1" customFormat="1" x14ac:dyDescent="0.2">
      <c r="A25" s="106" t="s">
        <v>41</v>
      </c>
      <c r="B25" s="72">
        <f>B5</f>
        <v>500</v>
      </c>
      <c r="C25" s="77">
        <f>VLOOKUP($B$3,'Data for Bill Impacts'!$A$3:$Y$25,16,0)</f>
        <v>1.5062</v>
      </c>
      <c r="D25" s="21">
        <f>B25*C25</f>
        <v>753.1</v>
      </c>
      <c r="E25" s="72">
        <f t="shared" si="4"/>
        <v>500</v>
      </c>
      <c r="F25" s="77">
        <f>VLOOKUP($B$3,'Data for Bill Impacts'!$A$3:$Y$25,25,0)</f>
        <v>1.5062</v>
      </c>
      <c r="G25" s="21">
        <f>E25*F25</f>
        <v>753.1</v>
      </c>
      <c r="H25" s="21">
        <f t="shared" si="3"/>
        <v>0</v>
      </c>
      <c r="I25" s="22">
        <f t="shared" si="0"/>
        <v>0</v>
      </c>
      <c r="J25" s="123">
        <f t="shared" si="1"/>
        <v>3.1885047034326278E-2</v>
      </c>
    </row>
    <row r="26" spans="1:10" x14ac:dyDescent="0.2">
      <c r="A26" s="109" t="s">
        <v>76</v>
      </c>
      <c r="B26" s="73"/>
      <c r="C26" s="34"/>
      <c r="D26" s="34">
        <f>SUM(D24:D25)</f>
        <v>1683.7</v>
      </c>
      <c r="E26" s="72"/>
      <c r="F26" s="34"/>
      <c r="G26" s="34">
        <f>SUM(G24:G25)</f>
        <v>1683.7</v>
      </c>
      <c r="H26" s="34">
        <f t="shared" si="3"/>
        <v>0</v>
      </c>
      <c r="I26" s="35">
        <f t="shared" si="0"/>
        <v>0</v>
      </c>
      <c r="J26" s="110">
        <f t="shared" si="1"/>
        <v>7.1285159595930347E-2</v>
      </c>
    </row>
    <row r="27" spans="1:10" s="1" customFormat="1" x14ac:dyDescent="0.2">
      <c r="A27" s="109" t="s">
        <v>80</v>
      </c>
      <c r="B27" s="73"/>
      <c r="C27" s="34"/>
      <c r="D27" s="34">
        <f>D23+D26</f>
        <v>1891.48</v>
      </c>
      <c r="E27" s="72"/>
      <c r="F27" s="34"/>
      <c r="G27" s="34">
        <f>G23+G26</f>
        <v>1967.3200000000002</v>
      </c>
      <c r="H27" s="34">
        <f t="shared" si="3"/>
        <v>75.840000000000146</v>
      </c>
      <c r="I27" s="35">
        <f t="shared" si="0"/>
        <v>4.0095586524837773E-2</v>
      </c>
      <c r="J27" s="110">
        <f t="shared" si="1"/>
        <v>8.3293175848586865E-2</v>
      </c>
    </row>
    <row r="28" spans="1:10" x14ac:dyDescent="0.2">
      <c r="A28" s="106" t="s">
        <v>42</v>
      </c>
      <c r="B28" s="72">
        <f>B9</f>
        <v>183137.5</v>
      </c>
      <c r="C28" s="33">
        <v>3.5999999999999999E-3</v>
      </c>
      <c r="D28" s="21">
        <f>B28*C28</f>
        <v>659.29499999999996</v>
      </c>
      <c r="E28" s="72">
        <f t="shared" si="4"/>
        <v>183137.5</v>
      </c>
      <c r="F28" s="33">
        <v>3.5999999999999999E-3</v>
      </c>
      <c r="G28" s="21">
        <f>E28*F28</f>
        <v>659.29499999999996</v>
      </c>
      <c r="H28" s="21">
        <f t="shared" si="3"/>
        <v>0</v>
      </c>
      <c r="I28" s="22">
        <f t="shared" si="0"/>
        <v>0</v>
      </c>
      <c r="J28" s="123">
        <f t="shared" si="1"/>
        <v>2.7913493672149965E-2</v>
      </c>
    </row>
    <row r="29" spans="1:10" x14ac:dyDescent="0.2">
      <c r="A29" s="106" t="s">
        <v>43</v>
      </c>
      <c r="B29" s="72">
        <f>B9</f>
        <v>183137.5</v>
      </c>
      <c r="C29" s="33">
        <v>2.0999999999999999E-3</v>
      </c>
      <c r="D29" s="21">
        <f>B29*C29</f>
        <v>384.58875</v>
      </c>
      <c r="E29" s="72">
        <f t="shared" si="4"/>
        <v>183137.5</v>
      </c>
      <c r="F29" s="33">
        <v>2.0999999999999999E-3</v>
      </c>
      <c r="G29" s="21">
        <f>E29*F29</f>
        <v>384.58875</v>
      </c>
      <c r="H29" s="21">
        <f>G29-D29</f>
        <v>0</v>
      </c>
      <c r="I29" s="22">
        <f t="shared" si="0"/>
        <v>0</v>
      </c>
      <c r="J29" s="123">
        <f t="shared" si="1"/>
        <v>1.6282871308754148E-2</v>
      </c>
    </row>
    <row r="30" spans="1:10" x14ac:dyDescent="0.2">
      <c r="A30" s="106" t="s">
        <v>99</v>
      </c>
      <c r="B30" s="72">
        <f>B9</f>
        <v>183137.5</v>
      </c>
      <c r="C30" s="33">
        <v>0</v>
      </c>
      <c r="D30" s="21">
        <f>B30*C30</f>
        <v>0</v>
      </c>
      <c r="E30" s="72">
        <f t="shared" si="4"/>
        <v>183137.5</v>
      </c>
      <c r="F30" s="33">
        <v>0</v>
      </c>
      <c r="G30" s="21">
        <f>E30*F30</f>
        <v>0</v>
      </c>
      <c r="H30" s="21">
        <f>G30-D30</f>
        <v>0</v>
      </c>
      <c r="I30" s="22" t="str">
        <f t="shared" si="0"/>
        <v>N/A</v>
      </c>
      <c r="J30" s="123">
        <f t="shared" si="1"/>
        <v>0</v>
      </c>
    </row>
    <row r="31" spans="1:10" x14ac:dyDescent="0.2">
      <c r="A31" s="106" t="s">
        <v>44</v>
      </c>
      <c r="B31" s="72">
        <v>1</v>
      </c>
      <c r="C31" s="21">
        <v>0.25</v>
      </c>
      <c r="D31" s="21">
        <f>B31*C31</f>
        <v>0.25</v>
      </c>
      <c r="E31" s="72">
        <f t="shared" si="4"/>
        <v>1</v>
      </c>
      <c r="F31" s="21">
        <f>C31</f>
        <v>0.25</v>
      </c>
      <c r="G31" s="21">
        <f>E31*F31</f>
        <v>0.25</v>
      </c>
      <c r="H31" s="21">
        <f t="shared" si="3"/>
        <v>0</v>
      </c>
      <c r="I31" s="22">
        <f t="shared" si="0"/>
        <v>0</v>
      </c>
      <c r="J31" s="123">
        <f t="shared" si="1"/>
        <v>1.0584599334194089E-5</v>
      </c>
    </row>
    <row r="32" spans="1:10" x14ac:dyDescent="0.2">
      <c r="A32" s="109" t="s">
        <v>45</v>
      </c>
      <c r="B32" s="73"/>
      <c r="C32" s="34"/>
      <c r="D32" s="34">
        <f>SUM(D28:D31)</f>
        <v>1044.13375</v>
      </c>
      <c r="E32" s="72"/>
      <c r="F32" s="34"/>
      <c r="G32" s="34">
        <f>SUM(G28:G31)</f>
        <v>1044.13375</v>
      </c>
      <c r="H32" s="34">
        <f t="shared" si="3"/>
        <v>0</v>
      </c>
      <c r="I32" s="35">
        <f t="shared" si="0"/>
        <v>0</v>
      </c>
      <c r="J32" s="110">
        <f t="shared" si="1"/>
        <v>4.4206949580238311E-2</v>
      </c>
    </row>
    <row r="33" spans="1:10" ht="13.5" thickBot="1" x14ac:dyDescent="0.25">
      <c r="A33" s="111" t="s">
        <v>46</v>
      </c>
      <c r="B33" s="112">
        <f>B4</f>
        <v>175000</v>
      </c>
      <c r="C33" s="113">
        <v>7.0000000000000001E-3</v>
      </c>
      <c r="D33" s="114">
        <f>B33*C33</f>
        <v>1225</v>
      </c>
      <c r="E33" s="115">
        <f t="shared" ref="E33" si="7">B33</f>
        <v>175000</v>
      </c>
      <c r="F33" s="113">
        <f>C33</f>
        <v>7.0000000000000001E-3</v>
      </c>
      <c r="G33" s="114">
        <f>E33*F33</f>
        <v>1225</v>
      </c>
      <c r="H33" s="114">
        <f t="shared" si="3"/>
        <v>0</v>
      </c>
      <c r="I33" s="116">
        <f t="shared" si="0"/>
        <v>0</v>
      </c>
      <c r="J33" s="117">
        <f t="shared" si="1"/>
        <v>5.1864536737551037E-2</v>
      </c>
    </row>
    <row r="34" spans="1:10" x14ac:dyDescent="0.2">
      <c r="A34" s="36" t="s">
        <v>116</v>
      </c>
      <c r="B34" s="37"/>
      <c r="C34" s="38"/>
      <c r="D34" s="38">
        <f>SUM(D15,D23,D26,D32,D33)</f>
        <v>20826.126250000001</v>
      </c>
      <c r="E34" s="37"/>
      <c r="F34" s="38"/>
      <c r="G34" s="38">
        <f>SUM(G15,G23,G26,G32,G33)</f>
        <v>20901.966250000001</v>
      </c>
      <c r="H34" s="38">
        <f t="shared" si="3"/>
        <v>75.840000000000146</v>
      </c>
      <c r="I34" s="39">
        <f t="shared" si="0"/>
        <v>3.6415797681049848E-3</v>
      </c>
      <c r="J34" s="40">
        <f t="shared" si="1"/>
        <v>0.88495575221238931</v>
      </c>
    </row>
    <row r="35" spans="1:10" x14ac:dyDescent="0.2">
      <c r="A35" s="45" t="s">
        <v>108</v>
      </c>
      <c r="B35" s="42"/>
      <c r="C35" s="25">
        <v>0.13</v>
      </c>
      <c r="D35" s="25">
        <f>D34*C35</f>
        <v>2707.3964125000002</v>
      </c>
      <c r="E35" s="25"/>
      <c r="F35" s="25">
        <f>C35</f>
        <v>0.13</v>
      </c>
      <c r="G35" s="25">
        <f>G34*F35</f>
        <v>2717.2556125000001</v>
      </c>
      <c r="H35" s="25">
        <f t="shared" si="3"/>
        <v>9.8591999999998734</v>
      </c>
      <c r="I35" s="43">
        <f t="shared" si="0"/>
        <v>3.641579768104931E-3</v>
      </c>
      <c r="J35" s="44">
        <f t="shared" si="1"/>
        <v>0.11504424778761062</v>
      </c>
    </row>
    <row r="36" spans="1:10" x14ac:dyDescent="0.2">
      <c r="A36" s="45" t="s">
        <v>109</v>
      </c>
      <c r="B36" s="23"/>
      <c r="C36" s="24"/>
      <c r="D36" s="24">
        <f>SUM(D34:D35)</f>
        <v>23533.5226625</v>
      </c>
      <c r="E36" s="24"/>
      <c r="F36" s="24"/>
      <c r="G36" s="24">
        <f>SUM(G34:G35)</f>
        <v>23619.221862500002</v>
      </c>
      <c r="H36" s="24">
        <f t="shared" si="3"/>
        <v>85.699200000002747</v>
      </c>
      <c r="I36" s="26">
        <f t="shared" si="0"/>
        <v>3.641579768105095E-3</v>
      </c>
      <c r="J36" s="46">
        <f t="shared" si="1"/>
        <v>1</v>
      </c>
    </row>
    <row r="37" spans="1:10" x14ac:dyDescent="0.2">
      <c r="A37" s="45" t="s">
        <v>110</v>
      </c>
      <c r="B37" s="42"/>
      <c r="C37" s="25">
        <v>0</v>
      </c>
      <c r="D37" s="25">
        <f>D34*C37</f>
        <v>0</v>
      </c>
      <c r="E37" s="25"/>
      <c r="F37" s="25">
        <f>C37</f>
        <v>0</v>
      </c>
      <c r="G37" s="25">
        <f>G34*F37</f>
        <v>0</v>
      </c>
      <c r="H37" s="25">
        <f t="shared" si="3"/>
        <v>0</v>
      </c>
      <c r="I37" s="43" t="str">
        <f t="shared" si="0"/>
        <v>N/A</v>
      </c>
      <c r="J37" s="44">
        <f t="shared" si="1"/>
        <v>0</v>
      </c>
    </row>
    <row r="38" spans="1:10" ht="13.5" thickBot="1" x14ac:dyDescent="0.25">
      <c r="A38" s="45" t="s">
        <v>111</v>
      </c>
      <c r="B38" s="48"/>
      <c r="C38" s="49"/>
      <c r="D38" s="49">
        <f>SUM(D36:D37)</f>
        <v>23533.5226625</v>
      </c>
      <c r="E38" s="49"/>
      <c r="F38" s="49"/>
      <c r="G38" s="49">
        <f>SUM(G36:G37)</f>
        <v>23619.221862500002</v>
      </c>
      <c r="H38" s="49">
        <f t="shared" si="3"/>
        <v>85.699200000002747</v>
      </c>
      <c r="I38" s="50">
        <f t="shared" si="0"/>
        <v>3.641579768105095E-3</v>
      </c>
      <c r="J38" s="51">
        <f t="shared" si="1"/>
        <v>1</v>
      </c>
    </row>
    <row r="39" spans="1:10" x14ac:dyDescent="0.2">
      <c r="A39" s="184"/>
      <c r="F39" s="68"/>
    </row>
    <row r="40" spans="1:10" x14ac:dyDescent="0.2">
      <c r="A40" s="184"/>
      <c r="F40" s="68"/>
    </row>
    <row r="41" spans="1:10" x14ac:dyDescent="0.2">
      <c r="A41" s="184"/>
    </row>
    <row r="42" spans="1:10" x14ac:dyDescent="0.2">
      <c r="A42" s="184"/>
    </row>
    <row r="43" spans="1:10" x14ac:dyDescent="0.2">
      <c r="A43" s="184"/>
    </row>
    <row r="44" spans="1:10" x14ac:dyDescent="0.2">
      <c r="A44" s="184"/>
    </row>
    <row r="45" spans="1:10" x14ac:dyDescent="0.2">
      <c r="A45" s="184"/>
    </row>
    <row r="46" spans="1:10" x14ac:dyDescent="0.2">
      <c r="A46" s="184"/>
    </row>
    <row r="47" spans="1:10" x14ac:dyDescent="0.2">
      <c r="A47" s="184"/>
    </row>
    <row r="48" spans="1:10" x14ac:dyDescent="0.2">
      <c r="A48" s="184"/>
    </row>
    <row r="49" spans="1:1" x14ac:dyDescent="0.2">
      <c r="A49" s="184"/>
    </row>
    <row r="50" spans="1:1" x14ac:dyDescent="0.2">
      <c r="A50" s="184"/>
    </row>
    <row r="51" spans="1:1" x14ac:dyDescent="0.2">
      <c r="A51" s="184"/>
    </row>
    <row r="52" spans="1:1" x14ac:dyDescent="0.2">
      <c r="A52" s="184"/>
    </row>
    <row r="53" spans="1:1" x14ac:dyDescent="0.2">
      <c r="A53" s="184"/>
    </row>
    <row r="54" spans="1:1" x14ac:dyDescent="0.2">
      <c r="A54" s="184"/>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scale="71"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Impacts'!$A$12:$A$21</xm:f>
          </x14:formula1>
          <xm:sqref>B3</xm:sqref>
        </x14:dataValidation>
      </x14:dataValidations>
    </ext>
  </extLst>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tabColor theme="1" tint="0.499984740745262"/>
    <pageSetUpPr fitToPage="1"/>
  </sheetPr>
  <dimension ref="A1:J54"/>
  <sheetViews>
    <sheetView tabSelected="1" topLeftCell="A10" zoomScaleNormal="100" zoomScaleSheetLayoutView="100" workbookViewId="0">
      <selection activeCell="N13" sqref="N13"/>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205" t="s">
        <v>124</v>
      </c>
      <c r="B1" s="206"/>
      <c r="C1" s="206"/>
      <c r="D1" s="206"/>
      <c r="E1" s="206"/>
      <c r="F1" s="206"/>
      <c r="G1" s="206"/>
      <c r="H1" s="206"/>
      <c r="I1" s="206"/>
      <c r="J1" s="207"/>
    </row>
    <row r="3" spans="1:10" x14ac:dyDescent="0.2">
      <c r="A3" s="12" t="s">
        <v>13</v>
      </c>
      <c r="B3" s="12" t="s">
        <v>121</v>
      </c>
    </row>
    <row r="4" spans="1:10" x14ac:dyDescent="0.2">
      <c r="A4" s="14" t="s">
        <v>62</v>
      </c>
      <c r="B4" s="78">
        <v>15000</v>
      </c>
    </row>
    <row r="5" spans="1:10" x14ac:dyDescent="0.2">
      <c r="A5" s="14" t="s">
        <v>16</v>
      </c>
      <c r="B5" s="78">
        <v>60</v>
      </c>
    </row>
    <row r="6" spans="1:10" x14ac:dyDescent="0.2">
      <c r="A6" s="14" t="s">
        <v>20</v>
      </c>
      <c r="B6" s="79">
        <f>VLOOKUP($B$3,'Data for Bill Impacts'!$A$3:$Y$25,2,0)</f>
        <v>1.0563</v>
      </c>
    </row>
    <row r="7" spans="1:10" x14ac:dyDescent="0.2">
      <c r="A7" s="80" t="s">
        <v>48</v>
      </c>
      <c r="B7" s="81">
        <f>B4/(B5*730)</f>
        <v>0.34246575342465752</v>
      </c>
    </row>
    <row r="8" spans="1:10" x14ac:dyDescent="0.2">
      <c r="A8" s="14" t="s">
        <v>15</v>
      </c>
      <c r="B8" s="78">
        <f>VLOOKUP($B$3,'Data for Bill Impacts'!$A$3:$Y$25,4,0)</f>
        <v>0</v>
      </c>
    </row>
    <row r="9" spans="1:10" x14ac:dyDescent="0.2">
      <c r="A9" s="14" t="s">
        <v>82</v>
      </c>
      <c r="B9" s="78">
        <f>B4*B6</f>
        <v>15844.5</v>
      </c>
    </row>
    <row r="10" spans="1:10" x14ac:dyDescent="0.2">
      <c r="A10" s="14" t="s">
        <v>21</v>
      </c>
      <c r="B10" s="15" t="s">
        <v>19</v>
      </c>
    </row>
    <row r="11" spans="1:10" ht="13.5" thickBot="1" x14ac:dyDescent="0.25"/>
    <row r="12" spans="1:10" s="19" customFormat="1" ht="26.25" thickBot="1" x14ac:dyDescent="0.25">
      <c r="A12" s="16"/>
      <c r="B12" s="17" t="s">
        <v>22</v>
      </c>
      <c r="C12" s="17" t="s">
        <v>23</v>
      </c>
      <c r="D12" s="17" t="s">
        <v>24</v>
      </c>
      <c r="E12" s="17" t="s">
        <v>22</v>
      </c>
      <c r="F12" s="17" t="s">
        <v>25</v>
      </c>
      <c r="G12" s="17" t="s">
        <v>26</v>
      </c>
      <c r="H12" s="17" t="s">
        <v>27</v>
      </c>
      <c r="I12" s="17" t="s">
        <v>28</v>
      </c>
      <c r="J12" s="121" t="s">
        <v>49</v>
      </c>
    </row>
    <row r="13" spans="1:10" x14ac:dyDescent="0.2">
      <c r="A13" s="100" t="s">
        <v>31</v>
      </c>
      <c r="B13" s="101">
        <f>B9</f>
        <v>15844.5</v>
      </c>
      <c r="C13" s="102">
        <v>9.0999999999999998E-2</v>
      </c>
      <c r="D13" s="103">
        <f>B13*C13</f>
        <v>1441.8495</v>
      </c>
      <c r="E13" s="101">
        <f>B13</f>
        <v>15844.5</v>
      </c>
      <c r="F13" s="102">
        <f>C13</f>
        <v>9.0999999999999998E-2</v>
      </c>
      <c r="G13" s="103">
        <f>E13*F13</f>
        <v>1441.8495</v>
      </c>
      <c r="H13" s="103">
        <f>G13-D13</f>
        <v>0</v>
      </c>
      <c r="I13" s="104">
        <f t="shared" ref="I13:I38" si="0">IF(ISERROR(H13/ABS(D13)),"N/A",(H13/ABS(D13)))</f>
        <v>0</v>
      </c>
      <c r="J13" s="122">
        <f t="shared" ref="J13:J38" si="1">G13/$G$38</f>
        <v>0.51535784063144863</v>
      </c>
    </row>
    <row r="14" spans="1:10" x14ac:dyDescent="0.2">
      <c r="A14" s="106" t="s">
        <v>32</v>
      </c>
      <c r="B14" s="72">
        <v>0</v>
      </c>
      <c r="C14" s="20">
        <v>0.106</v>
      </c>
      <c r="D14" s="21">
        <f>B14*C14</f>
        <v>0</v>
      </c>
      <c r="E14" s="72">
        <f t="shared" ref="E14" si="2">B14</f>
        <v>0</v>
      </c>
      <c r="F14" s="20">
        <f>C14</f>
        <v>0.106</v>
      </c>
      <c r="G14" s="21">
        <f>E14*F14</f>
        <v>0</v>
      </c>
      <c r="H14" s="21">
        <f t="shared" ref="H14:H38" si="3">G14-D14</f>
        <v>0</v>
      </c>
      <c r="I14" s="22" t="str">
        <f t="shared" si="0"/>
        <v>N/A</v>
      </c>
      <c r="J14" s="123">
        <f t="shared" si="1"/>
        <v>0</v>
      </c>
    </row>
    <row r="15" spans="1:10" s="1" customFormat="1" x14ac:dyDescent="0.2">
      <c r="A15" s="45" t="s">
        <v>33</v>
      </c>
      <c r="B15" s="23"/>
      <c r="C15" s="24"/>
      <c r="D15" s="24">
        <f>SUM(D13:D14)</f>
        <v>1441.8495</v>
      </c>
      <c r="E15" s="75"/>
      <c r="F15" s="24"/>
      <c r="G15" s="24">
        <f>SUM(G13:G14)</f>
        <v>1441.8495</v>
      </c>
      <c r="H15" s="24">
        <f t="shared" si="3"/>
        <v>0</v>
      </c>
      <c r="I15" s="26">
        <f t="shared" si="0"/>
        <v>0</v>
      </c>
      <c r="J15" s="46">
        <f t="shared" si="1"/>
        <v>0.51535784063144863</v>
      </c>
    </row>
    <row r="16" spans="1:10" s="1" customFormat="1" x14ac:dyDescent="0.2">
      <c r="A16" s="106" t="s">
        <v>38</v>
      </c>
      <c r="B16" s="72">
        <v>1</v>
      </c>
      <c r="C16" s="77">
        <f>VLOOKUP($B$3,'Data for Bill Impacts'!$A$3:$Y$25,7,0)</f>
        <v>206.23</v>
      </c>
      <c r="D16" s="21">
        <f>B16*C16</f>
        <v>206.23</v>
      </c>
      <c r="E16" s="72">
        <f t="shared" ref="E16:E33" si="4">B16</f>
        <v>1</v>
      </c>
      <c r="F16" s="77">
        <f>VLOOKUP($B$3,'Data for Bill Impacts'!$A$3:$Y$25,17,0)</f>
        <v>252.41</v>
      </c>
      <c r="G16" s="21">
        <f>E16*F16</f>
        <v>252.41</v>
      </c>
      <c r="H16" s="21">
        <f t="shared" si="3"/>
        <v>46.180000000000007</v>
      </c>
      <c r="I16" s="22">
        <f t="shared" si="0"/>
        <v>0.22392474421762115</v>
      </c>
      <c r="J16" s="123">
        <f t="shared" si="1"/>
        <v>9.0218481577851173E-2</v>
      </c>
    </row>
    <row r="17" spans="1:10" hidden="1" x14ac:dyDescent="0.2">
      <c r="A17" s="106" t="s">
        <v>83</v>
      </c>
      <c r="B17" s="72">
        <v>1</v>
      </c>
      <c r="C17" s="77">
        <f>VLOOKUP($B$3,'Data for Bill Impacts'!$A$3:$Y$25,8,0)</f>
        <v>0</v>
      </c>
      <c r="D17" s="21">
        <f>B17*C17</f>
        <v>0</v>
      </c>
      <c r="E17" s="72">
        <f t="shared" si="4"/>
        <v>1</v>
      </c>
      <c r="F17" s="77">
        <v>0</v>
      </c>
      <c r="G17" s="21">
        <f t="shared" ref="G17:G19" si="5">E17*F17</f>
        <v>0</v>
      </c>
      <c r="H17" s="21">
        <f t="shared" si="3"/>
        <v>0</v>
      </c>
      <c r="I17" s="22" t="str">
        <f t="shared" si="0"/>
        <v>N/A</v>
      </c>
      <c r="J17" s="123">
        <f t="shared" si="1"/>
        <v>0</v>
      </c>
    </row>
    <row r="18" spans="1:10" hidden="1" x14ac:dyDescent="0.2">
      <c r="A18" s="106" t="s">
        <v>84</v>
      </c>
      <c r="B18" s="72">
        <v>1</v>
      </c>
      <c r="C18" s="77">
        <f>VLOOKUP($B$3,'Data for Bill Impacts'!$A$3:$Y$25,11,0)</f>
        <v>0</v>
      </c>
      <c r="D18" s="21">
        <f t="shared" ref="D18:D19" si="6">B18*C18</f>
        <v>0</v>
      </c>
      <c r="E18" s="72">
        <f t="shared" si="4"/>
        <v>1</v>
      </c>
      <c r="F18" s="77">
        <f>VLOOKUP($B$3,'Data for Bill Impacts'!$A$3:$Y$25,12,0)</f>
        <v>0</v>
      </c>
      <c r="G18" s="21">
        <f t="shared" si="5"/>
        <v>0</v>
      </c>
      <c r="H18" s="21">
        <f t="shared" si="3"/>
        <v>0</v>
      </c>
      <c r="I18" s="22" t="str">
        <f t="shared" si="0"/>
        <v>N/A</v>
      </c>
      <c r="J18" s="123">
        <f t="shared" si="1"/>
        <v>0</v>
      </c>
    </row>
    <row r="19" spans="1:10" x14ac:dyDescent="0.2">
      <c r="A19" s="106" t="s">
        <v>85</v>
      </c>
      <c r="B19" s="72">
        <v>1</v>
      </c>
      <c r="C19" s="120">
        <f>VLOOKUP($B$3,'Data for Bill Impacts'!$A$3:$Y$25,13,0)</f>
        <v>0</v>
      </c>
      <c r="D19" s="21">
        <f t="shared" si="6"/>
        <v>0</v>
      </c>
      <c r="E19" s="72">
        <f t="shared" si="4"/>
        <v>1</v>
      </c>
      <c r="F19" s="120">
        <f>VLOOKUP($B$3,'Data for Bill Impacts'!$A$3:$Y$25,22,0)</f>
        <v>0</v>
      </c>
      <c r="G19" s="21">
        <f t="shared" si="5"/>
        <v>0</v>
      </c>
      <c r="H19" s="21">
        <f t="shared" si="3"/>
        <v>0</v>
      </c>
      <c r="I19" s="22" t="str">
        <f t="shared" si="0"/>
        <v>N/A</v>
      </c>
      <c r="J19" s="123">
        <f t="shared" si="1"/>
        <v>0</v>
      </c>
    </row>
    <row r="20" spans="1:10" x14ac:dyDescent="0.2">
      <c r="A20" s="106" t="s">
        <v>39</v>
      </c>
      <c r="B20" s="72">
        <f>IF($B$10="kWh",$B$4,$B$5)</f>
        <v>60</v>
      </c>
      <c r="C20" s="77">
        <f>VLOOKUP($B$3,'Data for Bill Impacts'!$A$3:$Y$25,10,0)</f>
        <v>5.2489999999999997</v>
      </c>
      <c r="D20" s="21">
        <f>B20*C20</f>
        <v>314.94</v>
      </c>
      <c r="E20" s="72">
        <f t="shared" si="4"/>
        <v>60</v>
      </c>
      <c r="F20" s="77">
        <f>VLOOKUP($B$3,'Data for Bill Impacts'!$A$3:$Y$25,19,0)</f>
        <v>6.4095000000000004</v>
      </c>
      <c r="G20" s="21">
        <f>E20*F20</f>
        <v>384.57000000000005</v>
      </c>
      <c r="H20" s="21">
        <f t="shared" si="3"/>
        <v>69.630000000000052</v>
      </c>
      <c r="I20" s="22">
        <f t="shared" si="0"/>
        <v>0.2210897313774054</v>
      </c>
      <c r="J20" s="123">
        <f t="shared" si="1"/>
        <v>0.13745620799649075</v>
      </c>
    </row>
    <row r="21" spans="1:10" s="1" customFormat="1" x14ac:dyDescent="0.2">
      <c r="A21" s="106" t="s">
        <v>129</v>
      </c>
      <c r="B21" s="72">
        <f>IF($B$10="kWh",$B$4,$B$5)</f>
        <v>60</v>
      </c>
      <c r="C21" s="124">
        <f>VLOOKUP($B$3,'Data for Bill Impacts'!$A$3:$Y$25,14,0)</f>
        <v>0</v>
      </c>
      <c r="D21" s="21">
        <f>B21*C21</f>
        <v>0</v>
      </c>
      <c r="E21" s="72">
        <f>B21</f>
        <v>60</v>
      </c>
      <c r="F21" s="124">
        <f>VLOOKUP($B$3,'Data for Bill Impacts'!$A$3:$Y$25,23,0)</f>
        <v>0</v>
      </c>
      <c r="G21" s="21">
        <f>E21*F21</f>
        <v>0</v>
      </c>
      <c r="H21" s="21">
        <f>G21-D21</f>
        <v>0</v>
      </c>
      <c r="I21" s="22" t="str">
        <f t="shared" si="0"/>
        <v>N/A</v>
      </c>
      <c r="J21" s="123">
        <f t="shared" si="1"/>
        <v>0</v>
      </c>
    </row>
    <row r="22" spans="1:10" s="1" customFormat="1" x14ac:dyDescent="0.2">
      <c r="A22" s="106" t="s">
        <v>117</v>
      </c>
      <c r="B22" s="72">
        <f>B9</f>
        <v>15844.5</v>
      </c>
      <c r="C22" s="124">
        <f>VLOOKUP($B$3,'Data for Bill Impacts'!$A$3:$Y$25,20,0)</f>
        <v>0</v>
      </c>
      <c r="D22" s="21">
        <f>B22*C22</f>
        <v>0</v>
      </c>
      <c r="E22" s="72">
        <f t="shared" si="4"/>
        <v>15844.5</v>
      </c>
      <c r="F22" s="124">
        <f>VLOOKUP($B$3,'Data for Bill Impacts'!$A$3:$Y$25,21,0)</f>
        <v>0</v>
      </c>
      <c r="G22" s="21">
        <f>E22*F22</f>
        <v>0</v>
      </c>
      <c r="H22" s="21">
        <f t="shared" si="3"/>
        <v>0</v>
      </c>
      <c r="I22" s="22" t="str">
        <f t="shared" si="0"/>
        <v>N/A</v>
      </c>
      <c r="J22" s="123">
        <f t="shared" si="1"/>
        <v>0</v>
      </c>
    </row>
    <row r="23" spans="1:10" x14ac:dyDescent="0.2">
      <c r="A23" s="109" t="s">
        <v>79</v>
      </c>
      <c r="B23" s="73"/>
      <c r="C23" s="34"/>
      <c r="D23" s="34">
        <f>SUM(D16:D22)</f>
        <v>521.16999999999996</v>
      </c>
      <c r="E23" s="72"/>
      <c r="F23" s="34"/>
      <c r="G23" s="34">
        <f>SUM(G16:G22)</f>
        <v>636.98</v>
      </c>
      <c r="H23" s="34">
        <f t="shared" si="3"/>
        <v>115.81000000000006</v>
      </c>
      <c r="I23" s="35">
        <f t="shared" si="0"/>
        <v>0.22221156244603502</v>
      </c>
      <c r="J23" s="110">
        <f t="shared" si="1"/>
        <v>0.22767468957434192</v>
      </c>
    </row>
    <row r="24" spans="1:10" x14ac:dyDescent="0.2">
      <c r="A24" s="106" t="s">
        <v>40</v>
      </c>
      <c r="B24" s="72">
        <f>B5</f>
        <v>60</v>
      </c>
      <c r="C24" s="124">
        <f>VLOOKUP($B$3,'Data for Bill Impacts'!$A$3:$Y$25,15,0)</f>
        <v>1.8483000000000001</v>
      </c>
      <c r="D24" s="21">
        <f>B24*C24</f>
        <v>110.898</v>
      </c>
      <c r="E24" s="72">
        <f t="shared" si="4"/>
        <v>60</v>
      </c>
      <c r="F24" s="77">
        <f>VLOOKUP($B$3,'Data for Bill Impacts'!$A$3:$Y$25,24,0)</f>
        <v>1.8483000000000001</v>
      </c>
      <c r="G24" s="21">
        <f>E24*F24</f>
        <v>110.898</v>
      </c>
      <c r="H24" s="21">
        <f t="shared" si="3"/>
        <v>0</v>
      </c>
      <c r="I24" s="22">
        <f t="shared" si="0"/>
        <v>0</v>
      </c>
      <c r="J24" s="123">
        <f t="shared" si="1"/>
        <v>3.963808553551975E-2</v>
      </c>
    </row>
    <row r="25" spans="1:10" s="1" customFormat="1" x14ac:dyDescent="0.2">
      <c r="A25" s="106" t="s">
        <v>41</v>
      </c>
      <c r="B25" s="72">
        <f>B5</f>
        <v>60</v>
      </c>
      <c r="C25" s="124">
        <f>VLOOKUP($B$3,'Data for Bill Impacts'!$A$3:$Y$25,16,0)</f>
        <v>1.5101</v>
      </c>
      <c r="D25" s="21">
        <f>B25*C25</f>
        <v>90.605999999999995</v>
      </c>
      <c r="E25" s="72">
        <f t="shared" si="4"/>
        <v>60</v>
      </c>
      <c r="F25" s="124">
        <f>VLOOKUP($B$3,'Data for Bill Impacts'!$A$3:$Y$25,25,0)</f>
        <v>1.5101</v>
      </c>
      <c r="G25" s="21">
        <f>E25*F25</f>
        <v>90.605999999999995</v>
      </c>
      <c r="H25" s="21">
        <f t="shared" si="3"/>
        <v>0</v>
      </c>
      <c r="I25" s="22">
        <f t="shared" si="0"/>
        <v>0</v>
      </c>
      <c r="J25" s="123">
        <f t="shared" si="1"/>
        <v>3.2385150120212286E-2</v>
      </c>
    </row>
    <row r="26" spans="1:10" x14ac:dyDescent="0.2">
      <c r="A26" s="109" t="s">
        <v>76</v>
      </c>
      <c r="B26" s="73"/>
      <c r="C26" s="34"/>
      <c r="D26" s="34">
        <f>SUM(D24:D25)</f>
        <v>201.50399999999999</v>
      </c>
      <c r="E26" s="72"/>
      <c r="F26" s="34"/>
      <c r="G26" s="34">
        <f>SUM(G24:G25)</f>
        <v>201.50399999999999</v>
      </c>
      <c r="H26" s="34">
        <f t="shared" si="3"/>
        <v>0</v>
      </c>
      <c r="I26" s="35">
        <f t="shared" si="0"/>
        <v>0</v>
      </c>
      <c r="J26" s="110">
        <f t="shared" si="1"/>
        <v>7.2023235655732029E-2</v>
      </c>
    </row>
    <row r="27" spans="1:10" s="1" customFormat="1" x14ac:dyDescent="0.2">
      <c r="A27" s="109" t="s">
        <v>80</v>
      </c>
      <c r="B27" s="73"/>
      <c r="C27" s="34"/>
      <c r="D27" s="34">
        <f>D23+D26</f>
        <v>722.67399999999998</v>
      </c>
      <c r="E27" s="72"/>
      <c r="F27" s="34"/>
      <c r="G27" s="34">
        <f>G23+G26</f>
        <v>838.48400000000004</v>
      </c>
      <c r="H27" s="34">
        <f t="shared" si="3"/>
        <v>115.81000000000006</v>
      </c>
      <c r="I27" s="35">
        <f t="shared" si="0"/>
        <v>0.16025206386282068</v>
      </c>
      <c r="J27" s="110">
        <f t="shared" si="1"/>
        <v>0.29969792523007399</v>
      </c>
    </row>
    <row r="28" spans="1:10" x14ac:dyDescent="0.2">
      <c r="A28" s="106" t="s">
        <v>42</v>
      </c>
      <c r="B28" s="72">
        <f>B9</f>
        <v>15844.5</v>
      </c>
      <c r="C28" s="33">
        <v>3.5999999999999999E-3</v>
      </c>
      <c r="D28" s="21">
        <f>B28*C28</f>
        <v>57.040199999999999</v>
      </c>
      <c r="E28" s="72">
        <f t="shared" si="4"/>
        <v>15844.5</v>
      </c>
      <c r="F28" s="33">
        <v>3.5999999999999999E-3</v>
      </c>
      <c r="G28" s="21">
        <f>E28*F28</f>
        <v>57.040199999999999</v>
      </c>
      <c r="H28" s="21">
        <f t="shared" si="3"/>
        <v>0</v>
      </c>
      <c r="I28" s="22">
        <f t="shared" si="0"/>
        <v>0</v>
      </c>
      <c r="J28" s="123">
        <f t="shared" si="1"/>
        <v>2.0387782706299065E-2</v>
      </c>
    </row>
    <row r="29" spans="1:10" x14ac:dyDescent="0.2">
      <c r="A29" s="106" t="s">
        <v>43</v>
      </c>
      <c r="B29" s="72">
        <f>B9</f>
        <v>15844.5</v>
      </c>
      <c r="C29" s="33">
        <v>2.0999999999999999E-3</v>
      </c>
      <c r="D29" s="21">
        <f>B29*C29</f>
        <v>33.273449999999997</v>
      </c>
      <c r="E29" s="72">
        <f t="shared" si="4"/>
        <v>15844.5</v>
      </c>
      <c r="F29" s="33">
        <v>2.0999999999999999E-3</v>
      </c>
      <c r="G29" s="21">
        <f>E29*F29</f>
        <v>33.273449999999997</v>
      </c>
      <c r="H29" s="21">
        <f>G29-D29</f>
        <v>0</v>
      </c>
      <c r="I29" s="22">
        <f t="shared" si="0"/>
        <v>0</v>
      </c>
      <c r="J29" s="123">
        <f t="shared" si="1"/>
        <v>1.1892873245341119E-2</v>
      </c>
    </row>
    <row r="30" spans="1:10" x14ac:dyDescent="0.2">
      <c r="A30" s="106" t="s">
        <v>99</v>
      </c>
      <c r="B30" s="72">
        <f>B9</f>
        <v>15844.5</v>
      </c>
      <c r="C30" s="33">
        <v>0</v>
      </c>
      <c r="D30" s="21">
        <f>B30*C30</f>
        <v>0</v>
      </c>
      <c r="E30" s="72">
        <f t="shared" si="4"/>
        <v>15844.5</v>
      </c>
      <c r="F30" s="33">
        <v>0</v>
      </c>
      <c r="G30" s="21">
        <f>E30*F30</f>
        <v>0</v>
      </c>
      <c r="H30" s="21">
        <f>G30-D30</f>
        <v>0</v>
      </c>
      <c r="I30" s="22" t="str">
        <f t="shared" si="0"/>
        <v>N/A</v>
      </c>
      <c r="J30" s="123">
        <f t="shared" si="1"/>
        <v>0</v>
      </c>
    </row>
    <row r="31" spans="1:10" x14ac:dyDescent="0.2">
      <c r="A31" s="106" t="s">
        <v>44</v>
      </c>
      <c r="B31" s="72">
        <v>1</v>
      </c>
      <c r="C31" s="21">
        <v>0.25</v>
      </c>
      <c r="D31" s="21">
        <f>B31*C31</f>
        <v>0.25</v>
      </c>
      <c r="E31" s="72">
        <f t="shared" si="4"/>
        <v>1</v>
      </c>
      <c r="F31" s="21">
        <f>C31</f>
        <v>0.25</v>
      </c>
      <c r="G31" s="21">
        <f>E31*F31</f>
        <v>0.25</v>
      </c>
      <c r="H31" s="21">
        <f t="shared" si="3"/>
        <v>0</v>
      </c>
      <c r="I31" s="22">
        <f t="shared" si="0"/>
        <v>0</v>
      </c>
      <c r="J31" s="123">
        <f t="shared" si="1"/>
        <v>8.9357079333080285E-5</v>
      </c>
    </row>
    <row r="32" spans="1:10" x14ac:dyDescent="0.2">
      <c r="A32" s="109" t="s">
        <v>45</v>
      </c>
      <c r="B32" s="73"/>
      <c r="C32" s="34"/>
      <c r="D32" s="34">
        <f>SUM(D28:D31)</f>
        <v>90.563649999999996</v>
      </c>
      <c r="E32" s="72"/>
      <c r="F32" s="34"/>
      <c r="G32" s="34">
        <f>SUM(G28:G31)</f>
        <v>90.563649999999996</v>
      </c>
      <c r="H32" s="34">
        <f t="shared" si="3"/>
        <v>0</v>
      </c>
      <c r="I32" s="35">
        <f t="shared" si="0"/>
        <v>0</v>
      </c>
      <c r="J32" s="110">
        <f t="shared" si="1"/>
        <v>3.2370013030973262E-2</v>
      </c>
    </row>
    <row r="33" spans="1:10" ht="13.5" thickBot="1" x14ac:dyDescent="0.25">
      <c r="A33" s="111" t="s">
        <v>46</v>
      </c>
      <c r="B33" s="112">
        <f>B4</f>
        <v>15000</v>
      </c>
      <c r="C33" s="113">
        <v>7.0000000000000001E-3</v>
      </c>
      <c r="D33" s="114">
        <f>B33*C33</f>
        <v>105</v>
      </c>
      <c r="E33" s="115">
        <f t="shared" si="4"/>
        <v>15000</v>
      </c>
      <c r="F33" s="113">
        <f>C33</f>
        <v>7.0000000000000001E-3</v>
      </c>
      <c r="G33" s="114">
        <f>E33*F33</f>
        <v>105</v>
      </c>
      <c r="H33" s="114">
        <f t="shared" si="3"/>
        <v>0</v>
      </c>
      <c r="I33" s="116">
        <f t="shared" si="0"/>
        <v>0</v>
      </c>
      <c r="J33" s="117">
        <f t="shared" si="1"/>
        <v>3.7529973319893717E-2</v>
      </c>
    </row>
    <row r="34" spans="1:10" x14ac:dyDescent="0.2">
      <c r="A34" s="36" t="s">
        <v>116</v>
      </c>
      <c r="B34" s="37"/>
      <c r="C34" s="38"/>
      <c r="D34" s="38">
        <f>SUM(D15,D23,D26,D32,D33)</f>
        <v>2360.0871499999998</v>
      </c>
      <c r="E34" s="37"/>
      <c r="F34" s="38"/>
      <c r="G34" s="38">
        <f>SUM(G15,G23,G26,G32,G33)</f>
        <v>2475.8971499999998</v>
      </c>
      <c r="H34" s="38">
        <f t="shared" si="3"/>
        <v>115.80999999999995</v>
      </c>
      <c r="I34" s="39">
        <f t="shared" si="0"/>
        <v>4.9070221834816546E-2</v>
      </c>
      <c r="J34" s="40">
        <f t="shared" si="1"/>
        <v>0.88495575221238942</v>
      </c>
    </row>
    <row r="35" spans="1:10" x14ac:dyDescent="0.2">
      <c r="A35" s="45" t="s">
        <v>108</v>
      </c>
      <c r="B35" s="42"/>
      <c r="C35" s="25">
        <v>0.13</v>
      </c>
      <c r="D35" s="25">
        <f>D34*C35</f>
        <v>306.8113295</v>
      </c>
      <c r="E35" s="25"/>
      <c r="F35" s="25">
        <f>C35</f>
        <v>0.13</v>
      </c>
      <c r="G35" s="25">
        <f>G34*F35</f>
        <v>321.86662949999999</v>
      </c>
      <c r="H35" s="25">
        <f t="shared" si="3"/>
        <v>15.055299999999988</v>
      </c>
      <c r="I35" s="43">
        <f t="shared" si="0"/>
        <v>4.9070221834816526E-2</v>
      </c>
      <c r="J35" s="44">
        <f t="shared" si="1"/>
        <v>0.11504424778761063</v>
      </c>
    </row>
    <row r="36" spans="1:10" x14ac:dyDescent="0.2">
      <c r="A36" s="45" t="s">
        <v>109</v>
      </c>
      <c r="B36" s="23"/>
      <c r="C36" s="24"/>
      <c r="D36" s="24">
        <f>SUM(D34:D35)</f>
        <v>2666.8984794999997</v>
      </c>
      <c r="E36" s="24"/>
      <c r="F36" s="24"/>
      <c r="G36" s="24">
        <f>SUM(G34:G35)</f>
        <v>2797.7637794999996</v>
      </c>
      <c r="H36" s="24">
        <f t="shared" si="3"/>
        <v>130.86529999999993</v>
      </c>
      <c r="I36" s="26">
        <f t="shared" si="0"/>
        <v>4.9070221834816546E-2</v>
      </c>
      <c r="J36" s="46">
        <f t="shared" si="1"/>
        <v>1</v>
      </c>
    </row>
    <row r="37" spans="1:10" x14ac:dyDescent="0.2">
      <c r="A37" s="45" t="s">
        <v>110</v>
      </c>
      <c r="B37" s="42"/>
      <c r="C37" s="25">
        <v>0</v>
      </c>
      <c r="D37" s="25">
        <f>D34*C37</f>
        <v>0</v>
      </c>
      <c r="E37" s="25"/>
      <c r="F37" s="25">
        <f>C37</f>
        <v>0</v>
      </c>
      <c r="G37" s="25">
        <f>G34*F37</f>
        <v>0</v>
      </c>
      <c r="H37" s="25">
        <f t="shared" si="3"/>
        <v>0</v>
      </c>
      <c r="I37" s="43" t="str">
        <f t="shared" si="0"/>
        <v>N/A</v>
      </c>
      <c r="J37" s="44">
        <f t="shared" si="1"/>
        <v>0</v>
      </c>
    </row>
    <row r="38" spans="1:10" ht="13.5" thickBot="1" x14ac:dyDescent="0.25">
      <c r="A38" s="45" t="s">
        <v>111</v>
      </c>
      <c r="B38" s="48"/>
      <c r="C38" s="49"/>
      <c r="D38" s="49">
        <f>SUM(D36:D37)</f>
        <v>2666.8984794999997</v>
      </c>
      <c r="E38" s="49"/>
      <c r="F38" s="49"/>
      <c r="G38" s="49">
        <f>SUM(G36:G37)</f>
        <v>2797.7637794999996</v>
      </c>
      <c r="H38" s="49">
        <f t="shared" si="3"/>
        <v>130.86529999999993</v>
      </c>
      <c r="I38" s="50">
        <f t="shared" si="0"/>
        <v>4.9070221834816546E-2</v>
      </c>
      <c r="J38" s="51">
        <f t="shared" si="1"/>
        <v>1</v>
      </c>
    </row>
    <row r="39" spans="1:10" x14ac:dyDescent="0.2">
      <c r="A39" s="184"/>
      <c r="F39" s="68"/>
    </row>
    <row r="40" spans="1:10" x14ac:dyDescent="0.2">
      <c r="A40" s="184"/>
      <c r="F40" s="68"/>
    </row>
    <row r="41" spans="1:10" x14ac:dyDescent="0.2">
      <c r="A41" s="184"/>
    </row>
    <row r="42" spans="1:10" x14ac:dyDescent="0.2">
      <c r="A42" s="184"/>
    </row>
    <row r="43" spans="1:10" x14ac:dyDescent="0.2">
      <c r="A43" s="184"/>
    </row>
    <row r="44" spans="1:10" x14ac:dyDescent="0.2">
      <c r="A44" s="184"/>
    </row>
    <row r="45" spans="1:10" x14ac:dyDescent="0.2">
      <c r="A45" s="184"/>
    </row>
    <row r="46" spans="1:10" x14ac:dyDescent="0.2">
      <c r="A46" s="184"/>
    </row>
    <row r="47" spans="1:10" x14ac:dyDescent="0.2">
      <c r="A47" s="184"/>
    </row>
    <row r="48" spans="1:10" x14ac:dyDescent="0.2">
      <c r="A48" s="184"/>
    </row>
    <row r="49" spans="1:1" x14ac:dyDescent="0.2">
      <c r="A49" s="184"/>
    </row>
    <row r="50" spans="1:1" x14ac:dyDescent="0.2">
      <c r="A50" s="184"/>
    </row>
    <row r="51" spans="1:1" x14ac:dyDescent="0.2">
      <c r="A51" s="184"/>
    </row>
    <row r="52" spans="1:1" x14ac:dyDescent="0.2">
      <c r="A52" s="184"/>
    </row>
    <row r="53" spans="1:1" x14ac:dyDescent="0.2">
      <c r="A53" s="184"/>
    </row>
    <row r="54" spans="1:1" x14ac:dyDescent="0.2">
      <c r="A54" s="184"/>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scale="71"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Impacts'!$A$12:$A$21</xm:f>
          </x14:formula1>
          <xm:sqref>B3</xm:sqref>
        </x14:dataValidation>
      </x14:dataValidations>
    </ext>
  </extLst>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tabColor theme="1" tint="0.499984740745262"/>
    <pageSetUpPr fitToPage="1"/>
  </sheetPr>
  <dimension ref="A1:J54"/>
  <sheetViews>
    <sheetView tabSelected="1" zoomScaleNormal="100" workbookViewId="0">
      <selection activeCell="N13" sqref="N13"/>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205" t="s">
        <v>127</v>
      </c>
      <c r="B1" s="206"/>
      <c r="C1" s="206"/>
      <c r="D1" s="206"/>
      <c r="E1" s="206"/>
      <c r="F1" s="206"/>
      <c r="G1" s="206"/>
      <c r="H1" s="206"/>
      <c r="I1" s="206"/>
      <c r="J1" s="207"/>
    </row>
    <row r="3" spans="1:10" x14ac:dyDescent="0.2">
      <c r="A3" s="12" t="s">
        <v>13</v>
      </c>
      <c r="B3" s="12" t="s">
        <v>121</v>
      </c>
    </row>
    <row r="4" spans="1:10" x14ac:dyDescent="0.2">
      <c r="A4" s="14" t="s">
        <v>62</v>
      </c>
      <c r="B4" s="78">
        <f>VLOOKUP(B3,'Data for Bill Impacts_HONI Avg '!A2:F21,3,FALSE)</f>
        <v>53895</v>
      </c>
    </row>
    <row r="5" spans="1:10" x14ac:dyDescent="0.2">
      <c r="A5" s="14" t="s">
        <v>16</v>
      </c>
      <c r="B5" s="78">
        <f>VLOOKUP(B3,'Data for Bill Impacts_HONI Avg '!A2:F21,5,FALSE)</f>
        <v>152</v>
      </c>
    </row>
    <row r="6" spans="1:10" x14ac:dyDescent="0.2">
      <c r="A6" s="14" t="s">
        <v>20</v>
      </c>
      <c r="B6" s="79">
        <f>VLOOKUP($B$3,'Data for Bill Impacts'!$A$3:$Y$25,2,0)</f>
        <v>1.0563</v>
      </c>
    </row>
    <row r="7" spans="1:10" x14ac:dyDescent="0.2">
      <c r="A7" s="80" t="s">
        <v>48</v>
      </c>
      <c r="B7" s="81">
        <f>B4/(B5*730)</f>
        <v>0.48571557317952413</v>
      </c>
    </row>
    <row r="8" spans="1:10" x14ac:dyDescent="0.2">
      <c r="A8" s="14" t="s">
        <v>15</v>
      </c>
      <c r="B8" s="78">
        <f>VLOOKUP($B$3,'Data for Bill Impacts'!$A$3:$Y$25,4,0)</f>
        <v>0</v>
      </c>
    </row>
    <row r="9" spans="1:10" x14ac:dyDescent="0.2">
      <c r="A9" s="14" t="s">
        <v>82</v>
      </c>
      <c r="B9" s="78">
        <f>B4*B6</f>
        <v>56929.288500000002</v>
      </c>
    </row>
    <row r="10" spans="1:10" x14ac:dyDescent="0.2">
      <c r="A10" s="14" t="s">
        <v>21</v>
      </c>
      <c r="B10" s="15" t="s">
        <v>19</v>
      </c>
    </row>
    <row r="11" spans="1:10" ht="13.5" thickBot="1" x14ac:dyDescent="0.25"/>
    <row r="12" spans="1:10" s="19" customFormat="1" ht="26.25" thickBot="1" x14ac:dyDescent="0.25">
      <c r="A12" s="16"/>
      <c r="B12" s="17" t="s">
        <v>22</v>
      </c>
      <c r="C12" s="17" t="s">
        <v>23</v>
      </c>
      <c r="D12" s="17" t="s">
        <v>24</v>
      </c>
      <c r="E12" s="17" t="s">
        <v>22</v>
      </c>
      <c r="F12" s="17" t="s">
        <v>25</v>
      </c>
      <c r="G12" s="17" t="s">
        <v>26</v>
      </c>
      <c r="H12" s="17" t="s">
        <v>27</v>
      </c>
      <c r="I12" s="17" t="s">
        <v>28</v>
      </c>
      <c r="J12" s="121" t="s">
        <v>49</v>
      </c>
    </row>
    <row r="13" spans="1:10" x14ac:dyDescent="0.2">
      <c r="A13" s="100" t="s">
        <v>31</v>
      </c>
      <c r="B13" s="101">
        <f>B9</f>
        <v>56929.288500000002</v>
      </c>
      <c r="C13" s="102">
        <v>9.0999999999999998E-2</v>
      </c>
      <c r="D13" s="103">
        <f>B13*C13</f>
        <v>5180.5652534999999</v>
      </c>
      <c r="E13" s="101">
        <f>B13</f>
        <v>56929.288500000002</v>
      </c>
      <c r="F13" s="102">
        <f>C13</f>
        <v>9.0999999999999998E-2</v>
      </c>
      <c r="G13" s="103">
        <f>E13*F13</f>
        <v>5180.5652534999999</v>
      </c>
      <c r="H13" s="103">
        <f>G13-D13</f>
        <v>0</v>
      </c>
      <c r="I13" s="104">
        <f t="shared" ref="I13:I38" si="0">IF(ISERROR(H13/ABS(D13)),"N/A",(H13/ABS(D13)))</f>
        <v>0</v>
      </c>
      <c r="J13" s="122">
        <f t="shared" ref="J13:J38" si="1">G13/$G$38</f>
        <v>0.6016727966517732</v>
      </c>
    </row>
    <row r="14" spans="1:10" x14ac:dyDescent="0.2">
      <c r="A14" s="106" t="s">
        <v>32</v>
      </c>
      <c r="B14" s="72">
        <v>0</v>
      </c>
      <c r="C14" s="20">
        <v>0.106</v>
      </c>
      <c r="D14" s="21">
        <f>B14*C14</f>
        <v>0</v>
      </c>
      <c r="E14" s="72">
        <f t="shared" ref="E14" si="2">B14</f>
        <v>0</v>
      </c>
      <c r="F14" s="20">
        <f>C14</f>
        <v>0.106</v>
      </c>
      <c r="G14" s="21">
        <f>E14*F14</f>
        <v>0</v>
      </c>
      <c r="H14" s="21">
        <f t="shared" ref="H14:H38" si="3">G14-D14</f>
        <v>0</v>
      </c>
      <c r="I14" s="22" t="str">
        <f t="shared" si="0"/>
        <v>N/A</v>
      </c>
      <c r="J14" s="123">
        <f t="shared" si="1"/>
        <v>0</v>
      </c>
    </row>
    <row r="15" spans="1:10" s="1" customFormat="1" x14ac:dyDescent="0.2">
      <c r="A15" s="45" t="s">
        <v>33</v>
      </c>
      <c r="B15" s="23"/>
      <c r="C15" s="24"/>
      <c r="D15" s="24">
        <f>SUM(D13:D14)</f>
        <v>5180.5652534999999</v>
      </c>
      <c r="E15" s="75"/>
      <c r="F15" s="24"/>
      <c r="G15" s="24">
        <f>SUM(G13:G14)</f>
        <v>5180.5652534999999</v>
      </c>
      <c r="H15" s="24">
        <f t="shared" si="3"/>
        <v>0</v>
      </c>
      <c r="I15" s="26">
        <f t="shared" si="0"/>
        <v>0</v>
      </c>
      <c r="J15" s="46">
        <f t="shared" si="1"/>
        <v>0.6016727966517732</v>
      </c>
    </row>
    <row r="16" spans="1:10" s="1" customFormat="1" x14ac:dyDescent="0.2">
      <c r="A16" s="106" t="s">
        <v>38</v>
      </c>
      <c r="B16" s="72">
        <v>1</v>
      </c>
      <c r="C16" s="77">
        <f>VLOOKUP($B$3,'Data for Bill Impacts'!$A$3:$Y$25,7,0)</f>
        <v>206.23</v>
      </c>
      <c r="D16" s="21">
        <f>B16*C16</f>
        <v>206.23</v>
      </c>
      <c r="E16" s="72">
        <f t="shared" ref="E16:E33" si="4">B16</f>
        <v>1</v>
      </c>
      <c r="F16" s="77">
        <f>VLOOKUP($B$3,'Data for Bill Impacts'!$A$3:$Y$25,17,0)</f>
        <v>252.41</v>
      </c>
      <c r="G16" s="21">
        <f>E16*F16</f>
        <v>252.41</v>
      </c>
      <c r="H16" s="21">
        <f t="shared" si="3"/>
        <v>46.180000000000007</v>
      </c>
      <c r="I16" s="22">
        <f t="shared" si="0"/>
        <v>0.22392474421762115</v>
      </c>
      <c r="J16" s="123">
        <f t="shared" si="1"/>
        <v>2.9314992316769217E-2</v>
      </c>
    </row>
    <row r="17" spans="1:10" hidden="1" x14ac:dyDescent="0.2">
      <c r="A17" s="106" t="s">
        <v>83</v>
      </c>
      <c r="B17" s="72">
        <v>1</v>
      </c>
      <c r="C17" s="77">
        <f>VLOOKUP($B$3,'Data for Bill Impacts'!$A$3:$Y$25,8,0)</f>
        <v>0</v>
      </c>
      <c r="D17" s="21">
        <f>B17*C17</f>
        <v>0</v>
      </c>
      <c r="E17" s="72">
        <f t="shared" si="4"/>
        <v>1</v>
      </c>
      <c r="F17" s="77">
        <v>0</v>
      </c>
      <c r="G17" s="21">
        <f t="shared" ref="G17:G19" si="5">E17*F17</f>
        <v>0</v>
      </c>
      <c r="H17" s="21">
        <f t="shared" si="3"/>
        <v>0</v>
      </c>
      <c r="I17" s="22" t="str">
        <f t="shared" si="0"/>
        <v>N/A</v>
      </c>
      <c r="J17" s="123">
        <f t="shared" si="1"/>
        <v>0</v>
      </c>
    </row>
    <row r="18" spans="1:10" hidden="1" x14ac:dyDescent="0.2">
      <c r="A18" s="106" t="s">
        <v>84</v>
      </c>
      <c r="B18" s="72">
        <v>1</v>
      </c>
      <c r="C18" s="77">
        <f>VLOOKUP($B$3,'Data for Bill Impacts'!$A$3:$Y$25,11,0)</f>
        <v>0</v>
      </c>
      <c r="D18" s="21">
        <f t="shared" ref="D18:D19" si="6">B18*C18</f>
        <v>0</v>
      </c>
      <c r="E18" s="72">
        <f t="shared" si="4"/>
        <v>1</v>
      </c>
      <c r="F18" s="77">
        <f>VLOOKUP($B$3,'Data for Bill Impacts'!$A$3:$Y$25,12,0)</f>
        <v>0</v>
      </c>
      <c r="G18" s="21">
        <f t="shared" si="5"/>
        <v>0</v>
      </c>
      <c r="H18" s="21">
        <f t="shared" si="3"/>
        <v>0</v>
      </c>
      <c r="I18" s="22" t="str">
        <f t="shared" si="0"/>
        <v>N/A</v>
      </c>
      <c r="J18" s="123">
        <f t="shared" si="1"/>
        <v>0</v>
      </c>
    </row>
    <row r="19" spans="1:10" x14ac:dyDescent="0.2">
      <c r="A19" s="106" t="s">
        <v>85</v>
      </c>
      <c r="B19" s="72">
        <v>1</v>
      </c>
      <c r="C19" s="120">
        <f>VLOOKUP($B$3,'Data for Bill Impacts'!$A$3:$Y$25,13,0)</f>
        <v>0</v>
      </c>
      <c r="D19" s="21">
        <f t="shared" si="6"/>
        <v>0</v>
      </c>
      <c r="E19" s="72">
        <f t="shared" si="4"/>
        <v>1</v>
      </c>
      <c r="F19" s="120">
        <f>VLOOKUP($B$3,'Data for Bill Impacts'!$A$3:$Y$25,22,0)</f>
        <v>0</v>
      </c>
      <c r="G19" s="21">
        <f t="shared" si="5"/>
        <v>0</v>
      </c>
      <c r="H19" s="21">
        <f t="shared" si="3"/>
        <v>0</v>
      </c>
      <c r="I19" s="22" t="str">
        <f t="shared" si="0"/>
        <v>N/A</v>
      </c>
      <c r="J19" s="123">
        <f t="shared" si="1"/>
        <v>0</v>
      </c>
    </row>
    <row r="20" spans="1:10" x14ac:dyDescent="0.2">
      <c r="A20" s="106" t="s">
        <v>39</v>
      </c>
      <c r="B20" s="72">
        <f>IF($B$10="kWh",$B$4,$B$5)</f>
        <v>152</v>
      </c>
      <c r="C20" s="77">
        <f>VLOOKUP($B$3,'Data for Bill Impacts'!$A$3:$Y$25,10,0)</f>
        <v>5.2489999999999997</v>
      </c>
      <c r="D20" s="21">
        <f>B20*C20</f>
        <v>797.84799999999996</v>
      </c>
      <c r="E20" s="72">
        <f t="shared" si="4"/>
        <v>152</v>
      </c>
      <c r="F20" s="77">
        <f>VLOOKUP($B$3,'Data for Bill Impacts'!$A$3:$Y$25,19,0)</f>
        <v>6.4095000000000004</v>
      </c>
      <c r="G20" s="21">
        <f>E20*F20</f>
        <v>974.24400000000003</v>
      </c>
      <c r="H20" s="21">
        <f t="shared" si="3"/>
        <v>176.39600000000007</v>
      </c>
      <c r="I20" s="22">
        <f t="shared" si="0"/>
        <v>0.22108973137740531</v>
      </c>
      <c r="J20" s="123">
        <f t="shared" si="1"/>
        <v>0.11314906451669311</v>
      </c>
    </row>
    <row r="21" spans="1:10" s="1" customFormat="1" x14ac:dyDescent="0.2">
      <c r="A21" s="106" t="s">
        <v>129</v>
      </c>
      <c r="B21" s="72">
        <f>IF($B$10="kWh",$B$4,$B$5)</f>
        <v>152</v>
      </c>
      <c r="C21" s="124">
        <f>VLOOKUP($B$3,'Data for Bill Impacts'!$A$3:$Y$25,14,0)</f>
        <v>0</v>
      </c>
      <c r="D21" s="21">
        <f>B21*C21</f>
        <v>0</v>
      </c>
      <c r="E21" s="72">
        <f>B21</f>
        <v>152</v>
      </c>
      <c r="F21" s="77">
        <f>VLOOKUP($B$3,'Data for Bill Impacts'!$A$3:$Y$25,23,0)</f>
        <v>0</v>
      </c>
      <c r="G21" s="21">
        <f>E21*F21</f>
        <v>0</v>
      </c>
      <c r="H21" s="21">
        <f>G21-D21</f>
        <v>0</v>
      </c>
      <c r="I21" s="22" t="str">
        <f t="shared" si="0"/>
        <v>N/A</v>
      </c>
      <c r="J21" s="123">
        <f t="shared" si="1"/>
        <v>0</v>
      </c>
    </row>
    <row r="22" spans="1:10" s="1" customFormat="1" x14ac:dyDescent="0.2">
      <c r="A22" s="106" t="s">
        <v>117</v>
      </c>
      <c r="B22" s="72">
        <f>B9</f>
        <v>56929.288500000002</v>
      </c>
      <c r="C22" s="124">
        <f>VLOOKUP($B$3,'Data for Bill Impacts'!$A$3:$Y$25,20,0)</f>
        <v>0</v>
      </c>
      <c r="D22" s="21">
        <f>B22*C22</f>
        <v>0</v>
      </c>
      <c r="E22" s="72">
        <f t="shared" si="4"/>
        <v>56929.288500000002</v>
      </c>
      <c r="F22" s="124">
        <f>VLOOKUP($B$3,'Data for Bill Impacts'!$A$3:$Y$25,21,0)</f>
        <v>0</v>
      </c>
      <c r="G22" s="21">
        <f>E22*F22</f>
        <v>0</v>
      </c>
      <c r="H22" s="21">
        <f t="shared" si="3"/>
        <v>0</v>
      </c>
      <c r="I22" s="22" t="str">
        <f t="shared" si="0"/>
        <v>N/A</v>
      </c>
      <c r="J22" s="123">
        <f t="shared" si="1"/>
        <v>0</v>
      </c>
    </row>
    <row r="23" spans="1:10" x14ac:dyDescent="0.2">
      <c r="A23" s="109" t="s">
        <v>95</v>
      </c>
      <c r="B23" s="73"/>
      <c r="C23" s="34"/>
      <c r="D23" s="34">
        <f>SUM(D16:D22)</f>
        <v>1004.078</v>
      </c>
      <c r="E23" s="72"/>
      <c r="F23" s="34"/>
      <c r="G23" s="34">
        <f>SUM(G16:G22)</f>
        <v>1226.654</v>
      </c>
      <c r="H23" s="34">
        <f t="shared" si="3"/>
        <v>222.57600000000002</v>
      </c>
      <c r="I23" s="35">
        <f t="shared" si="0"/>
        <v>0.22167202149633797</v>
      </c>
      <c r="J23" s="110">
        <f t="shared" si="1"/>
        <v>0.14246405683346233</v>
      </c>
    </row>
    <row r="24" spans="1:10" x14ac:dyDescent="0.2">
      <c r="A24" s="106" t="s">
        <v>40</v>
      </c>
      <c r="B24" s="72">
        <f>B5</f>
        <v>152</v>
      </c>
      <c r="C24" s="124">
        <f>VLOOKUP($B$3,'Data for Bill Impacts'!$A$3:$Y$25,15,0)</f>
        <v>1.8483000000000001</v>
      </c>
      <c r="D24" s="21">
        <f>B24*C24</f>
        <v>280.94159999999999</v>
      </c>
      <c r="E24" s="72">
        <f t="shared" si="4"/>
        <v>152</v>
      </c>
      <c r="F24" s="77">
        <f>VLOOKUP($B$3,'Data for Bill Impacts'!$A$3:$Y$25,24,0)</f>
        <v>1.8483000000000001</v>
      </c>
      <c r="G24" s="21">
        <f>E24*F24</f>
        <v>280.94159999999999</v>
      </c>
      <c r="H24" s="21">
        <f t="shared" si="3"/>
        <v>0</v>
      </c>
      <c r="I24" s="22">
        <f t="shared" si="0"/>
        <v>0</v>
      </c>
      <c r="J24" s="123">
        <f t="shared" si="1"/>
        <v>3.2628663069850045E-2</v>
      </c>
    </row>
    <row r="25" spans="1:10" s="1" customFormat="1" x14ac:dyDescent="0.2">
      <c r="A25" s="106" t="s">
        <v>41</v>
      </c>
      <c r="B25" s="72">
        <f>B5</f>
        <v>152</v>
      </c>
      <c r="C25" s="124">
        <f>VLOOKUP($B$3,'Data for Bill Impacts'!$A$3:$Y$25,16,0)</f>
        <v>1.5101</v>
      </c>
      <c r="D25" s="21">
        <f>B25*C25</f>
        <v>229.5352</v>
      </c>
      <c r="E25" s="72">
        <f t="shared" si="4"/>
        <v>152</v>
      </c>
      <c r="F25" s="77">
        <f>VLOOKUP($B$3,'Data for Bill Impacts'!$A$3:$Y$25,25,0)</f>
        <v>1.5101</v>
      </c>
      <c r="G25" s="21">
        <f>E25*F25</f>
        <v>229.5352</v>
      </c>
      <c r="H25" s="21">
        <f t="shared" si="3"/>
        <v>0</v>
      </c>
      <c r="I25" s="22">
        <f t="shared" si="0"/>
        <v>0</v>
      </c>
      <c r="J25" s="123">
        <f t="shared" si="1"/>
        <v>2.665830444288295E-2</v>
      </c>
    </row>
    <row r="26" spans="1:10" x14ac:dyDescent="0.2">
      <c r="A26" s="109" t="s">
        <v>76</v>
      </c>
      <c r="B26" s="73"/>
      <c r="C26" s="34"/>
      <c r="D26" s="34">
        <f>SUM(D24:D25)</f>
        <v>510.47680000000003</v>
      </c>
      <c r="E26" s="72"/>
      <c r="F26" s="34"/>
      <c r="G26" s="34">
        <f>SUM(G24:G25)</f>
        <v>510.47680000000003</v>
      </c>
      <c r="H26" s="34">
        <f t="shared" si="3"/>
        <v>0</v>
      </c>
      <c r="I26" s="35">
        <f t="shared" si="0"/>
        <v>0</v>
      </c>
      <c r="J26" s="110">
        <f t="shared" si="1"/>
        <v>5.9286967512733005E-2</v>
      </c>
    </row>
    <row r="27" spans="1:10" s="1" customFormat="1" x14ac:dyDescent="0.2">
      <c r="A27" s="109" t="s">
        <v>80</v>
      </c>
      <c r="B27" s="73"/>
      <c r="C27" s="34"/>
      <c r="D27" s="34">
        <f>D23+D26</f>
        <v>1514.5547999999999</v>
      </c>
      <c r="E27" s="72"/>
      <c r="F27" s="34"/>
      <c r="G27" s="34">
        <f>G23+G26</f>
        <v>1737.1307999999999</v>
      </c>
      <c r="H27" s="34">
        <f t="shared" si="3"/>
        <v>222.57600000000002</v>
      </c>
      <c r="I27" s="35">
        <f t="shared" si="0"/>
        <v>0.14695803677754019</v>
      </c>
      <c r="J27" s="110">
        <f t="shared" si="1"/>
        <v>0.20175102434619532</v>
      </c>
    </row>
    <row r="28" spans="1:10" x14ac:dyDescent="0.2">
      <c r="A28" s="106" t="s">
        <v>42</v>
      </c>
      <c r="B28" s="72">
        <f>B9</f>
        <v>56929.288500000002</v>
      </c>
      <c r="C28" s="33">
        <v>3.5999999999999999E-3</v>
      </c>
      <c r="D28" s="21">
        <f>B28*C28</f>
        <v>204.94543860000002</v>
      </c>
      <c r="E28" s="72">
        <f t="shared" si="4"/>
        <v>56929.288500000002</v>
      </c>
      <c r="F28" s="33">
        <v>3.5999999999999999E-3</v>
      </c>
      <c r="G28" s="21">
        <f>E28*F28</f>
        <v>204.94543860000002</v>
      </c>
      <c r="H28" s="21">
        <f t="shared" si="3"/>
        <v>0</v>
      </c>
      <c r="I28" s="22">
        <f t="shared" si="0"/>
        <v>0</v>
      </c>
      <c r="J28" s="123">
        <f t="shared" si="1"/>
        <v>2.3802440307103118E-2</v>
      </c>
    </row>
    <row r="29" spans="1:10" x14ac:dyDescent="0.2">
      <c r="A29" s="106" t="s">
        <v>43</v>
      </c>
      <c r="B29" s="72">
        <f>B9</f>
        <v>56929.288500000002</v>
      </c>
      <c r="C29" s="33">
        <v>2.0999999999999999E-3</v>
      </c>
      <c r="D29" s="21">
        <f>B29*C29</f>
        <v>119.55150585</v>
      </c>
      <c r="E29" s="72">
        <f t="shared" si="4"/>
        <v>56929.288500000002</v>
      </c>
      <c r="F29" s="33">
        <v>2.0999999999999999E-3</v>
      </c>
      <c r="G29" s="21">
        <f>E29*F29</f>
        <v>119.55150585</v>
      </c>
      <c r="H29" s="21">
        <f>G29-D29</f>
        <v>0</v>
      </c>
      <c r="I29" s="22">
        <f t="shared" si="0"/>
        <v>0</v>
      </c>
      <c r="J29" s="123">
        <f t="shared" si="1"/>
        <v>1.3884756845810151E-2</v>
      </c>
    </row>
    <row r="30" spans="1:10" x14ac:dyDescent="0.2">
      <c r="A30" s="106" t="s">
        <v>99</v>
      </c>
      <c r="B30" s="72">
        <f>B9</f>
        <v>56929.288500000002</v>
      </c>
      <c r="C30" s="33">
        <v>0</v>
      </c>
      <c r="D30" s="21">
        <f>B30*C30</f>
        <v>0</v>
      </c>
      <c r="E30" s="72">
        <f t="shared" si="4"/>
        <v>56929.288500000002</v>
      </c>
      <c r="F30" s="33">
        <v>0</v>
      </c>
      <c r="G30" s="21">
        <f>E30*F30</f>
        <v>0</v>
      </c>
      <c r="H30" s="21">
        <f>G30-D30</f>
        <v>0</v>
      </c>
      <c r="I30" s="22" t="str">
        <f t="shared" si="0"/>
        <v>N/A</v>
      </c>
      <c r="J30" s="123">
        <f t="shared" si="1"/>
        <v>0</v>
      </c>
    </row>
    <row r="31" spans="1:10" x14ac:dyDescent="0.2">
      <c r="A31" s="106" t="s">
        <v>44</v>
      </c>
      <c r="B31" s="72">
        <v>1</v>
      </c>
      <c r="C31" s="21">
        <v>0.25</v>
      </c>
      <c r="D31" s="21">
        <f>B31*C31</f>
        <v>0.25</v>
      </c>
      <c r="E31" s="72">
        <f t="shared" si="4"/>
        <v>1</v>
      </c>
      <c r="F31" s="21">
        <f>C31</f>
        <v>0.25</v>
      </c>
      <c r="G31" s="21">
        <f>E31*F31</f>
        <v>0.25</v>
      </c>
      <c r="H31" s="21">
        <f t="shared" si="3"/>
        <v>0</v>
      </c>
      <c r="I31" s="22">
        <f t="shared" si="0"/>
        <v>0</v>
      </c>
      <c r="J31" s="123">
        <f t="shared" si="1"/>
        <v>2.9035094010507921E-5</v>
      </c>
    </row>
    <row r="32" spans="1:10" x14ac:dyDescent="0.2">
      <c r="A32" s="109" t="s">
        <v>45</v>
      </c>
      <c r="B32" s="73"/>
      <c r="C32" s="34"/>
      <c r="D32" s="34">
        <f>SUM(D28:D31)</f>
        <v>324.74694445</v>
      </c>
      <c r="E32" s="72"/>
      <c r="F32" s="34"/>
      <c r="G32" s="34">
        <f>SUM(G28:G31)</f>
        <v>324.74694445</v>
      </c>
      <c r="H32" s="34">
        <f t="shared" si="3"/>
        <v>0</v>
      </c>
      <c r="I32" s="35">
        <f t="shared" si="0"/>
        <v>0</v>
      </c>
      <c r="J32" s="110">
        <f t="shared" si="1"/>
        <v>3.7716232246923775E-2</v>
      </c>
    </row>
    <row r="33" spans="1:10" ht="13.5" thickBot="1" x14ac:dyDescent="0.25">
      <c r="A33" s="111" t="s">
        <v>46</v>
      </c>
      <c r="B33" s="112">
        <f>B4</f>
        <v>53895</v>
      </c>
      <c r="C33" s="113">
        <v>7.0000000000000001E-3</v>
      </c>
      <c r="D33" s="114">
        <f>B33*C33</f>
        <v>377.26499999999999</v>
      </c>
      <c r="E33" s="115">
        <f t="shared" si="4"/>
        <v>53895</v>
      </c>
      <c r="F33" s="113">
        <f>C33</f>
        <v>7.0000000000000001E-3</v>
      </c>
      <c r="G33" s="114">
        <f>E33*F33</f>
        <v>377.26499999999999</v>
      </c>
      <c r="H33" s="114">
        <f t="shared" si="3"/>
        <v>0</v>
      </c>
      <c r="I33" s="116">
        <f t="shared" si="0"/>
        <v>0</v>
      </c>
      <c r="J33" s="117">
        <f t="shared" si="1"/>
        <v>4.3815698967497083E-2</v>
      </c>
    </row>
    <row r="34" spans="1:10" x14ac:dyDescent="0.2">
      <c r="A34" s="36" t="s">
        <v>116</v>
      </c>
      <c r="B34" s="37"/>
      <c r="C34" s="38"/>
      <c r="D34" s="38">
        <f>SUM(D15,D23,D26,D32,D33)</f>
        <v>7397.1319979500013</v>
      </c>
      <c r="E34" s="37"/>
      <c r="F34" s="38"/>
      <c r="G34" s="38">
        <f>SUM(G15,G23,G26,G32,G33)</f>
        <v>7619.7079979500004</v>
      </c>
      <c r="H34" s="38">
        <f t="shared" si="3"/>
        <v>222.57599999999911</v>
      </c>
      <c r="I34" s="39">
        <f t="shared" si="0"/>
        <v>3.0089499560327238E-2</v>
      </c>
      <c r="J34" s="40">
        <f t="shared" si="1"/>
        <v>0.88495575221238942</v>
      </c>
    </row>
    <row r="35" spans="1:10" x14ac:dyDescent="0.2">
      <c r="A35" s="45" t="s">
        <v>108</v>
      </c>
      <c r="B35" s="42"/>
      <c r="C35" s="25">
        <v>0.13</v>
      </c>
      <c r="D35" s="25">
        <f>D34*C35</f>
        <v>961.62715973350021</v>
      </c>
      <c r="E35" s="25"/>
      <c r="F35" s="25">
        <f>C35</f>
        <v>0.13</v>
      </c>
      <c r="G35" s="25">
        <f>G34*F35</f>
        <v>990.56203973350011</v>
      </c>
      <c r="H35" s="25">
        <f t="shared" si="3"/>
        <v>28.934879999999907</v>
      </c>
      <c r="I35" s="43">
        <f t="shared" si="0"/>
        <v>3.0089499560327262E-2</v>
      </c>
      <c r="J35" s="44">
        <f t="shared" si="1"/>
        <v>0.11504424778761063</v>
      </c>
    </row>
    <row r="36" spans="1:10" x14ac:dyDescent="0.2">
      <c r="A36" s="45" t="s">
        <v>109</v>
      </c>
      <c r="B36" s="23"/>
      <c r="C36" s="24"/>
      <c r="D36" s="24">
        <f>SUM(D34:D35)</f>
        <v>8358.7591576835021</v>
      </c>
      <c r="E36" s="24"/>
      <c r="F36" s="24"/>
      <c r="G36" s="24">
        <f>SUM(G34:G35)</f>
        <v>8610.2700376835</v>
      </c>
      <c r="H36" s="24">
        <f t="shared" si="3"/>
        <v>251.510879999998</v>
      </c>
      <c r="I36" s="26">
        <f t="shared" si="0"/>
        <v>3.0089499560327117E-2</v>
      </c>
      <c r="J36" s="46">
        <f t="shared" si="1"/>
        <v>1</v>
      </c>
    </row>
    <row r="37" spans="1:10" x14ac:dyDescent="0.2">
      <c r="A37" s="45" t="s">
        <v>110</v>
      </c>
      <c r="B37" s="42"/>
      <c r="C37" s="25">
        <v>0</v>
      </c>
      <c r="D37" s="25">
        <f>D34*C37</f>
        <v>0</v>
      </c>
      <c r="E37" s="25"/>
      <c r="F37" s="25">
        <v>0</v>
      </c>
      <c r="G37" s="25">
        <f>G34*F37</f>
        <v>0</v>
      </c>
      <c r="H37" s="25">
        <f t="shared" si="3"/>
        <v>0</v>
      </c>
      <c r="I37" s="43" t="str">
        <f t="shared" si="0"/>
        <v>N/A</v>
      </c>
      <c r="J37" s="44">
        <f t="shared" si="1"/>
        <v>0</v>
      </c>
    </row>
    <row r="38" spans="1:10" ht="13.5" thickBot="1" x14ac:dyDescent="0.25">
      <c r="A38" s="47" t="s">
        <v>111</v>
      </c>
      <c r="B38" s="48"/>
      <c r="C38" s="49"/>
      <c r="D38" s="49">
        <f>SUM(D36:D37)</f>
        <v>8358.7591576835021</v>
      </c>
      <c r="E38" s="49"/>
      <c r="F38" s="49"/>
      <c r="G38" s="49">
        <f>SUM(G36:G37)</f>
        <v>8610.2700376835</v>
      </c>
      <c r="H38" s="49">
        <f t="shared" si="3"/>
        <v>251.510879999998</v>
      </c>
      <c r="I38" s="50">
        <f t="shared" si="0"/>
        <v>3.0089499560327117E-2</v>
      </c>
      <c r="J38" s="51">
        <f t="shared" si="1"/>
        <v>1</v>
      </c>
    </row>
    <row r="39" spans="1:10" x14ac:dyDescent="0.2">
      <c r="A39" s="184"/>
      <c r="F39" s="68"/>
    </row>
    <row r="40" spans="1:10" x14ac:dyDescent="0.2">
      <c r="A40" s="184"/>
      <c r="F40" s="68"/>
    </row>
    <row r="41" spans="1:10" x14ac:dyDescent="0.2">
      <c r="A41" s="184"/>
    </row>
    <row r="42" spans="1:10" x14ac:dyDescent="0.2">
      <c r="A42" s="184"/>
    </row>
    <row r="43" spans="1:10" x14ac:dyDescent="0.2">
      <c r="A43" s="184"/>
    </row>
    <row r="44" spans="1:10" x14ac:dyDescent="0.2">
      <c r="A44" s="184"/>
    </row>
    <row r="45" spans="1:10" x14ac:dyDescent="0.2">
      <c r="A45" s="184"/>
    </row>
    <row r="46" spans="1:10" x14ac:dyDescent="0.2">
      <c r="A46" s="184"/>
    </row>
    <row r="47" spans="1:10" x14ac:dyDescent="0.2">
      <c r="A47" s="184"/>
    </row>
    <row r="48" spans="1:10" x14ac:dyDescent="0.2">
      <c r="A48" s="184"/>
    </row>
    <row r="49" spans="1:1" x14ac:dyDescent="0.2">
      <c r="A49" s="184"/>
    </row>
    <row r="50" spans="1:1" x14ac:dyDescent="0.2">
      <c r="A50" s="184"/>
    </row>
    <row r="51" spans="1:1" x14ac:dyDescent="0.2">
      <c r="A51" s="184"/>
    </row>
    <row r="52" spans="1:1" x14ac:dyDescent="0.2">
      <c r="A52" s="184"/>
    </row>
    <row r="53" spans="1:1" x14ac:dyDescent="0.2">
      <c r="A53" s="184"/>
    </row>
    <row r="54" spans="1:1" x14ac:dyDescent="0.2">
      <c r="A54" s="184"/>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scale="71"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Impacts'!$A$12:$A$21</xm:f>
          </x14:formula1>
          <xm:sqref>B3</xm:sqref>
        </x14:dataValidation>
      </x14:dataValidations>
    </ext>
  </extLst>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7">
    <tabColor theme="1" tint="0.499984740745262"/>
    <pageSetUpPr fitToPage="1"/>
  </sheetPr>
  <dimension ref="A1:J54"/>
  <sheetViews>
    <sheetView tabSelected="1" topLeftCell="A13" zoomScaleNormal="100" zoomScaleSheetLayoutView="100" workbookViewId="0">
      <selection activeCell="N13" sqref="N13"/>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205" t="s">
        <v>128</v>
      </c>
      <c r="B1" s="206"/>
      <c r="C1" s="206"/>
      <c r="D1" s="206"/>
      <c r="E1" s="206"/>
      <c r="F1" s="206"/>
      <c r="G1" s="206"/>
      <c r="H1" s="206"/>
      <c r="I1" s="206"/>
      <c r="J1" s="207"/>
    </row>
    <row r="3" spans="1:10" x14ac:dyDescent="0.2">
      <c r="A3" s="12" t="s">
        <v>13</v>
      </c>
      <c r="B3" s="12" t="s">
        <v>121</v>
      </c>
    </row>
    <row r="4" spans="1:10" x14ac:dyDescent="0.2">
      <c r="A4" s="14" t="s">
        <v>62</v>
      </c>
      <c r="B4" s="78">
        <v>175000</v>
      </c>
    </row>
    <row r="5" spans="1:10" x14ac:dyDescent="0.2">
      <c r="A5" s="14" t="s">
        <v>16</v>
      </c>
      <c r="B5" s="78">
        <v>500</v>
      </c>
    </row>
    <row r="6" spans="1:10" x14ac:dyDescent="0.2">
      <c r="A6" s="14" t="s">
        <v>20</v>
      </c>
      <c r="B6" s="79">
        <f>VLOOKUP($B$3,'Data for Bill Impacts'!$A$3:$Y$25,2,0)</f>
        <v>1.0563</v>
      </c>
    </row>
    <row r="7" spans="1:10" x14ac:dyDescent="0.2">
      <c r="A7" s="80" t="s">
        <v>48</v>
      </c>
      <c r="B7" s="81">
        <f>B4/(B5*730)</f>
        <v>0.47945205479452052</v>
      </c>
    </row>
    <row r="8" spans="1:10" x14ac:dyDescent="0.2">
      <c r="A8" s="14" t="s">
        <v>15</v>
      </c>
      <c r="B8" s="78">
        <f>VLOOKUP($B$3,'Data for Bill Impacts'!$A$3:$Y$25,4,0)</f>
        <v>0</v>
      </c>
    </row>
    <row r="9" spans="1:10" x14ac:dyDescent="0.2">
      <c r="A9" s="14" t="s">
        <v>82</v>
      </c>
      <c r="B9" s="78">
        <f>B4*B6</f>
        <v>184852.5</v>
      </c>
    </row>
    <row r="10" spans="1:10" x14ac:dyDescent="0.2">
      <c r="A10" s="14" t="s">
        <v>21</v>
      </c>
      <c r="B10" s="15" t="s">
        <v>19</v>
      </c>
    </row>
    <row r="11" spans="1:10" ht="13.5" thickBot="1" x14ac:dyDescent="0.25"/>
    <row r="12" spans="1:10" s="19" customFormat="1" ht="26.25" thickBot="1" x14ac:dyDescent="0.25">
      <c r="A12" s="16"/>
      <c r="B12" s="17" t="s">
        <v>22</v>
      </c>
      <c r="C12" s="17" t="s">
        <v>23</v>
      </c>
      <c r="D12" s="17" t="s">
        <v>24</v>
      </c>
      <c r="E12" s="17" t="s">
        <v>22</v>
      </c>
      <c r="F12" s="17" t="s">
        <v>25</v>
      </c>
      <c r="G12" s="17" t="s">
        <v>26</v>
      </c>
      <c r="H12" s="17" t="s">
        <v>27</v>
      </c>
      <c r="I12" s="17" t="s">
        <v>28</v>
      </c>
      <c r="J12" s="121" t="s">
        <v>49</v>
      </c>
    </row>
    <row r="13" spans="1:10" x14ac:dyDescent="0.2">
      <c r="A13" s="100" t="s">
        <v>31</v>
      </c>
      <c r="B13" s="101">
        <f>B9</f>
        <v>184852.5</v>
      </c>
      <c r="C13" s="102">
        <v>9.0999999999999998E-2</v>
      </c>
      <c r="D13" s="103">
        <f>B13*C13</f>
        <v>16821.577499999999</v>
      </c>
      <c r="E13" s="101">
        <f>B13</f>
        <v>184852.5</v>
      </c>
      <c r="F13" s="102">
        <f>C13</f>
        <v>9.0999999999999998E-2</v>
      </c>
      <c r="G13" s="103">
        <f>E13*F13</f>
        <v>16821.577499999999</v>
      </c>
      <c r="H13" s="103">
        <f>G13-D13</f>
        <v>0</v>
      </c>
      <c r="I13" s="104">
        <f t="shared" ref="I13:I38" si="0">IF(ISERROR(H13/ABS(D13)),"N/A",(H13/ABS(D13)))</f>
        <v>0</v>
      </c>
      <c r="J13" s="122">
        <f t="shared" ref="J13:J30" si="1">G13/$G$38</f>
        <v>0.70779209257448394</v>
      </c>
    </row>
    <row r="14" spans="1:10" x14ac:dyDescent="0.2">
      <c r="A14" s="106" t="s">
        <v>32</v>
      </c>
      <c r="B14" s="72">
        <v>0</v>
      </c>
      <c r="C14" s="20">
        <v>0.106</v>
      </c>
      <c r="D14" s="21">
        <f>B14*C14</f>
        <v>0</v>
      </c>
      <c r="E14" s="72">
        <f t="shared" ref="E14" si="2">B14</f>
        <v>0</v>
      </c>
      <c r="F14" s="20">
        <f>C14</f>
        <v>0.106</v>
      </c>
      <c r="G14" s="21">
        <f>E14*F14</f>
        <v>0</v>
      </c>
      <c r="H14" s="21">
        <f t="shared" ref="H14:H38" si="3">G14-D14</f>
        <v>0</v>
      </c>
      <c r="I14" s="22" t="str">
        <f t="shared" si="0"/>
        <v>N/A</v>
      </c>
      <c r="J14" s="123">
        <f t="shared" si="1"/>
        <v>0</v>
      </c>
    </row>
    <row r="15" spans="1:10" s="1" customFormat="1" x14ac:dyDescent="0.2">
      <c r="A15" s="45" t="s">
        <v>33</v>
      </c>
      <c r="B15" s="23"/>
      <c r="C15" s="24"/>
      <c r="D15" s="24">
        <f>SUM(D13:D14)</f>
        <v>16821.577499999999</v>
      </c>
      <c r="E15" s="75"/>
      <c r="F15" s="24"/>
      <c r="G15" s="24">
        <f>SUM(G13:G14)</f>
        <v>16821.577499999999</v>
      </c>
      <c r="H15" s="24">
        <f t="shared" si="3"/>
        <v>0</v>
      </c>
      <c r="I15" s="26">
        <f t="shared" si="0"/>
        <v>0</v>
      </c>
      <c r="J15" s="46">
        <f t="shared" si="1"/>
        <v>0.70779209257448394</v>
      </c>
    </row>
    <row r="16" spans="1:10" s="1" customFormat="1" hidden="1" x14ac:dyDescent="0.2">
      <c r="A16" s="106" t="s">
        <v>38</v>
      </c>
      <c r="B16" s="72">
        <v>1</v>
      </c>
      <c r="C16" s="77">
        <f>VLOOKUP($B$3,'Data for Bill Impacts'!$A$3:$Y$25,7,0)</f>
        <v>206.23</v>
      </c>
      <c r="D16" s="21">
        <f>B16*C16</f>
        <v>206.23</v>
      </c>
      <c r="E16" s="72">
        <f t="shared" ref="E16:E31" si="4">B16</f>
        <v>1</v>
      </c>
      <c r="F16" s="77">
        <f>VLOOKUP($B$3,'Data for Bill Impacts'!$A$3:$Y$25,17,0)</f>
        <v>252.41</v>
      </c>
      <c r="G16" s="21">
        <f>E16*F16</f>
        <v>252.41</v>
      </c>
      <c r="H16" s="21">
        <f t="shared" si="3"/>
        <v>46.180000000000007</v>
      </c>
      <c r="I16" s="22">
        <f t="shared" si="0"/>
        <v>0.22392474421762115</v>
      </c>
      <c r="J16" s="123">
        <f t="shared" si="1"/>
        <v>1.0620514163236207E-2</v>
      </c>
    </row>
    <row r="17" spans="1:10" hidden="1" x14ac:dyDescent="0.2">
      <c r="A17" s="106" t="s">
        <v>83</v>
      </c>
      <c r="B17" s="72">
        <v>1</v>
      </c>
      <c r="C17" s="77">
        <f>VLOOKUP($B$3,'Data for Bill Impacts'!$A$3:$Y$25,8,0)</f>
        <v>0</v>
      </c>
      <c r="D17" s="21">
        <f>B17*C17</f>
        <v>0</v>
      </c>
      <c r="E17" s="72">
        <f t="shared" si="4"/>
        <v>1</v>
      </c>
      <c r="F17" s="77">
        <f>VLOOKUP($B$3,'Data for Bill Impacts'!$A$3:$Y$25,12,0)</f>
        <v>0</v>
      </c>
      <c r="G17" s="21">
        <f t="shared" ref="G17:G19" si="5">E17*F17</f>
        <v>0</v>
      </c>
      <c r="H17" s="21">
        <f t="shared" si="3"/>
        <v>0</v>
      </c>
      <c r="I17" s="22" t="str">
        <f t="shared" si="0"/>
        <v>N/A</v>
      </c>
      <c r="J17" s="123">
        <f t="shared" si="1"/>
        <v>0</v>
      </c>
    </row>
    <row r="18" spans="1:10" x14ac:dyDescent="0.2">
      <c r="A18" s="106" t="s">
        <v>84</v>
      </c>
      <c r="B18" s="72">
        <v>1</v>
      </c>
      <c r="C18" s="77">
        <f>VLOOKUP($B$3,'Data for Bill Impacts'!$A$3:$Y$25,11,0)</f>
        <v>0</v>
      </c>
      <c r="D18" s="21">
        <f t="shared" ref="D18:D19" si="6">B18*C18</f>
        <v>0</v>
      </c>
      <c r="E18" s="72">
        <f t="shared" si="4"/>
        <v>1</v>
      </c>
      <c r="F18" s="77">
        <f>VLOOKUP($B$3,'Data for Bill Impacts'!$A$3:$Y$25,20,0)</f>
        <v>0</v>
      </c>
      <c r="G18" s="21">
        <f t="shared" si="5"/>
        <v>0</v>
      </c>
      <c r="H18" s="21">
        <f t="shared" si="3"/>
        <v>0</v>
      </c>
      <c r="I18" s="22" t="str">
        <f t="shared" si="0"/>
        <v>N/A</v>
      </c>
      <c r="J18" s="123">
        <f t="shared" si="1"/>
        <v>0</v>
      </c>
    </row>
    <row r="19" spans="1:10" x14ac:dyDescent="0.2">
      <c r="A19" s="106" t="s">
        <v>85</v>
      </c>
      <c r="B19" s="72">
        <v>1</v>
      </c>
      <c r="C19" s="120">
        <f>VLOOKUP($B$3,'Data for Bill Impacts'!$A$3:$Y$25,13,0)</f>
        <v>0</v>
      </c>
      <c r="D19" s="21">
        <f t="shared" si="6"/>
        <v>0</v>
      </c>
      <c r="E19" s="72">
        <f t="shared" si="4"/>
        <v>1</v>
      </c>
      <c r="F19" s="120">
        <f>VLOOKUP($B$3,'Data for Bill Impacts'!$A$3:$Y$25,22,0)</f>
        <v>0</v>
      </c>
      <c r="G19" s="21">
        <f t="shared" si="5"/>
        <v>0</v>
      </c>
      <c r="H19" s="21">
        <f t="shared" si="3"/>
        <v>0</v>
      </c>
      <c r="I19" s="22" t="str">
        <f t="shared" si="0"/>
        <v>N/A</v>
      </c>
      <c r="J19" s="123">
        <f t="shared" si="1"/>
        <v>0</v>
      </c>
    </row>
    <row r="20" spans="1:10" s="1" customFormat="1" hidden="1" x14ac:dyDescent="0.2">
      <c r="A20" s="106" t="s">
        <v>86</v>
      </c>
      <c r="B20" s="72">
        <f>IF($B$10="kWh",$B$4,$B$5)</f>
        <v>500</v>
      </c>
      <c r="C20" s="77">
        <f>VLOOKUP($B$3,'Data for Bill Impacts'!$A$3:$Y$25,12,0)</f>
        <v>0</v>
      </c>
      <c r="D20" s="21">
        <f>B20*C20</f>
        <v>0</v>
      </c>
      <c r="E20" s="72">
        <f>B20</f>
        <v>500</v>
      </c>
      <c r="F20" s="77">
        <f>VLOOKUP($B$3,'Data for Bill Impacts'!$A$3:$Y$25,12,0)</f>
        <v>0</v>
      </c>
      <c r="G20" s="21">
        <f>E20*F20</f>
        <v>0</v>
      </c>
      <c r="H20" s="21">
        <f>G20-D20</f>
        <v>0</v>
      </c>
      <c r="I20" s="22" t="str">
        <f t="shared" si="0"/>
        <v>N/A</v>
      </c>
      <c r="J20" s="123">
        <f t="shared" si="1"/>
        <v>0</v>
      </c>
    </row>
    <row r="21" spans="1:10" s="1" customFormat="1" x14ac:dyDescent="0.2">
      <c r="A21" s="106" t="s">
        <v>129</v>
      </c>
      <c r="B21" s="72">
        <f>IF($B$10="kWh",$B$4,$B$5)</f>
        <v>500</v>
      </c>
      <c r="C21" s="124">
        <f>VLOOKUP($B$3,'Data for Bill Impacts'!$A$3:$Y$25,14,0)</f>
        <v>0</v>
      </c>
      <c r="D21" s="21">
        <f>B21*C21</f>
        <v>0</v>
      </c>
      <c r="E21" s="72">
        <f>B21</f>
        <v>500</v>
      </c>
      <c r="F21" s="77">
        <f>VLOOKUP($B$3,'Data for Bill Impacts'!$A$3:$Y$25,23,0)</f>
        <v>0</v>
      </c>
      <c r="G21" s="21">
        <f>E21*F21</f>
        <v>0</v>
      </c>
      <c r="H21" s="21">
        <f>G21-D21</f>
        <v>0</v>
      </c>
      <c r="I21" s="22" t="str">
        <f t="shared" si="0"/>
        <v>N/A</v>
      </c>
      <c r="J21" s="123">
        <f t="shared" si="1"/>
        <v>0</v>
      </c>
    </row>
    <row r="22" spans="1:10" x14ac:dyDescent="0.2">
      <c r="A22" s="106" t="s">
        <v>117</v>
      </c>
      <c r="B22" s="72">
        <f>B9</f>
        <v>184852.5</v>
      </c>
      <c r="C22" s="124">
        <f>VLOOKUP($B$3,'Data for Bill Impacts'!$A$3:$Y$25,20,0)</f>
        <v>0</v>
      </c>
      <c r="D22" s="21">
        <f>B22*C22</f>
        <v>0</v>
      </c>
      <c r="E22" s="72">
        <f t="shared" si="4"/>
        <v>184852.5</v>
      </c>
      <c r="F22" s="124">
        <f>VLOOKUP($B$3,'Data for Bill Impacts'!$A$3:$Y$25,21,0)</f>
        <v>0</v>
      </c>
      <c r="G22" s="21">
        <f>E22*F22</f>
        <v>0</v>
      </c>
      <c r="H22" s="21">
        <f t="shared" si="3"/>
        <v>0</v>
      </c>
      <c r="I22" s="22" t="str">
        <f t="shared" si="0"/>
        <v>N/A</v>
      </c>
      <c r="J22" s="123">
        <f t="shared" si="1"/>
        <v>0</v>
      </c>
    </row>
    <row r="23" spans="1:10" x14ac:dyDescent="0.2">
      <c r="A23" s="109" t="s">
        <v>79</v>
      </c>
      <c r="B23" s="73"/>
      <c r="C23" s="153"/>
      <c r="D23" s="34">
        <f>SUM(D16:D22)</f>
        <v>206.23</v>
      </c>
      <c r="E23" s="72"/>
      <c r="F23" s="34"/>
      <c r="G23" s="34">
        <f>SUM(G16:G22)</f>
        <v>252.41</v>
      </c>
      <c r="H23" s="34">
        <f t="shared" si="3"/>
        <v>46.180000000000007</v>
      </c>
      <c r="I23" s="35">
        <f t="shared" si="0"/>
        <v>0.22392474421762115</v>
      </c>
      <c r="J23" s="110">
        <f t="shared" si="1"/>
        <v>1.0620514163236207E-2</v>
      </c>
    </row>
    <row r="24" spans="1:10" x14ac:dyDescent="0.2">
      <c r="A24" s="106" t="s">
        <v>40</v>
      </c>
      <c r="B24" s="72">
        <f>B5</f>
        <v>500</v>
      </c>
      <c r="C24" s="124">
        <f>VLOOKUP($B$3,'Data for Bill Impacts'!$A$3:$Y$25,15,0)</f>
        <v>1.8483000000000001</v>
      </c>
      <c r="D24" s="21">
        <f>B24*C24</f>
        <v>924.15</v>
      </c>
      <c r="E24" s="72">
        <f t="shared" si="4"/>
        <v>500</v>
      </c>
      <c r="F24" s="77">
        <f>VLOOKUP($B$3,'Data for Bill Impacts'!$A$3:$Y$25,24,0)</f>
        <v>1.8483000000000001</v>
      </c>
      <c r="G24" s="21">
        <f>E24*F24</f>
        <v>924.15</v>
      </c>
      <c r="H24" s="21">
        <f t="shared" si="3"/>
        <v>0</v>
      </c>
      <c r="I24" s="22">
        <f t="shared" si="0"/>
        <v>0</v>
      </c>
      <c r="J24" s="123">
        <f t="shared" si="1"/>
        <v>3.8884941816705917E-2</v>
      </c>
    </row>
    <row r="25" spans="1:10" s="1" customFormat="1" x14ac:dyDescent="0.2">
      <c r="A25" s="106" t="s">
        <v>41</v>
      </c>
      <c r="B25" s="72">
        <f>B5</f>
        <v>500</v>
      </c>
      <c r="C25" s="77">
        <f>VLOOKUP($B$3,'Data for Bill Impacts'!$A$3:$Y$25,16,0)</f>
        <v>1.5101</v>
      </c>
      <c r="D25" s="21">
        <f>B25*C25</f>
        <v>755.05</v>
      </c>
      <c r="E25" s="72">
        <f t="shared" si="4"/>
        <v>500</v>
      </c>
      <c r="F25" s="77">
        <f>VLOOKUP($B$3,'Data for Bill Impacts'!$A$3:$Y$25,25,0)</f>
        <v>1.5101</v>
      </c>
      <c r="G25" s="21">
        <f>E25*F25</f>
        <v>755.05</v>
      </c>
      <c r="H25" s="21">
        <f t="shared" si="3"/>
        <v>0</v>
      </c>
      <c r="I25" s="22">
        <f t="shared" si="0"/>
        <v>0</v>
      </c>
      <c r="J25" s="123">
        <f t="shared" si="1"/>
        <v>3.1769815851002324E-2</v>
      </c>
    </row>
    <row r="26" spans="1:10" x14ac:dyDescent="0.2">
      <c r="A26" s="109" t="s">
        <v>76</v>
      </c>
      <c r="B26" s="73"/>
      <c r="C26" s="34"/>
      <c r="D26" s="34">
        <f>SUM(D24:D25)</f>
        <v>1679.1999999999998</v>
      </c>
      <c r="E26" s="72"/>
      <c r="F26" s="34"/>
      <c r="G26" s="34">
        <f>SUM(G24:G25)</f>
        <v>1679.1999999999998</v>
      </c>
      <c r="H26" s="34">
        <f t="shared" si="3"/>
        <v>0</v>
      </c>
      <c r="I26" s="35">
        <f t="shared" si="0"/>
        <v>0</v>
      </c>
      <c r="J26" s="110">
        <f t="shared" si="1"/>
        <v>7.0654757667708235E-2</v>
      </c>
    </row>
    <row r="27" spans="1:10" s="1" customFormat="1" x14ac:dyDescent="0.2">
      <c r="A27" s="109" t="s">
        <v>80</v>
      </c>
      <c r="B27" s="73"/>
      <c r="C27" s="34"/>
      <c r="D27" s="34">
        <f>D23+D26</f>
        <v>1885.4299999999998</v>
      </c>
      <c r="E27" s="72"/>
      <c r="F27" s="34"/>
      <c r="G27" s="34">
        <f>G23+G26</f>
        <v>1931.61</v>
      </c>
      <c r="H27" s="34">
        <f t="shared" si="3"/>
        <v>46.180000000000064</v>
      </c>
      <c r="I27" s="35">
        <f t="shared" si="0"/>
        <v>2.4493086457731163E-2</v>
      </c>
      <c r="J27" s="110">
        <f t="shared" si="1"/>
        <v>8.1275271830944448E-2</v>
      </c>
    </row>
    <row r="28" spans="1:10" x14ac:dyDescent="0.2">
      <c r="A28" s="106" t="s">
        <v>42</v>
      </c>
      <c r="B28" s="72">
        <f>B9</f>
        <v>184852.5</v>
      </c>
      <c r="C28" s="33">
        <v>3.5999999999999999E-3</v>
      </c>
      <c r="D28" s="21">
        <f>B28*C28</f>
        <v>665.46899999999994</v>
      </c>
      <c r="E28" s="72">
        <f t="shared" si="4"/>
        <v>184852.5</v>
      </c>
      <c r="F28" s="33">
        <v>3.5999999999999999E-3</v>
      </c>
      <c r="G28" s="21">
        <f>E28*F28</f>
        <v>665.46899999999994</v>
      </c>
      <c r="H28" s="21">
        <f t="shared" si="3"/>
        <v>0</v>
      </c>
      <c r="I28" s="22">
        <f t="shared" si="0"/>
        <v>0</v>
      </c>
      <c r="J28" s="123">
        <f t="shared" si="1"/>
        <v>2.8000566299649914E-2</v>
      </c>
    </row>
    <row r="29" spans="1:10" x14ac:dyDescent="0.2">
      <c r="A29" s="106" t="s">
        <v>43</v>
      </c>
      <c r="B29" s="72">
        <f>B9</f>
        <v>184852.5</v>
      </c>
      <c r="C29" s="33">
        <v>2.0999999999999999E-3</v>
      </c>
      <c r="D29" s="21">
        <f>B29*C29</f>
        <v>388.19024999999999</v>
      </c>
      <c r="E29" s="72">
        <f t="shared" si="4"/>
        <v>184852.5</v>
      </c>
      <c r="F29" s="33">
        <v>2.0999999999999999E-3</v>
      </c>
      <c r="G29" s="21">
        <f>E29*F29</f>
        <v>388.19024999999999</v>
      </c>
      <c r="H29" s="21">
        <f>G29-D29</f>
        <v>0</v>
      </c>
      <c r="I29" s="22">
        <f t="shared" si="0"/>
        <v>0</v>
      </c>
      <c r="J29" s="123">
        <f t="shared" si="1"/>
        <v>1.6333663674795783E-2</v>
      </c>
    </row>
    <row r="30" spans="1:10" x14ac:dyDescent="0.2">
      <c r="A30" s="106" t="s">
        <v>99</v>
      </c>
      <c r="B30" s="72">
        <f>B9</f>
        <v>184852.5</v>
      </c>
      <c r="C30" s="33">
        <v>0</v>
      </c>
      <c r="D30" s="21">
        <f>B30*C30</f>
        <v>0</v>
      </c>
      <c r="E30" s="72">
        <f t="shared" si="4"/>
        <v>184852.5</v>
      </c>
      <c r="F30" s="33">
        <v>0</v>
      </c>
      <c r="G30" s="21">
        <f>E30*F30</f>
        <v>0</v>
      </c>
      <c r="H30" s="21">
        <f>G30-D30</f>
        <v>0</v>
      </c>
      <c r="I30" s="22" t="str">
        <f t="shared" si="0"/>
        <v>N/A</v>
      </c>
      <c r="J30" s="123">
        <f t="shared" si="1"/>
        <v>0</v>
      </c>
    </row>
    <row r="31" spans="1:10" x14ac:dyDescent="0.2">
      <c r="A31" s="106" t="s">
        <v>44</v>
      </c>
      <c r="B31" s="72">
        <v>1</v>
      </c>
      <c r="C31" s="21">
        <v>0.25</v>
      </c>
      <c r="D31" s="21">
        <f>B31*C31</f>
        <v>0.25</v>
      </c>
      <c r="E31" s="72">
        <f t="shared" si="4"/>
        <v>1</v>
      </c>
      <c r="F31" s="21">
        <f>C31</f>
        <v>0.25</v>
      </c>
      <c r="G31" s="21">
        <f>E31*F31</f>
        <v>0.25</v>
      </c>
      <c r="H31" s="21">
        <f t="shared" si="3"/>
        <v>0</v>
      </c>
      <c r="I31" s="22">
        <f t="shared" si="0"/>
        <v>0</v>
      </c>
      <c r="J31" s="123">
        <f>G31/$G$38</f>
        <v>1.0519109943382003E-5</v>
      </c>
    </row>
    <row r="32" spans="1:10" x14ac:dyDescent="0.2">
      <c r="A32" s="109" t="s">
        <v>45</v>
      </c>
      <c r="B32" s="73"/>
      <c r="C32" s="34"/>
      <c r="D32" s="34">
        <f>SUM(D28:D31)</f>
        <v>1053.9092499999999</v>
      </c>
      <c r="E32" s="72"/>
      <c r="F32" s="34"/>
      <c r="G32" s="34">
        <f>SUM(G28:G31)</f>
        <v>1053.9092499999999</v>
      </c>
      <c r="H32" s="34">
        <f t="shared" si="3"/>
        <v>0</v>
      </c>
      <c r="I32" s="35">
        <f t="shared" si="0"/>
        <v>0</v>
      </c>
      <c r="J32" s="110">
        <f>G32/$G$38</f>
        <v>4.4344749084389075E-2</v>
      </c>
    </row>
    <row r="33" spans="1:10" ht="13.5" thickBot="1" x14ac:dyDescent="0.25">
      <c r="A33" s="111" t="s">
        <v>46</v>
      </c>
      <c r="B33" s="112">
        <f>B4</f>
        <v>175000</v>
      </c>
      <c r="C33" s="113">
        <v>7.0000000000000001E-3</v>
      </c>
      <c r="D33" s="114">
        <f>B33*C33</f>
        <v>1225</v>
      </c>
      <c r="E33" s="115">
        <f t="shared" ref="E33" si="7">B33</f>
        <v>175000</v>
      </c>
      <c r="F33" s="113">
        <f>C33</f>
        <v>7.0000000000000001E-3</v>
      </c>
      <c r="G33" s="114">
        <f>E33*F33</f>
        <v>1225</v>
      </c>
      <c r="H33" s="114">
        <f t="shared" si="3"/>
        <v>0</v>
      </c>
      <c r="I33" s="116">
        <f t="shared" si="0"/>
        <v>0</v>
      </c>
      <c r="J33" s="117">
        <f t="shared" ref="J33:J38" si="8">G33/$G$38</f>
        <v>5.1543638722571818E-2</v>
      </c>
    </row>
    <row r="34" spans="1:10" x14ac:dyDescent="0.2">
      <c r="A34" s="36" t="s">
        <v>116</v>
      </c>
      <c r="B34" s="37"/>
      <c r="C34" s="38"/>
      <c r="D34" s="38">
        <f>SUM(D15,D23,D26,D32,D33)</f>
        <v>20985.91675</v>
      </c>
      <c r="E34" s="37"/>
      <c r="F34" s="38"/>
      <c r="G34" s="38">
        <f>SUM(G15,G23,G26,G32,G33)</f>
        <v>21032.096750000001</v>
      </c>
      <c r="H34" s="38">
        <f t="shared" si="3"/>
        <v>46.180000000000291</v>
      </c>
      <c r="I34" s="39">
        <f t="shared" si="0"/>
        <v>2.2005233581230276E-3</v>
      </c>
      <c r="J34" s="40">
        <f t="shared" si="8"/>
        <v>0.88495575221238931</v>
      </c>
    </row>
    <row r="35" spans="1:10" x14ac:dyDescent="0.2">
      <c r="A35" s="45" t="s">
        <v>108</v>
      </c>
      <c r="B35" s="42"/>
      <c r="C35" s="25">
        <v>0.13</v>
      </c>
      <c r="D35" s="25">
        <f>D34*C35</f>
        <v>2728.1691774999999</v>
      </c>
      <c r="E35" s="25"/>
      <c r="F35" s="25">
        <f>C35</f>
        <v>0.13</v>
      </c>
      <c r="G35" s="25">
        <f>G34*F35</f>
        <v>2734.1725775</v>
      </c>
      <c r="H35" s="25">
        <f t="shared" si="3"/>
        <v>6.003400000000056</v>
      </c>
      <c r="I35" s="43">
        <f t="shared" si="0"/>
        <v>2.2005233581230341E-3</v>
      </c>
      <c r="J35" s="44">
        <f t="shared" si="8"/>
        <v>0.1150442477876106</v>
      </c>
    </row>
    <row r="36" spans="1:10" x14ac:dyDescent="0.2">
      <c r="A36" s="45" t="s">
        <v>109</v>
      </c>
      <c r="B36" s="23"/>
      <c r="C36" s="24"/>
      <c r="D36" s="24">
        <f>SUM(D34:D35)</f>
        <v>23714.0859275</v>
      </c>
      <c r="E36" s="24"/>
      <c r="F36" s="24"/>
      <c r="G36" s="24">
        <f>SUM(G34:G35)</f>
        <v>23766.269327500002</v>
      </c>
      <c r="H36" s="24">
        <f t="shared" si="3"/>
        <v>52.183400000001711</v>
      </c>
      <c r="I36" s="26">
        <f t="shared" si="0"/>
        <v>2.2005233581230857E-3</v>
      </c>
      <c r="J36" s="46">
        <f t="shared" si="8"/>
        <v>1</v>
      </c>
    </row>
    <row r="37" spans="1:10" x14ac:dyDescent="0.2">
      <c r="A37" s="45" t="s">
        <v>110</v>
      </c>
      <c r="B37" s="42"/>
      <c r="C37" s="25">
        <v>0</v>
      </c>
      <c r="D37" s="25">
        <f>D34*C37</f>
        <v>0</v>
      </c>
      <c r="E37" s="25"/>
      <c r="F37" s="25">
        <f>C37</f>
        <v>0</v>
      </c>
      <c r="G37" s="25">
        <f>G34*F37</f>
        <v>0</v>
      </c>
      <c r="H37" s="25">
        <f t="shared" si="3"/>
        <v>0</v>
      </c>
      <c r="I37" s="43" t="str">
        <f t="shared" si="0"/>
        <v>N/A</v>
      </c>
      <c r="J37" s="44">
        <f t="shared" si="8"/>
        <v>0</v>
      </c>
    </row>
    <row r="38" spans="1:10" ht="13.5" thickBot="1" x14ac:dyDescent="0.25">
      <c r="A38" s="45" t="s">
        <v>111</v>
      </c>
      <c r="B38" s="48"/>
      <c r="C38" s="49"/>
      <c r="D38" s="49">
        <f>SUM(D36:D37)</f>
        <v>23714.0859275</v>
      </c>
      <c r="E38" s="49"/>
      <c r="F38" s="49"/>
      <c r="G38" s="49">
        <f>SUM(G36:G37)</f>
        <v>23766.269327500002</v>
      </c>
      <c r="H38" s="49">
        <f t="shared" si="3"/>
        <v>52.183400000001711</v>
      </c>
      <c r="I38" s="50">
        <f t="shared" si="0"/>
        <v>2.2005233581230857E-3</v>
      </c>
      <c r="J38" s="51">
        <f t="shared" si="8"/>
        <v>1</v>
      </c>
    </row>
    <row r="39" spans="1:10" x14ac:dyDescent="0.2">
      <c r="A39" s="184"/>
      <c r="F39" s="68"/>
    </row>
    <row r="40" spans="1:10" x14ac:dyDescent="0.2">
      <c r="A40" s="184"/>
      <c r="F40" s="68"/>
    </row>
    <row r="41" spans="1:10" x14ac:dyDescent="0.2">
      <c r="A41" s="184"/>
    </row>
    <row r="42" spans="1:10" x14ac:dyDescent="0.2">
      <c r="A42" s="184"/>
    </row>
    <row r="43" spans="1:10" x14ac:dyDescent="0.2">
      <c r="A43" s="184"/>
    </row>
    <row r="44" spans="1:10" x14ac:dyDescent="0.2">
      <c r="A44" s="184"/>
    </row>
    <row r="45" spans="1:10" x14ac:dyDescent="0.2">
      <c r="A45" s="184"/>
    </row>
    <row r="46" spans="1:10" x14ac:dyDescent="0.2">
      <c r="A46" s="184"/>
    </row>
    <row r="47" spans="1:10" x14ac:dyDescent="0.2">
      <c r="A47" s="184"/>
    </row>
    <row r="48" spans="1:10" x14ac:dyDescent="0.2">
      <c r="A48" s="184"/>
    </row>
    <row r="49" spans="1:1" x14ac:dyDescent="0.2">
      <c r="A49" s="184"/>
    </row>
    <row r="50" spans="1:1" x14ac:dyDescent="0.2">
      <c r="A50" s="184"/>
    </row>
    <row r="51" spans="1:1" x14ac:dyDescent="0.2">
      <c r="A51" s="184"/>
    </row>
    <row r="52" spans="1:1" x14ac:dyDescent="0.2">
      <c r="A52" s="184"/>
    </row>
    <row r="53" spans="1:1" x14ac:dyDescent="0.2">
      <c r="A53" s="184"/>
    </row>
    <row r="54" spans="1:1" x14ac:dyDescent="0.2">
      <c r="A54" s="184"/>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scale="71"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Impacts'!$A$12:$A$21</xm:f>
          </x14:formula1>
          <xm:sqref>B3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1" tint="0.499984740745262"/>
    <pageSetUpPr fitToPage="1"/>
  </sheetPr>
  <dimension ref="A1:K68"/>
  <sheetViews>
    <sheetView tabSelected="1" topLeftCell="A7"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3"/>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205" t="s">
        <v>128</v>
      </c>
      <c r="B1" s="206"/>
      <c r="C1" s="206"/>
      <c r="D1" s="206"/>
      <c r="E1" s="206"/>
      <c r="F1" s="206"/>
      <c r="G1" s="206"/>
      <c r="H1" s="206"/>
      <c r="I1" s="206"/>
      <c r="J1" s="206"/>
      <c r="K1" s="207"/>
    </row>
    <row r="3" spans="1:11" ht="12" customHeight="1" x14ac:dyDescent="0.2">
      <c r="A3" s="12" t="s">
        <v>13</v>
      </c>
      <c r="B3" s="12" t="s">
        <v>0</v>
      </c>
    </row>
    <row r="4" spans="1:11" x14ac:dyDescent="0.2">
      <c r="A4" s="14" t="s">
        <v>62</v>
      </c>
      <c r="B4" s="14">
        <v>1400</v>
      </c>
    </row>
    <row r="5" spans="1:11" x14ac:dyDescent="0.2">
      <c r="A5" s="14" t="s">
        <v>16</v>
      </c>
      <c r="B5" s="14">
        <f>VLOOKUP($B$3,'Data for Bill Impacts'!$A$3:$Y$15,5,0)</f>
        <v>0</v>
      </c>
    </row>
    <row r="6" spans="1:11" x14ac:dyDescent="0.2">
      <c r="A6" s="14" t="s">
        <v>20</v>
      </c>
      <c r="B6" s="14">
        <f>VLOOKUP($B$3,'Data for Bill Impacts'!$A$3:$Y$15,2,0)</f>
        <v>1.0569999999999999</v>
      </c>
    </row>
    <row r="7" spans="1:11" x14ac:dyDescent="0.2">
      <c r="A7" s="14" t="s">
        <v>15</v>
      </c>
      <c r="B7" s="14">
        <f>VLOOKUP($B$3,'Data for Bill Impacts'!$A$3:$Y$15,4,0)</f>
        <v>600</v>
      </c>
    </row>
    <row r="8" spans="1:11" x14ac:dyDescent="0.2">
      <c r="A8" s="14" t="s">
        <v>82</v>
      </c>
      <c r="B8" s="148">
        <f>B4*B6</f>
        <v>1479.8</v>
      </c>
    </row>
    <row r="9" spans="1:11" x14ac:dyDescent="0.2">
      <c r="A9" s="14" t="s">
        <v>21</v>
      </c>
      <c r="B9" s="15" t="str">
        <f>VLOOKUP($B$3,'Data for Bill Impacts'!$A$3:$Y$15,6,0)</f>
        <v>kWh</v>
      </c>
    </row>
    <row r="10" spans="1:11" ht="13.5" thickBot="1" x14ac:dyDescent="0.25"/>
    <row r="11" spans="1:11" s="19" customFormat="1" ht="39" thickBot="1" x14ac:dyDescent="0.25">
      <c r="A11" s="16"/>
      <c r="B11" s="17" t="s">
        <v>22</v>
      </c>
      <c r="C11" s="17" t="s">
        <v>23</v>
      </c>
      <c r="D11" s="17" t="s">
        <v>24</v>
      </c>
      <c r="E11" s="17" t="s">
        <v>22</v>
      </c>
      <c r="F11" s="17" t="s">
        <v>25</v>
      </c>
      <c r="G11" s="17" t="s">
        <v>26</v>
      </c>
      <c r="H11" s="17" t="s">
        <v>27</v>
      </c>
      <c r="I11" s="17" t="s">
        <v>28</v>
      </c>
      <c r="J11" s="17" t="s">
        <v>29</v>
      </c>
      <c r="K11" s="18" t="s">
        <v>30</v>
      </c>
    </row>
    <row r="12" spans="1:11" x14ac:dyDescent="0.2">
      <c r="A12" s="100" t="s">
        <v>31</v>
      </c>
      <c r="B12" s="101">
        <f>IF(B4&gt;B7,B7,B4)</f>
        <v>600</v>
      </c>
      <c r="C12" s="102">
        <v>9.0999999999999998E-2</v>
      </c>
      <c r="D12" s="103">
        <f>B12*C12</f>
        <v>54.6</v>
      </c>
      <c r="E12" s="101">
        <f>B12</f>
        <v>600</v>
      </c>
      <c r="F12" s="102">
        <f>C12</f>
        <v>9.0999999999999998E-2</v>
      </c>
      <c r="G12" s="103">
        <f>E12*F12</f>
        <v>54.6</v>
      </c>
      <c r="H12" s="103">
        <f>G12-D12</f>
        <v>0</v>
      </c>
      <c r="I12" s="104">
        <f>IF(ISERROR(H12/ABS(D12)),"N/A",(H12/ABS(D12)))</f>
        <v>0</v>
      </c>
      <c r="J12" s="104">
        <f>G12/$G$46</f>
        <v>0.24133305697604299</v>
      </c>
      <c r="K12" s="105"/>
    </row>
    <row r="13" spans="1:11" x14ac:dyDescent="0.2">
      <c r="A13" s="106" t="s">
        <v>32</v>
      </c>
      <c r="B13" s="72">
        <f>IF(B4&gt;B7,(B4)-B7,0)</f>
        <v>800</v>
      </c>
      <c r="C13" s="20">
        <v>0.106</v>
      </c>
      <c r="D13" s="21">
        <f>B13*C13</f>
        <v>84.8</v>
      </c>
      <c r="E13" s="72">
        <f t="shared" ref="E13" si="0">B13</f>
        <v>800</v>
      </c>
      <c r="F13" s="20">
        <f>C13</f>
        <v>0.106</v>
      </c>
      <c r="G13" s="21">
        <f>E13*F13</f>
        <v>84.8</v>
      </c>
      <c r="H13" s="21">
        <f t="shared" ref="H13:H46" si="1">G13-D13</f>
        <v>0</v>
      </c>
      <c r="I13" s="22">
        <f t="shared" ref="I13:I51" si="2">IF(ISERROR(H13/ABS(D13)),"N/A",(H13/ABS(D13)))</f>
        <v>0</v>
      </c>
      <c r="J13" s="22">
        <f>G13/$G$46</f>
        <v>0.37481764160381764</v>
      </c>
      <c r="K13" s="107"/>
    </row>
    <row r="14" spans="1:11" s="1" customFormat="1" x14ac:dyDescent="0.2">
      <c r="A14" s="45" t="s">
        <v>33</v>
      </c>
      <c r="B14" s="23"/>
      <c r="C14" s="24"/>
      <c r="D14" s="24">
        <f>SUM(D12:D13)</f>
        <v>139.4</v>
      </c>
      <c r="E14" s="75"/>
      <c r="F14" s="24"/>
      <c r="G14" s="24">
        <f>SUM(G12:G13)</f>
        <v>139.4</v>
      </c>
      <c r="H14" s="24">
        <f t="shared" si="1"/>
        <v>0</v>
      </c>
      <c r="I14" s="26">
        <f t="shared" si="2"/>
        <v>0</v>
      </c>
      <c r="J14" s="26">
        <f>G14/$G$46</f>
        <v>0.61615069857986071</v>
      </c>
      <c r="K14" s="107"/>
    </row>
    <row r="15" spans="1:11" s="1" customFormat="1" x14ac:dyDescent="0.2">
      <c r="A15" s="108" t="s">
        <v>34</v>
      </c>
      <c r="B15" s="74">
        <f>B4*0.65</f>
        <v>910</v>
      </c>
      <c r="C15" s="27">
        <v>7.6999999999999999E-2</v>
      </c>
      <c r="D15" s="21">
        <f>B15*C15</f>
        <v>70.069999999999993</v>
      </c>
      <c r="E15" s="72">
        <f t="shared" ref="E15:F17" si="3">B15</f>
        <v>910</v>
      </c>
      <c r="F15" s="27">
        <f t="shared" si="3"/>
        <v>7.6999999999999999E-2</v>
      </c>
      <c r="G15" s="21">
        <f>E15*F15</f>
        <v>70.069999999999993</v>
      </c>
      <c r="H15" s="21">
        <f t="shared" si="1"/>
        <v>0</v>
      </c>
      <c r="I15" s="22">
        <f t="shared" si="2"/>
        <v>0</v>
      </c>
      <c r="J15" s="22"/>
      <c r="K15" s="107">
        <f t="shared" ref="K15:K26" si="4">G15/$G$51</f>
        <v>0.31489698618543455</v>
      </c>
    </row>
    <row r="16" spans="1:11" s="1" customFormat="1" x14ac:dyDescent="0.2">
      <c r="A16" s="108" t="s">
        <v>35</v>
      </c>
      <c r="B16" s="74">
        <f>B4*0.17</f>
        <v>238.00000000000003</v>
      </c>
      <c r="C16" s="27">
        <v>0.113</v>
      </c>
      <c r="D16" s="21">
        <f>B16*C16</f>
        <v>26.894000000000005</v>
      </c>
      <c r="E16" s="72">
        <f t="shared" si="3"/>
        <v>238.00000000000003</v>
      </c>
      <c r="F16" s="27">
        <f t="shared" si="3"/>
        <v>0.113</v>
      </c>
      <c r="G16" s="21">
        <f>E16*F16</f>
        <v>26.894000000000005</v>
      </c>
      <c r="H16" s="21">
        <f t="shared" si="1"/>
        <v>0</v>
      </c>
      <c r="I16" s="22">
        <f t="shared" si="2"/>
        <v>0</v>
      </c>
      <c r="J16" s="22"/>
      <c r="K16" s="107">
        <f t="shared" si="4"/>
        <v>0.12086255953291108</v>
      </c>
    </row>
    <row r="17" spans="1:11" s="1" customFormat="1" x14ac:dyDescent="0.2">
      <c r="A17" s="108" t="s">
        <v>36</v>
      </c>
      <c r="B17" s="74">
        <f>B4*0.18</f>
        <v>252</v>
      </c>
      <c r="C17" s="27">
        <v>0.157</v>
      </c>
      <c r="D17" s="21">
        <f>B17*C17</f>
        <v>39.564</v>
      </c>
      <c r="E17" s="72">
        <f t="shared" si="3"/>
        <v>252</v>
      </c>
      <c r="F17" s="27">
        <f t="shared" si="3"/>
        <v>0.157</v>
      </c>
      <c r="G17" s="21">
        <f>E17*F17</f>
        <v>39.564</v>
      </c>
      <c r="H17" s="21">
        <f t="shared" si="1"/>
        <v>0</v>
      </c>
      <c r="I17" s="22">
        <f t="shared" si="2"/>
        <v>0</v>
      </c>
      <c r="J17" s="22"/>
      <c r="K17" s="107">
        <f t="shared" si="4"/>
        <v>0.17780197461739025</v>
      </c>
    </row>
    <row r="18" spans="1:11" s="1" customFormat="1" x14ac:dyDescent="0.2">
      <c r="A18" s="60" t="s">
        <v>37</v>
      </c>
      <c r="B18" s="28"/>
      <c r="C18" s="29"/>
      <c r="D18" s="29">
        <f>SUM(D15:D17)</f>
        <v>136.52799999999999</v>
      </c>
      <c r="E18" s="76"/>
      <c r="F18" s="29"/>
      <c r="G18" s="29">
        <f>SUM(G15:G17)</f>
        <v>136.52799999999999</v>
      </c>
      <c r="H18" s="30">
        <f t="shared" si="1"/>
        <v>0</v>
      </c>
      <c r="I18" s="31">
        <f t="shared" si="2"/>
        <v>0</v>
      </c>
      <c r="J18" s="32">
        <f t="shared" ref="J18:J23" si="5">G18/$G$46</f>
        <v>0.60345640298214642</v>
      </c>
      <c r="K18" s="61">
        <f t="shared" si="4"/>
        <v>0.61356152033573585</v>
      </c>
    </row>
    <row r="19" spans="1:11" x14ac:dyDescent="0.2">
      <c r="A19" s="106" t="s">
        <v>38</v>
      </c>
      <c r="B19" s="72">
        <v>1</v>
      </c>
      <c r="C19" s="77">
        <f>VLOOKUP($B$3,'Data for Bill Impacts'!$A$3:$Y$15,7,0)</f>
        <v>36.67</v>
      </c>
      <c r="D19" s="21">
        <f>B19*C19</f>
        <v>36.67</v>
      </c>
      <c r="E19" s="72">
        <f t="shared" ref="E19:E41" si="6">B19</f>
        <v>1</v>
      </c>
      <c r="F19" s="77">
        <f>VLOOKUP($B$3,'Data for Bill Impacts'!$A$3:$Y$15,17,0)</f>
        <v>37.369999999999997</v>
      </c>
      <c r="G19" s="21">
        <f>E19*F19</f>
        <v>37.369999999999997</v>
      </c>
      <c r="H19" s="21">
        <f t="shared" si="1"/>
        <v>0.69999999999999574</v>
      </c>
      <c r="I19" s="22">
        <f t="shared" si="2"/>
        <v>1.9089173711480657E-2</v>
      </c>
      <c r="J19" s="22">
        <f t="shared" si="5"/>
        <v>0.16517612342847482</v>
      </c>
      <c r="K19" s="107">
        <f t="shared" si="4"/>
        <v>0.16794206327600528</v>
      </c>
    </row>
    <row r="20" spans="1:11" hidden="1" x14ac:dyDescent="0.2">
      <c r="A20" s="106" t="s">
        <v>83</v>
      </c>
      <c r="B20" s="72">
        <v>1</v>
      </c>
      <c r="C20" s="77">
        <f>VLOOKUP($B$3,'Data for Bill Impacts'!$A$3:$Y$15,8,0)</f>
        <v>0</v>
      </c>
      <c r="D20" s="21">
        <f>B20*C20</f>
        <v>0</v>
      </c>
      <c r="E20" s="72">
        <f t="shared" si="6"/>
        <v>1</v>
      </c>
      <c r="F20" s="77">
        <v>0</v>
      </c>
      <c r="G20" s="21">
        <f t="shared" ref="G20:G22" si="7">E20*F20</f>
        <v>0</v>
      </c>
      <c r="H20" s="21">
        <f t="shared" si="1"/>
        <v>0</v>
      </c>
      <c r="I20" s="22" t="str">
        <f t="shared" si="2"/>
        <v>N/A</v>
      </c>
      <c r="J20" s="22">
        <f t="shared" si="5"/>
        <v>0</v>
      </c>
      <c r="K20" s="107">
        <f t="shared" si="4"/>
        <v>0</v>
      </c>
    </row>
    <row r="21" spans="1:11" hidden="1" x14ac:dyDescent="0.2">
      <c r="A21" s="106" t="s">
        <v>115</v>
      </c>
      <c r="B21" s="72">
        <v>1</v>
      </c>
      <c r="C21" s="77">
        <f>VLOOKUP($B$3,'Data for Bill Impacts'!$A$3:$Y$15,11,0)</f>
        <v>0</v>
      </c>
      <c r="D21" s="21">
        <f t="shared" ref="D21:D22" si="8">B21*C21</f>
        <v>0</v>
      </c>
      <c r="E21" s="72">
        <f t="shared" si="6"/>
        <v>1</v>
      </c>
      <c r="F21" s="120">
        <f>VLOOKUP($B$3,'Data for Bill Impacts'!$A$3:$Y$15,12,0)</f>
        <v>0</v>
      </c>
      <c r="G21" s="21">
        <f t="shared" si="7"/>
        <v>0</v>
      </c>
      <c r="H21" s="21">
        <f t="shared" si="1"/>
        <v>0</v>
      </c>
      <c r="I21" s="22" t="str">
        <f t="shared" si="2"/>
        <v>N/A</v>
      </c>
      <c r="J21" s="22">
        <f t="shared" si="5"/>
        <v>0</v>
      </c>
      <c r="K21" s="107">
        <f t="shared" si="4"/>
        <v>0</v>
      </c>
    </row>
    <row r="22" spans="1:11" x14ac:dyDescent="0.2">
      <c r="A22" s="106" t="s">
        <v>85</v>
      </c>
      <c r="B22" s="72">
        <v>1</v>
      </c>
      <c r="C22" s="120">
        <f>VLOOKUP($B$3,'Data for Bill Impacts'!$A$3:$Y$15,13,0)</f>
        <v>7.0000000000000001E-3</v>
      </c>
      <c r="D22" s="21">
        <f t="shared" si="8"/>
        <v>7.0000000000000001E-3</v>
      </c>
      <c r="E22" s="72">
        <f t="shared" si="6"/>
        <v>1</v>
      </c>
      <c r="F22" s="120">
        <f>VLOOKUP($B$3,'Data for Bill Impacts'!$A$3:$Y$15,22,0)</f>
        <v>7.0000000000000001E-3</v>
      </c>
      <c r="G22" s="21">
        <f t="shared" si="7"/>
        <v>7.0000000000000001E-3</v>
      </c>
      <c r="H22" s="21">
        <f t="shared" si="1"/>
        <v>0</v>
      </c>
      <c r="I22" s="22">
        <f t="shared" si="2"/>
        <v>0</v>
      </c>
      <c r="J22" s="22">
        <f t="shared" si="5"/>
        <v>3.0940135509749098E-5</v>
      </c>
      <c r="K22" s="107">
        <f t="shared" si="4"/>
        <v>3.1458240378165299E-5</v>
      </c>
    </row>
    <row r="23" spans="1:11" x14ac:dyDescent="0.2">
      <c r="A23" s="106" t="s">
        <v>39</v>
      </c>
      <c r="B23" s="72">
        <f>IF($B$9="kWh",$B$4,$B$5)</f>
        <v>1400</v>
      </c>
      <c r="C23" s="124">
        <f>VLOOKUP($B$3,'Data for Bill Impacts'!$A$3:$Y$15,10,0)</f>
        <v>0</v>
      </c>
      <c r="D23" s="21">
        <f>B23*C23</f>
        <v>0</v>
      </c>
      <c r="E23" s="72">
        <f t="shared" si="6"/>
        <v>1400</v>
      </c>
      <c r="F23" s="77">
        <f>VLOOKUP($B$3,'Data for Bill Impacts'!$A$3:$Y$15,19,0)</f>
        <v>0</v>
      </c>
      <c r="G23" s="21">
        <f>E23*F23</f>
        <v>0</v>
      </c>
      <c r="H23" s="21">
        <f t="shared" si="1"/>
        <v>0</v>
      </c>
      <c r="I23" s="22" t="str">
        <f t="shared" si="2"/>
        <v>N/A</v>
      </c>
      <c r="J23" s="22">
        <f t="shared" si="5"/>
        <v>0</v>
      </c>
      <c r="K23" s="107">
        <f t="shared" si="4"/>
        <v>0</v>
      </c>
    </row>
    <row r="24" spans="1:11" x14ac:dyDescent="0.2">
      <c r="A24" s="106" t="s">
        <v>129</v>
      </c>
      <c r="B24" s="72">
        <f>IF($B$9="kWh",$B$4,$B$5)</f>
        <v>1400</v>
      </c>
      <c r="C24" s="124">
        <f>VLOOKUP($B$3,'Data for Bill Impacts'!$A$3:$Y$15,14,0)</f>
        <v>3.0000000000000004E-5</v>
      </c>
      <c r="D24" s="21">
        <f>B24*C24</f>
        <v>4.2000000000000003E-2</v>
      </c>
      <c r="E24" s="72">
        <f t="shared" si="6"/>
        <v>1400</v>
      </c>
      <c r="F24" s="124">
        <f>VLOOKUP($B$3,'Data for Bill Impacts'!$A$3:$Y$15,23,0)</f>
        <v>3.0000000000000004E-5</v>
      </c>
      <c r="G24" s="21">
        <f>E24*F24</f>
        <v>4.2000000000000003E-2</v>
      </c>
      <c r="H24" s="21">
        <f t="shared" si="1"/>
        <v>0</v>
      </c>
      <c r="I24" s="22">
        <f t="shared" si="2"/>
        <v>0</v>
      </c>
      <c r="J24" s="22">
        <f t="shared" ref="J24" si="9">G24/$G$46</f>
        <v>1.856408130584946E-4</v>
      </c>
      <c r="K24" s="107">
        <f t="shared" si="4"/>
        <v>1.8874944226899179E-4</v>
      </c>
    </row>
    <row r="25" spans="1:11" s="1" customFormat="1" x14ac:dyDescent="0.2">
      <c r="A25" s="109" t="s">
        <v>72</v>
      </c>
      <c r="B25" s="73"/>
      <c r="C25" s="34"/>
      <c r="D25" s="34">
        <f>SUM(D19:D24)</f>
        <v>36.719000000000001</v>
      </c>
      <c r="E25" s="72"/>
      <c r="F25" s="34"/>
      <c r="G25" s="34">
        <f>SUM(G19:G24)</f>
        <v>37.418999999999997</v>
      </c>
      <c r="H25" s="34">
        <f t="shared" si="1"/>
        <v>0.69999999999999574</v>
      </c>
      <c r="I25" s="35">
        <f t="shared" si="2"/>
        <v>1.9063699991829726E-2</v>
      </c>
      <c r="J25" s="35">
        <f>G25/$G$46</f>
        <v>0.16539270437704306</v>
      </c>
      <c r="K25" s="110">
        <f t="shared" si="4"/>
        <v>0.16816227095865244</v>
      </c>
    </row>
    <row r="26" spans="1:11" s="1" customFormat="1" x14ac:dyDescent="0.2">
      <c r="A26" s="118" t="s">
        <v>73</v>
      </c>
      <c r="B26" s="119">
        <v>1</v>
      </c>
      <c r="C26" s="77">
        <f>VLOOKUP($B$3,'Data for Bill Impacts'!$A$3:$Y$15,9,0)</f>
        <v>0.79</v>
      </c>
      <c r="D26" s="21">
        <f>B26*C26</f>
        <v>0.79</v>
      </c>
      <c r="E26" s="72">
        <v>1</v>
      </c>
      <c r="F26" s="77">
        <f>VLOOKUP($B$3,'Data for Bill Impacts'!$A$3:$Y$15,18,0)</f>
        <v>0.79</v>
      </c>
      <c r="G26" s="21">
        <f>E26*F26</f>
        <v>0.79</v>
      </c>
      <c r="H26" s="21">
        <f t="shared" si="1"/>
        <v>0</v>
      </c>
      <c r="I26" s="22">
        <f t="shared" si="2"/>
        <v>0</v>
      </c>
      <c r="J26" s="22">
        <f>G26/$G$46</f>
        <v>3.4918152932431126E-3</v>
      </c>
      <c r="K26" s="107">
        <f t="shared" si="4"/>
        <v>3.5502871283929404E-3</v>
      </c>
    </row>
    <row r="27" spans="1:11" s="1" customFormat="1" x14ac:dyDescent="0.2">
      <c r="A27" s="118" t="s">
        <v>75</v>
      </c>
      <c r="B27" s="119">
        <f>B8-B4</f>
        <v>79.799999999999955</v>
      </c>
      <c r="C27" s="186">
        <f>IF(B4&gt;B7,C13,C12)</f>
        <v>0.106</v>
      </c>
      <c r="D27" s="21">
        <f>B27*C27</f>
        <v>8.4587999999999948</v>
      </c>
      <c r="E27" s="72">
        <f>B27</f>
        <v>79.799999999999955</v>
      </c>
      <c r="F27" s="186">
        <f>C27</f>
        <v>0.106</v>
      </c>
      <c r="G27" s="21">
        <f>E27*F27</f>
        <v>8.4587999999999948</v>
      </c>
      <c r="H27" s="21">
        <f t="shared" si="1"/>
        <v>0</v>
      </c>
      <c r="I27" s="22">
        <f t="shared" si="2"/>
        <v>0</v>
      </c>
      <c r="J27" s="22">
        <f t="shared" ref="J27:J46" si="10">G27/$G$46</f>
        <v>3.7388059749980787E-2</v>
      </c>
      <c r="K27" s="107">
        <f t="shared" ref="K27:K41" si="11">G27/$G$51</f>
        <v>3.8014137672974915E-2</v>
      </c>
    </row>
    <row r="28" spans="1:11" s="1" customFormat="1" x14ac:dyDescent="0.2">
      <c r="A28" s="118" t="s">
        <v>74</v>
      </c>
      <c r="B28" s="119">
        <f>B8-B4</f>
        <v>79.799999999999955</v>
      </c>
      <c r="C28" s="186">
        <f>0.65*C15+0.17*C16+0.18*C17</f>
        <v>9.7519999999999996E-2</v>
      </c>
      <c r="D28" s="21">
        <f>B28*C28</f>
        <v>7.7820959999999948</v>
      </c>
      <c r="E28" s="72">
        <f>B28</f>
        <v>79.799999999999955</v>
      </c>
      <c r="F28" s="186">
        <f>C28</f>
        <v>9.7519999999999996E-2</v>
      </c>
      <c r="G28" s="21">
        <f>E28*F28</f>
        <v>7.7820959999999948</v>
      </c>
      <c r="H28" s="21">
        <f t="shared" si="1"/>
        <v>0</v>
      </c>
      <c r="I28" s="22">
        <f t="shared" si="2"/>
        <v>0</v>
      </c>
      <c r="J28" s="22">
        <f t="shared" si="10"/>
        <v>3.4397014969982327E-2</v>
      </c>
      <c r="K28" s="107">
        <f t="shared" si="11"/>
        <v>3.4973006659136927E-2</v>
      </c>
    </row>
    <row r="29" spans="1:11" s="1" customFormat="1" x14ac:dyDescent="0.2">
      <c r="A29" s="109" t="s">
        <v>78</v>
      </c>
      <c r="B29" s="73"/>
      <c r="C29" s="34"/>
      <c r="D29" s="34">
        <f>SUM(D25,D26:D27)</f>
        <v>45.967799999999997</v>
      </c>
      <c r="E29" s="72"/>
      <c r="F29" s="34"/>
      <c r="G29" s="34">
        <f>SUM(G25,G26:G27)</f>
        <v>46.667799999999993</v>
      </c>
      <c r="H29" s="34">
        <f t="shared" si="1"/>
        <v>0.69999999999999574</v>
      </c>
      <c r="I29" s="35">
        <f t="shared" si="2"/>
        <v>1.5228050940005738E-2</v>
      </c>
      <c r="J29" s="35">
        <f t="shared" si="10"/>
        <v>0.20627257942026697</v>
      </c>
      <c r="K29" s="110">
        <f t="shared" si="11"/>
        <v>0.20972669576002032</v>
      </c>
    </row>
    <row r="30" spans="1:11" s="1" customFormat="1" x14ac:dyDescent="0.2">
      <c r="A30" s="109" t="s">
        <v>77</v>
      </c>
      <c r="B30" s="73"/>
      <c r="C30" s="34"/>
      <c r="D30" s="34">
        <f>SUM(D25,D26,D28)</f>
        <v>45.291095999999996</v>
      </c>
      <c r="E30" s="72"/>
      <c r="F30" s="34"/>
      <c r="G30" s="34">
        <f>SUM(G25,G26,G28)</f>
        <v>45.991095999999992</v>
      </c>
      <c r="H30" s="34">
        <f t="shared" si="1"/>
        <v>0.69999999999999574</v>
      </c>
      <c r="I30" s="35">
        <f t="shared" si="2"/>
        <v>1.5455576522148984E-2</v>
      </c>
      <c r="J30" s="35">
        <f t="shared" si="10"/>
        <v>0.20328153464026849</v>
      </c>
      <c r="K30" s="110">
        <f t="shared" si="11"/>
        <v>0.2066855647461823</v>
      </c>
    </row>
    <row r="31" spans="1:11" x14ac:dyDescent="0.2">
      <c r="A31" s="106" t="s">
        <v>40</v>
      </c>
      <c r="B31" s="72">
        <f>B8</f>
        <v>1479.8</v>
      </c>
      <c r="C31" s="124">
        <f>VLOOKUP($B$3,'Data for Bill Impacts'!$A$3:$Y$15,15,0)</f>
        <v>7.7000000000000002E-3</v>
      </c>
      <c r="D31" s="21">
        <f>B31*C31</f>
        <v>11.39446</v>
      </c>
      <c r="E31" s="72">
        <f t="shared" si="6"/>
        <v>1479.8</v>
      </c>
      <c r="F31" s="77">
        <f>VLOOKUP($B$3,'Data for Bill Impacts'!$A$3:$Y$15,24,0)</f>
        <v>7.7000000000000002E-3</v>
      </c>
      <c r="G31" s="21">
        <f>E31*F31</f>
        <v>11.39446</v>
      </c>
      <c r="H31" s="21">
        <f t="shared" si="1"/>
        <v>0</v>
      </c>
      <c r="I31" s="22">
        <f t="shared" si="2"/>
        <v>0</v>
      </c>
      <c r="J31" s="22">
        <f t="shared" si="10"/>
        <v>5.0363733780059393E-2</v>
      </c>
      <c r="K31" s="107">
        <f t="shared" si="11"/>
        <v>5.1207094522769905E-2</v>
      </c>
    </row>
    <row r="32" spans="1:11" x14ac:dyDescent="0.2">
      <c r="A32" s="106" t="s">
        <v>41</v>
      </c>
      <c r="B32" s="72">
        <f>B8</f>
        <v>1479.8</v>
      </c>
      <c r="C32" s="124">
        <f>VLOOKUP($B$3,'Data for Bill Impacts'!$A$3:$Y$15,16,0)</f>
        <v>6.3E-3</v>
      </c>
      <c r="D32" s="21">
        <f>B32*C32</f>
        <v>9.3227399999999996</v>
      </c>
      <c r="E32" s="72">
        <f t="shared" si="6"/>
        <v>1479.8</v>
      </c>
      <c r="F32" s="77">
        <f>VLOOKUP($B$3,'Data for Bill Impacts'!$A$3:$Y$15,25,0)</f>
        <v>6.3E-3</v>
      </c>
      <c r="G32" s="21">
        <f>E32*F32</f>
        <v>9.3227399999999996</v>
      </c>
      <c r="H32" s="21">
        <f t="shared" si="1"/>
        <v>0</v>
      </c>
      <c r="I32" s="22">
        <f t="shared" si="2"/>
        <v>0</v>
      </c>
      <c r="J32" s="22">
        <f t="shared" si="10"/>
        <v>4.1206691274594046E-2</v>
      </c>
      <c r="K32" s="107">
        <f t="shared" si="11"/>
        <v>4.1896713700448104E-2</v>
      </c>
    </row>
    <row r="33" spans="1:11" s="1" customFormat="1" x14ac:dyDescent="0.2">
      <c r="A33" s="109" t="s">
        <v>76</v>
      </c>
      <c r="B33" s="73"/>
      <c r="C33" s="34"/>
      <c r="D33" s="34">
        <f>SUM(D31:D32)</f>
        <v>20.717199999999998</v>
      </c>
      <c r="E33" s="72"/>
      <c r="F33" s="34"/>
      <c r="G33" s="34">
        <f>SUM(G31:G32)</f>
        <v>20.717199999999998</v>
      </c>
      <c r="H33" s="34">
        <f t="shared" si="1"/>
        <v>0</v>
      </c>
      <c r="I33" s="35">
        <f t="shared" si="2"/>
        <v>0</v>
      </c>
      <c r="J33" s="35">
        <f t="shared" si="10"/>
        <v>9.1570425054653432E-2</v>
      </c>
      <c r="K33" s="110">
        <f t="shared" si="11"/>
        <v>9.3103808223217996E-2</v>
      </c>
    </row>
    <row r="34" spans="1:11" s="1" customFormat="1" x14ac:dyDescent="0.2">
      <c r="A34" s="109" t="s">
        <v>93</v>
      </c>
      <c r="B34" s="73"/>
      <c r="C34" s="34"/>
      <c r="D34" s="34">
        <f>D29+D33</f>
        <v>66.685000000000002</v>
      </c>
      <c r="E34" s="72"/>
      <c r="F34" s="34"/>
      <c r="G34" s="34">
        <f>G29+G33</f>
        <v>67.384999999999991</v>
      </c>
      <c r="H34" s="34">
        <f t="shared" si="1"/>
        <v>0.69999999999998863</v>
      </c>
      <c r="I34" s="35">
        <f t="shared" si="2"/>
        <v>1.0497113293844023E-2</v>
      </c>
      <c r="J34" s="35">
        <f t="shared" si="10"/>
        <v>0.2978430044749204</v>
      </c>
      <c r="K34" s="110">
        <f t="shared" si="11"/>
        <v>0.3028305039832383</v>
      </c>
    </row>
    <row r="35" spans="1:11" s="1" customFormat="1" x14ac:dyDescent="0.2">
      <c r="A35" s="109" t="s">
        <v>94</v>
      </c>
      <c r="B35" s="73"/>
      <c r="C35" s="34"/>
      <c r="D35" s="34">
        <f>D30+D33</f>
        <v>66.008296000000001</v>
      </c>
      <c r="E35" s="72"/>
      <c r="F35" s="34"/>
      <c r="G35" s="34">
        <f>G30+G33</f>
        <v>66.70829599999999</v>
      </c>
      <c r="H35" s="34">
        <f t="shared" si="1"/>
        <v>0.69999999999998863</v>
      </c>
      <c r="I35" s="35">
        <f t="shared" si="2"/>
        <v>1.0604727623933644E-2</v>
      </c>
      <c r="J35" s="35">
        <f t="shared" si="10"/>
        <v>0.29485195969492195</v>
      </c>
      <c r="K35" s="110">
        <f t="shared" si="11"/>
        <v>0.29978937296940028</v>
      </c>
    </row>
    <row r="36" spans="1:11" x14ac:dyDescent="0.2">
      <c r="A36" s="106" t="s">
        <v>42</v>
      </c>
      <c r="B36" s="72">
        <f>B8</f>
        <v>1479.8</v>
      </c>
      <c r="C36" s="33">
        <v>3.5999999999999999E-3</v>
      </c>
      <c r="D36" s="21">
        <f>B36*C36</f>
        <v>5.32728</v>
      </c>
      <c r="E36" s="72">
        <f t="shared" si="6"/>
        <v>1479.8</v>
      </c>
      <c r="F36" s="33">
        <v>3.5999999999999999E-3</v>
      </c>
      <c r="G36" s="21">
        <f>E36*F36</f>
        <v>5.32728</v>
      </c>
      <c r="H36" s="21">
        <f t="shared" si="1"/>
        <v>0</v>
      </c>
      <c r="I36" s="22">
        <f t="shared" si="2"/>
        <v>0</v>
      </c>
      <c r="J36" s="22">
        <f t="shared" si="10"/>
        <v>2.3546680728339455E-2</v>
      </c>
      <c r="K36" s="107">
        <f t="shared" si="11"/>
        <v>2.3940979257398916E-2</v>
      </c>
    </row>
    <row r="37" spans="1:11" x14ac:dyDescent="0.2">
      <c r="A37" s="106" t="s">
        <v>43</v>
      </c>
      <c r="B37" s="72">
        <f>B8</f>
        <v>1479.8</v>
      </c>
      <c r="C37" s="33">
        <v>2.0999999999999999E-3</v>
      </c>
      <c r="D37" s="21">
        <f>B37*C37</f>
        <v>3.1075799999999996</v>
      </c>
      <c r="E37" s="72">
        <f t="shared" si="6"/>
        <v>1479.8</v>
      </c>
      <c r="F37" s="33">
        <v>2.0999999999999999E-3</v>
      </c>
      <c r="G37" s="21">
        <f>E37*F37</f>
        <v>3.1075799999999996</v>
      </c>
      <c r="H37" s="21">
        <f>G37-D37</f>
        <v>0</v>
      </c>
      <c r="I37" s="22">
        <f t="shared" si="2"/>
        <v>0</v>
      </c>
      <c r="J37" s="22">
        <f t="shared" si="10"/>
        <v>1.3735563758198014E-2</v>
      </c>
      <c r="K37" s="107">
        <f t="shared" si="11"/>
        <v>1.39655712334827E-2</v>
      </c>
    </row>
    <row r="38" spans="1:11" x14ac:dyDescent="0.2">
      <c r="A38" s="106" t="s">
        <v>99</v>
      </c>
      <c r="B38" s="72">
        <f>B8</f>
        <v>1479.8</v>
      </c>
      <c r="C38" s="33">
        <v>0</v>
      </c>
      <c r="D38" s="21">
        <f>B38*C38</f>
        <v>0</v>
      </c>
      <c r="E38" s="72">
        <f t="shared" si="6"/>
        <v>1479.8</v>
      </c>
      <c r="F38" s="33">
        <v>0</v>
      </c>
      <c r="G38" s="21">
        <f>E38*F38</f>
        <v>0</v>
      </c>
      <c r="H38" s="21">
        <f>G38-D38</f>
        <v>0</v>
      </c>
      <c r="I38" s="22" t="str">
        <f t="shared" si="2"/>
        <v>N/A</v>
      </c>
      <c r="J38" s="22">
        <f t="shared" ref="J38" si="12">G38/$G$46</f>
        <v>0</v>
      </c>
      <c r="K38" s="107">
        <f t="shared" ref="K38" si="13">G38/$G$51</f>
        <v>0</v>
      </c>
    </row>
    <row r="39" spans="1:11" x14ac:dyDescent="0.2">
      <c r="A39" s="106" t="s">
        <v>44</v>
      </c>
      <c r="B39" s="72">
        <v>1</v>
      </c>
      <c r="C39" s="21">
        <v>0.25</v>
      </c>
      <c r="D39" s="21">
        <f>B39*C39</f>
        <v>0.25</v>
      </c>
      <c r="E39" s="72">
        <f t="shared" si="6"/>
        <v>1</v>
      </c>
      <c r="F39" s="21">
        <f>C39</f>
        <v>0.25</v>
      </c>
      <c r="G39" s="21">
        <f>E39*F39</f>
        <v>0.25</v>
      </c>
      <c r="H39" s="21">
        <f t="shared" si="1"/>
        <v>0</v>
      </c>
      <c r="I39" s="22">
        <f t="shared" si="2"/>
        <v>0</v>
      </c>
      <c r="J39" s="22">
        <f t="shared" si="10"/>
        <v>1.1050048396338964E-3</v>
      </c>
      <c r="K39" s="107">
        <f t="shared" si="11"/>
        <v>1.1235085849344748E-3</v>
      </c>
    </row>
    <row r="40" spans="1:11" s="1" customFormat="1" x14ac:dyDescent="0.2">
      <c r="A40" s="109" t="s">
        <v>45</v>
      </c>
      <c r="B40" s="73"/>
      <c r="C40" s="34"/>
      <c r="D40" s="34">
        <f>SUM(D36:D39)</f>
        <v>8.6848600000000005</v>
      </c>
      <c r="E40" s="72"/>
      <c r="F40" s="34"/>
      <c r="G40" s="34">
        <f>SUM(G36:G39)</f>
        <v>8.6848600000000005</v>
      </c>
      <c r="H40" s="34">
        <f t="shared" si="1"/>
        <v>0</v>
      </c>
      <c r="I40" s="35">
        <f t="shared" si="2"/>
        <v>0</v>
      </c>
      <c r="J40" s="35">
        <f t="shared" si="10"/>
        <v>3.8387249326171366E-2</v>
      </c>
      <c r="K40" s="110">
        <f t="shared" si="11"/>
        <v>3.9030059075816095E-2</v>
      </c>
    </row>
    <row r="41" spans="1:11" s="1" customFormat="1" ht="13.5" thickBot="1" x14ac:dyDescent="0.25">
      <c r="A41" s="111" t="s">
        <v>46</v>
      </c>
      <c r="B41" s="112">
        <f>B4</f>
        <v>1400</v>
      </c>
      <c r="C41" s="113">
        <v>0</v>
      </c>
      <c r="D41" s="114">
        <f>B41*C41</f>
        <v>0</v>
      </c>
      <c r="E41" s="115">
        <f t="shared" si="6"/>
        <v>1400</v>
      </c>
      <c r="F41" s="113">
        <f>C41</f>
        <v>0</v>
      </c>
      <c r="G41" s="114">
        <f>E41*F41</f>
        <v>0</v>
      </c>
      <c r="H41" s="114">
        <f t="shared" si="1"/>
        <v>0</v>
      </c>
      <c r="I41" s="116" t="str">
        <f t="shared" si="2"/>
        <v>N/A</v>
      </c>
      <c r="J41" s="116">
        <f t="shared" si="10"/>
        <v>0</v>
      </c>
      <c r="K41" s="117">
        <f t="shared" si="11"/>
        <v>0</v>
      </c>
    </row>
    <row r="42" spans="1:11" s="1" customFormat="1" x14ac:dyDescent="0.2">
      <c r="A42" s="36" t="s">
        <v>107</v>
      </c>
      <c r="B42" s="37"/>
      <c r="C42" s="38"/>
      <c r="D42" s="38">
        <f>SUM(D14,D25,D26,D27,D33,D40,D41)</f>
        <v>214.76985999999999</v>
      </c>
      <c r="E42" s="37"/>
      <c r="F42" s="38"/>
      <c r="G42" s="38">
        <f>SUM(G14,G25,G26,G27,G33,G40,G41)</f>
        <v>215.46985999999998</v>
      </c>
      <c r="H42" s="38">
        <f t="shared" si="1"/>
        <v>0.69999999999998863</v>
      </c>
      <c r="I42" s="39">
        <f t="shared" si="2"/>
        <v>3.2593027718134594E-3</v>
      </c>
      <c r="J42" s="39">
        <f t="shared" si="10"/>
        <v>0.95238095238095233</v>
      </c>
      <c r="K42" s="40"/>
    </row>
    <row r="43" spans="1:11" x14ac:dyDescent="0.2">
      <c r="A43" s="142" t="s">
        <v>108</v>
      </c>
      <c r="B43" s="42"/>
      <c r="C43" s="25">
        <v>0.13</v>
      </c>
      <c r="D43" s="25">
        <f>D42*C43</f>
        <v>27.920081800000002</v>
      </c>
      <c r="E43" s="25"/>
      <c r="F43" s="25">
        <f>C43</f>
        <v>0.13</v>
      </c>
      <c r="G43" s="25">
        <f>G42*F43</f>
        <v>28.011081799999999</v>
      </c>
      <c r="H43" s="25">
        <f t="shared" si="1"/>
        <v>9.0999999999997527E-2</v>
      </c>
      <c r="I43" s="43">
        <f t="shared" si="2"/>
        <v>3.2593027718134234E-3</v>
      </c>
      <c r="J43" s="43">
        <f t="shared" si="10"/>
        <v>0.12380952380952381</v>
      </c>
      <c r="K43" s="44"/>
    </row>
    <row r="44" spans="1:11" s="1" customFormat="1" x14ac:dyDescent="0.2">
      <c r="A44" s="45" t="s">
        <v>109</v>
      </c>
      <c r="B44" s="23"/>
      <c r="C44" s="24"/>
      <c r="D44" s="24">
        <f>SUM(D42:D43)</f>
        <v>242.68994179999999</v>
      </c>
      <c r="E44" s="24"/>
      <c r="F44" s="24"/>
      <c r="G44" s="24">
        <f>SUM(G42:G43)</f>
        <v>243.48094179999998</v>
      </c>
      <c r="H44" s="24">
        <f t="shared" si="1"/>
        <v>0.79099999999999682</v>
      </c>
      <c r="I44" s="26">
        <f t="shared" si="2"/>
        <v>3.2593027718134993E-3</v>
      </c>
      <c r="J44" s="26">
        <f t="shared" si="10"/>
        <v>1.0761904761904761</v>
      </c>
      <c r="K44" s="46"/>
    </row>
    <row r="45" spans="1:11" x14ac:dyDescent="0.2">
      <c r="A45" s="41" t="s">
        <v>110</v>
      </c>
      <c r="B45" s="42"/>
      <c r="C45" s="25">
        <v>-0.08</v>
      </c>
      <c r="D45" s="25">
        <f>D42*C45</f>
        <v>-17.1815888</v>
      </c>
      <c r="E45" s="25"/>
      <c r="F45" s="25">
        <f>C45</f>
        <v>-0.08</v>
      </c>
      <c r="G45" s="25">
        <f>G42*F45</f>
        <v>-17.237588799999997</v>
      </c>
      <c r="H45" s="25">
        <f t="shared" si="1"/>
        <v>-5.5999999999997385E-2</v>
      </c>
      <c r="I45" s="43">
        <f t="shared" si="2"/>
        <v>-3.2593027718133601E-3</v>
      </c>
      <c r="J45" s="43">
        <f t="shared" si="10"/>
        <v>-7.6190476190476183E-2</v>
      </c>
      <c r="K45" s="44"/>
    </row>
    <row r="46" spans="1:11" s="1" customFormat="1" ht="13.5" thickBot="1" x14ac:dyDescent="0.25">
      <c r="A46" s="47" t="s">
        <v>111</v>
      </c>
      <c r="B46" s="48"/>
      <c r="C46" s="49"/>
      <c r="D46" s="49">
        <f>SUM(D44:D45)</f>
        <v>225.508353</v>
      </c>
      <c r="E46" s="49"/>
      <c r="F46" s="49"/>
      <c r="G46" s="49">
        <f>SUM(G44:G45)</f>
        <v>226.24335299999998</v>
      </c>
      <c r="H46" s="49">
        <f t="shared" si="1"/>
        <v>0.73499999999998522</v>
      </c>
      <c r="I46" s="50">
        <f t="shared" si="2"/>
        <v>3.2593027718134469E-3</v>
      </c>
      <c r="J46" s="50">
        <f t="shared" si="10"/>
        <v>1</v>
      </c>
      <c r="K46" s="51"/>
    </row>
    <row r="47" spans="1:11" x14ac:dyDescent="0.2">
      <c r="A47" s="52" t="s">
        <v>112</v>
      </c>
      <c r="B47" s="53"/>
      <c r="C47" s="54"/>
      <c r="D47" s="54">
        <f>SUM(D18,D25,D26,D28,D33,D40,D41)</f>
        <v>211.22115599999995</v>
      </c>
      <c r="E47" s="54"/>
      <c r="F47" s="54"/>
      <c r="G47" s="54">
        <f>SUM(G18,G25,G26,G28,G33,G40,G41)</f>
        <v>211.921156</v>
      </c>
      <c r="H47" s="54">
        <f>G47-D47</f>
        <v>0.70000000000004547</v>
      </c>
      <c r="I47" s="55">
        <f t="shared" si="2"/>
        <v>3.3140619683003992E-3</v>
      </c>
      <c r="J47" s="55"/>
      <c r="K47" s="56">
        <f>G47/$G$51</f>
        <v>0.95238095238095233</v>
      </c>
    </row>
    <row r="48" spans="1:11" x14ac:dyDescent="0.2">
      <c r="A48" s="57" t="s">
        <v>108</v>
      </c>
      <c r="B48" s="58"/>
      <c r="C48" s="30">
        <v>0.13</v>
      </c>
      <c r="D48" s="30">
        <f>D47*C48</f>
        <v>27.458750279999993</v>
      </c>
      <c r="E48" s="30"/>
      <c r="F48" s="30">
        <f>C48</f>
        <v>0.13</v>
      </c>
      <c r="G48" s="30">
        <f>G47*F48</f>
        <v>27.549750280000001</v>
      </c>
      <c r="H48" s="30">
        <f>G48-D48</f>
        <v>9.1000000000008185E-2</v>
      </c>
      <c r="I48" s="31">
        <f t="shared" si="2"/>
        <v>3.314061968300482E-3</v>
      </c>
      <c r="J48" s="31"/>
      <c r="K48" s="59">
        <f>G48/$G$51</f>
        <v>0.12380952380952381</v>
      </c>
    </row>
    <row r="49" spans="1:11" x14ac:dyDescent="0.2">
      <c r="A49" s="60" t="s">
        <v>113</v>
      </c>
      <c r="B49" s="28"/>
      <c r="C49" s="29"/>
      <c r="D49" s="29">
        <f>SUM(D47:D48)</f>
        <v>238.67990627999995</v>
      </c>
      <c r="E49" s="29"/>
      <c r="F49" s="29"/>
      <c r="G49" s="29">
        <f>SUM(G47:G48)</f>
        <v>239.47090628000001</v>
      </c>
      <c r="H49" s="29">
        <f>G49-D49</f>
        <v>0.79100000000005366</v>
      </c>
      <c r="I49" s="32">
        <f t="shared" si="2"/>
        <v>3.3140619683004083E-3</v>
      </c>
      <c r="J49" s="32"/>
      <c r="K49" s="61">
        <f>G49/$G$51</f>
        <v>1.0761904761904761</v>
      </c>
    </row>
    <row r="50" spans="1:11" x14ac:dyDescent="0.2">
      <c r="A50" s="57" t="s">
        <v>110</v>
      </c>
      <c r="B50" s="58"/>
      <c r="C50" s="30">
        <v>-0.08</v>
      </c>
      <c r="D50" s="30">
        <f>D47*C50</f>
        <v>-16.897692479999996</v>
      </c>
      <c r="E50" s="30"/>
      <c r="F50" s="30">
        <f>C50</f>
        <v>-0.08</v>
      </c>
      <c r="G50" s="30">
        <f>G47*F50</f>
        <v>-16.953692480000001</v>
      </c>
      <c r="H50" s="30">
        <f>G50-D50</f>
        <v>-5.6000000000004491E-2</v>
      </c>
      <c r="I50" s="31">
        <f t="shared" si="2"/>
        <v>-3.3140619683004495E-3</v>
      </c>
      <c r="J50" s="31"/>
      <c r="K50" s="59">
        <f>G50/$G$51</f>
        <v>-7.6190476190476197E-2</v>
      </c>
    </row>
    <row r="51" spans="1:11" ht="13.5" thickBot="1" x14ac:dyDescent="0.25">
      <c r="A51" s="62" t="s">
        <v>114</v>
      </c>
      <c r="B51" s="63"/>
      <c r="C51" s="64"/>
      <c r="D51" s="64">
        <f>SUM(D49:D50)</f>
        <v>221.78221379999997</v>
      </c>
      <c r="E51" s="64"/>
      <c r="F51" s="64"/>
      <c r="G51" s="64">
        <f>SUM(G49:G50)</f>
        <v>222.51721380000001</v>
      </c>
      <c r="H51" s="64">
        <f>G51-D51</f>
        <v>0.73500000000004206</v>
      </c>
      <c r="I51" s="65">
        <f t="shared" si="2"/>
        <v>3.3140619683003731E-3</v>
      </c>
      <c r="J51" s="65"/>
      <c r="K51" s="66">
        <f>G51/$G$51</f>
        <v>1</v>
      </c>
    </row>
    <row r="52" spans="1:11" x14ac:dyDescent="0.2">
      <c r="C52" s="67"/>
      <c r="F52" s="68"/>
    </row>
    <row r="53" spans="1:11" x14ac:dyDescent="0.2">
      <c r="F53" s="68"/>
    </row>
    <row r="54" spans="1:11" x14ac:dyDescent="0.2">
      <c r="F54" s="68"/>
    </row>
    <row r="55" spans="1:11" x14ac:dyDescent="0.2">
      <c r="A55" s="69"/>
      <c r="B55" s="70"/>
      <c r="F55" s="68"/>
    </row>
    <row r="56" spans="1:11" x14ac:dyDescent="0.2">
      <c r="B56" s="70"/>
      <c r="F56" s="68"/>
    </row>
    <row r="57" spans="1:11" x14ac:dyDescent="0.2">
      <c r="F57" s="68"/>
    </row>
    <row r="58" spans="1:11" x14ac:dyDescent="0.2">
      <c r="D58" s="71"/>
      <c r="F58" s="68"/>
    </row>
    <row r="59" spans="1:11" x14ac:dyDescent="0.2">
      <c r="F59" s="68"/>
    </row>
    <row r="60" spans="1:11" x14ac:dyDescent="0.2">
      <c r="A60" s="69"/>
      <c r="B60" s="70"/>
      <c r="F60" s="68"/>
    </row>
    <row r="61" spans="1:11" x14ac:dyDescent="0.2">
      <c r="B61" s="71"/>
      <c r="D61" s="71"/>
      <c r="F61" s="68"/>
    </row>
    <row r="62" spans="1:11" x14ac:dyDescent="0.2">
      <c r="F62" s="68"/>
    </row>
    <row r="63" spans="1:11" x14ac:dyDescent="0.2">
      <c r="F63" s="68"/>
    </row>
    <row r="64" spans="1:11" x14ac:dyDescent="0.2">
      <c r="F64" s="68"/>
    </row>
    <row r="65" spans="6:6" x14ac:dyDescent="0.2">
      <c r="F65" s="68"/>
    </row>
    <row r="66" spans="6:6" x14ac:dyDescent="0.2">
      <c r="F66" s="68"/>
    </row>
    <row r="67" spans="6:6" x14ac:dyDescent="0.2">
      <c r="F67" s="68"/>
    </row>
    <row r="68" spans="6:6" x14ac:dyDescent="0.2">
      <c r="F68" s="68"/>
    </row>
  </sheetData>
  <mergeCells count="1">
    <mergeCell ref="A1:K1"/>
  </mergeCells>
  <pageMargins left="0.7" right="0.7" top="0.75" bottom="0.75" header="0.3" footer="0.3"/>
  <pageSetup scale="7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1" tint="0.499984740745262"/>
    <pageSetUpPr fitToPage="1"/>
  </sheetPr>
  <dimension ref="A1:K68"/>
  <sheetViews>
    <sheetView tabSelected="1" topLeftCell="A4"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3"/>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205" t="s">
        <v>124</v>
      </c>
      <c r="B1" s="206"/>
      <c r="C1" s="206"/>
      <c r="D1" s="206"/>
      <c r="E1" s="206"/>
      <c r="F1" s="206"/>
      <c r="G1" s="206"/>
      <c r="H1" s="206"/>
      <c r="I1" s="206"/>
      <c r="J1" s="206"/>
      <c r="K1" s="207"/>
    </row>
    <row r="3" spans="1:11" x14ac:dyDescent="0.2">
      <c r="A3" s="12" t="s">
        <v>13</v>
      </c>
      <c r="B3" s="12" t="s">
        <v>1</v>
      </c>
    </row>
    <row r="4" spans="1:11" x14ac:dyDescent="0.2">
      <c r="A4" s="14" t="s">
        <v>62</v>
      </c>
      <c r="B4" s="14">
        <v>400</v>
      </c>
    </row>
    <row r="5" spans="1:11" x14ac:dyDescent="0.2">
      <c r="A5" s="14" t="s">
        <v>16</v>
      </c>
      <c r="B5" s="14">
        <f>VLOOKUP($B$3,'Data for Bill Impacts'!$A$3:$Y$15,5,0)</f>
        <v>0</v>
      </c>
    </row>
    <row r="6" spans="1:11" x14ac:dyDescent="0.2">
      <c r="A6" s="14" t="s">
        <v>20</v>
      </c>
      <c r="B6" s="14">
        <f>VLOOKUP($B$3,'Data for Bill Impacts'!$A$3:$Y$15,2,0)</f>
        <v>1.0760000000000001</v>
      </c>
    </row>
    <row r="7" spans="1:11" x14ac:dyDescent="0.2">
      <c r="A7" s="14" t="s">
        <v>15</v>
      </c>
      <c r="B7" s="14">
        <f>VLOOKUP($B$3,'Data for Bill Impacts'!$A$3:$Y$15,4,0)</f>
        <v>600</v>
      </c>
    </row>
    <row r="8" spans="1:11" x14ac:dyDescent="0.2">
      <c r="A8" s="14" t="s">
        <v>82</v>
      </c>
      <c r="B8" s="148">
        <f>B4*B6</f>
        <v>430.40000000000003</v>
      </c>
    </row>
    <row r="9" spans="1:11" x14ac:dyDescent="0.2">
      <c r="A9" s="14" t="s">
        <v>21</v>
      </c>
      <c r="B9" s="15" t="str">
        <f>VLOOKUP($B$3,'Data for Bill Impacts'!$A$3:$Y$15,6,0)</f>
        <v>kWh</v>
      </c>
    </row>
    <row r="10" spans="1:11" ht="13.5" thickBot="1" x14ac:dyDescent="0.25"/>
    <row r="11" spans="1:11" s="19" customFormat="1" ht="39" thickBot="1" x14ac:dyDescent="0.25">
      <c r="A11" s="16"/>
      <c r="B11" s="17" t="s">
        <v>22</v>
      </c>
      <c r="C11" s="17" t="s">
        <v>23</v>
      </c>
      <c r="D11" s="17" t="s">
        <v>24</v>
      </c>
      <c r="E11" s="17" t="s">
        <v>22</v>
      </c>
      <c r="F11" s="17" t="s">
        <v>25</v>
      </c>
      <c r="G11" s="17" t="s">
        <v>26</v>
      </c>
      <c r="H11" s="17" t="s">
        <v>27</v>
      </c>
      <c r="I11" s="17" t="s">
        <v>28</v>
      </c>
      <c r="J11" s="17" t="s">
        <v>29</v>
      </c>
      <c r="K11" s="18" t="s">
        <v>30</v>
      </c>
    </row>
    <row r="12" spans="1:11" x14ac:dyDescent="0.2">
      <c r="A12" s="100" t="s">
        <v>31</v>
      </c>
      <c r="B12" s="101">
        <f>IF(B4&gt;B7,B7,B4)</f>
        <v>400</v>
      </c>
      <c r="C12" s="102">
        <v>9.0999999999999998E-2</v>
      </c>
      <c r="D12" s="103">
        <f>B12*C12</f>
        <v>36.4</v>
      </c>
      <c r="E12" s="101">
        <f>B12</f>
        <v>400</v>
      </c>
      <c r="F12" s="102">
        <f>C12</f>
        <v>9.0999999999999998E-2</v>
      </c>
      <c r="G12" s="103">
        <f>E12*F12</f>
        <v>36.4</v>
      </c>
      <c r="H12" s="103">
        <f>G12-D12</f>
        <v>0</v>
      </c>
      <c r="I12" s="104">
        <f>IF(ISERROR(H12/ABS(D12)),"N/A",(H12/ABS(D12)))</f>
        <v>0</v>
      </c>
      <c r="J12" s="104">
        <f>G12/$G$46</f>
        <v>0.31743148119389392</v>
      </c>
      <c r="K12" s="105"/>
    </row>
    <row r="13" spans="1:11" x14ac:dyDescent="0.2">
      <c r="A13" s="106" t="s">
        <v>32</v>
      </c>
      <c r="B13" s="72">
        <f>IF(B4&gt;B7,(B4)-B7,0)</f>
        <v>0</v>
      </c>
      <c r="C13" s="20">
        <v>0.106</v>
      </c>
      <c r="D13" s="21">
        <f>B13*C13</f>
        <v>0</v>
      </c>
      <c r="E13" s="72">
        <f t="shared" ref="E13" si="0">B13</f>
        <v>0</v>
      </c>
      <c r="F13" s="20">
        <f>C13</f>
        <v>0.106</v>
      </c>
      <c r="G13" s="21">
        <f>E13*F13</f>
        <v>0</v>
      </c>
      <c r="H13" s="21">
        <f t="shared" ref="H13:H46" si="1">G13-D13</f>
        <v>0</v>
      </c>
      <c r="I13" s="22" t="str">
        <f t="shared" ref="I13:I51" si="2">IF(ISERROR(H13/ABS(D13)),"N/A",(H13/ABS(D13)))</f>
        <v>N/A</v>
      </c>
      <c r="J13" s="22">
        <f>G13/$G$46</f>
        <v>0</v>
      </c>
      <c r="K13" s="107"/>
    </row>
    <row r="14" spans="1:11" s="1" customFormat="1" x14ac:dyDescent="0.2">
      <c r="A14" s="45" t="s">
        <v>33</v>
      </c>
      <c r="B14" s="23"/>
      <c r="C14" s="24"/>
      <c r="D14" s="24">
        <f>SUM(D12:D13)</f>
        <v>36.4</v>
      </c>
      <c r="E14" s="75"/>
      <c r="F14" s="24"/>
      <c r="G14" s="24">
        <f>SUM(G12:G13)</f>
        <v>36.4</v>
      </c>
      <c r="H14" s="24">
        <f t="shared" si="1"/>
        <v>0</v>
      </c>
      <c r="I14" s="26">
        <f t="shared" si="2"/>
        <v>0</v>
      </c>
      <c r="J14" s="26">
        <f>G14/$G$46</f>
        <v>0.31743148119389392</v>
      </c>
      <c r="K14" s="107"/>
    </row>
    <row r="15" spans="1:11" s="1" customFormat="1" x14ac:dyDescent="0.2">
      <c r="A15" s="108" t="s">
        <v>34</v>
      </c>
      <c r="B15" s="74">
        <f>B4*0.65</f>
        <v>260</v>
      </c>
      <c r="C15" s="27">
        <v>7.6999999999999999E-2</v>
      </c>
      <c r="D15" s="21">
        <f>B15*C15</f>
        <v>20.02</v>
      </c>
      <c r="E15" s="72">
        <f t="shared" ref="E15:F17" si="3">B15</f>
        <v>260</v>
      </c>
      <c r="F15" s="27">
        <f t="shared" si="3"/>
        <v>7.6999999999999999E-2</v>
      </c>
      <c r="G15" s="21">
        <f>E15*F15</f>
        <v>20.02</v>
      </c>
      <c r="H15" s="21">
        <f t="shared" si="1"/>
        <v>0</v>
      </c>
      <c r="I15" s="22">
        <f t="shared" si="2"/>
        <v>0</v>
      </c>
      <c r="J15" s="22"/>
      <c r="K15" s="107">
        <f t="shared" ref="K15:K26" si="4">G15/$G$51</f>
        <v>0.1702135844819298</v>
      </c>
    </row>
    <row r="16" spans="1:11" s="1" customFormat="1" x14ac:dyDescent="0.2">
      <c r="A16" s="108" t="s">
        <v>35</v>
      </c>
      <c r="B16" s="74">
        <f>B4*0.17</f>
        <v>68</v>
      </c>
      <c r="C16" s="27">
        <v>0.113</v>
      </c>
      <c r="D16" s="21">
        <f>B16*C16</f>
        <v>7.6840000000000002</v>
      </c>
      <c r="E16" s="72">
        <f t="shared" si="3"/>
        <v>68</v>
      </c>
      <c r="F16" s="27">
        <f t="shared" si="3"/>
        <v>0.113</v>
      </c>
      <c r="G16" s="21">
        <f>E16*F16</f>
        <v>7.6840000000000002</v>
      </c>
      <c r="H16" s="21">
        <f t="shared" si="1"/>
        <v>0</v>
      </c>
      <c r="I16" s="22">
        <f t="shared" si="2"/>
        <v>0</v>
      </c>
      <c r="J16" s="22"/>
      <c r="K16" s="107">
        <f t="shared" si="4"/>
        <v>6.5330728429527904E-2</v>
      </c>
    </row>
    <row r="17" spans="1:11" s="1" customFormat="1" x14ac:dyDescent="0.2">
      <c r="A17" s="108" t="s">
        <v>36</v>
      </c>
      <c r="B17" s="74">
        <f>B4*0.18</f>
        <v>72</v>
      </c>
      <c r="C17" s="27">
        <v>0.157</v>
      </c>
      <c r="D17" s="21">
        <f>B17*C17</f>
        <v>11.304</v>
      </c>
      <c r="E17" s="72">
        <f t="shared" si="3"/>
        <v>72</v>
      </c>
      <c r="F17" s="27">
        <f t="shared" si="3"/>
        <v>0.157</v>
      </c>
      <c r="G17" s="21">
        <f>E17*F17</f>
        <v>11.304</v>
      </c>
      <c r="H17" s="21">
        <f t="shared" si="1"/>
        <v>0</v>
      </c>
      <c r="I17" s="22">
        <f t="shared" si="2"/>
        <v>0</v>
      </c>
      <c r="J17" s="22"/>
      <c r="K17" s="107">
        <f t="shared" si="4"/>
        <v>9.6108609339846884E-2</v>
      </c>
    </row>
    <row r="18" spans="1:11" s="1" customFormat="1" x14ac:dyDescent="0.2">
      <c r="A18" s="60" t="s">
        <v>37</v>
      </c>
      <c r="B18" s="28"/>
      <c r="C18" s="29"/>
      <c r="D18" s="29">
        <f>SUM(D15:D17)</f>
        <v>39.008000000000003</v>
      </c>
      <c r="E18" s="76"/>
      <c r="F18" s="29"/>
      <c r="G18" s="29">
        <f>SUM(G15:G17)</f>
        <v>39.008000000000003</v>
      </c>
      <c r="H18" s="30">
        <f t="shared" si="1"/>
        <v>0</v>
      </c>
      <c r="I18" s="31">
        <f t="shared" si="2"/>
        <v>0</v>
      </c>
      <c r="J18" s="32">
        <f t="shared" ref="J18:J23" si="5">G18/$G$46</f>
        <v>0.34017492358273121</v>
      </c>
      <c r="K18" s="61">
        <f t="shared" si="4"/>
        <v>0.3316529222513046</v>
      </c>
    </row>
    <row r="19" spans="1:11" x14ac:dyDescent="0.2">
      <c r="A19" s="106" t="s">
        <v>38</v>
      </c>
      <c r="B19" s="72">
        <v>1</v>
      </c>
      <c r="C19" s="77">
        <f>VLOOKUP($B$3,'Data for Bill Impacts'!$A$3:$Y$15,7,0)</f>
        <v>52.31</v>
      </c>
      <c r="D19" s="21">
        <f>B19*C19</f>
        <v>52.31</v>
      </c>
      <c r="E19" s="72">
        <f t="shared" ref="E19:E41" si="6">B19</f>
        <v>1</v>
      </c>
      <c r="F19" s="77">
        <f>VLOOKUP($B$3,'Data for Bill Impacts'!$A$3:$Y$15,17,0)</f>
        <v>58.26</v>
      </c>
      <c r="G19" s="21">
        <f>E19*F19</f>
        <v>58.26</v>
      </c>
      <c r="H19" s="21">
        <f t="shared" si="1"/>
        <v>5.9499999999999957</v>
      </c>
      <c r="I19" s="22">
        <f t="shared" si="2"/>
        <v>0.11374498183903643</v>
      </c>
      <c r="J19" s="22">
        <f t="shared" si="5"/>
        <v>0.50806478281198519</v>
      </c>
      <c r="K19" s="107">
        <f t="shared" si="4"/>
        <v>0.49533683476110041</v>
      </c>
    </row>
    <row r="20" spans="1:11" hidden="1" x14ac:dyDescent="0.2">
      <c r="A20" s="106" t="s">
        <v>83</v>
      </c>
      <c r="B20" s="72">
        <v>1</v>
      </c>
      <c r="C20" s="77">
        <f>VLOOKUP($B$3,'Data for Bill Impacts'!$A$3:$Y$15,8,0)</f>
        <v>0</v>
      </c>
      <c r="D20" s="21">
        <f>B20*C20</f>
        <v>0</v>
      </c>
      <c r="E20" s="72">
        <f t="shared" si="6"/>
        <v>1</v>
      </c>
      <c r="F20" s="77">
        <v>0</v>
      </c>
      <c r="G20" s="21">
        <f t="shared" ref="G20:G22" si="7">E20*F20</f>
        <v>0</v>
      </c>
      <c r="H20" s="21">
        <f t="shared" si="1"/>
        <v>0</v>
      </c>
      <c r="I20" s="22" t="str">
        <f t="shared" si="2"/>
        <v>N/A</v>
      </c>
      <c r="J20" s="22">
        <f t="shared" si="5"/>
        <v>0</v>
      </c>
      <c r="K20" s="107">
        <f t="shared" si="4"/>
        <v>0</v>
      </c>
    </row>
    <row r="21" spans="1:11" hidden="1" x14ac:dyDescent="0.2">
      <c r="A21" s="106" t="s">
        <v>115</v>
      </c>
      <c r="B21" s="72">
        <v>1</v>
      </c>
      <c r="C21" s="77">
        <f>VLOOKUP($B$3,'Data for Bill Impacts'!$A$3:$Y$15,11,0)</f>
        <v>0</v>
      </c>
      <c r="D21" s="21">
        <f t="shared" ref="D21:D22" si="8">B21*C21</f>
        <v>0</v>
      </c>
      <c r="E21" s="72">
        <f t="shared" si="6"/>
        <v>1</v>
      </c>
      <c r="F21" s="120">
        <f>VLOOKUP($B$3,'Data for Bill Impacts'!$A$3:$Y$15,12,0)</f>
        <v>0</v>
      </c>
      <c r="G21" s="21">
        <f t="shared" si="7"/>
        <v>0</v>
      </c>
      <c r="H21" s="21">
        <f t="shared" si="1"/>
        <v>0</v>
      </c>
      <c r="I21" s="22" t="str">
        <f t="shared" si="2"/>
        <v>N/A</v>
      </c>
      <c r="J21" s="22">
        <f t="shared" si="5"/>
        <v>0</v>
      </c>
      <c r="K21" s="107">
        <f t="shared" si="4"/>
        <v>0</v>
      </c>
    </row>
    <row r="22" spans="1:11" x14ac:dyDescent="0.2">
      <c r="A22" s="106" t="s">
        <v>85</v>
      </c>
      <c r="B22" s="72">
        <v>1</v>
      </c>
      <c r="C22" s="120">
        <f>VLOOKUP($B$3,'Data for Bill Impacts'!$A$3:$Y$15,13,0)</f>
        <v>4.0000000000000001E-3</v>
      </c>
      <c r="D22" s="21">
        <f t="shared" si="8"/>
        <v>4.0000000000000001E-3</v>
      </c>
      <c r="E22" s="72">
        <f t="shared" si="6"/>
        <v>1</v>
      </c>
      <c r="F22" s="120">
        <f>VLOOKUP($B$3,'Data for Bill Impacts'!$A$3:$Y$15,22,0)</f>
        <v>4.0000000000000001E-3</v>
      </c>
      <c r="G22" s="21">
        <f t="shared" si="7"/>
        <v>4.0000000000000001E-3</v>
      </c>
      <c r="H22" s="21">
        <f t="shared" si="1"/>
        <v>0</v>
      </c>
      <c r="I22" s="22">
        <f t="shared" si="2"/>
        <v>0</v>
      </c>
      <c r="J22" s="22">
        <f t="shared" si="5"/>
        <v>3.4882580350977354E-5</v>
      </c>
      <c r="K22" s="107">
        <f t="shared" si="4"/>
        <v>3.4008708188197765E-5</v>
      </c>
    </row>
    <row r="23" spans="1:11" x14ac:dyDescent="0.2">
      <c r="A23" s="106" t="s">
        <v>39</v>
      </c>
      <c r="B23" s="72">
        <f>IF($B$9="kWh",$B$4,$B$5)</f>
        <v>400</v>
      </c>
      <c r="C23" s="77">
        <f>VLOOKUP($B$3,'Data for Bill Impacts'!$A$3:$Y$15,10,0)</f>
        <v>1.1599999999999999E-2</v>
      </c>
      <c r="D23" s="21">
        <f>B23*C23</f>
        <v>4.6399999999999997</v>
      </c>
      <c r="E23" s="72">
        <f t="shared" si="6"/>
        <v>400</v>
      </c>
      <c r="F23" s="77">
        <f>VLOOKUP($B$3,'Data for Bill Impacts'!$A$3:$Y$15,19,0)</f>
        <v>6.6E-3</v>
      </c>
      <c r="G23" s="21">
        <f>E23*F23</f>
        <v>2.64</v>
      </c>
      <c r="H23" s="21">
        <f t="shared" si="1"/>
        <v>-1.9999999999999996</v>
      </c>
      <c r="I23" s="22">
        <f t="shared" si="2"/>
        <v>-0.43103448275862061</v>
      </c>
      <c r="J23" s="22">
        <f t="shared" si="5"/>
        <v>2.3022503031645054E-2</v>
      </c>
      <c r="K23" s="107">
        <f t="shared" si="4"/>
        <v>2.2445747404210525E-2</v>
      </c>
    </row>
    <row r="24" spans="1:11" x14ac:dyDescent="0.2">
      <c r="A24" s="106" t="s">
        <v>129</v>
      </c>
      <c r="B24" s="72">
        <f>IF($B$9="kWh",$B$4,$B$5)</f>
        <v>400</v>
      </c>
      <c r="C24" s="124">
        <f>VLOOKUP($B$3,'Data for Bill Impacts'!$A$3:$Y$15,14,0)</f>
        <v>2.0000000000000002E-5</v>
      </c>
      <c r="D24" s="21">
        <f>B24*C24</f>
        <v>8.0000000000000002E-3</v>
      </c>
      <c r="E24" s="72">
        <f t="shared" si="6"/>
        <v>400</v>
      </c>
      <c r="F24" s="124">
        <f>VLOOKUP($B$3,'Data for Bill Impacts'!$A$3:$Y$15,23,0)</f>
        <v>2.0000000000000002E-5</v>
      </c>
      <c r="G24" s="21">
        <f>E24*F24</f>
        <v>8.0000000000000002E-3</v>
      </c>
      <c r="H24" s="21">
        <f t="shared" si="1"/>
        <v>0</v>
      </c>
      <c r="I24" s="22">
        <f t="shared" si="2"/>
        <v>0</v>
      </c>
      <c r="J24" s="22">
        <f t="shared" ref="J24" si="9">G24/$G$46</f>
        <v>6.9765160701954707E-5</v>
      </c>
      <c r="K24" s="107">
        <f t="shared" si="4"/>
        <v>6.801741637639553E-5</v>
      </c>
    </row>
    <row r="25" spans="1:11" s="1" customFormat="1" x14ac:dyDescent="0.2">
      <c r="A25" s="109" t="s">
        <v>72</v>
      </c>
      <c r="B25" s="73"/>
      <c r="C25" s="34"/>
      <c r="D25" s="34">
        <f>SUM(D19:D24)</f>
        <v>56.962000000000003</v>
      </c>
      <c r="E25" s="72"/>
      <c r="F25" s="34"/>
      <c r="G25" s="34">
        <f>SUM(G19:G24)</f>
        <v>60.911999999999999</v>
      </c>
      <c r="H25" s="34">
        <f t="shared" si="1"/>
        <v>3.9499999999999957</v>
      </c>
      <c r="I25" s="35">
        <f t="shared" si="2"/>
        <v>6.9344475264211156E-2</v>
      </c>
      <c r="J25" s="35">
        <f>G25/$G$46</f>
        <v>0.5311919335846832</v>
      </c>
      <c r="K25" s="110">
        <f t="shared" si="4"/>
        <v>0.51788460828987559</v>
      </c>
    </row>
    <row r="26" spans="1:11" s="1" customFormat="1" x14ac:dyDescent="0.2">
      <c r="A26" s="118" t="s">
        <v>73</v>
      </c>
      <c r="B26" s="119">
        <v>1</v>
      </c>
      <c r="C26" s="77">
        <f>VLOOKUP($B$3,'Data for Bill Impacts'!$A$3:$Y$15,9,0)</f>
        <v>0.79</v>
      </c>
      <c r="D26" s="21">
        <f>B26*C26</f>
        <v>0.79</v>
      </c>
      <c r="E26" s="72">
        <v>1</v>
      </c>
      <c r="F26" s="77">
        <f>VLOOKUP($B$3,'Data for Bill Impacts'!$A$3:$Y$15,18,0)</f>
        <v>0.79</v>
      </c>
      <c r="G26" s="21">
        <f>E26*F26</f>
        <v>0.79</v>
      </c>
      <c r="H26" s="21">
        <f t="shared" si="1"/>
        <v>0</v>
      </c>
      <c r="I26" s="22">
        <f t="shared" si="2"/>
        <v>0</v>
      </c>
      <c r="J26" s="22">
        <f>G26/$G$46</f>
        <v>6.889309619318028E-3</v>
      </c>
      <c r="K26" s="107">
        <f t="shared" si="4"/>
        <v>6.7167198671690591E-3</v>
      </c>
    </row>
    <row r="27" spans="1:11" s="1" customFormat="1" x14ac:dyDescent="0.2">
      <c r="A27" s="118" t="s">
        <v>75</v>
      </c>
      <c r="B27" s="119">
        <f>B8-B4</f>
        <v>30.400000000000034</v>
      </c>
      <c r="C27" s="186">
        <f>IF(B4&gt;B7,C13,C12)</f>
        <v>9.0999999999999998E-2</v>
      </c>
      <c r="D27" s="21">
        <f>B27*C27</f>
        <v>2.7664000000000031</v>
      </c>
      <c r="E27" s="72">
        <f>B27</f>
        <v>30.400000000000034</v>
      </c>
      <c r="F27" s="186">
        <f>C27</f>
        <v>9.0999999999999998E-2</v>
      </c>
      <c r="G27" s="21">
        <f>E27*F27</f>
        <v>2.7664000000000031</v>
      </c>
      <c r="H27" s="21">
        <f t="shared" si="1"/>
        <v>0</v>
      </c>
      <c r="I27" s="22">
        <f t="shared" si="2"/>
        <v>0</v>
      </c>
      <c r="J27" s="22">
        <f t="shared" ref="J27:J46" si="10">G27/$G$46</f>
        <v>2.4124792570735965E-2</v>
      </c>
      <c r="K27" s="107">
        <f t="shared" ref="K27:K41" si="11">G27/$G$51</f>
        <v>2.3520422582957601E-2</v>
      </c>
    </row>
    <row r="28" spans="1:11" s="1" customFormat="1" x14ac:dyDescent="0.2">
      <c r="A28" s="118" t="s">
        <v>74</v>
      </c>
      <c r="B28" s="119">
        <f>B8-B4</f>
        <v>30.400000000000034</v>
      </c>
      <c r="C28" s="186">
        <f>0.65*C15+0.17*C16+0.18*C17</f>
        <v>9.7519999999999996E-2</v>
      </c>
      <c r="D28" s="21">
        <f>B28*C28</f>
        <v>2.9646080000000032</v>
      </c>
      <c r="E28" s="72">
        <f>B28</f>
        <v>30.400000000000034</v>
      </c>
      <c r="F28" s="186">
        <f>C28</f>
        <v>9.7519999999999996E-2</v>
      </c>
      <c r="G28" s="21">
        <f>E28*F28</f>
        <v>2.9646080000000032</v>
      </c>
      <c r="H28" s="21">
        <f t="shared" si="1"/>
        <v>0</v>
      </c>
      <c r="I28" s="22">
        <f t="shared" si="2"/>
        <v>0</v>
      </c>
      <c r="J28" s="22">
        <f t="shared" si="10"/>
        <v>2.5853294192287598E-2</v>
      </c>
      <c r="K28" s="107">
        <f t="shared" si="11"/>
        <v>2.5205622091099177E-2</v>
      </c>
    </row>
    <row r="29" spans="1:11" s="1" customFormat="1" x14ac:dyDescent="0.2">
      <c r="A29" s="109" t="s">
        <v>78</v>
      </c>
      <c r="B29" s="73"/>
      <c r="C29" s="34"/>
      <c r="D29" s="34">
        <f>SUM(D25,D26:D27)</f>
        <v>60.518400000000007</v>
      </c>
      <c r="E29" s="72"/>
      <c r="F29" s="34"/>
      <c r="G29" s="34">
        <f>SUM(G25,G26:G27)</f>
        <v>64.468400000000003</v>
      </c>
      <c r="H29" s="34">
        <f t="shared" si="1"/>
        <v>3.9499999999999957</v>
      </c>
      <c r="I29" s="35">
        <f t="shared" si="2"/>
        <v>6.5269405668358635E-2</v>
      </c>
      <c r="J29" s="35">
        <f t="shared" si="10"/>
        <v>0.56220603577473716</v>
      </c>
      <c r="K29" s="110">
        <f t="shared" si="11"/>
        <v>0.54812175074000224</v>
      </c>
    </row>
    <row r="30" spans="1:11" s="1" customFormat="1" x14ac:dyDescent="0.2">
      <c r="A30" s="109" t="s">
        <v>77</v>
      </c>
      <c r="B30" s="73"/>
      <c r="C30" s="34"/>
      <c r="D30" s="34">
        <f>SUM(D25,D26,D28)</f>
        <v>60.716608000000008</v>
      </c>
      <c r="E30" s="72"/>
      <c r="F30" s="34"/>
      <c r="G30" s="34">
        <f>SUM(G25,G26,G28)</f>
        <v>64.666607999999997</v>
      </c>
      <c r="H30" s="34">
        <f t="shared" si="1"/>
        <v>3.9499999999999886</v>
      </c>
      <c r="I30" s="35">
        <f t="shared" si="2"/>
        <v>6.5056335162860024E-2</v>
      </c>
      <c r="J30" s="35">
        <f t="shared" si="10"/>
        <v>0.56393453739628874</v>
      </c>
      <c r="K30" s="110">
        <f t="shared" si="11"/>
        <v>0.54980695024814374</v>
      </c>
    </row>
    <row r="31" spans="1:11" x14ac:dyDescent="0.2">
      <c r="A31" s="106" t="s">
        <v>40</v>
      </c>
      <c r="B31" s="72">
        <f>B8</f>
        <v>430.40000000000003</v>
      </c>
      <c r="C31" s="124">
        <f>VLOOKUP($B$3,'Data for Bill Impacts'!$A$3:$Y$15,15,0)</f>
        <v>7.1999999999999998E-3</v>
      </c>
      <c r="D31" s="21">
        <f>B31*C31</f>
        <v>3.0988800000000003</v>
      </c>
      <c r="E31" s="72">
        <f t="shared" si="6"/>
        <v>430.40000000000003</v>
      </c>
      <c r="F31" s="77">
        <f>VLOOKUP($B$3,'Data for Bill Impacts'!$A$3:$Y$15,24,0)</f>
        <v>7.1999999999999998E-3</v>
      </c>
      <c r="G31" s="21">
        <f>E31*F31</f>
        <v>3.0988800000000003</v>
      </c>
      <c r="H31" s="21">
        <f t="shared" si="1"/>
        <v>0</v>
      </c>
      <c r="I31" s="22">
        <f t="shared" si="2"/>
        <v>0</v>
      </c>
      <c r="J31" s="22">
        <f t="shared" si="10"/>
        <v>2.7024232649509181E-2</v>
      </c>
      <c r="K31" s="107">
        <f t="shared" si="11"/>
        <v>2.6347226407560573E-2</v>
      </c>
    </row>
    <row r="32" spans="1:11" x14ac:dyDescent="0.2">
      <c r="A32" s="106" t="s">
        <v>41</v>
      </c>
      <c r="B32" s="72">
        <f>B8</f>
        <v>430.40000000000003</v>
      </c>
      <c r="C32" s="124">
        <f>VLOOKUP($B$3,'Data for Bill Impacts'!$A$3:$Y$15,16,0)</f>
        <v>5.8999999999999999E-3</v>
      </c>
      <c r="D32" s="21">
        <f>B32*C32</f>
        <v>2.5393600000000003</v>
      </c>
      <c r="E32" s="72">
        <f t="shared" si="6"/>
        <v>430.40000000000003</v>
      </c>
      <c r="F32" s="77">
        <f>VLOOKUP($B$3,'Data for Bill Impacts'!$A$3:$Y$15,25,0)</f>
        <v>5.8999999999999999E-3</v>
      </c>
      <c r="G32" s="21">
        <f>E32*F32</f>
        <v>2.5393600000000003</v>
      </c>
      <c r="H32" s="21">
        <f t="shared" si="1"/>
        <v>0</v>
      </c>
      <c r="I32" s="22">
        <f t="shared" si="2"/>
        <v>0</v>
      </c>
      <c r="J32" s="22">
        <f t="shared" si="10"/>
        <v>2.2144857310014466E-2</v>
      </c>
      <c r="K32" s="107">
        <f t="shared" si="11"/>
        <v>2.1590088306195472E-2</v>
      </c>
    </row>
    <row r="33" spans="1:11" s="1" customFormat="1" x14ac:dyDescent="0.2">
      <c r="A33" s="109" t="s">
        <v>76</v>
      </c>
      <c r="B33" s="73"/>
      <c r="C33" s="34"/>
      <c r="D33" s="34">
        <f>SUM(D31:D32)</f>
        <v>5.6382400000000006</v>
      </c>
      <c r="E33" s="72"/>
      <c r="F33" s="34"/>
      <c r="G33" s="34">
        <f>SUM(G31:G32)</f>
        <v>5.6382400000000006</v>
      </c>
      <c r="H33" s="34">
        <f t="shared" si="1"/>
        <v>0</v>
      </c>
      <c r="I33" s="35">
        <f t="shared" si="2"/>
        <v>0</v>
      </c>
      <c r="J33" s="35">
        <f t="shared" si="10"/>
        <v>4.9169089959523647E-2</v>
      </c>
      <c r="K33" s="110">
        <f t="shared" si="11"/>
        <v>4.7937314713756049E-2</v>
      </c>
    </row>
    <row r="34" spans="1:11" s="1" customFormat="1" x14ac:dyDescent="0.2">
      <c r="A34" s="109" t="s">
        <v>93</v>
      </c>
      <c r="B34" s="73"/>
      <c r="C34" s="34"/>
      <c r="D34" s="34">
        <f>D29+D33</f>
        <v>66.15664000000001</v>
      </c>
      <c r="E34" s="72"/>
      <c r="F34" s="34"/>
      <c r="G34" s="34">
        <f>G29+G33</f>
        <v>70.106639999999999</v>
      </c>
      <c r="H34" s="34">
        <f t="shared" si="1"/>
        <v>3.9499999999999886</v>
      </c>
      <c r="I34" s="35">
        <f t="shared" si="2"/>
        <v>5.9706780755491635E-2</v>
      </c>
      <c r="J34" s="35">
        <f t="shared" si="10"/>
        <v>0.61137512573426078</v>
      </c>
      <c r="K34" s="110">
        <f t="shared" si="11"/>
        <v>0.5960590654537582</v>
      </c>
    </row>
    <row r="35" spans="1:11" s="1" customFormat="1" x14ac:dyDescent="0.2">
      <c r="A35" s="109" t="s">
        <v>94</v>
      </c>
      <c r="B35" s="73"/>
      <c r="C35" s="34"/>
      <c r="D35" s="34">
        <f>D30+D33</f>
        <v>66.354848000000004</v>
      </c>
      <c r="E35" s="72"/>
      <c r="F35" s="34"/>
      <c r="G35" s="34">
        <f>G30+G33</f>
        <v>70.304847999999993</v>
      </c>
      <c r="H35" s="34">
        <f t="shared" si="1"/>
        <v>3.9499999999999886</v>
      </c>
      <c r="I35" s="35">
        <f t="shared" si="2"/>
        <v>5.9528431140404216E-2</v>
      </c>
      <c r="J35" s="35">
        <f t="shared" si="10"/>
        <v>0.61310362735581236</v>
      </c>
      <c r="K35" s="110">
        <f t="shared" si="11"/>
        <v>0.5977442649618997</v>
      </c>
    </row>
    <row r="36" spans="1:11" x14ac:dyDescent="0.2">
      <c r="A36" s="106" t="s">
        <v>42</v>
      </c>
      <c r="B36" s="72">
        <f>B8</f>
        <v>430.40000000000003</v>
      </c>
      <c r="C36" s="33">
        <v>3.5999999999999999E-3</v>
      </c>
      <c r="D36" s="21">
        <f>B36*C36</f>
        <v>1.5494400000000002</v>
      </c>
      <c r="E36" s="72">
        <f t="shared" si="6"/>
        <v>430.40000000000003</v>
      </c>
      <c r="F36" s="33">
        <v>3.5999999999999999E-3</v>
      </c>
      <c r="G36" s="21">
        <f>E36*F36</f>
        <v>1.5494400000000002</v>
      </c>
      <c r="H36" s="21">
        <f t="shared" si="1"/>
        <v>0</v>
      </c>
      <c r="I36" s="22">
        <f t="shared" si="2"/>
        <v>0</v>
      </c>
      <c r="J36" s="22">
        <f t="shared" si="10"/>
        <v>1.3512116324754591E-2</v>
      </c>
      <c r="K36" s="107">
        <f t="shared" si="11"/>
        <v>1.3173613203780287E-2</v>
      </c>
    </row>
    <row r="37" spans="1:11" x14ac:dyDescent="0.2">
      <c r="A37" s="106" t="s">
        <v>43</v>
      </c>
      <c r="B37" s="72">
        <f>B8</f>
        <v>430.40000000000003</v>
      </c>
      <c r="C37" s="33">
        <v>2.0999999999999999E-3</v>
      </c>
      <c r="D37" s="21">
        <f>B37*C37</f>
        <v>0.90383999999999998</v>
      </c>
      <c r="E37" s="72">
        <f t="shared" si="6"/>
        <v>430.40000000000003</v>
      </c>
      <c r="F37" s="33">
        <v>2.0999999999999999E-3</v>
      </c>
      <c r="G37" s="21">
        <f>E37*F37</f>
        <v>0.90383999999999998</v>
      </c>
      <c r="H37" s="21">
        <f>G37-D37</f>
        <v>0</v>
      </c>
      <c r="I37" s="22">
        <f t="shared" si="2"/>
        <v>0</v>
      </c>
      <c r="J37" s="22">
        <f t="shared" si="10"/>
        <v>7.8820678561068429E-3</v>
      </c>
      <c r="K37" s="107">
        <f t="shared" si="11"/>
        <v>7.6846077022051668E-3</v>
      </c>
    </row>
    <row r="38" spans="1:11" x14ac:dyDescent="0.2">
      <c r="A38" s="106" t="s">
        <v>99</v>
      </c>
      <c r="B38" s="72">
        <f>B8</f>
        <v>430.40000000000003</v>
      </c>
      <c r="C38" s="33">
        <v>0</v>
      </c>
      <c r="D38" s="21">
        <f>B38*C38</f>
        <v>0</v>
      </c>
      <c r="E38" s="72">
        <f t="shared" si="6"/>
        <v>430.40000000000003</v>
      </c>
      <c r="F38" s="33">
        <v>0</v>
      </c>
      <c r="G38" s="21">
        <f>E38*F38</f>
        <v>0</v>
      </c>
      <c r="H38" s="21">
        <f>G38-D38</f>
        <v>0</v>
      </c>
      <c r="I38" s="22" t="str">
        <f t="shared" si="2"/>
        <v>N/A</v>
      </c>
      <c r="J38" s="22">
        <f t="shared" ref="J38" si="12">G38/$G$46</f>
        <v>0</v>
      </c>
      <c r="K38" s="107">
        <f t="shared" ref="K38" si="13">G38/$G$51</f>
        <v>0</v>
      </c>
    </row>
    <row r="39" spans="1:11" x14ac:dyDescent="0.2">
      <c r="A39" s="106" t="s">
        <v>44</v>
      </c>
      <c r="B39" s="72">
        <v>1</v>
      </c>
      <c r="C39" s="21">
        <v>0.25</v>
      </c>
      <c r="D39" s="21">
        <f>B39*C39</f>
        <v>0.25</v>
      </c>
      <c r="E39" s="72">
        <f t="shared" si="6"/>
        <v>1</v>
      </c>
      <c r="F39" s="21">
        <f>C39</f>
        <v>0.25</v>
      </c>
      <c r="G39" s="21">
        <f>E39*F39</f>
        <v>0.25</v>
      </c>
      <c r="H39" s="21">
        <f t="shared" si="1"/>
        <v>0</v>
      </c>
      <c r="I39" s="22">
        <f t="shared" si="2"/>
        <v>0</v>
      </c>
      <c r="J39" s="22">
        <f t="shared" si="10"/>
        <v>2.1801612719360847E-3</v>
      </c>
      <c r="K39" s="107">
        <f t="shared" si="11"/>
        <v>2.1255442617623601E-3</v>
      </c>
    </row>
    <row r="40" spans="1:11" s="1" customFormat="1" x14ac:dyDescent="0.2">
      <c r="A40" s="109" t="s">
        <v>45</v>
      </c>
      <c r="B40" s="73"/>
      <c r="C40" s="34"/>
      <c r="D40" s="34">
        <f>SUM(D36:D39)</f>
        <v>2.7032800000000003</v>
      </c>
      <c r="E40" s="72"/>
      <c r="F40" s="34"/>
      <c r="G40" s="34">
        <f>SUM(G36:G39)</f>
        <v>2.7032800000000003</v>
      </c>
      <c r="H40" s="34">
        <f t="shared" si="1"/>
        <v>0</v>
      </c>
      <c r="I40" s="35">
        <f t="shared" si="2"/>
        <v>0</v>
      </c>
      <c r="J40" s="35">
        <f t="shared" si="10"/>
        <v>2.3574345452797518E-2</v>
      </c>
      <c r="K40" s="110">
        <f t="shared" si="11"/>
        <v>2.2983765167747815E-2</v>
      </c>
    </row>
    <row r="41" spans="1:11" s="1" customFormat="1" ht="13.5" thickBot="1" x14ac:dyDescent="0.25">
      <c r="A41" s="111" t="s">
        <v>46</v>
      </c>
      <c r="B41" s="112">
        <f>B4</f>
        <v>400</v>
      </c>
      <c r="C41" s="113">
        <v>0</v>
      </c>
      <c r="D41" s="114">
        <f>B41*C41</f>
        <v>0</v>
      </c>
      <c r="E41" s="115">
        <f t="shared" si="6"/>
        <v>400</v>
      </c>
      <c r="F41" s="113">
        <f>C41</f>
        <v>0</v>
      </c>
      <c r="G41" s="114">
        <f>E41*F41</f>
        <v>0</v>
      </c>
      <c r="H41" s="114">
        <f t="shared" si="1"/>
        <v>0</v>
      </c>
      <c r="I41" s="116" t="str">
        <f t="shared" si="2"/>
        <v>N/A</v>
      </c>
      <c r="J41" s="116">
        <f t="shared" si="10"/>
        <v>0</v>
      </c>
      <c r="K41" s="117">
        <f t="shared" si="11"/>
        <v>0</v>
      </c>
    </row>
    <row r="42" spans="1:11" s="1" customFormat="1" x14ac:dyDescent="0.2">
      <c r="A42" s="36" t="s">
        <v>107</v>
      </c>
      <c r="B42" s="37"/>
      <c r="C42" s="38"/>
      <c r="D42" s="38">
        <f>SUM(D14,D25,D26,D27,D33,D40,D41)</f>
        <v>105.25992000000001</v>
      </c>
      <c r="E42" s="37"/>
      <c r="F42" s="38"/>
      <c r="G42" s="38">
        <f>SUM(G14,G25,G26,G27,G33,G40,G41)</f>
        <v>109.20992000000001</v>
      </c>
      <c r="H42" s="38">
        <f t="shared" si="1"/>
        <v>3.9500000000000028</v>
      </c>
      <c r="I42" s="39">
        <f t="shared" si="2"/>
        <v>3.7526154304506433E-2</v>
      </c>
      <c r="J42" s="39">
        <f t="shared" si="10"/>
        <v>0.95238095238095233</v>
      </c>
      <c r="K42" s="40"/>
    </row>
    <row r="43" spans="1:11" x14ac:dyDescent="0.2">
      <c r="A43" s="142" t="s">
        <v>108</v>
      </c>
      <c r="B43" s="42"/>
      <c r="C43" s="25">
        <v>0.13</v>
      </c>
      <c r="D43" s="25">
        <f>D42*C43</f>
        <v>13.683789600000001</v>
      </c>
      <c r="E43" s="25"/>
      <c r="F43" s="25">
        <f>C43</f>
        <v>0.13</v>
      </c>
      <c r="G43" s="25">
        <f>G42*F43</f>
        <v>14.197289600000001</v>
      </c>
      <c r="H43" s="25">
        <f t="shared" si="1"/>
        <v>0.51350000000000051</v>
      </c>
      <c r="I43" s="43">
        <f t="shared" si="2"/>
        <v>3.752615430450644E-2</v>
      </c>
      <c r="J43" s="43">
        <f t="shared" si="10"/>
        <v>0.1238095238095238</v>
      </c>
      <c r="K43" s="44"/>
    </row>
    <row r="44" spans="1:11" s="1" customFormat="1" x14ac:dyDescent="0.2">
      <c r="A44" s="45" t="s">
        <v>109</v>
      </c>
      <c r="B44" s="23"/>
      <c r="C44" s="24"/>
      <c r="D44" s="24">
        <f>SUM(D42:D43)</f>
        <v>118.94370960000001</v>
      </c>
      <c r="E44" s="24"/>
      <c r="F44" s="24"/>
      <c r="G44" s="24">
        <f>SUM(G42:G43)</f>
        <v>123.40720960000002</v>
      </c>
      <c r="H44" s="24">
        <f t="shared" si="1"/>
        <v>4.4635000000000105</v>
      </c>
      <c r="I44" s="26">
        <f t="shared" si="2"/>
        <v>3.7526154304506495E-2</v>
      </c>
      <c r="J44" s="26">
        <f t="shared" si="10"/>
        <v>1.0761904761904761</v>
      </c>
      <c r="K44" s="46"/>
    </row>
    <row r="45" spans="1:11" x14ac:dyDescent="0.2">
      <c r="A45" s="41" t="s">
        <v>110</v>
      </c>
      <c r="B45" s="42"/>
      <c r="C45" s="25">
        <v>-0.08</v>
      </c>
      <c r="D45" s="25">
        <f>D42*C45</f>
        <v>-8.4207936000000014</v>
      </c>
      <c r="E45" s="25"/>
      <c r="F45" s="25">
        <f>C45</f>
        <v>-0.08</v>
      </c>
      <c r="G45" s="25">
        <f>G42*F45</f>
        <v>-8.7367936000000004</v>
      </c>
      <c r="H45" s="25">
        <f t="shared" si="1"/>
        <v>-0.31599999999999895</v>
      </c>
      <c r="I45" s="43">
        <f t="shared" si="2"/>
        <v>-3.7526154304506273E-2</v>
      </c>
      <c r="J45" s="43">
        <f t="shared" si="10"/>
        <v>-7.6190476190476183E-2</v>
      </c>
      <c r="K45" s="44"/>
    </row>
    <row r="46" spans="1:11" s="1" customFormat="1" ht="13.5" thickBot="1" x14ac:dyDescent="0.25">
      <c r="A46" s="47" t="s">
        <v>111</v>
      </c>
      <c r="B46" s="48"/>
      <c r="C46" s="49"/>
      <c r="D46" s="49">
        <f>SUM(D44:D45)</f>
        <v>110.52291600000001</v>
      </c>
      <c r="E46" s="49"/>
      <c r="F46" s="49"/>
      <c r="G46" s="49">
        <f>SUM(G44:G45)</f>
        <v>114.67041600000002</v>
      </c>
      <c r="H46" s="49">
        <f t="shared" si="1"/>
        <v>4.147500000000008</v>
      </c>
      <c r="I46" s="50">
        <f t="shared" si="2"/>
        <v>3.7526154304506475E-2</v>
      </c>
      <c r="J46" s="50">
        <f t="shared" si="10"/>
        <v>1</v>
      </c>
      <c r="K46" s="51"/>
    </row>
    <row r="47" spans="1:11" x14ac:dyDescent="0.2">
      <c r="A47" s="52" t="s">
        <v>112</v>
      </c>
      <c r="B47" s="53"/>
      <c r="C47" s="54"/>
      <c r="D47" s="54">
        <f>SUM(D18,D25,D26,D28,D33,D40,D41)</f>
        <v>108.06612800000001</v>
      </c>
      <c r="E47" s="54"/>
      <c r="F47" s="54"/>
      <c r="G47" s="54">
        <f>SUM(G18,G25,G26,G28,G33,G40,G41)</f>
        <v>112.01612800000001</v>
      </c>
      <c r="H47" s="54">
        <f>G47-D47</f>
        <v>3.9500000000000028</v>
      </c>
      <c r="I47" s="55">
        <f t="shared" si="2"/>
        <v>3.6551693607454895E-2</v>
      </c>
      <c r="J47" s="55"/>
      <c r="K47" s="56">
        <f>G47/$G$51</f>
        <v>0.95238095238095233</v>
      </c>
    </row>
    <row r="48" spans="1:11" x14ac:dyDescent="0.2">
      <c r="A48" s="143" t="s">
        <v>108</v>
      </c>
      <c r="B48" s="58"/>
      <c r="C48" s="30">
        <v>0.13</v>
      </c>
      <c r="D48" s="30">
        <f>D47*C48</f>
        <v>14.048596640000001</v>
      </c>
      <c r="E48" s="30"/>
      <c r="F48" s="30">
        <f>C48</f>
        <v>0.13</v>
      </c>
      <c r="G48" s="30">
        <f>G47*F48</f>
        <v>14.562096640000002</v>
      </c>
      <c r="H48" s="30">
        <f>G48-D48</f>
        <v>0.51350000000000051</v>
      </c>
      <c r="I48" s="31">
        <f t="shared" si="2"/>
        <v>3.6551693607454902E-2</v>
      </c>
      <c r="J48" s="31"/>
      <c r="K48" s="59">
        <f>G48/$G$51</f>
        <v>0.1238095238095238</v>
      </c>
    </row>
    <row r="49" spans="1:11" x14ac:dyDescent="0.2">
      <c r="A49" s="60" t="s">
        <v>113</v>
      </c>
      <c r="B49" s="28"/>
      <c r="C49" s="29"/>
      <c r="D49" s="29">
        <f>SUM(D47:D48)</f>
        <v>122.11472464000001</v>
      </c>
      <c r="E49" s="29"/>
      <c r="F49" s="29"/>
      <c r="G49" s="29">
        <f>SUM(G47:G48)</f>
        <v>126.57822464000002</v>
      </c>
      <c r="H49" s="29">
        <f>G49-D49</f>
        <v>4.4635000000000105</v>
      </c>
      <c r="I49" s="32">
        <f t="shared" si="2"/>
        <v>3.6551693607454958E-2</v>
      </c>
      <c r="J49" s="32"/>
      <c r="K49" s="61">
        <f>G49/$G$51</f>
        <v>1.0761904761904761</v>
      </c>
    </row>
    <row r="50" spans="1:11" x14ac:dyDescent="0.2">
      <c r="A50" s="57" t="s">
        <v>110</v>
      </c>
      <c r="B50" s="58"/>
      <c r="C50" s="30">
        <v>-0.08</v>
      </c>
      <c r="D50" s="30">
        <f>D47*C50</f>
        <v>-8.6452902400000013</v>
      </c>
      <c r="E50" s="30"/>
      <c r="F50" s="30">
        <f>C50</f>
        <v>-0.08</v>
      </c>
      <c r="G50" s="30">
        <f>G47*F50</f>
        <v>-8.9612902400000003</v>
      </c>
      <c r="H50" s="30">
        <f>G50-D50</f>
        <v>-0.31599999999999895</v>
      </c>
      <c r="I50" s="31">
        <f t="shared" si="2"/>
        <v>-3.6551693607454742E-2</v>
      </c>
      <c r="J50" s="31"/>
      <c r="K50" s="59">
        <f>G50/$G$51</f>
        <v>-7.6190476190476183E-2</v>
      </c>
    </row>
    <row r="51" spans="1:11" ht="13.5" thickBot="1" x14ac:dyDescent="0.25">
      <c r="A51" s="62" t="s">
        <v>114</v>
      </c>
      <c r="B51" s="63"/>
      <c r="C51" s="64"/>
      <c r="D51" s="64">
        <f>SUM(D49:D50)</f>
        <v>113.46943440000001</v>
      </c>
      <c r="E51" s="64"/>
      <c r="F51" s="64"/>
      <c r="G51" s="64">
        <f>SUM(G49:G50)</f>
        <v>117.61693440000002</v>
      </c>
      <c r="H51" s="64">
        <f>G51-D51</f>
        <v>4.147500000000008</v>
      </c>
      <c r="I51" s="65">
        <f t="shared" si="2"/>
        <v>3.6551693607454937E-2</v>
      </c>
      <c r="J51" s="65"/>
      <c r="K51" s="66">
        <f>G51/$G$51</f>
        <v>1</v>
      </c>
    </row>
    <row r="52" spans="1:11" x14ac:dyDescent="0.2">
      <c r="C52" s="67"/>
      <c r="F52" s="68"/>
    </row>
    <row r="53" spans="1:11" x14ac:dyDescent="0.2">
      <c r="F53" s="68"/>
    </row>
    <row r="54" spans="1:11" x14ac:dyDescent="0.2">
      <c r="F54" s="68"/>
    </row>
    <row r="55" spans="1:11" x14ac:dyDescent="0.2">
      <c r="A55" s="69"/>
      <c r="B55" s="70"/>
      <c r="F55" s="68"/>
    </row>
    <row r="56" spans="1:11" x14ac:dyDescent="0.2">
      <c r="B56" s="70"/>
      <c r="F56" s="68"/>
    </row>
    <row r="57" spans="1:11" x14ac:dyDescent="0.2">
      <c r="F57" s="68"/>
    </row>
    <row r="58" spans="1:11" x14ac:dyDescent="0.2">
      <c r="D58" s="71"/>
      <c r="F58" s="68"/>
    </row>
    <row r="59" spans="1:11" x14ac:dyDescent="0.2">
      <c r="F59" s="68"/>
    </row>
    <row r="60" spans="1:11" x14ac:dyDescent="0.2">
      <c r="A60" s="69"/>
      <c r="B60" s="70"/>
      <c r="F60" s="68"/>
    </row>
    <row r="61" spans="1:11" x14ac:dyDescent="0.2">
      <c r="B61" s="71"/>
      <c r="D61" s="71"/>
      <c r="F61" s="68"/>
    </row>
    <row r="62" spans="1:11" x14ac:dyDescent="0.2">
      <c r="F62" s="68"/>
    </row>
    <row r="63" spans="1:11" x14ac:dyDescent="0.2">
      <c r="F63" s="68"/>
    </row>
    <row r="64" spans="1:11" x14ac:dyDescent="0.2">
      <c r="F64" s="68"/>
    </row>
    <row r="65" spans="6:6" x14ac:dyDescent="0.2">
      <c r="F65" s="68"/>
    </row>
    <row r="66" spans="6:6" x14ac:dyDescent="0.2">
      <c r="F66" s="68"/>
    </row>
    <row r="67" spans="6:6" x14ac:dyDescent="0.2">
      <c r="F67" s="68"/>
    </row>
    <row r="68" spans="6:6" x14ac:dyDescent="0.2">
      <c r="F68" s="68"/>
    </row>
  </sheetData>
  <mergeCells count="1">
    <mergeCell ref="A1:K1"/>
  </mergeCells>
  <pageMargins left="0.7" right="0.7" top="0.75" bottom="0.75" header="0.3" footer="0.3"/>
  <pageSetup scale="7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1" tint="0.499984740745262"/>
    <pageSetUpPr fitToPage="1"/>
  </sheetPr>
  <dimension ref="A1:K68"/>
  <sheetViews>
    <sheetView tabSelected="1" zoomScaleNormal="100" zoomScaleSheetLayoutView="100" workbookViewId="0">
      <selection activeCell="N13" sqref="N13"/>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3"/>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205" t="s">
        <v>126</v>
      </c>
      <c r="B1" s="206"/>
      <c r="C1" s="206"/>
      <c r="D1" s="206"/>
      <c r="E1" s="206"/>
      <c r="F1" s="206"/>
      <c r="G1" s="206"/>
      <c r="H1" s="206"/>
      <c r="I1" s="206"/>
      <c r="J1" s="206"/>
      <c r="K1" s="207"/>
    </row>
    <row r="3" spans="1:11" x14ac:dyDescent="0.2">
      <c r="A3" s="12" t="s">
        <v>13</v>
      </c>
      <c r="B3" s="12" t="s">
        <v>1</v>
      </c>
    </row>
    <row r="4" spans="1:11" x14ac:dyDescent="0.2">
      <c r="A4" s="14" t="s">
        <v>62</v>
      </c>
      <c r="B4" s="14">
        <v>750</v>
      </c>
    </row>
    <row r="5" spans="1:11" x14ac:dyDescent="0.2">
      <c r="A5" s="14" t="s">
        <v>16</v>
      </c>
      <c r="B5" s="14">
        <f>VLOOKUP($B$3,'Data for Bill Impacts'!$A$3:$Y$15,5,0)</f>
        <v>0</v>
      </c>
    </row>
    <row r="6" spans="1:11" x14ac:dyDescent="0.2">
      <c r="A6" s="14" t="s">
        <v>20</v>
      </c>
      <c r="B6" s="14">
        <f>VLOOKUP($B$3,'Data for Bill Impacts'!$A$3:$Y$15,2,0)</f>
        <v>1.0760000000000001</v>
      </c>
    </row>
    <row r="7" spans="1:11" x14ac:dyDescent="0.2">
      <c r="A7" s="14" t="s">
        <v>15</v>
      </c>
      <c r="B7" s="14">
        <f>VLOOKUP($B$3,'Data for Bill Impacts'!$A$3:$Y$15,4,0)</f>
        <v>600</v>
      </c>
    </row>
    <row r="8" spans="1:11" x14ac:dyDescent="0.2">
      <c r="A8" s="14" t="s">
        <v>82</v>
      </c>
      <c r="B8" s="148">
        <f>B4*B6</f>
        <v>807</v>
      </c>
    </row>
    <row r="9" spans="1:11" x14ac:dyDescent="0.2">
      <c r="A9" s="14" t="s">
        <v>21</v>
      </c>
      <c r="B9" s="15" t="str">
        <f>VLOOKUP($B$3,'Data for Bill Impacts'!$A$3:$Y$15,6,0)</f>
        <v>kWh</v>
      </c>
    </row>
    <row r="10" spans="1:11" ht="13.5" thickBot="1" x14ac:dyDescent="0.25"/>
    <row r="11" spans="1:11" s="19" customFormat="1" ht="39" thickBot="1" x14ac:dyDescent="0.25">
      <c r="A11" s="16"/>
      <c r="B11" s="17" t="s">
        <v>22</v>
      </c>
      <c r="C11" s="17" t="s">
        <v>23</v>
      </c>
      <c r="D11" s="17" t="s">
        <v>24</v>
      </c>
      <c r="E11" s="17" t="s">
        <v>22</v>
      </c>
      <c r="F11" s="17" t="s">
        <v>25</v>
      </c>
      <c r="G11" s="17" t="s">
        <v>26</v>
      </c>
      <c r="H11" s="17" t="s">
        <v>27</v>
      </c>
      <c r="I11" s="17" t="s">
        <v>28</v>
      </c>
      <c r="J11" s="17" t="s">
        <v>29</v>
      </c>
      <c r="K11" s="18" t="s">
        <v>30</v>
      </c>
    </row>
    <row r="12" spans="1:11" x14ac:dyDescent="0.2">
      <c r="A12" s="100" t="s">
        <v>31</v>
      </c>
      <c r="B12" s="101">
        <f>IF(B4&gt;B7,B7,B4)</f>
        <v>600</v>
      </c>
      <c r="C12" s="102">
        <v>9.0999999999999998E-2</v>
      </c>
      <c r="D12" s="103">
        <f>B12*C12</f>
        <v>54.6</v>
      </c>
      <c r="E12" s="101">
        <f>B12</f>
        <v>600</v>
      </c>
      <c r="F12" s="102">
        <f>C12</f>
        <v>9.0999999999999998E-2</v>
      </c>
      <c r="G12" s="103">
        <f>E12*F12</f>
        <v>54.6</v>
      </c>
      <c r="H12" s="103">
        <f>G12-D12</f>
        <v>0</v>
      </c>
      <c r="I12" s="104">
        <f>IF(ISERROR(H12/ABS(D12)),"N/A",(H12/ABS(D12)))</f>
        <v>0</v>
      </c>
      <c r="J12" s="104">
        <f>G12/$G$46</f>
        <v>0.33337051696791831</v>
      </c>
      <c r="K12" s="105"/>
    </row>
    <row r="13" spans="1:11" x14ac:dyDescent="0.2">
      <c r="A13" s="106" t="s">
        <v>32</v>
      </c>
      <c r="B13" s="72">
        <f>IF(B4&gt;B7,(B4)-B7,0)</f>
        <v>150</v>
      </c>
      <c r="C13" s="20">
        <v>0.106</v>
      </c>
      <c r="D13" s="21">
        <f>B13*C13</f>
        <v>15.9</v>
      </c>
      <c r="E13" s="72">
        <f t="shared" ref="E13" si="0">B13</f>
        <v>150</v>
      </c>
      <c r="F13" s="20">
        <f>C13</f>
        <v>0.106</v>
      </c>
      <c r="G13" s="21">
        <f>E13*F13</f>
        <v>15.9</v>
      </c>
      <c r="H13" s="21">
        <f t="shared" ref="H13:H46" si="1">G13-D13</f>
        <v>0</v>
      </c>
      <c r="I13" s="22">
        <f t="shared" ref="I13:I51" si="2">IF(ISERROR(H13/ABS(D13)),"N/A",(H13/ABS(D13)))</f>
        <v>0</v>
      </c>
      <c r="J13" s="22">
        <f>G13/$G$46</f>
        <v>9.7080425270877319E-2</v>
      </c>
      <c r="K13" s="107"/>
    </row>
    <row r="14" spans="1:11" s="1" customFormat="1" x14ac:dyDescent="0.2">
      <c r="A14" s="45" t="s">
        <v>33</v>
      </c>
      <c r="B14" s="23"/>
      <c r="C14" s="24"/>
      <c r="D14" s="24">
        <f>SUM(D12:D13)</f>
        <v>70.5</v>
      </c>
      <c r="E14" s="75"/>
      <c r="F14" s="24"/>
      <c r="G14" s="24">
        <f>SUM(G12:G13)</f>
        <v>70.5</v>
      </c>
      <c r="H14" s="24">
        <f t="shared" si="1"/>
        <v>0</v>
      </c>
      <c r="I14" s="26">
        <f t="shared" si="2"/>
        <v>0</v>
      </c>
      <c r="J14" s="26">
        <f>G14/$G$46</f>
        <v>0.4304509422387956</v>
      </c>
      <c r="K14" s="107"/>
    </row>
    <row r="15" spans="1:11" s="1" customFormat="1" x14ac:dyDescent="0.2">
      <c r="A15" s="108" t="s">
        <v>34</v>
      </c>
      <c r="B15" s="74">
        <f>B4*0.65</f>
        <v>487.5</v>
      </c>
      <c r="C15" s="27">
        <v>7.6999999999999999E-2</v>
      </c>
      <c r="D15" s="21">
        <f>B15*C15</f>
        <v>37.537500000000001</v>
      </c>
      <c r="E15" s="72">
        <f t="shared" ref="E15:F17" si="3">B15</f>
        <v>487.5</v>
      </c>
      <c r="F15" s="27">
        <f t="shared" si="3"/>
        <v>7.6999999999999999E-2</v>
      </c>
      <c r="G15" s="21">
        <f>E15*F15</f>
        <v>37.537500000000001</v>
      </c>
      <c r="H15" s="21">
        <f t="shared" si="1"/>
        <v>0</v>
      </c>
      <c r="I15" s="22">
        <f t="shared" si="2"/>
        <v>0</v>
      </c>
      <c r="J15" s="22"/>
      <c r="K15" s="107">
        <f t="shared" ref="K15:K26" si="4">G15/$G$51</f>
        <v>0.22606659801830334</v>
      </c>
    </row>
    <row r="16" spans="1:11" s="1" customFormat="1" x14ac:dyDescent="0.2">
      <c r="A16" s="108" t="s">
        <v>35</v>
      </c>
      <c r="B16" s="74">
        <f>B4*0.17</f>
        <v>127.50000000000001</v>
      </c>
      <c r="C16" s="27">
        <v>0.113</v>
      </c>
      <c r="D16" s="21">
        <f>B16*C16</f>
        <v>14.407500000000002</v>
      </c>
      <c r="E16" s="72">
        <f t="shared" si="3"/>
        <v>127.50000000000001</v>
      </c>
      <c r="F16" s="27">
        <f t="shared" si="3"/>
        <v>0.113</v>
      </c>
      <c r="G16" s="21">
        <f>E16*F16</f>
        <v>14.407500000000002</v>
      </c>
      <c r="H16" s="21">
        <f t="shared" si="1"/>
        <v>0</v>
      </c>
      <c r="I16" s="22">
        <f t="shared" si="2"/>
        <v>0</v>
      </c>
      <c r="J16" s="22"/>
      <c r="K16" s="107">
        <f t="shared" si="4"/>
        <v>8.6768018939692465E-2</v>
      </c>
    </row>
    <row r="17" spans="1:11" s="1" customFormat="1" x14ac:dyDescent="0.2">
      <c r="A17" s="108" t="s">
        <v>36</v>
      </c>
      <c r="B17" s="74">
        <f>B4*0.18</f>
        <v>135</v>
      </c>
      <c r="C17" s="27">
        <v>0.157</v>
      </c>
      <c r="D17" s="21">
        <f>B17*C17</f>
        <v>21.195</v>
      </c>
      <c r="E17" s="72">
        <f t="shared" si="3"/>
        <v>135</v>
      </c>
      <c r="F17" s="27">
        <f t="shared" si="3"/>
        <v>0.157</v>
      </c>
      <c r="G17" s="21">
        <f>E17*F17</f>
        <v>21.195</v>
      </c>
      <c r="H17" s="21">
        <f t="shared" si="1"/>
        <v>0</v>
      </c>
      <c r="I17" s="22">
        <f t="shared" si="2"/>
        <v>0</v>
      </c>
      <c r="J17" s="22"/>
      <c r="K17" s="107">
        <f t="shared" si="4"/>
        <v>0.12764519600394111</v>
      </c>
    </row>
    <row r="18" spans="1:11" s="1" customFormat="1" x14ac:dyDescent="0.2">
      <c r="A18" s="60" t="s">
        <v>37</v>
      </c>
      <c r="B18" s="28"/>
      <c r="C18" s="29"/>
      <c r="D18" s="29">
        <f>SUM(D15:D17)</f>
        <v>73.140000000000015</v>
      </c>
      <c r="E18" s="76"/>
      <c r="F18" s="29"/>
      <c r="G18" s="29">
        <f>SUM(G15:G17)</f>
        <v>73.140000000000015</v>
      </c>
      <c r="H18" s="30">
        <f t="shared" si="1"/>
        <v>0</v>
      </c>
      <c r="I18" s="31">
        <f t="shared" si="2"/>
        <v>0</v>
      </c>
      <c r="J18" s="32">
        <f t="shared" ref="J18:J23" si="5">G18/$G$46</f>
        <v>0.44656995624603574</v>
      </c>
      <c r="K18" s="61">
        <f t="shared" si="4"/>
        <v>0.440479812961937</v>
      </c>
    </row>
    <row r="19" spans="1:11" x14ac:dyDescent="0.2">
      <c r="A19" s="106" t="s">
        <v>38</v>
      </c>
      <c r="B19" s="72">
        <v>1</v>
      </c>
      <c r="C19" s="77">
        <f>VLOOKUP($B$3,'Data for Bill Impacts'!$A$3:$Y$15,7,0)</f>
        <v>52.31</v>
      </c>
      <c r="D19" s="21">
        <f>B19*C19</f>
        <v>52.31</v>
      </c>
      <c r="E19" s="72">
        <f t="shared" ref="E19:E41" si="6">B19</f>
        <v>1</v>
      </c>
      <c r="F19" s="77">
        <f>VLOOKUP($B$3,'Data for Bill Impacts'!$A$3:$Y$15,17,0)</f>
        <v>58.26</v>
      </c>
      <c r="G19" s="21">
        <f>E19*F19</f>
        <v>58.26</v>
      </c>
      <c r="H19" s="21">
        <f t="shared" si="1"/>
        <v>5.9499999999999957</v>
      </c>
      <c r="I19" s="22">
        <f t="shared" si="2"/>
        <v>0.11374498183903643</v>
      </c>
      <c r="J19" s="22">
        <f t="shared" si="5"/>
        <v>0.35571733184159193</v>
      </c>
      <c r="K19" s="107">
        <f t="shared" si="4"/>
        <v>0.35086620048075529</v>
      </c>
    </row>
    <row r="20" spans="1:11" hidden="1" x14ac:dyDescent="0.2">
      <c r="A20" s="106" t="s">
        <v>83</v>
      </c>
      <c r="B20" s="72">
        <v>1</v>
      </c>
      <c r="C20" s="77">
        <f>VLOOKUP($B$3,'Data for Bill Impacts'!$A$3:$Y$15,8,0)</f>
        <v>0</v>
      </c>
      <c r="D20" s="21">
        <f>B20*C20</f>
        <v>0</v>
      </c>
      <c r="E20" s="72">
        <f t="shared" si="6"/>
        <v>1</v>
      </c>
      <c r="F20" s="77">
        <v>0</v>
      </c>
      <c r="G20" s="21">
        <f t="shared" ref="G20:G22" si="7">E20*F20</f>
        <v>0</v>
      </c>
      <c r="H20" s="21">
        <f t="shared" si="1"/>
        <v>0</v>
      </c>
      <c r="I20" s="22" t="str">
        <f t="shared" si="2"/>
        <v>N/A</v>
      </c>
      <c r="J20" s="22">
        <f t="shared" si="5"/>
        <v>0</v>
      </c>
      <c r="K20" s="107">
        <f t="shared" si="4"/>
        <v>0</v>
      </c>
    </row>
    <row r="21" spans="1:11" hidden="1" x14ac:dyDescent="0.2">
      <c r="A21" s="106" t="s">
        <v>115</v>
      </c>
      <c r="B21" s="72">
        <v>1</v>
      </c>
      <c r="C21" s="77">
        <f>VLOOKUP($B$3,'Data for Bill Impacts'!$A$3:$Y$15,11,0)</f>
        <v>0</v>
      </c>
      <c r="D21" s="21">
        <f t="shared" ref="D21:D22" si="8">B21*C21</f>
        <v>0</v>
      </c>
      <c r="E21" s="72">
        <f t="shared" si="6"/>
        <v>1</v>
      </c>
      <c r="F21" s="120">
        <f>VLOOKUP($B$3,'Data for Bill Impacts'!$A$3:$Y$15,12,0)</f>
        <v>0</v>
      </c>
      <c r="G21" s="21">
        <f t="shared" si="7"/>
        <v>0</v>
      </c>
      <c r="H21" s="21">
        <f t="shared" si="1"/>
        <v>0</v>
      </c>
      <c r="I21" s="22" t="str">
        <f t="shared" si="2"/>
        <v>N/A</v>
      </c>
      <c r="J21" s="22">
        <f t="shared" si="5"/>
        <v>0</v>
      </c>
      <c r="K21" s="107">
        <f t="shared" si="4"/>
        <v>0</v>
      </c>
    </row>
    <row r="22" spans="1:11" x14ac:dyDescent="0.2">
      <c r="A22" s="106" t="s">
        <v>85</v>
      </c>
      <c r="B22" s="72">
        <v>1</v>
      </c>
      <c r="C22" s="120">
        <f>VLOOKUP($B$3,'Data for Bill Impacts'!$A$3:$Y$15,13,0)</f>
        <v>4.0000000000000001E-3</v>
      </c>
      <c r="D22" s="21">
        <f t="shared" si="8"/>
        <v>4.0000000000000001E-3</v>
      </c>
      <c r="E22" s="72">
        <f t="shared" si="6"/>
        <v>1</v>
      </c>
      <c r="F22" s="120">
        <f>VLOOKUP($B$3,'Data for Bill Impacts'!$A$3:$Y$15,22,0)</f>
        <v>4.0000000000000001E-3</v>
      </c>
      <c r="G22" s="21">
        <f t="shared" si="7"/>
        <v>4.0000000000000001E-3</v>
      </c>
      <c r="H22" s="21">
        <f t="shared" si="1"/>
        <v>0</v>
      </c>
      <c r="I22" s="22">
        <f t="shared" si="2"/>
        <v>0</v>
      </c>
      <c r="J22" s="22">
        <f t="shared" si="5"/>
        <v>2.4422748495818193E-5</v>
      </c>
      <c r="K22" s="107">
        <f t="shared" si="4"/>
        <v>2.4089680774511178E-5</v>
      </c>
    </row>
    <row r="23" spans="1:11" x14ac:dyDescent="0.2">
      <c r="A23" s="106" t="s">
        <v>39</v>
      </c>
      <c r="B23" s="72">
        <f>IF($B$9="kWh",$B$4,$B$5)</f>
        <v>750</v>
      </c>
      <c r="C23" s="77">
        <f>VLOOKUP($B$3,'Data for Bill Impacts'!$A$3:$Y$15,10,0)</f>
        <v>1.1599999999999999E-2</v>
      </c>
      <c r="D23" s="21">
        <f>B23*C23</f>
        <v>8.6999999999999993</v>
      </c>
      <c r="E23" s="72">
        <f t="shared" si="6"/>
        <v>750</v>
      </c>
      <c r="F23" s="77">
        <f>VLOOKUP($B$3,'Data for Bill Impacts'!$A$3:$Y$15,19,0)</f>
        <v>6.6E-3</v>
      </c>
      <c r="G23" s="21">
        <f>E23*F23</f>
        <v>4.95</v>
      </c>
      <c r="H23" s="21">
        <f t="shared" si="1"/>
        <v>-3.7499999999999991</v>
      </c>
      <c r="I23" s="22">
        <f t="shared" si="2"/>
        <v>-0.43103448275862061</v>
      </c>
      <c r="J23" s="22">
        <f t="shared" si="5"/>
        <v>3.0223151263575013E-2</v>
      </c>
      <c r="K23" s="107">
        <f t="shared" si="4"/>
        <v>2.9810979958457582E-2</v>
      </c>
    </row>
    <row r="24" spans="1:11" x14ac:dyDescent="0.2">
      <c r="A24" s="106" t="s">
        <v>129</v>
      </c>
      <c r="B24" s="72">
        <f>IF($B$9="kWh",$B$4,$B$5)</f>
        <v>750</v>
      </c>
      <c r="C24" s="124">
        <f>VLOOKUP($B$3,'Data for Bill Impacts'!$A$3:$Y$15,14,0)</f>
        <v>2.0000000000000002E-5</v>
      </c>
      <c r="D24" s="21">
        <f>B24*C24</f>
        <v>1.5000000000000001E-2</v>
      </c>
      <c r="E24" s="72">
        <f t="shared" si="6"/>
        <v>750</v>
      </c>
      <c r="F24" s="124">
        <f>VLOOKUP($B$3,'Data for Bill Impacts'!$A$3:$Y$15,23,0)</f>
        <v>2.0000000000000002E-5</v>
      </c>
      <c r="G24" s="21">
        <f>E24*F24</f>
        <v>1.5000000000000001E-2</v>
      </c>
      <c r="H24" s="21">
        <f t="shared" si="1"/>
        <v>0</v>
      </c>
      <c r="I24" s="22">
        <f t="shared" si="2"/>
        <v>0</v>
      </c>
      <c r="J24" s="22">
        <f t="shared" ref="J24" si="9">G24/$G$46</f>
        <v>9.1585306859318227E-5</v>
      </c>
      <c r="K24" s="107">
        <f t="shared" si="4"/>
        <v>9.0336302904416919E-5</v>
      </c>
    </row>
    <row r="25" spans="1:11" s="1" customFormat="1" x14ac:dyDescent="0.2">
      <c r="A25" s="109" t="s">
        <v>72</v>
      </c>
      <c r="B25" s="73"/>
      <c r="C25" s="34"/>
      <c r="D25" s="34">
        <f>SUM(D19:D24)</f>
        <v>61.028999999999996</v>
      </c>
      <c r="E25" s="72"/>
      <c r="F25" s="34"/>
      <c r="G25" s="34">
        <f>SUM(G19:G24)</f>
        <v>63.228999999999999</v>
      </c>
      <c r="H25" s="34">
        <f t="shared" si="1"/>
        <v>2.2000000000000028</v>
      </c>
      <c r="I25" s="35">
        <f t="shared" si="2"/>
        <v>3.6048435989447687E-2</v>
      </c>
      <c r="J25" s="35">
        <f>G25/$G$46</f>
        <v>0.3860564911605221</v>
      </c>
      <c r="K25" s="110">
        <f t="shared" si="4"/>
        <v>0.38079160642289178</v>
      </c>
    </row>
    <row r="26" spans="1:11" s="1" customFormat="1" x14ac:dyDescent="0.2">
      <c r="A26" s="118" t="s">
        <v>73</v>
      </c>
      <c r="B26" s="119">
        <v>1</v>
      </c>
      <c r="C26" s="77">
        <f>VLOOKUP($B$3,'Data for Bill Impacts'!$A$3:$Y$15,9,0)</f>
        <v>0.79</v>
      </c>
      <c r="D26" s="21">
        <f>B26*C26</f>
        <v>0.79</v>
      </c>
      <c r="E26" s="72">
        <v>1</v>
      </c>
      <c r="F26" s="77">
        <f>VLOOKUP($B$3,'Data for Bill Impacts'!$A$3:$Y$15,18,0)</f>
        <v>0.79</v>
      </c>
      <c r="G26" s="21">
        <f>E26*F26</f>
        <v>0.79</v>
      </c>
      <c r="H26" s="21">
        <f t="shared" si="1"/>
        <v>0</v>
      </c>
      <c r="I26" s="22">
        <f t="shared" si="2"/>
        <v>0</v>
      </c>
      <c r="J26" s="22">
        <f>G26/$G$46</f>
        <v>4.8234928279240934E-3</v>
      </c>
      <c r="K26" s="107">
        <f t="shared" si="4"/>
        <v>4.7577119529659574E-3</v>
      </c>
    </row>
    <row r="27" spans="1:11" s="1" customFormat="1" x14ac:dyDescent="0.2">
      <c r="A27" s="118" t="s">
        <v>75</v>
      </c>
      <c r="B27" s="119">
        <f>B8-B4</f>
        <v>57</v>
      </c>
      <c r="C27" s="186">
        <f>IF(B4&gt;B7,C13,C12)</f>
        <v>0.106</v>
      </c>
      <c r="D27" s="21">
        <f>B27*C27</f>
        <v>6.0419999999999998</v>
      </c>
      <c r="E27" s="72">
        <f>B27</f>
        <v>57</v>
      </c>
      <c r="F27" s="186">
        <f>C27</f>
        <v>0.106</v>
      </c>
      <c r="G27" s="21">
        <f>E27*F27</f>
        <v>6.0419999999999998</v>
      </c>
      <c r="H27" s="21">
        <f t="shared" si="1"/>
        <v>0</v>
      </c>
      <c r="I27" s="22">
        <f t="shared" si="2"/>
        <v>0</v>
      </c>
      <c r="J27" s="22">
        <f t="shared" ref="J27:J46" si="10">G27/$G$46</f>
        <v>3.6890561602933379E-2</v>
      </c>
      <c r="K27" s="107">
        <f t="shared" ref="K27:K41" si="11">G27/$G$51</f>
        <v>3.6387462809899136E-2</v>
      </c>
    </row>
    <row r="28" spans="1:11" s="1" customFormat="1" x14ac:dyDescent="0.2">
      <c r="A28" s="118" t="s">
        <v>74</v>
      </c>
      <c r="B28" s="119">
        <f>B8-B4</f>
        <v>57</v>
      </c>
      <c r="C28" s="186">
        <f>0.65*C15+0.17*C16+0.18*C17</f>
        <v>9.7519999999999996E-2</v>
      </c>
      <c r="D28" s="21">
        <f>B28*C28</f>
        <v>5.5586399999999996</v>
      </c>
      <c r="E28" s="72">
        <f>B28</f>
        <v>57</v>
      </c>
      <c r="F28" s="186">
        <f>C28</f>
        <v>9.7519999999999996E-2</v>
      </c>
      <c r="G28" s="21">
        <f>E28*F28</f>
        <v>5.5586399999999996</v>
      </c>
      <c r="H28" s="21">
        <f t="shared" si="1"/>
        <v>0</v>
      </c>
      <c r="I28" s="22">
        <f t="shared" si="2"/>
        <v>0</v>
      </c>
      <c r="J28" s="22">
        <f t="shared" si="10"/>
        <v>3.3939316674698704E-2</v>
      </c>
      <c r="K28" s="107">
        <f t="shared" si="11"/>
        <v>3.3476465785107198E-2</v>
      </c>
    </row>
    <row r="29" spans="1:11" s="1" customFormat="1" x14ac:dyDescent="0.2">
      <c r="A29" s="109" t="s">
        <v>78</v>
      </c>
      <c r="B29" s="73"/>
      <c r="C29" s="34"/>
      <c r="D29" s="34">
        <f>SUM(D25,D26:D27)</f>
        <v>67.86099999999999</v>
      </c>
      <c r="E29" s="72"/>
      <c r="F29" s="34"/>
      <c r="G29" s="34">
        <f>SUM(G25,G26:G27)</f>
        <v>70.061000000000007</v>
      </c>
      <c r="H29" s="34">
        <f t="shared" si="1"/>
        <v>2.2000000000000171</v>
      </c>
      <c r="I29" s="35">
        <f t="shared" si="2"/>
        <v>3.241920985544005E-2</v>
      </c>
      <c r="J29" s="35">
        <f t="shared" si="10"/>
        <v>0.42777054559137961</v>
      </c>
      <c r="K29" s="110">
        <f t="shared" si="11"/>
        <v>0.42193678118575695</v>
      </c>
    </row>
    <row r="30" spans="1:11" s="1" customFormat="1" x14ac:dyDescent="0.2">
      <c r="A30" s="109" t="s">
        <v>77</v>
      </c>
      <c r="B30" s="73"/>
      <c r="C30" s="34"/>
      <c r="D30" s="34">
        <f>SUM(D25,D26,D28)</f>
        <v>67.37764</v>
      </c>
      <c r="E30" s="72"/>
      <c r="F30" s="34"/>
      <c r="G30" s="34">
        <f>SUM(G25,G26,G28)</f>
        <v>69.577640000000002</v>
      </c>
      <c r="H30" s="34">
        <f t="shared" si="1"/>
        <v>2.2000000000000028</v>
      </c>
      <c r="I30" s="35">
        <f t="shared" si="2"/>
        <v>3.2651781807733288E-2</v>
      </c>
      <c r="J30" s="35">
        <f t="shared" si="10"/>
        <v>0.42481930066314494</v>
      </c>
      <c r="K30" s="110">
        <f t="shared" si="11"/>
        <v>0.41902578416096498</v>
      </c>
    </row>
    <row r="31" spans="1:11" x14ac:dyDescent="0.2">
      <c r="A31" s="106" t="s">
        <v>40</v>
      </c>
      <c r="B31" s="72">
        <f>B8</f>
        <v>807</v>
      </c>
      <c r="C31" s="124">
        <f>VLOOKUP($B$3,'Data for Bill Impacts'!$A$3:$Y$15,15,0)</f>
        <v>7.1999999999999998E-3</v>
      </c>
      <c r="D31" s="21">
        <f>B31*C31</f>
        <v>5.8103999999999996</v>
      </c>
      <c r="E31" s="72">
        <f t="shared" si="6"/>
        <v>807</v>
      </c>
      <c r="F31" s="77">
        <f>VLOOKUP($B$3,'Data for Bill Impacts'!$A$3:$Y$15,24,0)</f>
        <v>7.1999999999999998E-3</v>
      </c>
      <c r="G31" s="21">
        <f>E31*F31</f>
        <v>5.8103999999999996</v>
      </c>
      <c r="H31" s="21">
        <f t="shared" si="1"/>
        <v>0</v>
      </c>
      <c r="I31" s="22">
        <f t="shared" si="2"/>
        <v>0</v>
      </c>
      <c r="J31" s="22">
        <f t="shared" si="10"/>
        <v>3.54764844650255E-2</v>
      </c>
      <c r="K31" s="107">
        <f t="shared" si="11"/>
        <v>3.4992670293054931E-2</v>
      </c>
    </row>
    <row r="32" spans="1:11" x14ac:dyDescent="0.2">
      <c r="A32" s="106" t="s">
        <v>41</v>
      </c>
      <c r="B32" s="72">
        <f>B8</f>
        <v>807</v>
      </c>
      <c r="C32" s="124">
        <f>VLOOKUP($B$3,'Data for Bill Impacts'!$A$3:$Y$15,16,0)</f>
        <v>5.8999999999999999E-3</v>
      </c>
      <c r="D32" s="21">
        <f>B32*C32</f>
        <v>4.7613000000000003</v>
      </c>
      <c r="E32" s="72">
        <f t="shared" si="6"/>
        <v>807</v>
      </c>
      <c r="F32" s="77">
        <f>VLOOKUP($B$3,'Data for Bill Impacts'!$A$3:$Y$15,25,0)</f>
        <v>5.8999999999999999E-3</v>
      </c>
      <c r="G32" s="21">
        <f>E32*F32</f>
        <v>4.7613000000000003</v>
      </c>
      <c r="H32" s="21">
        <f t="shared" si="1"/>
        <v>0</v>
      </c>
      <c r="I32" s="22">
        <f t="shared" si="2"/>
        <v>0</v>
      </c>
      <c r="J32" s="22">
        <f t="shared" si="10"/>
        <v>2.9071008103284789E-2</v>
      </c>
      <c r="K32" s="107">
        <f t="shared" si="11"/>
        <v>2.867454926792002E-2</v>
      </c>
    </row>
    <row r="33" spans="1:11" s="1" customFormat="1" x14ac:dyDescent="0.2">
      <c r="A33" s="109" t="s">
        <v>76</v>
      </c>
      <c r="B33" s="73"/>
      <c r="C33" s="34"/>
      <c r="D33" s="34">
        <f>SUM(D31:D32)</f>
        <v>10.5717</v>
      </c>
      <c r="E33" s="72"/>
      <c r="F33" s="34"/>
      <c r="G33" s="34">
        <f>SUM(G31:G32)</f>
        <v>10.5717</v>
      </c>
      <c r="H33" s="34">
        <f t="shared" si="1"/>
        <v>0</v>
      </c>
      <c r="I33" s="35">
        <f t="shared" si="2"/>
        <v>0</v>
      </c>
      <c r="J33" s="35">
        <f t="shared" si="10"/>
        <v>6.4547492568310286E-2</v>
      </c>
      <c r="K33" s="110">
        <f t="shared" si="11"/>
        <v>6.3667219560974958E-2</v>
      </c>
    </row>
    <row r="34" spans="1:11" s="1" customFormat="1" x14ac:dyDescent="0.2">
      <c r="A34" s="109" t="s">
        <v>93</v>
      </c>
      <c r="B34" s="73"/>
      <c r="C34" s="34"/>
      <c r="D34" s="34">
        <f>D29+D33</f>
        <v>78.432699999999983</v>
      </c>
      <c r="E34" s="72"/>
      <c r="F34" s="34"/>
      <c r="G34" s="34">
        <f>G29+G33</f>
        <v>80.6327</v>
      </c>
      <c r="H34" s="34">
        <f t="shared" si="1"/>
        <v>2.2000000000000171</v>
      </c>
      <c r="I34" s="35">
        <f t="shared" si="2"/>
        <v>2.8049525261785169E-2</v>
      </c>
      <c r="J34" s="35">
        <f t="shared" si="10"/>
        <v>0.49231803815968989</v>
      </c>
      <c r="K34" s="110">
        <f t="shared" si="11"/>
        <v>0.48560400074673188</v>
      </c>
    </row>
    <row r="35" spans="1:11" s="1" customFormat="1" x14ac:dyDescent="0.2">
      <c r="A35" s="109" t="s">
        <v>94</v>
      </c>
      <c r="B35" s="73"/>
      <c r="C35" s="34"/>
      <c r="D35" s="34">
        <f>D30+D33</f>
        <v>77.949340000000007</v>
      </c>
      <c r="E35" s="72"/>
      <c r="F35" s="34"/>
      <c r="G35" s="34">
        <f>G30+G33</f>
        <v>80.149339999999995</v>
      </c>
      <c r="H35" s="34">
        <f t="shared" si="1"/>
        <v>2.1999999999999886</v>
      </c>
      <c r="I35" s="35">
        <f t="shared" si="2"/>
        <v>2.8223458979896282E-2</v>
      </c>
      <c r="J35" s="35">
        <f t="shared" si="10"/>
        <v>0.48936679323145515</v>
      </c>
      <c r="K35" s="110">
        <f t="shared" si="11"/>
        <v>0.48269300372193991</v>
      </c>
    </row>
    <row r="36" spans="1:11" x14ac:dyDescent="0.2">
      <c r="A36" s="106" t="s">
        <v>42</v>
      </c>
      <c r="B36" s="72">
        <f>B8</f>
        <v>807</v>
      </c>
      <c r="C36" s="33">
        <v>3.5999999999999999E-3</v>
      </c>
      <c r="D36" s="21">
        <f>B36*C36</f>
        <v>2.9051999999999998</v>
      </c>
      <c r="E36" s="72">
        <f t="shared" si="6"/>
        <v>807</v>
      </c>
      <c r="F36" s="33">
        <v>3.5999999999999999E-3</v>
      </c>
      <c r="G36" s="21">
        <f>E36*F36</f>
        <v>2.9051999999999998</v>
      </c>
      <c r="H36" s="21">
        <f t="shared" si="1"/>
        <v>0</v>
      </c>
      <c r="I36" s="22">
        <f t="shared" si="2"/>
        <v>0</v>
      </c>
      <c r="J36" s="22">
        <f t="shared" si="10"/>
        <v>1.773824223251275E-2</v>
      </c>
      <c r="K36" s="107">
        <f t="shared" si="11"/>
        <v>1.7496335146527466E-2</v>
      </c>
    </row>
    <row r="37" spans="1:11" x14ac:dyDescent="0.2">
      <c r="A37" s="106" t="s">
        <v>43</v>
      </c>
      <c r="B37" s="72">
        <f>B8</f>
        <v>807</v>
      </c>
      <c r="C37" s="33">
        <v>2.0999999999999999E-3</v>
      </c>
      <c r="D37" s="21">
        <f>B37*C37</f>
        <v>1.6946999999999999</v>
      </c>
      <c r="E37" s="72">
        <f t="shared" si="6"/>
        <v>807</v>
      </c>
      <c r="F37" s="33">
        <v>2.0999999999999999E-3</v>
      </c>
      <c r="G37" s="21">
        <f>E37*F37</f>
        <v>1.6946999999999999</v>
      </c>
      <c r="H37" s="21">
        <f>G37-D37</f>
        <v>0</v>
      </c>
      <c r="I37" s="22">
        <f t="shared" si="2"/>
        <v>0</v>
      </c>
      <c r="J37" s="22">
        <f t="shared" si="10"/>
        <v>1.0347307968965772E-2</v>
      </c>
      <c r="K37" s="107">
        <f t="shared" si="11"/>
        <v>1.0206195502141023E-2</v>
      </c>
    </row>
    <row r="38" spans="1:11" x14ac:dyDescent="0.2">
      <c r="A38" s="106" t="s">
        <v>99</v>
      </c>
      <c r="B38" s="72">
        <f>B8</f>
        <v>807</v>
      </c>
      <c r="C38" s="33">
        <v>0</v>
      </c>
      <c r="D38" s="21">
        <f>B38*C38</f>
        <v>0</v>
      </c>
      <c r="E38" s="72">
        <f t="shared" si="6"/>
        <v>807</v>
      </c>
      <c r="F38" s="33">
        <v>0</v>
      </c>
      <c r="G38" s="21">
        <f>E38*F38</f>
        <v>0</v>
      </c>
      <c r="H38" s="21">
        <f>G38-D38</f>
        <v>0</v>
      </c>
      <c r="I38" s="22" t="str">
        <f t="shared" si="2"/>
        <v>N/A</v>
      </c>
      <c r="J38" s="22">
        <f t="shared" ref="J38" si="12">G38/$G$46</f>
        <v>0</v>
      </c>
      <c r="K38" s="107">
        <f t="shared" ref="K38" si="13">G38/$G$51</f>
        <v>0</v>
      </c>
    </row>
    <row r="39" spans="1:11" x14ac:dyDescent="0.2">
      <c r="A39" s="106" t="s">
        <v>44</v>
      </c>
      <c r="B39" s="72">
        <v>1</v>
      </c>
      <c r="C39" s="21">
        <v>0.25</v>
      </c>
      <c r="D39" s="21">
        <f>B39*C39</f>
        <v>0.25</v>
      </c>
      <c r="E39" s="72">
        <f t="shared" si="6"/>
        <v>1</v>
      </c>
      <c r="F39" s="21">
        <f>C39</f>
        <v>0.25</v>
      </c>
      <c r="G39" s="21">
        <f>E39*F39</f>
        <v>0.25</v>
      </c>
      <c r="H39" s="21">
        <f t="shared" si="1"/>
        <v>0</v>
      </c>
      <c r="I39" s="22">
        <f t="shared" si="2"/>
        <v>0</v>
      </c>
      <c r="J39" s="22">
        <f t="shared" si="10"/>
        <v>1.5264217809886369E-3</v>
      </c>
      <c r="K39" s="107">
        <f t="shared" si="11"/>
        <v>1.5056050484069485E-3</v>
      </c>
    </row>
    <row r="40" spans="1:11" s="1" customFormat="1" x14ac:dyDescent="0.2">
      <c r="A40" s="109" t="s">
        <v>45</v>
      </c>
      <c r="B40" s="73"/>
      <c r="C40" s="34"/>
      <c r="D40" s="34">
        <f>SUM(D36:D39)</f>
        <v>4.8498999999999999</v>
      </c>
      <c r="E40" s="72"/>
      <c r="F40" s="34"/>
      <c r="G40" s="34">
        <f>SUM(G36:G39)</f>
        <v>4.8498999999999999</v>
      </c>
      <c r="H40" s="34">
        <f t="shared" si="1"/>
        <v>0</v>
      </c>
      <c r="I40" s="35">
        <f t="shared" si="2"/>
        <v>0</v>
      </c>
      <c r="J40" s="35">
        <f t="shared" si="10"/>
        <v>2.9611971982467161E-2</v>
      </c>
      <c r="K40" s="110">
        <f t="shared" si="11"/>
        <v>2.9208135697075439E-2</v>
      </c>
    </row>
    <row r="41" spans="1:11" s="1" customFormat="1" ht="13.5" thickBot="1" x14ac:dyDescent="0.25">
      <c r="A41" s="111" t="s">
        <v>46</v>
      </c>
      <c r="B41" s="112">
        <f>B4</f>
        <v>750</v>
      </c>
      <c r="C41" s="113">
        <v>0</v>
      </c>
      <c r="D41" s="114">
        <f>B41*C41</f>
        <v>0</v>
      </c>
      <c r="E41" s="115">
        <f t="shared" si="6"/>
        <v>750</v>
      </c>
      <c r="F41" s="113">
        <f>C41</f>
        <v>0</v>
      </c>
      <c r="G41" s="114">
        <f>E41*F41</f>
        <v>0</v>
      </c>
      <c r="H41" s="114">
        <f t="shared" si="1"/>
        <v>0</v>
      </c>
      <c r="I41" s="116" t="str">
        <f t="shared" si="2"/>
        <v>N/A</v>
      </c>
      <c r="J41" s="116">
        <f t="shared" si="10"/>
        <v>0</v>
      </c>
      <c r="K41" s="117">
        <f t="shared" si="11"/>
        <v>0</v>
      </c>
    </row>
    <row r="42" spans="1:11" s="1" customFormat="1" x14ac:dyDescent="0.2">
      <c r="A42" s="36" t="s">
        <v>107</v>
      </c>
      <c r="B42" s="37"/>
      <c r="C42" s="38"/>
      <c r="D42" s="38">
        <f>SUM(D14,D25,D26,D27,D33,D40,D41)</f>
        <v>153.78259999999997</v>
      </c>
      <c r="E42" s="37"/>
      <c r="F42" s="38"/>
      <c r="G42" s="38">
        <f>SUM(G14,G25,G26,G27,G33,G40,G41)</f>
        <v>155.98259999999996</v>
      </c>
      <c r="H42" s="38">
        <f t="shared" si="1"/>
        <v>2.1999999999999886</v>
      </c>
      <c r="I42" s="39">
        <f t="shared" si="2"/>
        <v>1.4305909771326463E-2</v>
      </c>
      <c r="J42" s="39">
        <f t="shared" si="10"/>
        <v>0.95238095238095244</v>
      </c>
      <c r="K42" s="40"/>
    </row>
    <row r="43" spans="1:11" x14ac:dyDescent="0.2">
      <c r="A43" s="142" t="s">
        <v>108</v>
      </c>
      <c r="B43" s="42"/>
      <c r="C43" s="25">
        <v>0.13</v>
      </c>
      <c r="D43" s="25">
        <f>D42*C43</f>
        <v>19.991737999999998</v>
      </c>
      <c r="E43" s="25"/>
      <c r="F43" s="25">
        <f>C43</f>
        <v>0.13</v>
      </c>
      <c r="G43" s="25">
        <f>G42*F43</f>
        <v>20.277737999999996</v>
      </c>
      <c r="H43" s="25">
        <f t="shared" si="1"/>
        <v>0.28599999999999781</v>
      </c>
      <c r="I43" s="43">
        <f t="shared" si="2"/>
        <v>1.4305909771326427E-2</v>
      </c>
      <c r="J43" s="43">
        <f t="shared" si="10"/>
        <v>0.12380952380952381</v>
      </c>
      <c r="K43" s="44"/>
    </row>
    <row r="44" spans="1:11" s="1" customFormat="1" x14ac:dyDescent="0.2">
      <c r="A44" s="45" t="s">
        <v>109</v>
      </c>
      <c r="B44" s="23"/>
      <c r="C44" s="24"/>
      <c r="D44" s="24">
        <f>SUM(D42:D43)</f>
        <v>173.77433799999997</v>
      </c>
      <c r="E44" s="24"/>
      <c r="F44" s="24"/>
      <c r="G44" s="24">
        <f>SUM(G42:G43)</f>
        <v>176.26033799999996</v>
      </c>
      <c r="H44" s="24">
        <f t="shared" si="1"/>
        <v>2.48599999999999</v>
      </c>
      <c r="I44" s="26">
        <f t="shared" si="2"/>
        <v>1.430590977132648E-2</v>
      </c>
      <c r="J44" s="26">
        <f t="shared" si="10"/>
        <v>1.0761904761904764</v>
      </c>
      <c r="K44" s="46"/>
    </row>
    <row r="45" spans="1:11" x14ac:dyDescent="0.2">
      <c r="A45" s="41" t="s">
        <v>110</v>
      </c>
      <c r="B45" s="42"/>
      <c r="C45" s="25">
        <v>-0.08</v>
      </c>
      <c r="D45" s="25">
        <f>D42*C45</f>
        <v>-12.302607999999998</v>
      </c>
      <c r="E45" s="25"/>
      <c r="F45" s="25">
        <f>C45</f>
        <v>-0.08</v>
      </c>
      <c r="G45" s="25">
        <f>G42*F45</f>
        <v>-12.478607999999998</v>
      </c>
      <c r="H45" s="25">
        <f t="shared" si="1"/>
        <v>-0.17600000000000016</v>
      </c>
      <c r="I45" s="43">
        <f t="shared" si="2"/>
        <v>-1.430590977132655E-2</v>
      </c>
      <c r="J45" s="43">
        <f t="shared" si="10"/>
        <v>-7.6190476190476197E-2</v>
      </c>
      <c r="K45" s="44"/>
    </row>
    <row r="46" spans="1:11" s="1" customFormat="1" ht="13.5" thickBot="1" x14ac:dyDescent="0.25">
      <c r="A46" s="47" t="s">
        <v>111</v>
      </c>
      <c r="B46" s="48"/>
      <c r="C46" s="49"/>
      <c r="D46" s="49">
        <f>SUM(D44:D45)</f>
        <v>161.47172999999998</v>
      </c>
      <c r="E46" s="49"/>
      <c r="F46" s="49"/>
      <c r="G46" s="49">
        <f>SUM(G44:G45)</f>
        <v>163.78172999999995</v>
      </c>
      <c r="H46" s="49">
        <f t="shared" si="1"/>
        <v>2.3099999999999739</v>
      </c>
      <c r="I46" s="50">
        <f t="shared" si="2"/>
        <v>1.4305909771326375E-2</v>
      </c>
      <c r="J46" s="50">
        <f t="shared" si="10"/>
        <v>1</v>
      </c>
      <c r="K46" s="51"/>
    </row>
    <row r="47" spans="1:11" x14ac:dyDescent="0.2">
      <c r="A47" s="52" t="s">
        <v>112</v>
      </c>
      <c r="B47" s="53"/>
      <c r="C47" s="54"/>
      <c r="D47" s="54">
        <f>SUM(D18,D25,D26,D28,D33,D40,D41)</f>
        <v>155.93923999999998</v>
      </c>
      <c r="E47" s="54"/>
      <c r="F47" s="54"/>
      <c r="G47" s="54">
        <f>SUM(G18,G25,G26,G28,G33,G40,G41)</f>
        <v>158.13924</v>
      </c>
      <c r="H47" s="54">
        <f>G47-D47</f>
        <v>2.2000000000000171</v>
      </c>
      <c r="I47" s="55">
        <f t="shared" si="2"/>
        <v>1.410805901067632E-2</v>
      </c>
      <c r="J47" s="55"/>
      <c r="K47" s="56">
        <f>G47/$G$51</f>
        <v>0.95238095238095222</v>
      </c>
    </row>
    <row r="48" spans="1:11" x14ac:dyDescent="0.2">
      <c r="A48" s="57" t="s">
        <v>108</v>
      </c>
      <c r="B48" s="58"/>
      <c r="C48" s="30">
        <v>0.13</v>
      </c>
      <c r="D48" s="30">
        <f>D47*C48</f>
        <v>20.272101199999998</v>
      </c>
      <c r="E48" s="30"/>
      <c r="F48" s="30">
        <f>C48</f>
        <v>0.13</v>
      </c>
      <c r="G48" s="30">
        <f>G47*F48</f>
        <v>20.558101199999999</v>
      </c>
      <c r="H48" s="30">
        <f>G48-D48</f>
        <v>0.28600000000000136</v>
      </c>
      <c r="I48" s="31">
        <f t="shared" si="2"/>
        <v>1.4108059010676278E-2</v>
      </c>
      <c r="J48" s="31"/>
      <c r="K48" s="59">
        <f>G48/$G$51</f>
        <v>0.12380952380952379</v>
      </c>
    </row>
    <row r="49" spans="1:11" x14ac:dyDescent="0.2">
      <c r="A49" s="60" t="s">
        <v>113</v>
      </c>
      <c r="B49" s="28"/>
      <c r="C49" s="29"/>
      <c r="D49" s="29">
        <f>SUM(D47:D48)</f>
        <v>176.21134119999999</v>
      </c>
      <c r="E49" s="29"/>
      <c r="F49" s="29"/>
      <c r="G49" s="29">
        <f>SUM(G47:G48)</f>
        <v>178.69734120000001</v>
      </c>
      <c r="H49" s="29">
        <f>G49-D49</f>
        <v>2.4860000000000184</v>
      </c>
      <c r="I49" s="32">
        <f t="shared" si="2"/>
        <v>1.4108059010676315E-2</v>
      </c>
      <c r="J49" s="32"/>
      <c r="K49" s="61">
        <f>G49/$G$51</f>
        <v>1.0761904761904761</v>
      </c>
    </row>
    <row r="50" spans="1:11" x14ac:dyDescent="0.2">
      <c r="A50" s="57" t="s">
        <v>110</v>
      </c>
      <c r="B50" s="58"/>
      <c r="C50" s="30">
        <v>-0.08</v>
      </c>
      <c r="D50" s="30">
        <f>D47*C50</f>
        <v>-12.475139199999999</v>
      </c>
      <c r="E50" s="30"/>
      <c r="F50" s="30">
        <f>C50</f>
        <v>-0.08</v>
      </c>
      <c r="G50" s="30">
        <f>G47*F50</f>
        <v>-12.651139200000001</v>
      </c>
      <c r="H50" s="30">
        <f>G50-D50</f>
        <v>-0.17600000000000193</v>
      </c>
      <c r="I50" s="31">
        <f t="shared" si="2"/>
        <v>-1.4108059010676365E-2</v>
      </c>
      <c r="J50" s="31"/>
      <c r="K50" s="59">
        <f>G50/$G$51</f>
        <v>-7.6190476190476183E-2</v>
      </c>
    </row>
    <row r="51" spans="1:11" ht="13.5" thickBot="1" x14ac:dyDescent="0.25">
      <c r="A51" s="62" t="s">
        <v>114</v>
      </c>
      <c r="B51" s="63"/>
      <c r="C51" s="64"/>
      <c r="D51" s="64">
        <f>SUM(D49:D50)</f>
        <v>163.73620199999999</v>
      </c>
      <c r="E51" s="64"/>
      <c r="F51" s="64"/>
      <c r="G51" s="64">
        <f>SUM(G49:G50)</f>
        <v>166.04620200000002</v>
      </c>
      <c r="H51" s="64">
        <f>G51-D51</f>
        <v>2.3100000000000307</v>
      </c>
      <c r="I51" s="65">
        <f t="shared" si="2"/>
        <v>1.4108059010676398E-2</v>
      </c>
      <c r="J51" s="65"/>
      <c r="K51" s="66">
        <f>G51/$G$51</f>
        <v>1</v>
      </c>
    </row>
    <row r="52" spans="1:11" x14ac:dyDescent="0.2">
      <c r="C52" s="67"/>
      <c r="F52" s="68"/>
    </row>
    <row r="53" spans="1:11" x14ac:dyDescent="0.2">
      <c r="F53" s="68"/>
    </row>
    <row r="54" spans="1:11" x14ac:dyDescent="0.2">
      <c r="F54" s="68"/>
    </row>
    <row r="55" spans="1:11" x14ac:dyDescent="0.2">
      <c r="A55" s="69"/>
      <c r="B55" s="70"/>
      <c r="F55" s="68"/>
    </row>
    <row r="56" spans="1:11" x14ac:dyDescent="0.2">
      <c r="B56" s="70"/>
      <c r="F56" s="68"/>
    </row>
    <row r="57" spans="1:11" x14ac:dyDescent="0.2">
      <c r="F57" s="68"/>
    </row>
    <row r="58" spans="1:11" x14ac:dyDescent="0.2">
      <c r="D58" s="71"/>
      <c r="F58" s="68"/>
    </row>
    <row r="59" spans="1:11" x14ac:dyDescent="0.2">
      <c r="F59" s="68"/>
    </row>
    <row r="60" spans="1:11" x14ac:dyDescent="0.2">
      <c r="A60" s="69"/>
      <c r="B60" s="70"/>
      <c r="F60" s="68"/>
    </row>
    <row r="61" spans="1:11" x14ac:dyDescent="0.2">
      <c r="B61" s="71"/>
      <c r="D61" s="71"/>
      <c r="F61" s="68"/>
    </row>
    <row r="62" spans="1:11" x14ac:dyDescent="0.2">
      <c r="F62" s="68"/>
    </row>
    <row r="63" spans="1:11" x14ac:dyDescent="0.2">
      <c r="F63" s="68"/>
    </row>
    <row r="64" spans="1:11" x14ac:dyDescent="0.2">
      <c r="F64" s="68"/>
      <c r="K64"/>
    </row>
    <row r="65" spans="6:11" x14ac:dyDescent="0.2">
      <c r="F65" s="68"/>
      <c r="K65"/>
    </row>
    <row r="66" spans="6:11" x14ac:dyDescent="0.2">
      <c r="F66" s="68"/>
      <c r="K66"/>
    </row>
    <row r="67" spans="6:11" x14ac:dyDescent="0.2">
      <c r="F67" s="68"/>
      <c r="K67"/>
    </row>
    <row r="68" spans="6:11" x14ac:dyDescent="0.2">
      <c r="F68" s="68"/>
      <c r="K68"/>
    </row>
  </sheetData>
  <mergeCells count="1">
    <mergeCell ref="A1:K1"/>
  </mergeCells>
  <pageMargins left="0.7" right="0.7" top="0.75" bottom="0.75" header="0.3" footer="0.3"/>
  <pageSetup scale="7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customXsn xmlns="http://schemas.microsoft.com/office/2006/metadata/customXsn">
  <xsnLocation>https://teams.hydroone.com/sites/ra/ra/b2mlp/EB2015002/Forms/Document/c7d368c570245b4acustomXsn.xsn</xsnLocation>
  <cached>True</cached>
  <openByDefault>True</openByDefault>
  <xsnScope>https://teams.hydroone.com/sites/ra/ra/b2mlp/EB2015002</xsnScope>
</customXsn>
</file>

<file path=customXml/item2.xml><?xml version="1.0" encoding="utf-8"?>
<ct:contentTypeSchema xmlns:ct="http://schemas.microsoft.com/office/2006/metadata/contentType" xmlns:ma="http://schemas.microsoft.com/office/2006/metadata/properties/metaAttributes" ct:_="" ma:_="" ma:contentTypeName="Evidence_Exhibit" ma:contentTypeID="0x0101006C4D7F394B56A844BBAB815FF7A6EFB5" ma:contentTypeVersion="90" ma:contentTypeDescription="Create a new evidence Exhibit using the Template Master." ma:contentTypeScope="" ma:versionID="6034fbc6a2fdf02dea1dc0f2da1ea152">
  <xsd:schema xmlns:xsd="http://www.w3.org/2001/XMLSchema" xmlns:xs="http://www.w3.org/2001/XMLSchema" xmlns:p="http://schemas.microsoft.com/office/2006/metadata/properties" xmlns:ns2="f0af1d65-dfd0-4b99-b523-def3a954563f" xmlns:ns3="f9175001-c430-4d57-adde-c1c10539e919" xmlns:ns4="c177ebce-ba5d-4f17-87d0-6a1c56acc62b" xmlns:ns5="9fda2e78-8e3f-49d4-9e97-25a6337a81ff" xmlns:ns6="ea909525-6dd5-47d7-9eed-71e77e5cedc6" xmlns:ns7="6cd78a55-9298-4f12-88a0-08be2e2ac8f0" xmlns:ns8="31a38067-a042-4e0e-9037-517587b10700" targetNamespace="http://schemas.microsoft.com/office/2006/metadata/properties" ma:root="true" ma:fieldsID="cc0bbb9d2d6e8568e330d71548e5fce2" ns2:_="" ns3:_="" ns4:_="" ns5:_="" ns6:_="" ns7:_="" ns8:_="">
    <xsd:import namespace="f0af1d65-dfd0-4b99-b523-def3a954563f"/>
    <xsd:import namespace="f9175001-c430-4d57-adde-c1c10539e919"/>
    <xsd:import namespace="c177ebce-ba5d-4f17-87d0-6a1c56acc62b"/>
    <xsd:import namespace="9fda2e78-8e3f-49d4-9e97-25a6337a81ff"/>
    <xsd:import namespace="ea909525-6dd5-47d7-9eed-71e77e5cedc6"/>
    <xsd:import namespace="6cd78a55-9298-4f12-88a0-08be2e2ac8f0"/>
    <xsd:import namespace="31a38067-a042-4e0e-9037-517587b10700"/>
    <xsd:element name="properties">
      <xsd:complexType>
        <xsd:sequence>
          <xsd:element name="documentManagement">
            <xsd:complexType>
              <xsd:all>
                <xsd:element ref="ns2:Hydro_x0020_One_x0020_Data_x0020_Classification"/>
                <xsd:element ref="ns3:Issue_x0020_Date"/>
                <xsd:element ref="ns3:Case_x0020_Number_x002f_Docket_x0020_Number" minOccurs="0"/>
                <xsd:element ref="ns4:Exhibit"/>
                <xsd:element ref="ns4:Tab"/>
                <xsd:element ref="ns4:Schedule"/>
                <xsd:element ref="ns5:Shell_Created" minOccurs="0"/>
                <xsd:element ref="ns6:Filing_x0020_Status" minOccurs="0"/>
                <xsd:element ref="ns5:Primary_Author" minOccurs="0"/>
                <xsd:element ref="ns5:Additional_Reviewers" minOccurs="0"/>
                <xsd:element ref="ns7:Witness" minOccurs="0"/>
                <xsd:element ref="ns8:RA_x0020_Contact" minOccurs="0"/>
                <xsd:element ref="ns5:Dir_Contact" minOccurs="0"/>
                <xsd:element ref="ns5:Draft_Ready" minOccurs="0"/>
                <xsd:element ref="ns5:RA_Approved" minOccurs="0"/>
                <xsd:element ref="ns5:Dir_Approved" minOccurs="0"/>
                <xsd:element ref="ns5:SR_Approved" minOccurs="0"/>
                <xsd:element ref="ns5:Strategic_x003f_" minOccurs="0"/>
                <xsd:element ref="ns7:Legal" minOccurs="0"/>
                <xsd:element ref="ns7:BP_x0020_Up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2" ma:displayName="Hydro One Data Classification" ma:default="Internal Use (Only Internal information is not for release to the public)" ma:description="Use these options to classify the data you are uploading onto the site. Any questions please contact BIT security team" ma:format="RadioButtons" ma:internalName="Hydro_x0020_One_x0020_Data_x0020_Classification" ma:readOnly="false">
      <xsd:simpleType>
        <xsd:restriction base="dms:Choice">
          <xsd:enumeration value="Internal Use (Only Internal information is not for release to the public)"/>
        </xsd:restriction>
      </xsd:simple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Issue_x0020_Date" ma:index="3" ma:displayName="Issue Date" ma:description="Date the document was issued." ma:format="DateOnly" ma:internalName="Issue_x0020_Date">
      <xsd:simpleType>
        <xsd:restriction base="dms:DateTime"/>
      </xsd:simpleType>
    </xsd:element>
    <xsd:element name="Case_x0020_Number_x002f_Docket_x0020_Number" ma:index="4"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77ebce-ba5d-4f17-87d0-6a1c56acc62b" elementFormDefault="qualified">
    <xsd:import namespace="http://schemas.microsoft.com/office/2006/documentManagement/types"/>
    <xsd:import namespace="http://schemas.microsoft.com/office/infopath/2007/PartnerControls"/>
    <xsd:element name="Exhibit" ma:index="5" ma:displayName="Exhibit" ma:internalName="Exhibit" ma:readOnly="false">
      <xsd:simpleType>
        <xsd:restriction base="dms:Text">
          <xsd:maxLength value="8"/>
        </xsd:restriction>
      </xsd:simpleType>
    </xsd:element>
    <xsd:element name="Tab" ma:index="6" ma:displayName="Tab" ma:internalName="Tab" ma:readOnly="false">
      <xsd:simpleType>
        <xsd:restriction base="dms:Text">
          <xsd:maxLength value="8"/>
        </xsd:restriction>
      </xsd:simpleType>
    </xsd:element>
    <xsd:element name="Schedule" ma:index="7" ma:displayName="Schedule" ma:decimals="0" ma:internalName="Schedule" ma:readOnly="false" ma:percentage="FALSE">
      <xsd:simpleType>
        <xsd:restriction base="dms:Number">
          <xsd:maxInclusive value="999"/>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9fda2e78-8e3f-49d4-9e97-25a6337a81ff" elementFormDefault="qualified">
    <xsd:import namespace="http://schemas.microsoft.com/office/2006/documentManagement/types"/>
    <xsd:import namespace="http://schemas.microsoft.com/office/infopath/2007/PartnerControls"/>
    <xsd:element name="Shell_Created" ma:index="8" nillable="true" ma:displayName="Shell_Created" ma:default="0" ma:description="Has RRA created the shell file for this item?" ma:internalName="Shell_Created">
      <xsd:simpleType>
        <xsd:restriction base="dms:Boolean"/>
      </xsd:simpleType>
    </xsd:element>
    <xsd:element name="Primary_Author" ma:index="10" nillable="true" ma:displayName="Primary_Author" ma:description="The person primarily in charge of authoring the item." ma:list="UserInfo" ma:SharePointGroup="0" ma:internalName="Primary_Auth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dditional_Reviewers" ma:index="11" nillable="true" ma:displayName="Additional_Reviewers" ma:description="Are there people other than the Primary Author that should review this prior to approval?" ma:list="UserInfo" ma:SharePointGroup="0" ma:internalName="Additional_Reviewe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r_Contact" ma:index="14" nillable="true" ma:displayName="Dir_Contact" ma:default="Karen Taylor" ma:format="Dropdown" ma:internalName="Dir_Contact" ma:readOnly="false">
      <xsd:simpleType>
        <xsd:union memberTypes="dms:Text">
          <xsd:simpleType>
            <xsd:restriction base="dms:Choice">
              <xsd:enumeration value="Allan Cowan"/>
              <xsd:enumeration value="Oded Hubert"/>
              <xsd:enumeration value="Ian Malpass"/>
              <xsd:enumeration value="Joanne Richardson"/>
              <xsd:enumeration value="Jeffrey Smith"/>
              <xsd:enumeration value="Karen Taylor"/>
            </xsd:restriction>
          </xsd:simpleType>
        </xsd:union>
      </xsd:simpleType>
    </xsd:element>
    <xsd:element name="Draft_Ready" ma:index="15" nillable="true" ma:displayName="Draft_Ready" ma:default="0" ma:description="This denotes whether there is a draft ready for Regulatory review." ma:internalName="Draft_Ready">
      <xsd:simpleType>
        <xsd:restriction base="dms:Boolean"/>
      </xsd:simpleType>
    </xsd:element>
    <xsd:element name="RA_Approved" ma:index="16" nillable="true" ma:displayName="RA_Approved" ma:default="0" ma:description="Denotes Approval by Regulatory Advisor to proceed to Director Review stage." ma:internalName="RA_Approved">
      <xsd:simpleType>
        <xsd:restriction base="dms:Boolean"/>
      </xsd:simpleType>
    </xsd:element>
    <xsd:element name="Dir_Approved" ma:index="17" nillable="true" ma:displayName="Dir_Approved" ma:default="0" ma:description="Denotes approval by Director to either go to Sr Mgmt review (if strategic) or to go to final formatting." ma:internalName="Dir_Approved">
      <xsd:simpleType>
        <xsd:restriction base="dms:Boolean"/>
      </xsd:simpleType>
    </xsd:element>
    <xsd:element name="SR_Approved" ma:index="18" nillable="true" ma:displayName="SR_Approved" ma:default="0" ma:description="Check if Sr Mgmt has approved the item.  Only applies if marked strategic." ma:internalName="SR_Approved">
      <xsd:simpleType>
        <xsd:restriction base="dms:Boolean"/>
      </xsd:simpleType>
    </xsd:element>
    <xsd:element name="Strategic_x003f_" ma:index="19" nillable="true" ma:displayName="Strategic?" ma:default="1" ma:description="Is this item strategic?  If yes then it will garner Sr Mgmt review." ma:internalName="Strategic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Filing_x0020_Status" ma:index="9" nillable="true" ma:displayName="Filing Status" ma:default="Initial_Stage" ma:format="RadioButtons" ma:internalName="Filing_x0020_Status">
      <xsd:simpleType>
        <xsd:restriction base="dms:Choice">
          <xsd:enumeration value="Initial_Stage"/>
          <xsd:enumeration value="RA_Review_Complete"/>
          <xsd:enumeration value="CopyWriter_Complete"/>
          <xsd:enumeration value="Legal_Complete"/>
          <xsd:enumeration value="Blue Page Ready"/>
          <xsd:enumeration value="Blue Page Complete"/>
          <xsd:enumeration value="Blue Page Formatting Complete"/>
          <xsd:enumeration value="Blue Page Megafile Ready"/>
        </xsd:restriction>
      </xsd:simpleType>
    </xsd:element>
  </xsd:schema>
  <xsd:schema xmlns:xsd="http://www.w3.org/2001/XMLSchema" xmlns:xs="http://www.w3.org/2001/XMLSchema" xmlns:dms="http://schemas.microsoft.com/office/2006/documentManagement/types" xmlns:pc="http://schemas.microsoft.com/office/infopath/2007/PartnerControls" targetNamespace="6cd78a55-9298-4f12-88a0-08be2e2ac8f0" elementFormDefault="qualified">
    <xsd:import namespace="http://schemas.microsoft.com/office/2006/documentManagement/types"/>
    <xsd:import namespace="http://schemas.microsoft.com/office/infopath/2007/PartnerControls"/>
    <xsd:element name="Witness" ma:index="12" nillable="true" ma:displayName="Witness" ma:internalName="Witness">
      <xsd:simpleType>
        <xsd:restriction base="dms:Text">
          <xsd:maxLength value="64"/>
        </xsd:restriction>
      </xsd:simpleType>
    </xsd:element>
    <xsd:element name="Legal" ma:index="28" nillable="true" ma:displayName="Legal" ma:default="0" ma:description="Legal review required" ma:internalName="Legal">
      <xsd:simpleType>
        <xsd:restriction base="dms:Boolean"/>
      </xsd:simpleType>
    </xsd:element>
    <xsd:element name="BP_x0020_Update" ma:index="29" nillable="true" ma:displayName="BP Update" ma:default="No" ma:format="Dropdown" ma:internalName="BP_x0020_Updat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3" nillable="true" ma:displayName="RA Contact" ma:default="Nicole Taylor" ma:format="Dropdown" ma:internalName="RA_x0020_Contact">
      <xsd:simpleType>
        <xsd:union memberTypes="dms:Text">
          <xsd:simpleType>
            <xsd:restriction base="dms:Choice">
              <xsd:enumeration value="Nicole Taylor"/>
              <xsd:enumeration value="Maxine Cooper"/>
              <xsd:enumeration value="Jody McEachran"/>
              <xsd:enumeration value="Lisa Lee"/>
              <xsd:enumeration value="Uri Akselrud"/>
              <xsd:enumeration value="Oren Ben-Shlomo"/>
              <xsd:enumeration value="Stephen Vetsis"/>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chedule xmlns="c177ebce-ba5d-4f17-87d0-6a1c56acc62b">1</Schedule>
    <Dir_Approved xmlns="9fda2e78-8e3f-49d4-9e97-25a6337a81ff">true</Dir_Approved>
    <Shell_Created xmlns="9fda2e78-8e3f-49d4-9e97-25a6337a81ff">false</Shell_Created>
    <Tab xmlns="c177ebce-ba5d-4f17-87d0-6a1c56acc62b">4</Tab>
    <Primary_Author xmlns="9fda2e78-8e3f-49d4-9e97-25a6337a81ff">
      <UserInfo>
        <DisplayName/>
        <AccountId xsi:nil="true"/>
        <AccountType/>
      </UserInfo>
    </Primary_Author>
    <Case_x0020_Number_x002f_Docket_x0020_Number xmlns="f9175001-c430-4d57-adde-c1c10539e919">EB-2017-0049</Case_x0020_Number_x002f_Docket_x0020_Number>
    <Exhibit xmlns="c177ebce-ba5d-4f17-87d0-6a1c56acc62b">H1</Exhibit>
    <BP_x0020_Update xmlns="6cd78a55-9298-4f12-88a0-08be2e2ac8f0">Yes</BP_x0020_Update>
    <Filing_x0020_Status xmlns="ea909525-6dd5-47d7-9eed-71e77e5cedc6">Blue Page Ready</Filing_x0020_Status>
    <Witness xmlns="6cd78a55-9298-4f12-88a0-08be2e2ac8f0" xsi:nil="true"/>
    <Issue_x0020_Date xmlns="f9175001-c430-4d57-adde-c1c10539e919">2017-06-07T04:00:00+00:00</Issue_x0020_Date>
    <RA_x0020_Contact xmlns="31a38067-a042-4e0e-9037-517587b10700">Stephen Vetsis</RA_x0020_Contact>
    <Additional_Reviewers xmlns="9fda2e78-8e3f-49d4-9e97-25a6337a81ff">
      <UserInfo>
        <DisplayName/>
        <AccountId xsi:nil="true"/>
        <AccountType/>
      </UserInfo>
    </Additional_Reviewers>
    <Dir_Contact xmlns="9fda2e78-8e3f-49d4-9e97-25a6337a81ff">Karen Taylor</Dir_Contact>
    <Hydro_x0020_One_x0020_Data_x0020_Classification xmlns="f0af1d65-dfd0-4b99-b523-def3a954563f">Internal Use (Only Internal information is not for release to the public)</Hydro_x0020_One_x0020_Data_x0020_Classification>
    <Legal xmlns="6cd78a55-9298-4f12-88a0-08be2e2ac8f0">false</Legal>
    <SR_Approved xmlns="9fda2e78-8e3f-49d4-9e97-25a6337a81ff">false</SR_Approved>
    <Strategic_x003f_ xmlns="9fda2e78-8e3f-49d4-9e97-25a6337a81ff">false</Strategic_x003f_>
    <RA_Approved xmlns="9fda2e78-8e3f-49d4-9e97-25a6337a81ff">false</RA_Approved>
    <Draft_Ready xmlns="9fda2e78-8e3f-49d4-9e97-25a6337a81ff">false</Draft_Ready>
  </documentManagement>
</p:properties>
</file>

<file path=customXml/itemProps1.xml><?xml version="1.0" encoding="utf-8"?>
<ds:datastoreItem xmlns:ds="http://schemas.openxmlformats.org/officeDocument/2006/customXml" ds:itemID="{065A2FE0-76FD-4C8F-8D55-1C9F8FFFCC56}">
  <ds:schemaRefs>
    <ds:schemaRef ds:uri="http://schemas.microsoft.com/office/2006/metadata/customXsn"/>
  </ds:schemaRefs>
</ds:datastoreItem>
</file>

<file path=customXml/itemProps2.xml><?xml version="1.0" encoding="utf-8"?>
<ds:datastoreItem xmlns:ds="http://schemas.openxmlformats.org/officeDocument/2006/customXml" ds:itemID="{81EF0ACC-65D9-466B-91A4-D091508007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af1d65-dfd0-4b99-b523-def3a954563f"/>
    <ds:schemaRef ds:uri="f9175001-c430-4d57-adde-c1c10539e919"/>
    <ds:schemaRef ds:uri="c177ebce-ba5d-4f17-87d0-6a1c56acc62b"/>
    <ds:schemaRef ds:uri="9fda2e78-8e3f-49d4-9e97-25a6337a81ff"/>
    <ds:schemaRef ds:uri="ea909525-6dd5-47d7-9eed-71e77e5cedc6"/>
    <ds:schemaRef ds:uri="6cd78a55-9298-4f12-88a0-08be2e2ac8f0"/>
    <ds:schemaRef ds:uri="31a38067-a042-4e0e-9037-517587b107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5950F4-95B4-443D-B27F-5993D7264A82}">
  <ds:schemaRefs>
    <ds:schemaRef ds:uri="http://schemas.microsoft.com/sharepoint/v3/contenttype/forms"/>
  </ds:schemaRefs>
</ds:datastoreItem>
</file>

<file path=customXml/itemProps4.xml><?xml version="1.0" encoding="utf-8"?>
<ds:datastoreItem xmlns:ds="http://schemas.openxmlformats.org/officeDocument/2006/customXml" ds:itemID="{692F4D2E-8C2F-4CDC-8C5A-A122FA6A39FF}">
  <ds:schemaRefs>
    <ds:schemaRef ds:uri="http://purl.org/dc/elements/1.1/"/>
    <ds:schemaRef ds:uri="c177ebce-ba5d-4f17-87d0-6a1c56acc62b"/>
    <ds:schemaRef ds:uri="ea909525-6dd5-47d7-9eed-71e77e5cedc6"/>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31a38067-a042-4e0e-9037-517587b10700"/>
    <ds:schemaRef ds:uri="http://purl.org/dc/terms/"/>
    <ds:schemaRef ds:uri="6cd78a55-9298-4f12-88a0-08be2e2ac8f0"/>
    <ds:schemaRef ds:uri="f9175001-c430-4d57-adde-c1c10539e919"/>
    <ds:schemaRef ds:uri="http://purl.org/dc/dcmitype/"/>
    <ds:schemaRef ds:uri="9fda2e78-8e3f-49d4-9e97-25a6337a81ff"/>
    <ds:schemaRef ds:uri="f0af1d65-dfd0-4b99-b523-def3a954563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69</vt:i4>
      </vt:variant>
      <vt:variant>
        <vt:lpstr>Named Ranges</vt:lpstr>
      </vt:variant>
      <vt:variant>
        <vt:i4>1</vt:i4>
      </vt:variant>
    </vt:vector>
  </HeadingPairs>
  <TitlesOfParts>
    <vt:vector size="70" baseType="lpstr">
      <vt:lpstr>Data for Bill Impacts</vt:lpstr>
      <vt:lpstr>Data for Bill Impacts_HONI Avg </vt:lpstr>
      <vt:lpstr>Bill Impact Summary</vt:lpstr>
      <vt:lpstr>BI_UR_Low</vt:lpstr>
      <vt:lpstr>BI_UR_Typical</vt:lpstr>
      <vt:lpstr>BI_UR_Avg</vt:lpstr>
      <vt:lpstr>BI_UR_High</vt:lpstr>
      <vt:lpstr>BI_R1_Low</vt:lpstr>
      <vt:lpstr>BI_R1_Typical</vt:lpstr>
      <vt:lpstr>BI_R1_Avg</vt:lpstr>
      <vt:lpstr>BI_R1_High</vt:lpstr>
      <vt:lpstr>BI_R2_Low</vt:lpstr>
      <vt:lpstr>BI_R2_Typical</vt:lpstr>
      <vt:lpstr>BI_R2_Avg</vt:lpstr>
      <vt:lpstr>BI_R2_High</vt:lpstr>
      <vt:lpstr>BI_Seas_Low</vt:lpstr>
      <vt:lpstr>BI_Seas_Avg</vt:lpstr>
      <vt:lpstr>BI_Seas_High</vt:lpstr>
      <vt:lpstr>BI_UGe_Low</vt:lpstr>
      <vt:lpstr>BI_UGe_Typical</vt:lpstr>
      <vt:lpstr>BI_UGe_Avg</vt:lpstr>
      <vt:lpstr>BI_UGe_High</vt:lpstr>
      <vt:lpstr>BI_GSe_Low</vt:lpstr>
      <vt:lpstr>BI_GSe_Typical</vt:lpstr>
      <vt:lpstr>BI_GSe_Avg</vt:lpstr>
      <vt:lpstr>BI_GSe_High</vt:lpstr>
      <vt:lpstr>BI_UGd_Low</vt:lpstr>
      <vt:lpstr>BI_UGd_Avg</vt:lpstr>
      <vt:lpstr>BI_UGd_High</vt:lpstr>
      <vt:lpstr>BI_GSd_Low</vt:lpstr>
      <vt:lpstr>BI_GSd_Avg</vt:lpstr>
      <vt:lpstr>BI_GSd_High</vt:lpstr>
      <vt:lpstr>BI_DGen_Low</vt:lpstr>
      <vt:lpstr>BI_DGen_Avg</vt:lpstr>
      <vt:lpstr>BI_DGen_High</vt:lpstr>
      <vt:lpstr>BI_ST_Low</vt:lpstr>
      <vt:lpstr>BI_ST_Avg</vt:lpstr>
      <vt:lpstr>BI_ST_High</vt:lpstr>
      <vt:lpstr>BI_USL_Low</vt:lpstr>
      <vt:lpstr>BI_USL_Avg</vt:lpstr>
      <vt:lpstr>BI_USL_High</vt:lpstr>
      <vt:lpstr>BI_SenLgt_Low</vt:lpstr>
      <vt:lpstr>BI_SenLgt_Avg</vt:lpstr>
      <vt:lpstr>BI_SenLgt_High</vt:lpstr>
      <vt:lpstr>BI_StLgt_Low</vt:lpstr>
      <vt:lpstr>BI_StLgt_Avg</vt:lpstr>
      <vt:lpstr>BI_StLgt_High</vt:lpstr>
      <vt:lpstr>BI_AUR_Low</vt:lpstr>
      <vt:lpstr>BI_AUR_Typical</vt:lpstr>
      <vt:lpstr>BI_AUR_Avg</vt:lpstr>
      <vt:lpstr>BI_AUR_High</vt:lpstr>
      <vt:lpstr>BI_AR_Low</vt:lpstr>
      <vt:lpstr>BI_AR_Typical</vt:lpstr>
      <vt:lpstr>BI_AR_Avg</vt:lpstr>
      <vt:lpstr>BI_AR_High</vt:lpstr>
      <vt:lpstr>BI_AUGe_Low</vt:lpstr>
      <vt:lpstr>BI_AUGe_Typical</vt:lpstr>
      <vt:lpstr>BI_AUGe_Avg</vt:lpstr>
      <vt:lpstr>BI_AUGe_High</vt:lpstr>
      <vt:lpstr>BI_AGSe_Low</vt:lpstr>
      <vt:lpstr>BI_AGSe_Typical</vt:lpstr>
      <vt:lpstr>BI_AGSe_Avg</vt:lpstr>
      <vt:lpstr>BI_AGSe_High</vt:lpstr>
      <vt:lpstr>BI_AUGd_Low</vt:lpstr>
      <vt:lpstr>BI_AUGd_Avg</vt:lpstr>
      <vt:lpstr>BI_AUGd_High</vt:lpstr>
      <vt:lpstr>BI_AGSd_Low</vt:lpstr>
      <vt:lpstr>BI_AGSd_Avg</vt:lpstr>
      <vt:lpstr>BI_AGSd_High</vt:lpstr>
      <vt:lpstr>'Bill Impact Summary'!Print_Area</vt:lpstr>
    </vt:vector>
  </TitlesOfParts>
  <Company>Hydro One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5 Bill Impacts 2022</dc:title>
  <dc:creator>SHETH Nikita</dc:creator>
  <cp:lastModifiedBy>GAUVREAU Diane</cp:lastModifiedBy>
  <cp:lastPrinted>2017-06-05T22:57:26Z</cp:lastPrinted>
  <dcterms:created xsi:type="dcterms:W3CDTF">2013-09-20T18:49:19Z</dcterms:created>
  <dcterms:modified xsi:type="dcterms:W3CDTF">2017-06-06T15:21:55Z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SD_Category">
    <vt:lpwstr>Other</vt:lpwstr>
  </property>
  <property fmtid="{D5CDD505-2E9C-101B-9397-08002B2CF9AE}" pid="3" name="RA2_Approved">
    <vt:bool>false</vt:bool>
  </property>
  <property fmtid="{D5CDD505-2E9C-101B-9397-08002B2CF9AE}" pid="4" name="ContentTypeId">
    <vt:lpwstr>0x0101006C4D7F394B56A844BBAB815FF7A6EFB5</vt:lpwstr>
  </property>
  <property fmtid="{D5CDD505-2E9C-101B-9397-08002B2CF9AE}" pid="5" name="AM_Approved">
    <vt:bool>false</vt:bool>
  </property>
  <property fmtid="{D5CDD505-2E9C-101B-9397-08002B2CF9AE}" pid="6" name="Document Type">
    <vt:lpwstr>Prefiled evidence</vt:lpwstr>
  </property>
  <property fmtid="{D5CDD505-2E9C-101B-9397-08002B2CF9AE}" pid="7" name="Comments">
    <vt:lpwstr/>
  </property>
</Properties>
</file>