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Y:\2018 CoS\Models\Final Models for Filing\"/>
    </mc:Choice>
  </mc:AlternateContent>
  <bookViews>
    <workbookView xWindow="0" yWindow="0" windowWidth="28800" windowHeight="11910" activeTab="1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9" i="4" l="1"/>
  <c r="K27" i="4" l="1"/>
  <c r="L27" i="4"/>
  <c r="M27" i="4"/>
  <c r="C3" i="4" l="1"/>
  <c r="E3" i="1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7" i="4" s="1"/>
  <c r="G135" i="1"/>
  <c r="G118" i="1"/>
  <c r="G110" i="1"/>
  <c r="G89" i="1"/>
  <c r="G79" i="1"/>
  <c r="G71" i="1"/>
  <c r="G63" i="1"/>
  <c r="G55" i="1"/>
  <c r="G47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K121" i="4"/>
  <c r="L121" i="4"/>
  <c r="H121" i="4"/>
  <c r="I64" i="4"/>
  <c r="K64" i="4"/>
  <c r="L64" i="4"/>
  <c r="H64" i="4"/>
  <c r="I78" i="4"/>
  <c r="K78" i="4"/>
  <c r="L78" i="4"/>
  <c r="H78" i="4"/>
  <c r="I86" i="4"/>
  <c r="K86" i="4"/>
  <c r="L86" i="4"/>
  <c r="H86" i="4"/>
  <c r="H91" i="4"/>
  <c r="I91" i="4"/>
  <c r="K91" i="4"/>
  <c r="L91" i="4"/>
  <c r="I109" i="4"/>
  <c r="K109" i="4"/>
  <c r="L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I115" i="4"/>
  <c r="H115" i="4"/>
  <c r="H35" i="4" s="1"/>
  <c r="K115" i="4"/>
  <c r="K29" i="4" s="1"/>
  <c r="L115" i="4"/>
  <c r="L29" i="4" s="1"/>
  <c r="I35" i="4" l="1"/>
  <c r="G256" i="1"/>
  <c r="H145" i="1" l="1"/>
  <c r="H118" i="4"/>
  <c r="I118" i="4"/>
  <c r="K118" i="4"/>
  <c r="L118" i="4"/>
  <c r="H119" i="4"/>
  <c r="I119" i="4"/>
  <c r="K119" i="4"/>
  <c r="L119" i="4"/>
  <c r="H120" i="4"/>
  <c r="I120" i="4"/>
  <c r="K120" i="4"/>
  <c r="L120" i="4"/>
  <c r="G22" i="4"/>
  <c r="G21" i="4"/>
  <c r="H21" i="4" s="1"/>
  <c r="I21" i="4" s="1"/>
  <c r="J21" i="4" s="1"/>
  <c r="G20" i="4"/>
  <c r="H20" i="4" s="1"/>
  <c r="I20" i="4" s="1"/>
  <c r="J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J122" i="4" l="1"/>
  <c r="I122" i="4"/>
  <c r="I29" i="4" s="1"/>
  <c r="H122" i="4"/>
  <c r="H22" i="4"/>
  <c r="H110" i="1" s="1"/>
  <c r="I22" i="4"/>
  <c r="H16" i="4"/>
  <c r="H142" i="1" s="1"/>
  <c r="J16" i="4"/>
  <c r="I16" i="4"/>
  <c r="H135" i="1"/>
  <c r="G37" i="4"/>
  <c r="G36" i="4"/>
  <c r="I145" i="1"/>
  <c r="H98" i="1"/>
  <c r="H93" i="1"/>
  <c r="H115" i="1" s="1"/>
  <c r="H97" i="1"/>
  <c r="H155" i="1" s="1"/>
  <c r="H134" i="1"/>
  <c r="H112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J37" i="4" l="1"/>
  <c r="I37" i="4"/>
  <c r="I27" i="4" s="1"/>
  <c r="H37" i="4"/>
  <c r="H27" i="4" s="1"/>
  <c r="H99" i="1"/>
  <c r="G27" i="4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9" i="1"/>
  <c r="I142" i="1"/>
  <c r="I92" i="1"/>
  <c r="I114" i="1" s="1"/>
  <c r="I112" i="1"/>
  <c r="J112" i="1" s="1"/>
  <c r="K112" i="1" s="1"/>
  <c r="L112" i="1" s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110" i="1"/>
  <c r="J113" i="1" s="1"/>
  <c r="J92" i="1"/>
  <c r="J114" i="1" s="1"/>
  <c r="J99" i="1"/>
  <c r="J142" i="1"/>
  <c r="J93" i="1"/>
  <c r="J115" i="1" s="1"/>
  <c r="G31" i="4"/>
  <c r="H117" i="1"/>
  <c r="H137" i="1"/>
  <c r="H152" i="1" s="1"/>
  <c r="H206" i="1" s="1"/>
  <c r="H131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6" i="1"/>
  <c r="H210" i="1"/>
  <c r="H247" i="1"/>
  <c r="J139" i="1"/>
  <c r="H156" i="1"/>
  <c r="H220" i="1" s="1"/>
  <c r="I143" i="1"/>
  <c r="H154" i="1"/>
  <c r="H208" i="1" s="1"/>
  <c r="H215" i="1" s="1"/>
  <c r="I136" i="1"/>
  <c r="I137" i="1" s="1"/>
  <c r="H89" i="1" l="1"/>
  <c r="H107" i="1" s="1"/>
  <c r="H121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16" i="1"/>
  <c r="I247" i="1"/>
  <c r="I152" i="1"/>
  <c r="I206" i="1" s="1"/>
  <c r="K129" i="1"/>
  <c r="K155" i="1"/>
  <c r="K209" i="1" s="1"/>
  <c r="K213" i="1" s="1"/>
  <c r="J136" i="1"/>
  <c r="J137" i="1" s="1"/>
  <c r="H256" i="1" l="1"/>
  <c r="G10" i="5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I210" i="1"/>
  <c r="K143" i="1"/>
  <c r="J156" i="1"/>
  <c r="J220" i="1" s="1"/>
  <c r="K153" i="1"/>
  <c r="K207" i="1" s="1"/>
  <c r="K128" i="1"/>
  <c r="K157" i="1" s="1"/>
  <c r="K221" i="1" s="1"/>
  <c r="K31" i="4" l="1"/>
  <c r="K89" i="1" s="1"/>
  <c r="K107" i="1" s="1"/>
  <c r="L31" i="4"/>
  <c r="L89" i="1" s="1"/>
  <c r="L107" i="1" s="1"/>
  <c r="L137" i="1"/>
  <c r="J119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0" i="1"/>
  <c r="L156" i="1" l="1"/>
  <c r="L220" i="1" s="1"/>
  <c r="M143" i="1"/>
  <c r="M156" i="1" s="1"/>
  <c r="M220" i="1" s="1"/>
  <c r="L247" i="1"/>
  <c r="M137" i="1"/>
  <c r="L152" i="1"/>
  <c r="L206" i="1" s="1"/>
  <c r="K119" i="1"/>
  <c r="K121" i="1" s="1"/>
  <c r="L117" i="1"/>
  <c r="L118" i="1" s="1"/>
  <c r="K214" i="1"/>
  <c r="K210" i="1"/>
  <c r="K216" i="1"/>
  <c r="M247" i="1" l="1"/>
  <c r="M152" i="1"/>
  <c r="M206" i="1" s="1"/>
  <c r="L119" i="1"/>
  <c r="L121" i="1" s="1"/>
  <c r="L256" i="1" s="1"/>
  <c r="M117" i="1"/>
  <c r="M118" i="1" s="1"/>
  <c r="M119" i="1" s="1"/>
  <c r="M121" i="1" s="1"/>
  <c r="M256" i="1" s="1"/>
  <c r="L216" i="1"/>
  <c r="L210" i="1"/>
  <c r="L214" i="1"/>
  <c r="K256" i="1"/>
  <c r="G257" i="1"/>
  <c r="H178" i="1"/>
  <c r="I178" i="1" s="1"/>
  <c r="H168" i="1"/>
  <c r="H164" i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M210" i="1"/>
  <c r="M214" i="1"/>
  <c r="M216" i="1"/>
  <c r="H231" i="1"/>
  <c r="I167" i="1"/>
  <c r="J167" i="1" s="1"/>
  <c r="K167" i="1" s="1"/>
  <c r="I171" i="1"/>
  <c r="H243" i="1"/>
  <c r="I179" i="1"/>
  <c r="H226" i="1"/>
  <c r="I162" i="1"/>
  <c r="H230" i="1"/>
  <c r="I166" i="1"/>
  <c r="H227" i="1"/>
  <c r="I163" i="1"/>
  <c r="I174" i="1"/>
  <c r="J178" i="1"/>
  <c r="H236" i="1"/>
  <c r="I172" i="1"/>
  <c r="I175" i="1"/>
  <c r="J170" i="1"/>
  <c r="H241" i="1"/>
  <c r="I177" i="1"/>
  <c r="H240" i="1"/>
  <c r="I176" i="1"/>
  <c r="I168" i="1"/>
  <c r="H234" i="1"/>
  <c r="I169" i="1"/>
  <c r="I165" i="1"/>
  <c r="I164" i="1"/>
  <c r="F14" i="5" l="1"/>
  <c r="F22" i="5"/>
  <c r="J173" i="1"/>
  <c r="K173" i="1" s="1"/>
  <c r="J231" i="1"/>
  <c r="I231" i="1"/>
  <c r="J165" i="1"/>
  <c r="L167" i="1"/>
  <c r="K231" i="1"/>
  <c r="K178" i="1"/>
  <c r="I226" i="1"/>
  <c r="J162" i="1"/>
  <c r="J169" i="1"/>
  <c r="J168" i="1"/>
  <c r="J176" i="1"/>
  <c r="K170" i="1"/>
  <c r="J172" i="1"/>
  <c r="J166" i="1"/>
  <c r="J179" i="1"/>
  <c r="I243" i="1"/>
  <c r="J164" i="1"/>
  <c r="J174" i="1"/>
  <c r="I241" i="1"/>
  <c r="J177" i="1"/>
  <c r="J175" i="1"/>
  <c r="J163" i="1"/>
  <c r="I227" i="1"/>
  <c r="J171" i="1"/>
  <c r="L231" i="1" l="1"/>
  <c r="M167" i="1"/>
  <c r="K174" i="1"/>
  <c r="K164" i="1"/>
  <c r="L170" i="1"/>
  <c r="K234" i="1"/>
  <c r="K169" i="1"/>
  <c r="K171" i="1"/>
  <c r="K163" i="1"/>
  <c r="J227" i="1"/>
  <c r="K175" i="1"/>
  <c r="K176" i="1"/>
  <c r="K237" i="1"/>
  <c r="L173" i="1"/>
  <c r="K162" i="1"/>
  <c r="J226" i="1"/>
  <c r="K179" i="1"/>
  <c r="J243" i="1"/>
  <c r="K172" i="1"/>
  <c r="K177" i="1"/>
  <c r="J241" i="1"/>
  <c r="K166" i="1"/>
  <c r="K168" i="1"/>
  <c r="L178" i="1"/>
  <c r="K242" i="1"/>
  <c r="K165" i="1"/>
  <c r="M231" i="1" l="1"/>
  <c r="L237" i="1"/>
  <c r="M173" i="1"/>
  <c r="L234" i="1"/>
  <c r="M170" i="1"/>
  <c r="L242" i="1"/>
  <c r="M178" i="1"/>
  <c r="L172" i="1"/>
  <c r="K230" i="1"/>
  <c r="L166" i="1"/>
  <c r="L162" i="1"/>
  <c r="K226" i="1"/>
  <c r="L176" i="1"/>
  <c r="L163" i="1"/>
  <c r="K227" i="1"/>
  <c r="L169" i="1"/>
  <c r="L164" i="1"/>
  <c r="K228" i="1"/>
  <c r="L174" i="1"/>
  <c r="L165" i="1"/>
  <c r="K232" i="1"/>
  <c r="L168" i="1"/>
  <c r="K241" i="1"/>
  <c r="L177" i="1"/>
  <c r="K243" i="1"/>
  <c r="L179" i="1"/>
  <c r="L175" i="1"/>
  <c r="K239" i="1"/>
  <c r="K235" i="1"/>
  <c r="L171" i="1"/>
  <c r="M242" i="1" l="1"/>
  <c r="M237" i="1"/>
  <c r="M234" i="1"/>
  <c r="L226" i="1"/>
  <c r="M162" i="1"/>
  <c r="L235" i="1"/>
  <c r="M171" i="1"/>
  <c r="L243" i="1"/>
  <c r="M179" i="1"/>
  <c r="M165" i="1"/>
  <c r="L227" i="1"/>
  <c r="M163" i="1"/>
  <c r="L241" i="1"/>
  <c r="M177" i="1"/>
  <c r="M169" i="1"/>
  <c r="M172" i="1"/>
  <c r="M176" i="1"/>
  <c r="L228" i="1"/>
  <c r="M164" i="1"/>
  <c r="M174" i="1"/>
  <c r="L239" i="1"/>
  <c r="M175" i="1"/>
  <c r="L232" i="1"/>
  <c r="M168" i="1"/>
  <c r="L230" i="1"/>
  <c r="M166" i="1"/>
  <c r="K245" i="1"/>
  <c r="K246" i="1" s="1"/>
  <c r="K248" i="1" s="1"/>
  <c r="K257" i="1" s="1"/>
  <c r="M232" i="1" l="1"/>
  <c r="M227" i="1"/>
  <c r="M243" i="1"/>
  <c r="M226" i="1"/>
  <c r="M230" i="1"/>
  <c r="M239" i="1"/>
  <c r="M228" i="1"/>
  <c r="M241" i="1"/>
  <c r="M235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  <c r="J98" i="1" l="1"/>
  <c r="J130" i="1" s="1"/>
  <c r="I98" i="1"/>
  <c r="I130" i="1" s="1"/>
  <c r="I131" i="1" s="1"/>
  <c r="I154" i="1" l="1"/>
  <c r="I208" i="1" s="1"/>
  <c r="J131" i="1"/>
  <c r="K131" i="1" l="1"/>
  <c r="J154" i="1"/>
  <c r="J208" i="1" s="1"/>
  <c r="I215" i="1"/>
  <c r="I236" i="1" s="1"/>
  <c r="I212" i="1"/>
  <c r="I233" i="1" s="1"/>
  <c r="I229" i="1"/>
  <c r="J212" i="1" l="1"/>
  <c r="J233" i="1" s="1"/>
  <c r="J215" i="1"/>
  <c r="J236" i="1" s="1"/>
  <c r="J229" i="1"/>
  <c r="K154" i="1"/>
  <c r="K208" i="1" s="1"/>
  <c r="L131" i="1"/>
  <c r="M131" i="1" l="1"/>
  <c r="M154" i="1" s="1"/>
  <c r="M208" i="1" s="1"/>
  <c r="L154" i="1"/>
  <c r="L208" i="1" s="1"/>
  <c r="K215" i="1"/>
  <c r="K236" i="1" s="1"/>
  <c r="K219" i="1"/>
  <c r="K240" i="1" s="1"/>
  <c r="K212" i="1"/>
  <c r="K233" i="1" s="1"/>
  <c r="K217" i="1"/>
  <c r="K238" i="1" s="1"/>
  <c r="K229" i="1"/>
  <c r="M219" i="1" l="1"/>
  <c r="M240" i="1" s="1"/>
  <c r="M217" i="1"/>
  <c r="M238" i="1" s="1"/>
  <c r="M212" i="1"/>
  <c r="M233" i="1" s="1"/>
  <c r="M215" i="1"/>
  <c r="M236" i="1" s="1"/>
  <c r="M229" i="1"/>
  <c r="L217" i="1"/>
  <c r="L238" i="1" s="1"/>
  <c r="L212" i="1"/>
  <c r="L233" i="1" s="1"/>
  <c r="L215" i="1"/>
  <c r="L236" i="1" s="1"/>
  <c r="L219" i="1"/>
  <c r="L240" i="1" s="1"/>
  <c r="L229" i="1"/>
  <c r="I96" i="1" l="1"/>
  <c r="J96" i="1"/>
  <c r="H96" i="1"/>
  <c r="H128" i="1" l="1"/>
  <c r="H153" i="1"/>
  <c r="H207" i="1" s="1"/>
  <c r="J153" i="1"/>
  <c r="J207" i="1" s="1"/>
  <c r="J128" i="1"/>
  <c r="J157" i="1" s="1"/>
  <c r="J221" i="1" s="1"/>
  <c r="J242" i="1" s="1"/>
  <c r="I128" i="1"/>
  <c r="I157" i="1" s="1"/>
  <c r="I221" i="1" s="1"/>
  <c r="I242" i="1" s="1"/>
  <c r="I153" i="1"/>
  <c r="I207" i="1" s="1"/>
  <c r="H157" i="1" l="1"/>
  <c r="H221" i="1" s="1"/>
  <c r="H242" i="1" s="1"/>
  <c r="J228" i="1"/>
  <c r="J211" i="1"/>
  <c r="J232" i="1" s="1"/>
  <c r="J214" i="1"/>
  <c r="J235" i="1" s="1"/>
  <c r="J217" i="1"/>
  <c r="J238" i="1" s="1"/>
  <c r="I217" i="1"/>
  <c r="I238" i="1" s="1"/>
  <c r="I211" i="1"/>
  <c r="I232" i="1" s="1"/>
  <c r="I214" i="1"/>
  <c r="I235" i="1" s="1"/>
  <c r="I228" i="1"/>
  <c r="H214" i="1"/>
  <c r="H235" i="1" s="1"/>
  <c r="H218" i="1"/>
  <c r="H239" i="1" s="1"/>
  <c r="H211" i="1"/>
  <c r="H232" i="1" s="1"/>
  <c r="H217" i="1"/>
  <c r="H238" i="1" s="1"/>
  <c r="H228" i="1"/>
  <c r="H245" i="1" l="1"/>
  <c r="H246" i="1" s="1"/>
  <c r="H248" i="1" s="1"/>
  <c r="H257" i="1" s="1"/>
  <c r="G12" i="5" s="1"/>
  <c r="H261" i="1" l="1"/>
  <c r="H258" i="1"/>
  <c r="H259" i="1" s="1"/>
  <c r="G16" i="5"/>
  <c r="G14" i="5"/>
  <c r="G22" i="5" l="1"/>
  <c r="I97" i="1" l="1"/>
  <c r="I155" i="1" l="1"/>
  <c r="I209" i="1" s="1"/>
  <c r="I129" i="1"/>
  <c r="I213" i="1" l="1"/>
  <c r="I234" i="1" s="1"/>
  <c r="I219" i="1"/>
  <c r="I240" i="1" s="1"/>
  <c r="I216" i="1"/>
  <c r="I237" i="1" s="1"/>
  <c r="I230" i="1"/>
  <c r="I218" i="1"/>
  <c r="I239" i="1" s="1"/>
  <c r="I245" i="1" l="1"/>
  <c r="I246" i="1" s="1"/>
  <c r="I248" i="1" s="1"/>
  <c r="I257" i="1" s="1"/>
  <c r="H12" i="5" l="1"/>
  <c r="I258" i="1"/>
  <c r="I259" i="1" s="1"/>
  <c r="I261" i="1"/>
  <c r="H14" i="5" l="1"/>
  <c r="H16" i="5"/>
  <c r="H22" i="5" l="1"/>
  <c r="H18" i="5"/>
  <c r="H24" i="5" s="1"/>
  <c r="J97" i="1" l="1"/>
  <c r="J129" i="1" l="1"/>
  <c r="J155" i="1"/>
  <c r="J209" i="1" s="1"/>
  <c r="J213" i="1" l="1"/>
  <c r="J234" i="1" s="1"/>
  <c r="J216" i="1"/>
  <c r="J237" i="1" s="1"/>
  <c r="J230" i="1"/>
  <c r="J219" i="1"/>
  <c r="J240" i="1" s="1"/>
  <c r="J218" i="1"/>
  <c r="J239" i="1" s="1"/>
  <c r="J245" i="1" l="1"/>
  <c r="J246" i="1" s="1"/>
  <c r="J248" i="1" s="1"/>
  <c r="J257" i="1" s="1"/>
  <c r="I12" i="5" l="1"/>
  <c r="J91" i="4" l="1"/>
  <c r="J120" i="4"/>
  <c r="J119" i="4"/>
  <c r="J86" i="4" l="1"/>
  <c r="J78" i="4"/>
  <c r="J121" i="4"/>
  <c r="J118" i="4"/>
  <c r="J64" i="4" l="1"/>
  <c r="J109" i="4"/>
  <c r="J115" i="4" s="1"/>
  <c r="J35" i="4" l="1"/>
  <c r="J27" i="4" s="1"/>
  <c r="J31" i="4" s="1"/>
  <c r="J89" i="1" s="1"/>
  <c r="J107" i="1" s="1"/>
  <c r="J121" i="1" s="1"/>
  <c r="J29" i="4"/>
  <c r="J256" i="1" l="1"/>
  <c r="I10" i="5"/>
  <c r="I14" i="5" s="1"/>
  <c r="I16" i="5" s="1"/>
  <c r="I18" i="5" l="1"/>
  <c r="I22" i="5"/>
  <c r="J261" i="1"/>
  <c r="J258" i="1"/>
  <c r="J259" i="1" s="1"/>
</calcChain>
</file>

<file path=xl/sharedStrings.xml><?xml version="1.0" encoding="utf-8"?>
<sst xmlns="http://schemas.openxmlformats.org/spreadsheetml/2006/main" count="520" uniqueCount="278">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</sst>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  <family val="2"/>
    </font>
    <font>
      <b/>
      <sz val="14"/>
      <name val="MS Sans Serif"/>
      <family val="2"/>
    </font>
    <font>
      <b/>
      <sz val="16"/>
      <name val="MS Sans Serif"/>
      <family val="2"/>
    </font>
    <font>
      <sz val="10"/>
      <name val="MS Sans Serif"/>
      <family val="2"/>
    </font>
    <font>
      <sz val="10"/>
      <color theme="3"/>
      <name val="MS Sans Serif"/>
      <family val="2"/>
    </font>
    <font>
      <b/>
      <sz val="10"/>
      <name val="MS Sans Serif"/>
      <family val="2"/>
    </font>
    <font>
      <sz val="8"/>
      <color rgb="FF000000"/>
      <name val="Arial"/>
      <family val="2"/>
    </font>
    <font>
      <b/>
      <u/>
      <sz val="10"/>
      <name val="MS Sans Serif"/>
      <family val="2"/>
    </font>
    <font>
      <sz val="10"/>
      <color rgb="FFFF0000"/>
      <name val="MS Sans Serif"/>
      <family val="2"/>
    </font>
    <font>
      <sz val="12"/>
      <name val="MS Sans Serif"/>
      <family val="2"/>
    </font>
    <font>
      <sz val="14"/>
      <name val="MS Sans Serif"/>
      <family val="2"/>
    </font>
    <font>
      <sz val="24"/>
      <name val="MS Sans Serif"/>
      <family val="2"/>
    </font>
    <font>
      <b/>
      <sz val="12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167" fontId="6" fillId="0" borderId="0" xfId="1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O124"/>
  <sheetViews>
    <sheetView topLeftCell="D1" zoomScaleNormal="100" workbookViewId="0">
      <selection activeCell="G16" sqref="G16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3.25" x14ac:dyDescent="0.35">
      <c r="C2" s="222" t="s">
        <v>191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</row>
    <row r="3" spans="2:15" ht="19.5" customHeight="1" x14ac:dyDescent="0.25">
      <c r="C3" s="223" t="str">
        <f>IF(F5="Click to Choose an LDC","",F5)</f>
        <v>Centre Wellington Hydro Ltd.</v>
      </c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2:15" s="92" customFormat="1" ht="19.5" customHeight="1" thickBot="1" x14ac:dyDescent="0.3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50"/>
    </row>
    <row r="5" spans="2:15" ht="25.5" customHeight="1" thickBot="1" x14ac:dyDescent="0.25">
      <c r="B5" s="145" t="s">
        <v>189</v>
      </c>
      <c r="E5" s="78"/>
      <c r="F5" s="146" t="s">
        <v>213</v>
      </c>
      <c r="G5" s="14" t="s">
        <v>175</v>
      </c>
      <c r="H5" s="14" t="s">
        <v>176</v>
      </c>
      <c r="I5" s="14" t="s">
        <v>174</v>
      </c>
      <c r="J5" s="224" t="s">
        <v>177</v>
      </c>
      <c r="K5" s="224"/>
      <c r="L5" s="224"/>
      <c r="M5" s="224"/>
      <c r="N5" s="78"/>
      <c r="O5" s="94"/>
    </row>
    <row r="6" spans="2:15" ht="36" customHeight="1" x14ac:dyDescent="0.35">
      <c r="B6" s="6" t="s">
        <v>180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1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25"/>
      <c r="I8" s="225"/>
      <c r="J8" s="225"/>
      <c r="K8" s="225"/>
      <c r="L8" s="225"/>
      <c r="M8" s="225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1884000.9</v>
      </c>
      <c r="H9" s="125">
        <v>2132796.9699999997</v>
      </c>
      <c r="I9" s="125">
        <v>1377600</v>
      </c>
      <c r="J9" s="125">
        <v>875300</v>
      </c>
      <c r="K9" s="125">
        <v>750600</v>
      </c>
      <c r="L9" s="125">
        <v>973600</v>
      </c>
      <c r="M9" s="125">
        <v>720000</v>
      </c>
      <c r="N9" s="78" t="s">
        <v>172</v>
      </c>
      <c r="O9" s="88"/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32714.01</v>
      </c>
      <c r="H10" s="125"/>
      <c r="I10" s="125"/>
      <c r="J10" s="125"/>
      <c r="K10" s="125"/>
      <c r="L10" s="125"/>
      <c r="M10" s="125"/>
      <c r="N10" s="78" t="s">
        <v>172</v>
      </c>
      <c r="O10" s="88"/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5"/>
      <c r="I12" s="185"/>
      <c r="J12" s="185"/>
      <c r="K12" s="185"/>
      <c r="L12" s="185"/>
      <c r="M12" s="185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6757</v>
      </c>
      <c r="H13" s="125">
        <v>6911.5414404781222</v>
      </c>
      <c r="I13" s="125">
        <v>6843.6259921260244</v>
      </c>
      <c r="J13" s="125">
        <v>6911.5414404781222</v>
      </c>
      <c r="K13" s="125"/>
      <c r="L13" s="125"/>
      <c r="M13" s="125"/>
      <c r="N13" s="78" t="s">
        <v>172</v>
      </c>
      <c r="O13" s="88"/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139446467.25</v>
      </c>
      <c r="H14" s="125">
        <v>138233652</v>
      </c>
      <c r="I14" s="125">
        <v>146918511.24504298</v>
      </c>
      <c r="J14" s="125">
        <v>144365460.10254392</v>
      </c>
      <c r="K14" s="125"/>
      <c r="L14" s="125"/>
      <c r="M14" s="125"/>
      <c r="N14" s="78" t="s">
        <v>172</v>
      </c>
      <c r="O14" s="88"/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28656</v>
      </c>
      <c r="H15" s="125">
        <v>0</v>
      </c>
      <c r="I15" s="125">
        <v>0</v>
      </c>
      <c r="J15" s="125">
        <v>0</v>
      </c>
      <c r="K15" s="125"/>
      <c r="L15" s="125"/>
      <c r="M15" s="125"/>
      <c r="N15" s="78" t="s">
        <v>172</v>
      </c>
      <c r="O15" s="88"/>
    </row>
    <row r="16" spans="2:15" x14ac:dyDescent="0.2">
      <c r="B16" s="2">
        <v>6</v>
      </c>
      <c r="C16" s="26"/>
      <c r="D16" s="78" t="s">
        <v>192</v>
      </c>
      <c r="F16" s="26"/>
      <c r="G16" s="86">
        <f>'Benchmarking Calculations'!G99</f>
        <v>151</v>
      </c>
      <c r="H16" s="125">
        <f>G16</f>
        <v>151</v>
      </c>
      <c r="I16" s="125">
        <f>G16</f>
        <v>151</v>
      </c>
      <c r="J16" s="125">
        <f>G16</f>
        <v>151</v>
      </c>
      <c r="K16" s="125"/>
      <c r="L16" s="125"/>
      <c r="M16" s="125"/>
      <c r="N16" s="78" t="s">
        <v>172</v>
      </c>
      <c r="O16" s="88"/>
    </row>
    <row r="17" spans="2:15" x14ac:dyDescent="0.2">
      <c r="B17" s="2">
        <v>7</v>
      </c>
      <c r="C17" s="38"/>
      <c r="D17" s="77" t="s">
        <v>121</v>
      </c>
      <c r="F17" s="78"/>
      <c r="G17" s="90">
        <f>'Benchmarking Calculations'!G145</f>
        <v>0.11025303976339139</v>
      </c>
      <c r="H17" s="119">
        <v>0.01</v>
      </c>
      <c r="I17" s="119">
        <v>0.01</v>
      </c>
      <c r="J17" s="119">
        <v>0.01</v>
      </c>
      <c r="K17" s="119"/>
      <c r="L17" s="119"/>
      <c r="M17" s="119"/>
      <c r="N17" s="78" t="s">
        <v>172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25"/>
      <c r="I19" s="225"/>
      <c r="J19" s="225"/>
      <c r="K19" s="225"/>
      <c r="L19" s="225"/>
      <c r="M19" s="225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 t="shared" ref="H20:J21" si="0">G20</f>
        <v>2.5639327969446551E-2</v>
      </c>
      <c r="I20" s="124">
        <f t="shared" si="0"/>
        <v>2.5639327969446551E-2</v>
      </c>
      <c r="J20" s="124">
        <f t="shared" si="0"/>
        <v>2.5639327969446551E-2</v>
      </c>
      <c r="K20" s="124"/>
      <c r="L20" s="124"/>
      <c r="M20" s="124"/>
      <c r="N20" s="78" t="s">
        <v>188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f t="shared" si="0"/>
        <v>1.574491305654421E-2</v>
      </c>
      <c r="I21" s="124">
        <f t="shared" si="0"/>
        <v>1.574491305654421E-2</v>
      </c>
      <c r="J21" s="124">
        <f t="shared" si="0"/>
        <v>1.574491305654421E-2</v>
      </c>
      <c r="K21" s="124"/>
      <c r="L21" s="124"/>
      <c r="M21" s="124"/>
      <c r="N21" s="78" t="s">
        <v>188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6.5054666666666677E-2</v>
      </c>
      <c r="H22" s="124">
        <f>G22</f>
        <v>6.5054666666666677E-2</v>
      </c>
      <c r="I22" s="124">
        <f>G22</f>
        <v>6.5054666666666677E-2</v>
      </c>
      <c r="J22" s="124">
        <v>5.7142825183000026E-2</v>
      </c>
      <c r="K22" s="124"/>
      <c r="L22" s="124"/>
      <c r="M22" s="124"/>
      <c r="N22" s="78" t="s">
        <v>172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193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144" t="s">
        <v>169</v>
      </c>
      <c r="F27" s="76" t="s">
        <v>198</v>
      </c>
      <c r="G27" s="51">
        <f>G35-G36+G37</f>
        <v>2106951.86</v>
      </c>
      <c r="H27" s="51">
        <f t="shared" ref="H27:M27" si="1">H35-H36+H37</f>
        <v>2186605</v>
      </c>
      <c r="I27" s="51">
        <f t="shared" si="1"/>
        <v>2336978</v>
      </c>
      <c r="J27" s="51">
        <f t="shared" si="1"/>
        <v>2449878</v>
      </c>
      <c r="K27" s="51">
        <f t="shared" si="1"/>
        <v>0</v>
      </c>
      <c r="L27" s="51">
        <f t="shared" si="1"/>
        <v>0</v>
      </c>
      <c r="M27" s="51">
        <f t="shared" si="1"/>
        <v>0</v>
      </c>
      <c r="N27" s="59" t="s">
        <v>29</v>
      </c>
    </row>
    <row r="28" spans="2:15" ht="13.5" thickBot="1" x14ac:dyDescent="0.25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144" t="s">
        <v>170</v>
      </c>
      <c r="F29" s="76" t="s">
        <v>202</v>
      </c>
      <c r="G29" s="51">
        <f t="shared" ref="G29:M29" si="2">G115-G121+G122</f>
        <v>2106951.86</v>
      </c>
      <c r="H29" s="51">
        <f t="shared" si="2"/>
        <v>2186605</v>
      </c>
      <c r="I29" s="51">
        <f t="shared" si="2"/>
        <v>2336978</v>
      </c>
      <c r="J29" s="51">
        <f t="shared" si="2"/>
        <v>2449878</v>
      </c>
      <c r="K29" s="51">
        <f t="shared" si="2"/>
        <v>0</v>
      </c>
      <c r="L29" s="51">
        <f t="shared" si="2"/>
        <v>0</v>
      </c>
      <c r="M29" s="51">
        <f t="shared" si="2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3">IF($E$27="Y",G27,IF($E$29="Y",G29,"Error: Please enter Y for one method"))</f>
        <v>2106951.86</v>
      </c>
      <c r="H31" s="51">
        <f t="shared" si="3"/>
        <v>2186605</v>
      </c>
      <c r="I31" s="51">
        <f t="shared" si="3"/>
        <v>2336978</v>
      </c>
      <c r="J31" s="51">
        <f t="shared" si="3"/>
        <v>2449878</v>
      </c>
      <c r="K31" s="51">
        <f t="shared" si="3"/>
        <v>0</v>
      </c>
      <c r="L31" s="51">
        <f t="shared" si="3"/>
        <v>0</v>
      </c>
      <c r="M31" s="51">
        <f t="shared" si="3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3"/>
    </row>
    <row r="34" spans="2:14" x14ac:dyDescent="0.2">
      <c r="C34" s="154"/>
      <c r="D34" s="79" t="s">
        <v>179</v>
      </c>
      <c r="E34" s="26"/>
      <c r="F34" s="26"/>
      <c r="G34" s="86"/>
      <c r="H34" s="221" t="s">
        <v>183</v>
      </c>
      <c r="I34" s="221"/>
      <c r="J34" s="221"/>
      <c r="K34" s="221"/>
      <c r="L34" s="221"/>
      <c r="M34" s="221"/>
      <c r="N34" s="155"/>
    </row>
    <row r="35" spans="2:14" x14ac:dyDescent="0.2">
      <c r="C35" s="154"/>
      <c r="D35" s="171" t="s">
        <v>195</v>
      </c>
      <c r="E35" s="26" t="s">
        <v>203</v>
      </c>
      <c r="F35" s="26"/>
      <c r="G35" s="85">
        <f>G115</f>
        <v>2055673.8599999999</v>
      </c>
      <c r="H35" s="120">
        <f>H115</f>
        <v>2135327</v>
      </c>
      <c r="I35" s="120">
        <f>I115</f>
        <v>2285700</v>
      </c>
      <c r="J35" s="120">
        <f>J115</f>
        <v>2398600</v>
      </c>
      <c r="K35" s="120"/>
      <c r="L35" s="120"/>
      <c r="M35" s="120"/>
      <c r="N35" s="155" t="s">
        <v>172</v>
      </c>
    </row>
    <row r="36" spans="2:14" x14ac:dyDescent="0.2">
      <c r="C36" s="154"/>
      <c r="D36" s="171" t="s">
        <v>196</v>
      </c>
      <c r="E36" s="26" t="s">
        <v>194</v>
      </c>
      <c r="F36" s="26"/>
      <c r="G36" s="51">
        <f>G121</f>
        <v>0</v>
      </c>
      <c r="H36" s="125"/>
      <c r="I36" s="125"/>
      <c r="J36" s="120"/>
      <c r="K36" s="120"/>
      <c r="L36" s="120"/>
      <c r="M36" s="120"/>
      <c r="N36" s="155" t="s">
        <v>172</v>
      </c>
    </row>
    <row r="37" spans="2:14" x14ac:dyDescent="0.2">
      <c r="C37" s="154"/>
      <c r="D37" s="172" t="s">
        <v>197</v>
      </c>
      <c r="E37" s="26" t="s">
        <v>83</v>
      </c>
      <c r="F37" s="26"/>
      <c r="G37" s="51">
        <f>G122</f>
        <v>51278</v>
      </c>
      <c r="H37" s="125">
        <f>G37</f>
        <v>51278</v>
      </c>
      <c r="I37" s="125">
        <f>G37</f>
        <v>51278</v>
      </c>
      <c r="J37" s="120">
        <f>G37</f>
        <v>51278</v>
      </c>
      <c r="K37" s="120"/>
      <c r="L37" s="120"/>
      <c r="M37" s="120"/>
      <c r="N37" s="155" t="s">
        <v>172</v>
      </c>
    </row>
    <row r="38" spans="2:14" s="92" customFormat="1" ht="13.5" thickBot="1" x14ac:dyDescent="0.25">
      <c r="B38" s="2"/>
      <c r="C38" s="156"/>
      <c r="D38" s="75"/>
      <c r="E38" s="75"/>
      <c r="F38" s="75"/>
      <c r="G38" s="157"/>
      <c r="H38" s="166"/>
      <c r="I38" s="166"/>
      <c r="J38" s="166"/>
      <c r="K38" s="166"/>
      <c r="L38" s="166"/>
      <c r="M38" s="166"/>
      <c r="N38" s="158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3"/>
    </row>
    <row r="41" spans="2:14" x14ac:dyDescent="0.2">
      <c r="C41" s="154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5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5"/>
    </row>
    <row r="43" spans="2:14" x14ac:dyDescent="0.2">
      <c r="C43" s="159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5"/>
    </row>
    <row r="44" spans="2:14" x14ac:dyDescent="0.2">
      <c r="C44" s="159"/>
      <c r="D44" s="26"/>
      <c r="E44" s="78">
        <v>5005</v>
      </c>
      <c r="F44" s="151" t="s">
        <v>8</v>
      </c>
      <c r="G44" s="58">
        <f>'Benchmarking Calculations'!G10</f>
        <v>107595.38</v>
      </c>
      <c r="H44" s="142">
        <v>71727.41</v>
      </c>
      <c r="I44" s="142">
        <v>79500</v>
      </c>
      <c r="J44" s="142">
        <v>84900</v>
      </c>
      <c r="K44" s="143"/>
      <c r="L44" s="143"/>
      <c r="M44" s="143"/>
      <c r="N44" s="155" t="s">
        <v>172</v>
      </c>
    </row>
    <row r="45" spans="2:14" x14ac:dyDescent="0.2">
      <c r="C45" s="159"/>
      <c r="D45" s="26"/>
      <c r="E45" s="78">
        <v>5010</v>
      </c>
      <c r="F45" s="151" t="s">
        <v>9</v>
      </c>
      <c r="G45" s="58">
        <f>'Benchmarking Calculations'!G11</f>
        <v>24975.95</v>
      </c>
      <c r="H45" s="142">
        <v>15500.36</v>
      </c>
      <c r="I45" s="142">
        <v>11700</v>
      </c>
      <c r="J45" s="142">
        <v>12100</v>
      </c>
      <c r="K45" s="143"/>
      <c r="L45" s="143"/>
      <c r="M45" s="143"/>
      <c r="N45" s="155" t="s">
        <v>172</v>
      </c>
    </row>
    <row r="46" spans="2:14" x14ac:dyDescent="0.2">
      <c r="C46" s="159"/>
      <c r="D46" s="26"/>
      <c r="E46" s="78">
        <v>5012</v>
      </c>
      <c r="F46" s="151" t="s">
        <v>10</v>
      </c>
      <c r="G46" s="58">
        <f>'Benchmarking Calculations'!G12</f>
        <v>67863.289999999994</v>
      </c>
      <c r="H46" s="142">
        <v>75720.899999999994</v>
      </c>
      <c r="I46" s="142">
        <v>78400</v>
      </c>
      <c r="J46" s="142">
        <v>79100</v>
      </c>
      <c r="K46" s="143"/>
      <c r="L46" s="143"/>
      <c r="M46" s="143"/>
      <c r="N46" s="155" t="s">
        <v>172</v>
      </c>
    </row>
    <row r="47" spans="2:14" x14ac:dyDescent="0.2">
      <c r="C47" s="159"/>
      <c r="D47" s="26"/>
      <c r="E47" s="78">
        <v>5014</v>
      </c>
      <c r="F47" s="151" t="s">
        <v>11</v>
      </c>
      <c r="G47" s="58">
        <f>'Benchmarking Calculations'!G13</f>
        <v>0</v>
      </c>
      <c r="H47" s="142">
        <v>0</v>
      </c>
      <c r="I47" s="142">
        <v>0</v>
      </c>
      <c r="J47" s="142">
        <v>0</v>
      </c>
      <c r="K47" s="143"/>
      <c r="L47" s="143"/>
      <c r="M47" s="143"/>
      <c r="N47" s="155" t="s">
        <v>172</v>
      </c>
    </row>
    <row r="48" spans="2:14" ht="25.5" x14ac:dyDescent="0.2">
      <c r="C48" s="159"/>
      <c r="D48" s="26"/>
      <c r="E48" s="78">
        <v>5015</v>
      </c>
      <c r="F48" s="151" t="s">
        <v>12</v>
      </c>
      <c r="G48" s="58">
        <f>'Benchmarking Calculations'!G14</f>
        <v>0</v>
      </c>
      <c r="H48" s="142">
        <v>0</v>
      </c>
      <c r="I48" s="142">
        <v>0</v>
      </c>
      <c r="J48" s="142">
        <v>0</v>
      </c>
      <c r="K48" s="143"/>
      <c r="L48" s="143"/>
      <c r="M48" s="143"/>
      <c r="N48" s="155" t="s">
        <v>172</v>
      </c>
    </row>
    <row r="49" spans="3:14" x14ac:dyDescent="0.2">
      <c r="C49" s="159"/>
      <c r="D49" s="26"/>
      <c r="E49" s="78">
        <v>5016</v>
      </c>
      <c r="F49" s="151" t="s">
        <v>13</v>
      </c>
      <c r="G49" s="58">
        <f>'Benchmarking Calculations'!G15</f>
        <v>101.9</v>
      </c>
      <c r="H49" s="142">
        <v>1305.17</v>
      </c>
      <c r="I49" s="142">
        <v>900</v>
      </c>
      <c r="J49" s="142">
        <v>1000</v>
      </c>
      <c r="K49" s="143"/>
      <c r="L49" s="143"/>
      <c r="M49" s="143"/>
      <c r="N49" s="155" t="s">
        <v>172</v>
      </c>
    </row>
    <row r="50" spans="3:14" ht="25.5" x14ac:dyDescent="0.2">
      <c r="C50" s="159"/>
      <c r="D50" s="26"/>
      <c r="E50" s="78">
        <v>5017</v>
      </c>
      <c r="F50" s="151" t="s">
        <v>14</v>
      </c>
      <c r="G50" s="58">
        <f>'Benchmarking Calculations'!G16</f>
        <v>15978.47</v>
      </c>
      <c r="H50" s="142">
        <v>12483.68</v>
      </c>
      <c r="I50" s="142">
        <v>32800</v>
      </c>
      <c r="J50" s="142">
        <v>12000</v>
      </c>
      <c r="K50" s="143"/>
      <c r="L50" s="143"/>
      <c r="M50" s="143"/>
      <c r="N50" s="155" t="s">
        <v>172</v>
      </c>
    </row>
    <row r="51" spans="3:14" ht="25.5" x14ac:dyDescent="0.2">
      <c r="C51" s="159"/>
      <c r="D51" s="26"/>
      <c r="E51" s="78">
        <v>5020</v>
      </c>
      <c r="F51" s="151" t="s">
        <v>15</v>
      </c>
      <c r="G51" s="58">
        <f>'Benchmarking Calculations'!G17</f>
        <v>-26.33</v>
      </c>
      <c r="H51" s="142">
        <v>2346.7800000000002</v>
      </c>
      <c r="I51" s="142">
        <v>12900</v>
      </c>
      <c r="J51" s="142">
        <v>13300</v>
      </c>
      <c r="K51" s="143"/>
      <c r="L51" s="143"/>
      <c r="M51" s="143"/>
      <c r="N51" s="155" t="s">
        <v>172</v>
      </c>
    </row>
    <row r="52" spans="3:14" ht="25.5" x14ac:dyDescent="0.2">
      <c r="C52" s="159"/>
      <c r="D52" s="26"/>
      <c r="E52" s="78">
        <v>5025</v>
      </c>
      <c r="F52" s="151" t="s">
        <v>16</v>
      </c>
      <c r="G52" s="58">
        <f>'Benchmarking Calculations'!G18</f>
        <v>10230.18</v>
      </c>
      <c r="H52" s="142">
        <v>5198.53</v>
      </c>
      <c r="I52" s="142">
        <v>13300</v>
      </c>
      <c r="J52" s="142">
        <v>13300</v>
      </c>
      <c r="K52" s="143"/>
      <c r="L52" s="143"/>
      <c r="M52" s="143"/>
      <c r="N52" s="155" t="s">
        <v>172</v>
      </c>
    </row>
    <row r="53" spans="3:14" x14ac:dyDescent="0.2">
      <c r="C53" s="159"/>
      <c r="D53" s="26"/>
      <c r="E53" s="78">
        <v>5035</v>
      </c>
      <c r="F53" s="151" t="s">
        <v>17</v>
      </c>
      <c r="G53" s="58">
        <f>'Benchmarking Calculations'!G19</f>
        <v>0</v>
      </c>
      <c r="H53" s="142">
        <v>0</v>
      </c>
      <c r="I53" s="142">
        <v>2500</v>
      </c>
      <c r="J53" s="142">
        <v>2500</v>
      </c>
      <c r="K53" s="143"/>
      <c r="L53" s="143"/>
      <c r="M53" s="143"/>
      <c r="N53" s="155" t="s">
        <v>172</v>
      </c>
    </row>
    <row r="54" spans="3:14" ht="25.5" x14ac:dyDescent="0.2">
      <c r="C54" s="159"/>
      <c r="D54" s="26"/>
      <c r="E54" s="78">
        <v>5040</v>
      </c>
      <c r="F54" s="151" t="s">
        <v>18</v>
      </c>
      <c r="G54" s="58">
        <f>'Benchmarking Calculations'!G20</f>
        <v>0</v>
      </c>
      <c r="H54" s="142">
        <v>0</v>
      </c>
      <c r="I54" s="142">
        <v>2500</v>
      </c>
      <c r="J54" s="142">
        <v>2500</v>
      </c>
      <c r="K54" s="143"/>
      <c r="L54" s="143"/>
      <c r="M54" s="143"/>
      <c r="N54" s="155" t="s">
        <v>172</v>
      </c>
    </row>
    <row r="55" spans="3:14" ht="25.5" x14ac:dyDescent="0.2">
      <c r="C55" s="159"/>
      <c r="D55" s="26"/>
      <c r="E55" s="78">
        <v>5045</v>
      </c>
      <c r="F55" s="151" t="s">
        <v>19</v>
      </c>
      <c r="G55" s="58">
        <f>'Benchmarking Calculations'!G21</f>
        <v>0</v>
      </c>
      <c r="H55" s="142">
        <v>0</v>
      </c>
      <c r="I55" s="142">
        <v>0</v>
      </c>
      <c r="J55" s="142">
        <v>0</v>
      </c>
      <c r="K55" s="143"/>
      <c r="L55" s="143"/>
      <c r="M55" s="143"/>
      <c r="N55" s="155" t="s">
        <v>172</v>
      </c>
    </row>
    <row r="56" spans="3:14" x14ac:dyDescent="0.2">
      <c r="C56" s="159"/>
      <c r="D56" s="26"/>
      <c r="E56" s="78">
        <v>5055</v>
      </c>
      <c r="F56" s="151" t="s">
        <v>20</v>
      </c>
      <c r="G56" s="58">
        <f>'Benchmarking Calculations'!G22</f>
        <v>1441.85</v>
      </c>
      <c r="H56" s="142">
        <v>4555.24</v>
      </c>
      <c r="I56" s="142">
        <v>12300</v>
      </c>
      <c r="J56" s="142">
        <v>12500</v>
      </c>
      <c r="K56" s="143"/>
      <c r="L56" s="143"/>
      <c r="M56" s="143"/>
      <c r="N56" s="155" t="s">
        <v>172</v>
      </c>
    </row>
    <row r="57" spans="3:14" x14ac:dyDescent="0.2">
      <c r="C57" s="159"/>
      <c r="D57" s="26"/>
      <c r="E57" s="78">
        <v>5065</v>
      </c>
      <c r="F57" s="151" t="s">
        <v>21</v>
      </c>
      <c r="G57" s="58">
        <f>'Benchmarking Calculations'!G23</f>
        <v>33526.61</v>
      </c>
      <c r="H57" s="142">
        <v>59018.69</v>
      </c>
      <c r="I57" s="142">
        <v>57000</v>
      </c>
      <c r="J57" s="142">
        <v>73400</v>
      </c>
      <c r="K57" s="143"/>
      <c r="L57" s="143"/>
      <c r="M57" s="143"/>
      <c r="N57" s="155" t="s">
        <v>172</v>
      </c>
    </row>
    <row r="58" spans="3:14" x14ac:dyDescent="0.2">
      <c r="C58" s="159"/>
      <c r="D58" s="26"/>
      <c r="E58" s="78">
        <v>5070</v>
      </c>
      <c r="F58" s="151" t="s">
        <v>22</v>
      </c>
      <c r="G58" s="58">
        <f>'Benchmarking Calculations'!G24</f>
        <v>0</v>
      </c>
      <c r="H58" s="142">
        <v>0</v>
      </c>
      <c r="I58" s="142">
        <v>0</v>
      </c>
      <c r="J58" s="142">
        <v>0</v>
      </c>
      <c r="K58" s="143"/>
      <c r="L58" s="143"/>
      <c r="M58" s="143"/>
      <c r="N58" s="155" t="s">
        <v>172</v>
      </c>
    </row>
    <row r="59" spans="3:14" ht="25.5" x14ac:dyDescent="0.2">
      <c r="C59" s="159"/>
      <c r="D59" s="26"/>
      <c r="E59" s="78">
        <v>5075</v>
      </c>
      <c r="F59" s="151" t="s">
        <v>23</v>
      </c>
      <c r="G59" s="58">
        <f>'Benchmarking Calculations'!G25</f>
        <v>0</v>
      </c>
      <c r="H59" s="142">
        <v>0</v>
      </c>
      <c r="I59" s="142">
        <v>0</v>
      </c>
      <c r="J59" s="142">
        <v>0</v>
      </c>
      <c r="K59" s="143"/>
      <c r="L59" s="143"/>
      <c r="M59" s="143"/>
      <c r="N59" s="155" t="s">
        <v>172</v>
      </c>
    </row>
    <row r="60" spans="3:14" x14ac:dyDescent="0.2">
      <c r="C60" s="159"/>
      <c r="D60" s="26"/>
      <c r="E60" s="78">
        <v>5085</v>
      </c>
      <c r="F60" s="151" t="s">
        <v>24</v>
      </c>
      <c r="G60" s="58">
        <f>'Benchmarking Calculations'!G26</f>
        <v>54618.14</v>
      </c>
      <c r="H60" s="142">
        <v>58407.31</v>
      </c>
      <c r="I60" s="142">
        <v>58000</v>
      </c>
      <c r="J60" s="142">
        <v>55800</v>
      </c>
      <c r="K60" s="143"/>
      <c r="L60" s="143"/>
      <c r="M60" s="143"/>
      <c r="N60" s="155" t="s">
        <v>172</v>
      </c>
    </row>
    <row r="61" spans="3:14" ht="25.5" x14ac:dyDescent="0.2">
      <c r="C61" s="159"/>
      <c r="D61" s="26"/>
      <c r="E61" s="78">
        <v>5090</v>
      </c>
      <c r="F61" s="151" t="s">
        <v>25</v>
      </c>
      <c r="G61" s="58">
        <f>'Benchmarking Calculations'!G27</f>
        <v>0</v>
      </c>
      <c r="H61" s="142">
        <v>0</v>
      </c>
      <c r="I61" s="142">
        <v>0</v>
      </c>
      <c r="J61" s="142">
        <v>0</v>
      </c>
      <c r="K61" s="143"/>
      <c r="L61" s="143"/>
      <c r="M61" s="143"/>
      <c r="N61" s="155" t="s">
        <v>172</v>
      </c>
    </row>
    <row r="62" spans="3:14" ht="25.5" x14ac:dyDescent="0.2">
      <c r="C62" s="159"/>
      <c r="D62" s="26"/>
      <c r="E62" s="78">
        <v>5095</v>
      </c>
      <c r="F62" s="151" t="s">
        <v>26</v>
      </c>
      <c r="G62" s="58">
        <f>'Benchmarking Calculations'!G28</f>
        <v>6172.31</v>
      </c>
      <c r="H62" s="142">
        <v>6304.25</v>
      </c>
      <c r="I62" s="142">
        <v>6300</v>
      </c>
      <c r="J62" s="142">
        <v>6400</v>
      </c>
      <c r="K62" s="143"/>
      <c r="L62" s="143"/>
      <c r="M62" s="143"/>
      <c r="N62" s="155" t="s">
        <v>172</v>
      </c>
    </row>
    <row r="63" spans="3:14" x14ac:dyDescent="0.2">
      <c r="C63" s="159"/>
      <c r="D63" s="26"/>
      <c r="E63" s="111">
        <v>5096</v>
      </c>
      <c r="F63" s="170" t="s">
        <v>27</v>
      </c>
      <c r="G63" s="112">
        <f>'Benchmarking Calculations'!G29</f>
        <v>0</v>
      </c>
      <c r="H63" s="142">
        <v>0</v>
      </c>
      <c r="I63" s="142">
        <v>0</v>
      </c>
      <c r="J63" s="142">
        <v>0</v>
      </c>
      <c r="K63" s="143"/>
      <c r="L63" s="143"/>
      <c r="M63" s="143"/>
      <c r="N63" s="155" t="s">
        <v>172</v>
      </c>
    </row>
    <row r="64" spans="3:14" x14ac:dyDescent="0.2">
      <c r="C64" s="159"/>
      <c r="D64" s="26"/>
      <c r="E64" s="16"/>
      <c r="F64" s="80" t="s">
        <v>28</v>
      </c>
      <c r="G64" s="110">
        <f>'Benchmarking Calculations'!G30</f>
        <v>322477.75</v>
      </c>
      <c r="H64" s="81">
        <f>SUM(H44:H63)</f>
        <v>312568.31999999995</v>
      </c>
      <c r="I64" s="81">
        <f t="shared" ref="I64:M64" si="4">SUM(I44:I63)</f>
        <v>368100</v>
      </c>
      <c r="J64" s="81">
        <f t="shared" si="4"/>
        <v>368800</v>
      </c>
      <c r="K64" s="81">
        <f t="shared" si="4"/>
        <v>0</v>
      </c>
      <c r="L64" s="81">
        <f t="shared" si="4"/>
        <v>0</v>
      </c>
      <c r="M64" s="81">
        <f t="shared" si="4"/>
        <v>0</v>
      </c>
      <c r="N64" s="160" t="s">
        <v>29</v>
      </c>
    </row>
    <row r="65" spans="3:14" x14ac:dyDescent="0.2">
      <c r="C65" s="159"/>
      <c r="D65" s="26"/>
      <c r="E65" s="78">
        <v>5105</v>
      </c>
      <c r="F65" s="151" t="s">
        <v>30</v>
      </c>
      <c r="G65" s="58">
        <f>'Benchmarking Calculations'!G31</f>
        <v>43284.33</v>
      </c>
      <c r="H65" s="142">
        <v>26845.09</v>
      </c>
      <c r="I65" s="142">
        <v>36500</v>
      </c>
      <c r="J65" s="142">
        <v>40500</v>
      </c>
      <c r="K65" s="143"/>
      <c r="L65" s="143"/>
      <c r="M65" s="143"/>
      <c r="N65" s="155" t="s">
        <v>172</v>
      </c>
    </row>
    <row r="66" spans="3:14" x14ac:dyDescent="0.2">
      <c r="C66" s="159"/>
      <c r="D66" s="26"/>
      <c r="E66" s="78">
        <v>5110</v>
      </c>
      <c r="F66" s="151" t="s">
        <v>31</v>
      </c>
      <c r="G66" s="58">
        <f>'Benchmarking Calculations'!G32</f>
        <v>0</v>
      </c>
      <c r="H66" s="142">
        <v>0</v>
      </c>
      <c r="I66" s="142">
        <v>0</v>
      </c>
      <c r="J66" s="142">
        <v>0</v>
      </c>
      <c r="K66" s="143"/>
      <c r="L66" s="143"/>
      <c r="M66" s="143"/>
      <c r="N66" s="155" t="s">
        <v>172</v>
      </c>
    </row>
    <row r="67" spans="3:14" x14ac:dyDescent="0.2">
      <c r="C67" s="159"/>
      <c r="D67" s="26"/>
      <c r="E67" s="78">
        <v>5112</v>
      </c>
      <c r="F67" s="151" t="s">
        <v>32</v>
      </c>
      <c r="G67" s="58">
        <f>'Benchmarking Calculations'!G33</f>
        <v>0</v>
      </c>
      <c r="H67" s="142">
        <v>0</v>
      </c>
      <c r="I67" s="142">
        <v>0</v>
      </c>
      <c r="J67" s="142">
        <v>0</v>
      </c>
      <c r="K67" s="143"/>
      <c r="L67" s="143"/>
      <c r="M67" s="143"/>
      <c r="N67" s="155" t="s">
        <v>172</v>
      </c>
    </row>
    <row r="68" spans="3:14" x14ac:dyDescent="0.2">
      <c r="C68" s="159"/>
      <c r="D68" s="26"/>
      <c r="E68" s="78">
        <v>5114</v>
      </c>
      <c r="F68" s="151" t="s">
        <v>33</v>
      </c>
      <c r="G68" s="58">
        <f>'Benchmarking Calculations'!G34</f>
        <v>12225.62</v>
      </c>
      <c r="H68" s="142">
        <v>5735.53</v>
      </c>
      <c r="I68" s="142">
        <v>12300</v>
      </c>
      <c r="J68" s="142">
        <v>30300</v>
      </c>
      <c r="K68" s="143"/>
      <c r="L68" s="143"/>
      <c r="M68" s="143"/>
      <c r="N68" s="155" t="s">
        <v>172</v>
      </c>
    </row>
    <row r="69" spans="3:14" x14ac:dyDescent="0.2">
      <c r="C69" s="159"/>
      <c r="D69" s="26"/>
      <c r="E69" s="78">
        <v>5120</v>
      </c>
      <c r="F69" s="151" t="s">
        <v>34</v>
      </c>
      <c r="G69" s="58">
        <f>'Benchmarking Calculations'!G35</f>
        <v>13107.17</v>
      </c>
      <c r="H69" s="142">
        <v>26822.22</v>
      </c>
      <c r="I69" s="142">
        <v>21400</v>
      </c>
      <c r="J69" s="142">
        <v>22600</v>
      </c>
      <c r="K69" s="143"/>
      <c r="L69" s="143"/>
      <c r="M69" s="143"/>
      <c r="N69" s="155" t="s">
        <v>172</v>
      </c>
    </row>
    <row r="70" spans="3:14" x14ac:dyDescent="0.2">
      <c r="C70" s="159"/>
      <c r="D70" s="26"/>
      <c r="E70" s="78">
        <v>5125</v>
      </c>
      <c r="F70" s="151" t="s">
        <v>35</v>
      </c>
      <c r="G70" s="58">
        <f>'Benchmarking Calculations'!G36</f>
        <v>11728.62</v>
      </c>
      <c r="H70" s="142">
        <v>41708.68</v>
      </c>
      <c r="I70" s="142">
        <v>10800</v>
      </c>
      <c r="J70" s="142">
        <v>8600</v>
      </c>
      <c r="K70" s="143"/>
      <c r="L70" s="143"/>
      <c r="M70" s="143"/>
      <c r="N70" s="155" t="s">
        <v>172</v>
      </c>
    </row>
    <row r="71" spans="3:14" x14ac:dyDescent="0.2">
      <c r="C71" s="159"/>
      <c r="D71" s="26"/>
      <c r="E71" s="78">
        <v>5130</v>
      </c>
      <c r="F71" s="151" t="s">
        <v>36</v>
      </c>
      <c r="G71" s="58">
        <f>'Benchmarking Calculations'!G37</f>
        <v>27419.25</v>
      </c>
      <c r="H71" s="142">
        <v>52958.98</v>
      </c>
      <c r="I71" s="142">
        <v>28800</v>
      </c>
      <c r="J71" s="142">
        <v>31100</v>
      </c>
      <c r="K71" s="143"/>
      <c r="L71" s="143"/>
      <c r="M71" s="143"/>
      <c r="N71" s="155" t="s">
        <v>172</v>
      </c>
    </row>
    <row r="72" spans="3:14" ht="25.5" x14ac:dyDescent="0.2">
      <c r="C72" s="159"/>
      <c r="D72" s="26"/>
      <c r="E72" s="78">
        <v>5135</v>
      </c>
      <c r="F72" s="151" t="s">
        <v>37</v>
      </c>
      <c r="G72" s="58">
        <f>'Benchmarking Calculations'!G38</f>
        <v>62947.87</v>
      </c>
      <c r="H72" s="142">
        <v>66114.570000000007</v>
      </c>
      <c r="I72" s="142">
        <v>69900</v>
      </c>
      <c r="J72" s="142">
        <v>64600</v>
      </c>
      <c r="K72" s="143"/>
      <c r="L72" s="143"/>
      <c r="M72" s="143"/>
      <c r="N72" s="155" t="s">
        <v>172</v>
      </c>
    </row>
    <row r="73" spans="3:14" x14ac:dyDescent="0.2">
      <c r="C73" s="159"/>
      <c r="D73" s="26"/>
      <c r="E73" s="78">
        <v>5145</v>
      </c>
      <c r="F73" s="151" t="s">
        <v>38</v>
      </c>
      <c r="G73" s="58">
        <f>'Benchmarking Calculations'!G39</f>
        <v>1406.16</v>
      </c>
      <c r="H73" s="142">
        <v>3227.96</v>
      </c>
      <c r="I73" s="142">
        <v>1400</v>
      </c>
      <c r="J73" s="142">
        <v>1400</v>
      </c>
      <c r="K73" s="143"/>
      <c r="L73" s="143"/>
      <c r="M73" s="143"/>
      <c r="N73" s="155" t="s">
        <v>172</v>
      </c>
    </row>
    <row r="74" spans="3:14" ht="25.5" x14ac:dyDescent="0.2">
      <c r="C74" s="159"/>
      <c r="D74" s="26"/>
      <c r="E74" s="78">
        <v>5150</v>
      </c>
      <c r="F74" s="151" t="s">
        <v>39</v>
      </c>
      <c r="G74" s="58">
        <f>'Benchmarking Calculations'!G40</f>
        <v>3477.39</v>
      </c>
      <c r="H74" s="142">
        <v>2503.14</v>
      </c>
      <c r="I74" s="142">
        <v>3200</v>
      </c>
      <c r="J74" s="142">
        <v>3400</v>
      </c>
      <c r="K74" s="143"/>
      <c r="L74" s="143"/>
      <c r="M74" s="143"/>
      <c r="N74" s="155" t="s">
        <v>172</v>
      </c>
    </row>
    <row r="75" spans="3:14" x14ac:dyDescent="0.2">
      <c r="C75" s="159"/>
      <c r="D75" s="26"/>
      <c r="E75" s="78">
        <v>5155</v>
      </c>
      <c r="F75" s="151" t="s">
        <v>40</v>
      </c>
      <c r="G75" s="58">
        <f>'Benchmarking Calculations'!G41</f>
        <v>90045.51</v>
      </c>
      <c r="H75" s="142">
        <v>114268.19</v>
      </c>
      <c r="I75" s="142">
        <v>116100</v>
      </c>
      <c r="J75" s="142">
        <v>115700</v>
      </c>
      <c r="K75" s="143"/>
      <c r="L75" s="143"/>
      <c r="M75" s="143"/>
      <c r="N75" s="155" t="s">
        <v>172</v>
      </c>
    </row>
    <row r="76" spans="3:14" x14ac:dyDescent="0.2">
      <c r="C76" s="159"/>
      <c r="D76" s="26"/>
      <c r="E76" s="78">
        <v>5160</v>
      </c>
      <c r="F76" s="151" t="s">
        <v>41</v>
      </c>
      <c r="G76" s="58">
        <f>'Benchmarking Calculations'!G42</f>
        <v>42219.92</v>
      </c>
      <c r="H76" s="142">
        <v>14202.1</v>
      </c>
      <c r="I76" s="142">
        <v>42700</v>
      </c>
      <c r="J76" s="142">
        <v>42400</v>
      </c>
      <c r="K76" s="143"/>
      <c r="L76" s="143"/>
      <c r="M76" s="143"/>
      <c r="N76" s="155" t="s">
        <v>172</v>
      </c>
    </row>
    <row r="77" spans="3:14" x14ac:dyDescent="0.2">
      <c r="C77" s="159"/>
      <c r="D77" s="26"/>
      <c r="E77" s="111">
        <v>5175</v>
      </c>
      <c r="F77" s="170" t="s">
        <v>42</v>
      </c>
      <c r="G77" s="112">
        <f>'Benchmarking Calculations'!G43</f>
        <v>2530.71</v>
      </c>
      <c r="H77" s="142">
        <v>0</v>
      </c>
      <c r="I77" s="142">
        <v>0</v>
      </c>
      <c r="J77" s="142">
        <v>0</v>
      </c>
      <c r="K77" s="143"/>
      <c r="L77" s="143"/>
      <c r="M77" s="143"/>
      <c r="N77" s="155" t="s">
        <v>172</v>
      </c>
    </row>
    <row r="78" spans="3:14" x14ac:dyDescent="0.2">
      <c r="C78" s="159"/>
      <c r="D78" s="26"/>
      <c r="E78" s="16"/>
      <c r="F78" s="80" t="s">
        <v>43</v>
      </c>
      <c r="G78" s="110">
        <f>'Benchmarking Calculations'!G44</f>
        <v>310392.55000000005</v>
      </c>
      <c r="H78" s="81">
        <f>SUM(H65:H77)</f>
        <v>354386.45999999996</v>
      </c>
      <c r="I78" s="81">
        <f t="shared" ref="I78:M78" si="5">SUM(I65:I77)</f>
        <v>343100</v>
      </c>
      <c r="J78" s="81">
        <f>SUM(J65:J77)</f>
        <v>360600</v>
      </c>
      <c r="K78" s="81">
        <f t="shared" si="5"/>
        <v>0</v>
      </c>
      <c r="L78" s="81">
        <f t="shared" si="5"/>
        <v>0</v>
      </c>
      <c r="M78" s="81">
        <f t="shared" si="5"/>
        <v>0</v>
      </c>
      <c r="N78" s="160" t="s">
        <v>29</v>
      </c>
    </row>
    <row r="79" spans="3:14" x14ac:dyDescent="0.2">
      <c r="C79" s="159"/>
      <c r="D79" s="26"/>
      <c r="E79" s="78">
        <v>5305</v>
      </c>
      <c r="F79" s="78" t="s">
        <v>44</v>
      </c>
      <c r="G79" s="58">
        <f>'Benchmarking Calculations'!G45</f>
        <v>37473.160000000003</v>
      </c>
      <c r="H79" s="142">
        <v>57885.78</v>
      </c>
      <c r="I79" s="142">
        <v>47300</v>
      </c>
      <c r="J79" s="142">
        <v>55900</v>
      </c>
      <c r="K79" s="143"/>
      <c r="L79" s="143"/>
      <c r="M79" s="143"/>
      <c r="N79" s="155" t="s">
        <v>172</v>
      </c>
    </row>
    <row r="80" spans="3:14" x14ac:dyDescent="0.2">
      <c r="C80" s="159"/>
      <c r="D80" s="26"/>
      <c r="E80" s="78">
        <v>5310</v>
      </c>
      <c r="F80" s="78" t="s">
        <v>45</v>
      </c>
      <c r="G80" s="58">
        <f>'Benchmarking Calculations'!G46</f>
        <v>103048.34</v>
      </c>
      <c r="H80" s="142">
        <v>106918.86</v>
      </c>
      <c r="I80" s="142">
        <v>110900</v>
      </c>
      <c r="J80" s="142">
        <v>114400</v>
      </c>
      <c r="K80" s="143"/>
      <c r="L80" s="143"/>
      <c r="M80" s="143"/>
      <c r="N80" s="155" t="s">
        <v>172</v>
      </c>
    </row>
    <row r="81" spans="3:14" x14ac:dyDescent="0.2">
      <c r="C81" s="159"/>
      <c r="D81" s="26"/>
      <c r="E81" s="78">
        <v>5315</v>
      </c>
      <c r="F81" s="78" t="s">
        <v>46</v>
      </c>
      <c r="G81" s="58">
        <f>'Benchmarking Calculations'!G47</f>
        <v>200099.41</v>
      </c>
      <c r="H81" s="142">
        <v>210220.11</v>
      </c>
      <c r="I81" s="142">
        <v>226400</v>
      </c>
      <c r="J81" s="142">
        <v>250900</v>
      </c>
      <c r="K81" s="143"/>
      <c r="L81" s="143"/>
      <c r="M81" s="143"/>
      <c r="N81" s="155" t="s">
        <v>172</v>
      </c>
    </row>
    <row r="82" spans="3:14" x14ac:dyDescent="0.2">
      <c r="C82" s="159"/>
      <c r="D82" s="26"/>
      <c r="E82" s="78">
        <v>5320</v>
      </c>
      <c r="F82" s="78" t="s">
        <v>47</v>
      </c>
      <c r="G82" s="58">
        <f>'Benchmarking Calculations'!G48</f>
        <v>104579.83</v>
      </c>
      <c r="H82" s="142">
        <v>84530.3</v>
      </c>
      <c r="I82" s="142">
        <v>96600</v>
      </c>
      <c r="J82" s="142">
        <v>93200</v>
      </c>
      <c r="K82" s="143"/>
      <c r="L82" s="143"/>
      <c r="M82" s="143"/>
      <c r="N82" s="155" t="s">
        <v>172</v>
      </c>
    </row>
    <row r="83" spans="3:14" x14ac:dyDescent="0.2">
      <c r="C83" s="159"/>
      <c r="D83" s="26"/>
      <c r="E83" s="78">
        <v>5325</v>
      </c>
      <c r="F83" s="78" t="s">
        <v>48</v>
      </c>
      <c r="G83" s="58">
        <f>'Benchmarking Calculations'!G49</f>
        <v>-3.4</v>
      </c>
      <c r="H83" s="142">
        <v>0.55000000000000004</v>
      </c>
      <c r="I83" s="142">
        <v>0</v>
      </c>
      <c r="J83" s="142">
        <v>0</v>
      </c>
      <c r="K83" s="143"/>
      <c r="L83" s="143"/>
      <c r="M83" s="143"/>
      <c r="N83" s="155" t="s">
        <v>172</v>
      </c>
    </row>
    <row r="84" spans="3:14" x14ac:dyDescent="0.2">
      <c r="C84" s="159"/>
      <c r="D84" s="26"/>
      <c r="E84" s="78">
        <v>5330</v>
      </c>
      <c r="F84" s="78" t="s">
        <v>49</v>
      </c>
      <c r="G84" s="58">
        <f>'Benchmarking Calculations'!G50</f>
        <v>0</v>
      </c>
      <c r="H84" s="142">
        <v>0</v>
      </c>
      <c r="I84" s="142">
        <v>0</v>
      </c>
      <c r="J84" s="142">
        <v>0</v>
      </c>
      <c r="K84" s="143"/>
      <c r="L84" s="143"/>
      <c r="M84" s="143"/>
      <c r="N84" s="155" t="s">
        <v>172</v>
      </c>
    </row>
    <row r="85" spans="3:14" x14ac:dyDescent="0.2">
      <c r="C85" s="159"/>
      <c r="D85" s="26"/>
      <c r="E85" s="111">
        <v>5340</v>
      </c>
      <c r="F85" s="111" t="s">
        <v>50</v>
      </c>
      <c r="G85" s="112">
        <f>'Benchmarking Calculations'!G51</f>
        <v>0</v>
      </c>
      <c r="H85" s="142">
        <v>0</v>
      </c>
      <c r="I85" s="142">
        <v>0</v>
      </c>
      <c r="J85" s="142">
        <v>0</v>
      </c>
      <c r="K85" s="143"/>
      <c r="L85" s="143"/>
      <c r="M85" s="143"/>
      <c r="N85" s="155" t="s">
        <v>172</v>
      </c>
    </row>
    <row r="86" spans="3:14" x14ac:dyDescent="0.2">
      <c r="C86" s="159"/>
      <c r="D86" s="26"/>
      <c r="E86" s="16"/>
      <c r="F86" s="80" t="s">
        <v>51</v>
      </c>
      <c r="G86" s="110">
        <f>'Benchmarking Calculations'!G52</f>
        <v>445197.34</v>
      </c>
      <c r="H86" s="81">
        <f>SUM(H79:H85)</f>
        <v>459555.6</v>
      </c>
      <c r="I86" s="81">
        <f t="shared" ref="I86:M86" si="6">SUM(I79:I85)</f>
        <v>481200</v>
      </c>
      <c r="J86" s="81">
        <f t="shared" si="6"/>
        <v>514400</v>
      </c>
      <c r="K86" s="81">
        <f t="shared" si="6"/>
        <v>0</v>
      </c>
      <c r="L86" s="81">
        <f t="shared" si="6"/>
        <v>0</v>
      </c>
      <c r="M86" s="81">
        <f t="shared" si="6"/>
        <v>0</v>
      </c>
      <c r="N86" s="160" t="s">
        <v>29</v>
      </c>
    </row>
    <row r="87" spans="3:14" x14ac:dyDescent="0.2">
      <c r="C87" s="159"/>
      <c r="D87" s="26"/>
      <c r="E87" s="78">
        <v>5405</v>
      </c>
      <c r="F87" s="78" t="s">
        <v>52</v>
      </c>
      <c r="G87" s="58">
        <f>'Benchmarking Calculations'!G53</f>
        <v>0</v>
      </c>
      <c r="H87" s="142"/>
      <c r="I87" s="142"/>
      <c r="J87" s="143"/>
      <c r="K87" s="143"/>
      <c r="L87" s="143"/>
      <c r="M87" s="143"/>
      <c r="N87" s="155" t="s">
        <v>172</v>
      </c>
    </row>
    <row r="88" spans="3:14" x14ac:dyDescent="0.2">
      <c r="C88" s="159"/>
      <c r="D88" s="26"/>
      <c r="E88" s="78">
        <v>5410</v>
      </c>
      <c r="F88" s="78" t="s">
        <v>53</v>
      </c>
      <c r="G88" s="58">
        <f>'Benchmarking Calculations'!G54</f>
        <v>11925.16</v>
      </c>
      <c r="H88" s="142">
        <v>31323.69</v>
      </c>
      <c r="I88" s="142">
        <v>29800</v>
      </c>
      <c r="J88" s="142">
        <v>29300</v>
      </c>
      <c r="K88" s="143"/>
      <c r="L88" s="143"/>
      <c r="M88" s="143"/>
      <c r="N88" s="155" t="s">
        <v>172</v>
      </c>
    </row>
    <row r="89" spans="3:14" x14ac:dyDescent="0.2">
      <c r="C89" s="159"/>
      <c r="D89" s="26"/>
      <c r="E89" s="78">
        <v>5420</v>
      </c>
      <c r="F89" s="78" t="s">
        <v>54</v>
      </c>
      <c r="G89" s="58">
        <f>'Benchmarking Calculations'!G55</f>
        <v>0</v>
      </c>
      <c r="H89" s="142"/>
      <c r="I89" s="142"/>
      <c r="J89" s="143"/>
      <c r="K89" s="143"/>
      <c r="L89" s="143"/>
      <c r="M89" s="143"/>
      <c r="N89" s="155" t="s">
        <v>172</v>
      </c>
    </row>
    <row r="90" spans="3:14" x14ac:dyDescent="0.2">
      <c r="C90" s="159"/>
      <c r="D90" s="26"/>
      <c r="E90" s="111">
        <v>5425</v>
      </c>
      <c r="F90" s="111" t="s">
        <v>55</v>
      </c>
      <c r="G90" s="112">
        <f>'Benchmarking Calculations'!G56</f>
        <v>7990.22</v>
      </c>
      <c r="H90" s="142">
        <v>13519.8</v>
      </c>
      <c r="I90" s="142">
        <v>8500</v>
      </c>
      <c r="J90" s="143">
        <v>9400</v>
      </c>
      <c r="K90" s="143"/>
      <c r="L90" s="143"/>
      <c r="M90" s="143"/>
      <c r="N90" s="155" t="s">
        <v>172</v>
      </c>
    </row>
    <row r="91" spans="3:14" x14ac:dyDescent="0.2">
      <c r="C91" s="159"/>
      <c r="D91" s="26"/>
      <c r="E91" s="16"/>
      <c r="F91" s="80" t="s">
        <v>56</v>
      </c>
      <c r="G91" s="110">
        <f>'Benchmarking Calculations'!G57</f>
        <v>19915.38</v>
      </c>
      <c r="H91" s="81">
        <f>SUM(H87:H90)</f>
        <v>44843.49</v>
      </c>
      <c r="I91" s="81">
        <f t="shared" ref="I91:M91" si="7">SUM(I87:I90)</f>
        <v>38300</v>
      </c>
      <c r="J91" s="81">
        <f t="shared" si="7"/>
        <v>38700</v>
      </c>
      <c r="K91" s="81">
        <f t="shared" si="7"/>
        <v>0</v>
      </c>
      <c r="L91" s="81">
        <f t="shared" si="7"/>
        <v>0</v>
      </c>
      <c r="M91" s="81">
        <f t="shared" si="7"/>
        <v>0</v>
      </c>
      <c r="N91" s="160" t="s">
        <v>29</v>
      </c>
    </row>
    <row r="92" spans="3:14" x14ac:dyDescent="0.2">
      <c r="C92" s="159"/>
      <c r="D92" s="26"/>
      <c r="E92" s="78">
        <v>5605</v>
      </c>
      <c r="F92" s="78" t="s">
        <v>57</v>
      </c>
      <c r="G92" s="58">
        <f>'Benchmarking Calculations'!G58</f>
        <v>0</v>
      </c>
      <c r="H92" s="142">
        <v>0</v>
      </c>
      <c r="I92" s="142">
        <v>0</v>
      </c>
      <c r="J92" s="142">
        <v>0</v>
      </c>
      <c r="K92" s="143"/>
      <c r="L92" s="143"/>
      <c r="M92" s="143"/>
      <c r="N92" s="155" t="s">
        <v>172</v>
      </c>
    </row>
    <row r="93" spans="3:14" x14ac:dyDescent="0.2">
      <c r="C93" s="159"/>
      <c r="D93" s="26"/>
      <c r="E93" s="78">
        <v>5610</v>
      </c>
      <c r="F93" s="78" t="s">
        <v>58</v>
      </c>
      <c r="G93" s="58">
        <f>'Benchmarking Calculations'!G59</f>
        <v>364886.57</v>
      </c>
      <c r="H93" s="142">
        <v>360770.12</v>
      </c>
      <c r="I93" s="142">
        <v>368200</v>
      </c>
      <c r="J93" s="142">
        <v>380700</v>
      </c>
      <c r="K93" s="143"/>
      <c r="L93" s="143"/>
      <c r="M93" s="143"/>
      <c r="N93" s="155" t="s">
        <v>172</v>
      </c>
    </row>
    <row r="94" spans="3:14" x14ac:dyDescent="0.2">
      <c r="C94" s="159"/>
      <c r="D94" s="26"/>
      <c r="E94" s="78">
        <v>5615</v>
      </c>
      <c r="F94" s="78" t="s">
        <v>59</v>
      </c>
      <c r="G94" s="58">
        <f>'Benchmarking Calculations'!G60</f>
        <v>215288.65</v>
      </c>
      <c r="H94" s="142">
        <v>208942.81</v>
      </c>
      <c r="I94" s="142">
        <v>228200</v>
      </c>
      <c r="J94" s="142">
        <v>234000</v>
      </c>
      <c r="K94" s="143"/>
      <c r="L94" s="143"/>
      <c r="M94" s="143"/>
      <c r="N94" s="155" t="s">
        <v>172</v>
      </c>
    </row>
    <row r="95" spans="3:14" x14ac:dyDescent="0.2">
      <c r="C95" s="159"/>
      <c r="D95" s="26"/>
      <c r="E95" s="78">
        <v>5620</v>
      </c>
      <c r="F95" s="78" t="s">
        <v>60</v>
      </c>
      <c r="G95" s="58">
        <f>'Benchmarking Calculations'!G61</f>
        <v>58173.23</v>
      </c>
      <c r="H95" s="142">
        <v>67518.28</v>
      </c>
      <c r="I95" s="142">
        <v>62000</v>
      </c>
      <c r="J95" s="142">
        <v>62000</v>
      </c>
      <c r="K95" s="143"/>
      <c r="L95" s="143"/>
      <c r="M95" s="143"/>
      <c r="N95" s="155" t="s">
        <v>172</v>
      </c>
    </row>
    <row r="96" spans="3:14" x14ac:dyDescent="0.2">
      <c r="C96" s="159"/>
      <c r="D96" s="26"/>
      <c r="E96" s="78">
        <v>5625</v>
      </c>
      <c r="F96" s="78" t="s">
        <v>61</v>
      </c>
      <c r="G96" s="58">
        <f>'Benchmarking Calculations'!G62</f>
        <v>0</v>
      </c>
      <c r="H96" s="142">
        <v>0</v>
      </c>
      <c r="I96" s="142">
        <v>0</v>
      </c>
      <c r="J96" s="142">
        <v>0</v>
      </c>
      <c r="K96" s="143"/>
      <c r="L96" s="143"/>
      <c r="M96" s="143"/>
      <c r="N96" s="155" t="s">
        <v>172</v>
      </c>
    </row>
    <row r="97" spans="3:14" x14ac:dyDescent="0.2">
      <c r="C97" s="159"/>
      <c r="D97" s="26"/>
      <c r="E97" s="78">
        <v>5630</v>
      </c>
      <c r="F97" s="78" t="s">
        <v>62</v>
      </c>
      <c r="G97" s="58">
        <f>'Benchmarking Calculations'!G63</f>
        <v>42200.02</v>
      </c>
      <c r="H97" s="142">
        <v>53214.51</v>
      </c>
      <c r="I97" s="142">
        <v>49700</v>
      </c>
      <c r="J97" s="142">
        <v>50300</v>
      </c>
      <c r="K97" s="143"/>
      <c r="L97" s="143"/>
      <c r="M97" s="143"/>
      <c r="N97" s="155" t="s">
        <v>172</v>
      </c>
    </row>
    <row r="98" spans="3:14" x14ac:dyDescent="0.2">
      <c r="C98" s="159"/>
      <c r="D98" s="26"/>
      <c r="E98" s="78">
        <v>5640</v>
      </c>
      <c r="F98" s="78" t="s">
        <v>63</v>
      </c>
      <c r="G98" s="58">
        <f>'Benchmarking Calculations'!G64</f>
        <v>32743.73</v>
      </c>
      <c r="H98" s="142">
        <v>42093.93</v>
      </c>
      <c r="I98" s="142">
        <v>42100</v>
      </c>
      <c r="J98" s="142">
        <v>45000</v>
      </c>
      <c r="K98" s="143"/>
      <c r="L98" s="143"/>
      <c r="M98" s="143"/>
      <c r="N98" s="155" t="s">
        <v>172</v>
      </c>
    </row>
    <row r="99" spans="3:14" x14ac:dyDescent="0.2">
      <c r="C99" s="159"/>
      <c r="D99" s="26"/>
      <c r="E99" s="78">
        <v>5645</v>
      </c>
      <c r="F99" s="78" t="s">
        <v>64</v>
      </c>
      <c r="G99" s="58">
        <f>'Benchmarking Calculations'!G65</f>
        <v>14641.81</v>
      </c>
      <c r="H99" s="142">
        <v>0</v>
      </c>
      <c r="I99" s="142">
        <v>0</v>
      </c>
      <c r="J99" s="142">
        <v>0</v>
      </c>
      <c r="K99" s="143"/>
      <c r="L99" s="143"/>
      <c r="M99" s="143"/>
      <c r="N99" s="155" t="s">
        <v>172</v>
      </c>
    </row>
    <row r="100" spans="3:14" x14ac:dyDescent="0.2">
      <c r="C100" s="159"/>
      <c r="D100" s="26"/>
      <c r="E100" s="78">
        <v>5646</v>
      </c>
      <c r="F100" s="78" t="s">
        <v>65</v>
      </c>
      <c r="G100" s="58">
        <f>'Benchmarking Calculations'!G66</f>
        <v>0</v>
      </c>
      <c r="H100" s="142">
        <v>16744.34</v>
      </c>
      <c r="I100" s="142">
        <v>24100</v>
      </c>
      <c r="J100" s="142">
        <v>18400</v>
      </c>
      <c r="K100" s="143"/>
      <c r="L100" s="143"/>
      <c r="M100" s="143"/>
      <c r="N100" s="155" t="s">
        <v>172</v>
      </c>
    </row>
    <row r="101" spans="3:14" x14ac:dyDescent="0.2">
      <c r="C101" s="159"/>
      <c r="D101" s="26"/>
      <c r="E101" s="78">
        <v>5647</v>
      </c>
      <c r="F101" s="78" t="s">
        <v>66</v>
      </c>
      <c r="G101" s="58">
        <f>'Benchmarking Calculations'!G67</f>
        <v>0</v>
      </c>
      <c r="H101" s="142">
        <v>16744.34</v>
      </c>
      <c r="I101" s="142">
        <v>24100</v>
      </c>
      <c r="J101" s="142">
        <v>18400</v>
      </c>
      <c r="K101" s="143"/>
      <c r="L101" s="143"/>
      <c r="M101" s="143"/>
      <c r="N101" s="155" t="s">
        <v>172</v>
      </c>
    </row>
    <row r="102" spans="3:14" x14ac:dyDescent="0.2">
      <c r="C102" s="159"/>
      <c r="D102" s="26"/>
      <c r="E102" s="78">
        <v>5650</v>
      </c>
      <c r="F102" s="78" t="s">
        <v>67</v>
      </c>
      <c r="G102" s="58">
        <f>'Benchmarking Calculations'!G68</f>
        <v>0</v>
      </c>
      <c r="H102" s="142">
        <v>0</v>
      </c>
      <c r="I102" s="142">
        <v>0</v>
      </c>
      <c r="J102" s="142">
        <v>0</v>
      </c>
      <c r="K102" s="143"/>
      <c r="L102" s="143"/>
      <c r="M102" s="143"/>
      <c r="N102" s="155" t="s">
        <v>172</v>
      </c>
    </row>
    <row r="103" spans="3:14" x14ac:dyDescent="0.2">
      <c r="C103" s="159"/>
      <c r="D103" s="26"/>
      <c r="E103" s="78">
        <v>5655</v>
      </c>
      <c r="F103" s="78" t="s">
        <v>68</v>
      </c>
      <c r="G103" s="58">
        <f>'Benchmarking Calculations'!G69</f>
        <v>93458.96</v>
      </c>
      <c r="H103" s="142">
        <v>77609.94</v>
      </c>
      <c r="I103" s="142">
        <v>121700</v>
      </c>
      <c r="J103" s="142">
        <v>168400</v>
      </c>
      <c r="K103" s="143"/>
      <c r="L103" s="143"/>
      <c r="M103" s="143"/>
      <c r="N103" s="155" t="s">
        <v>172</v>
      </c>
    </row>
    <row r="104" spans="3:14" x14ac:dyDescent="0.2">
      <c r="C104" s="159"/>
      <c r="D104" s="26"/>
      <c r="E104" s="78">
        <v>5665</v>
      </c>
      <c r="F104" s="78" t="s">
        <v>69</v>
      </c>
      <c r="G104" s="58">
        <f>'Benchmarking Calculations'!G70</f>
        <v>98005.64</v>
      </c>
      <c r="H104" s="142">
        <v>87624.95</v>
      </c>
      <c r="I104" s="142">
        <v>97600</v>
      </c>
      <c r="J104" s="142">
        <v>100400</v>
      </c>
      <c r="K104" s="143"/>
      <c r="L104" s="143"/>
      <c r="M104" s="143"/>
      <c r="N104" s="155" t="s">
        <v>172</v>
      </c>
    </row>
    <row r="105" spans="3:14" x14ac:dyDescent="0.2">
      <c r="C105" s="159"/>
      <c r="D105" s="26"/>
      <c r="E105" s="78">
        <v>5670</v>
      </c>
      <c r="F105" s="78" t="s">
        <v>70</v>
      </c>
      <c r="G105" s="58">
        <f>'Benchmarking Calculations'!G71</f>
        <v>0</v>
      </c>
      <c r="H105" s="142"/>
      <c r="I105" s="142"/>
      <c r="J105" s="142"/>
      <c r="K105" s="143"/>
      <c r="L105" s="143"/>
      <c r="M105" s="143"/>
      <c r="N105" s="155" t="s">
        <v>172</v>
      </c>
    </row>
    <row r="106" spans="3:14" x14ac:dyDescent="0.2">
      <c r="C106" s="159"/>
      <c r="D106" s="26"/>
      <c r="E106" s="78">
        <v>5672</v>
      </c>
      <c r="F106" s="78" t="s">
        <v>71</v>
      </c>
      <c r="G106" s="58">
        <f>'Benchmarking Calculations'!G72</f>
        <v>0</v>
      </c>
      <c r="H106" s="142">
        <v>0</v>
      </c>
      <c r="I106" s="142">
        <v>0</v>
      </c>
      <c r="J106" s="142">
        <v>0</v>
      </c>
      <c r="K106" s="143"/>
      <c r="L106" s="143"/>
      <c r="M106" s="143"/>
      <c r="N106" s="155" t="s">
        <v>172</v>
      </c>
    </row>
    <row r="107" spans="3:14" x14ac:dyDescent="0.2">
      <c r="C107" s="159"/>
      <c r="D107" s="26"/>
      <c r="E107" s="78">
        <v>5675</v>
      </c>
      <c r="F107" s="78" t="s">
        <v>72</v>
      </c>
      <c r="G107" s="58">
        <f>'Benchmarking Calculations'!G73</f>
        <v>22729.07</v>
      </c>
      <c r="H107" s="142">
        <v>22486.639999999999</v>
      </c>
      <c r="I107" s="142">
        <v>26900</v>
      </c>
      <c r="J107" s="142">
        <v>28000</v>
      </c>
      <c r="K107" s="143"/>
      <c r="L107" s="143"/>
      <c r="M107" s="143"/>
      <c r="N107" s="155" t="s">
        <v>172</v>
      </c>
    </row>
    <row r="108" spans="3:14" x14ac:dyDescent="0.2">
      <c r="C108" s="159"/>
      <c r="D108" s="26"/>
      <c r="E108" s="111">
        <v>5680</v>
      </c>
      <c r="F108" s="111" t="s">
        <v>73</v>
      </c>
      <c r="G108" s="112">
        <f>'Benchmarking Calculations'!G74</f>
        <v>10043.280000000001</v>
      </c>
      <c r="H108" s="142">
        <v>10223.27</v>
      </c>
      <c r="I108" s="142">
        <v>10400</v>
      </c>
      <c r="J108" s="142">
        <v>10500</v>
      </c>
      <c r="K108" s="143"/>
      <c r="L108" s="143"/>
      <c r="M108" s="143"/>
      <c r="N108" s="155" t="s">
        <v>172</v>
      </c>
    </row>
    <row r="109" spans="3:14" x14ac:dyDescent="0.2">
      <c r="C109" s="159"/>
      <c r="D109" s="26"/>
      <c r="E109" s="13"/>
      <c r="F109" s="80" t="s">
        <v>74</v>
      </c>
      <c r="G109" s="110">
        <f>'Benchmarking Calculations'!G75</f>
        <v>952170.96</v>
      </c>
      <c r="H109" s="81">
        <f>SUM(H92:H108)</f>
        <v>963973.13</v>
      </c>
      <c r="I109" s="81">
        <f t="shared" ref="I109:M109" si="8">SUM(I92:I108)</f>
        <v>1055000</v>
      </c>
      <c r="J109" s="81">
        <f t="shared" si="8"/>
        <v>1116100</v>
      </c>
      <c r="K109" s="81">
        <f t="shared" si="8"/>
        <v>0</v>
      </c>
      <c r="L109" s="81">
        <f t="shared" si="8"/>
        <v>0</v>
      </c>
      <c r="M109" s="81">
        <f t="shared" si="8"/>
        <v>0</v>
      </c>
      <c r="N109" s="160" t="s">
        <v>29</v>
      </c>
    </row>
    <row r="110" spans="3:14" x14ac:dyDescent="0.2">
      <c r="C110" s="159"/>
      <c r="D110" s="26"/>
      <c r="E110" s="78">
        <v>5635</v>
      </c>
      <c r="F110" s="78" t="s">
        <v>75</v>
      </c>
      <c r="G110" s="58">
        <f>'Benchmarking Calculations'!G76</f>
        <v>5519.88</v>
      </c>
      <c r="H110" s="142"/>
      <c r="I110" s="142"/>
      <c r="J110" s="143"/>
      <c r="K110" s="143"/>
      <c r="L110" s="143"/>
      <c r="M110" s="143"/>
      <c r="N110" s="155" t="s">
        <v>172</v>
      </c>
    </row>
    <row r="111" spans="3:14" x14ac:dyDescent="0.2">
      <c r="C111" s="159"/>
      <c r="D111" s="26"/>
      <c r="E111" s="111">
        <v>6210</v>
      </c>
      <c r="F111" s="111" t="s">
        <v>76</v>
      </c>
      <c r="G111" s="112">
        <f>'Benchmarking Calculations'!G77</f>
        <v>0</v>
      </c>
      <c r="H111" s="142"/>
      <c r="I111" s="142"/>
      <c r="J111" s="143"/>
      <c r="K111" s="143"/>
      <c r="L111" s="143"/>
      <c r="M111" s="143"/>
      <c r="N111" s="155" t="s">
        <v>172</v>
      </c>
    </row>
    <row r="112" spans="3:14" x14ac:dyDescent="0.2">
      <c r="C112" s="159"/>
      <c r="D112" s="26"/>
      <c r="E112" s="26"/>
      <c r="F112" s="80" t="s">
        <v>77</v>
      </c>
      <c r="G112" s="110">
        <f>'Benchmarking Calculations'!G78</f>
        <v>5519.88</v>
      </c>
      <c r="H112" s="81">
        <f>H110+H111</f>
        <v>0</v>
      </c>
      <c r="I112" s="81">
        <f t="shared" ref="I112:M112" si="9">I110+I111</f>
        <v>0</v>
      </c>
      <c r="J112" s="81">
        <f t="shared" si="9"/>
        <v>0</v>
      </c>
      <c r="K112" s="81">
        <f t="shared" si="9"/>
        <v>0</v>
      </c>
      <c r="L112" s="81">
        <f t="shared" si="9"/>
        <v>0</v>
      </c>
      <c r="M112" s="81">
        <f t="shared" si="9"/>
        <v>0</v>
      </c>
      <c r="N112" s="160" t="s">
        <v>29</v>
      </c>
    </row>
    <row r="113" spans="3:14" x14ac:dyDescent="0.2">
      <c r="C113" s="159"/>
      <c r="D113" s="26"/>
      <c r="E113" s="113">
        <v>5515</v>
      </c>
      <c r="F113" s="111" t="s">
        <v>78</v>
      </c>
      <c r="G113" s="112">
        <f>'Benchmarking Calculations'!G79</f>
        <v>0</v>
      </c>
      <c r="H113" s="142"/>
      <c r="I113" s="142"/>
      <c r="J113" s="143"/>
      <c r="K113" s="143"/>
      <c r="L113" s="143"/>
      <c r="M113" s="143"/>
      <c r="N113" s="155" t="s">
        <v>172</v>
      </c>
    </row>
    <row r="114" spans="3:14" x14ac:dyDescent="0.2">
      <c r="C114" s="159"/>
      <c r="D114" s="77"/>
      <c r="E114" s="16"/>
      <c r="F114" s="80" t="s">
        <v>79</v>
      </c>
      <c r="G114" s="110">
        <f>'Benchmarking Calculations'!G80</f>
        <v>0</v>
      </c>
      <c r="H114" s="81">
        <f>H113</f>
        <v>0</v>
      </c>
      <c r="I114" s="81">
        <f t="shared" ref="I114:M114" si="10">I113</f>
        <v>0</v>
      </c>
      <c r="J114" s="81">
        <f t="shared" si="10"/>
        <v>0</v>
      </c>
      <c r="K114" s="81">
        <f t="shared" si="10"/>
        <v>0</v>
      </c>
      <c r="L114" s="81">
        <f t="shared" si="10"/>
        <v>0</v>
      </c>
      <c r="M114" s="81">
        <f t="shared" si="10"/>
        <v>0</v>
      </c>
      <c r="N114" s="160" t="s">
        <v>29</v>
      </c>
    </row>
    <row r="115" spans="3:14" x14ac:dyDescent="0.2">
      <c r="C115" s="159"/>
      <c r="D115" s="77"/>
      <c r="E115" s="173" t="s">
        <v>199</v>
      </c>
      <c r="F115" s="80" t="s">
        <v>80</v>
      </c>
      <c r="G115" s="58">
        <f>'Benchmarking Calculations'!G81</f>
        <v>2055673.8599999999</v>
      </c>
      <c r="H115" s="81">
        <f>H114+H112+H109+H91+H86+H78+H64</f>
        <v>2135327</v>
      </c>
      <c r="I115" s="81">
        <f t="shared" ref="I115:M115" si="11">I114+I112+I109+I91+I86+I78+I64</f>
        <v>2285700</v>
      </c>
      <c r="J115" s="81">
        <f t="shared" si="11"/>
        <v>2398600</v>
      </c>
      <c r="K115" s="81">
        <f t="shared" si="11"/>
        <v>0</v>
      </c>
      <c r="L115" s="81">
        <f t="shared" si="11"/>
        <v>0</v>
      </c>
      <c r="M115" s="81">
        <f t="shared" si="11"/>
        <v>0</v>
      </c>
      <c r="N115" s="160" t="s">
        <v>29</v>
      </c>
    </row>
    <row r="116" spans="3:14" x14ac:dyDescent="0.2">
      <c r="C116" s="159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5"/>
    </row>
    <row r="117" spans="3:14" x14ac:dyDescent="0.2">
      <c r="C117" s="159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5"/>
    </row>
    <row r="118" spans="3:14" x14ac:dyDescent="0.2">
      <c r="C118" s="159"/>
      <c r="D118" s="84"/>
      <c r="E118" s="84"/>
      <c r="F118" s="59">
        <v>5014</v>
      </c>
      <c r="G118" s="58">
        <f>G47</f>
        <v>0</v>
      </c>
      <c r="H118" s="58">
        <f t="shared" ref="H118:L118" si="12">H47</f>
        <v>0</v>
      </c>
      <c r="I118" s="58">
        <f t="shared" si="12"/>
        <v>0</v>
      </c>
      <c r="J118" s="58">
        <f t="shared" si="12"/>
        <v>0</v>
      </c>
      <c r="K118" s="58">
        <f t="shared" si="12"/>
        <v>0</v>
      </c>
      <c r="L118" s="58">
        <f t="shared" si="12"/>
        <v>0</v>
      </c>
      <c r="M118" s="58">
        <f t="shared" ref="M118" si="13">M47</f>
        <v>0</v>
      </c>
      <c r="N118" s="160" t="s">
        <v>29</v>
      </c>
    </row>
    <row r="119" spans="3:14" x14ac:dyDescent="0.2">
      <c r="C119" s="159"/>
      <c r="D119" s="84"/>
      <c r="F119" s="59">
        <v>5015</v>
      </c>
      <c r="G119" s="58">
        <f>G48</f>
        <v>0</v>
      </c>
      <c r="H119" s="58">
        <f t="shared" ref="H119:L119" si="14">H48</f>
        <v>0</v>
      </c>
      <c r="I119" s="58">
        <f t="shared" si="14"/>
        <v>0</v>
      </c>
      <c r="J119" s="58">
        <f t="shared" si="14"/>
        <v>0</v>
      </c>
      <c r="K119" s="58">
        <f t="shared" si="14"/>
        <v>0</v>
      </c>
      <c r="L119" s="58">
        <f t="shared" si="14"/>
        <v>0</v>
      </c>
      <c r="M119" s="58">
        <f t="shared" ref="M119" si="15">M48</f>
        <v>0</v>
      </c>
      <c r="N119" s="160" t="s">
        <v>29</v>
      </c>
    </row>
    <row r="120" spans="3:14" x14ac:dyDescent="0.2">
      <c r="C120" s="159"/>
      <c r="D120" s="84"/>
      <c r="F120" s="59">
        <v>5112</v>
      </c>
      <c r="G120" s="58">
        <f>G67</f>
        <v>0</v>
      </c>
      <c r="H120" s="58">
        <f t="shared" ref="H120:L120" si="16">H67</f>
        <v>0</v>
      </c>
      <c r="I120" s="58">
        <f t="shared" si="16"/>
        <v>0</v>
      </c>
      <c r="J120" s="58">
        <f t="shared" si="16"/>
        <v>0</v>
      </c>
      <c r="K120" s="58">
        <f t="shared" si="16"/>
        <v>0</v>
      </c>
      <c r="L120" s="58">
        <f t="shared" si="16"/>
        <v>0</v>
      </c>
      <c r="M120" s="58">
        <f t="shared" ref="M120" si="17">M67</f>
        <v>0</v>
      </c>
      <c r="N120" s="160" t="s">
        <v>29</v>
      </c>
    </row>
    <row r="121" spans="3:14" x14ac:dyDescent="0.2">
      <c r="C121" s="159"/>
      <c r="D121" s="77"/>
      <c r="E121" s="173" t="s">
        <v>200</v>
      </c>
      <c r="F121" s="80" t="s">
        <v>82</v>
      </c>
      <c r="G121" s="110">
        <f>'Benchmarking Calculations'!G87</f>
        <v>0</v>
      </c>
      <c r="H121" s="110">
        <f>H47+H48+H67</f>
        <v>0</v>
      </c>
      <c r="I121" s="110">
        <f t="shared" ref="I121:L121" si="18">I47+I48+I67</f>
        <v>0</v>
      </c>
      <c r="J121" s="110">
        <f t="shared" si="18"/>
        <v>0</v>
      </c>
      <c r="K121" s="110">
        <f t="shared" si="18"/>
        <v>0</v>
      </c>
      <c r="L121" s="110">
        <f t="shared" si="18"/>
        <v>0</v>
      </c>
      <c r="M121" s="110">
        <f t="shared" ref="M121" si="19">M47+M48+M67</f>
        <v>0</v>
      </c>
      <c r="N121" s="174" t="s">
        <v>29</v>
      </c>
    </row>
    <row r="122" spans="3:14" x14ac:dyDescent="0.2">
      <c r="C122" s="159"/>
      <c r="D122" s="77"/>
      <c r="E122" s="175" t="s">
        <v>201</v>
      </c>
      <c r="F122" s="80" t="s">
        <v>83</v>
      </c>
      <c r="G122" s="110">
        <f>'Benchmarking Calculations'!G88</f>
        <v>51278</v>
      </c>
      <c r="H122" s="176">
        <f>G122</f>
        <v>51278</v>
      </c>
      <c r="I122" s="176">
        <f>G122</f>
        <v>51278</v>
      </c>
      <c r="J122" s="176">
        <f>G122</f>
        <v>51278</v>
      </c>
      <c r="K122" s="176"/>
      <c r="L122" s="176"/>
      <c r="M122" s="176"/>
      <c r="N122" s="177" t="s">
        <v>172</v>
      </c>
    </row>
    <row r="123" spans="3:14" ht="13.5" thickBot="1" x14ac:dyDescent="0.25">
      <c r="C123" s="161"/>
      <c r="D123" s="162"/>
      <c r="E123" s="162"/>
      <c r="F123" s="163"/>
      <c r="G123" s="157"/>
      <c r="H123" s="164"/>
      <c r="I123" s="165"/>
      <c r="J123" s="75"/>
      <c r="K123" s="75"/>
      <c r="L123" s="75"/>
      <c r="M123" s="75"/>
      <c r="N123" s="158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CP274"/>
  <sheetViews>
    <sheetView tabSelected="1" zoomScale="70" zoomScaleNormal="70" workbookViewId="0">
      <pane ySplit="5" topLeftCell="A6" activePane="bottomLeft" state="frozen"/>
      <selection activeCell="G33" sqref="G33"/>
      <selection pane="bottomLeft" activeCell="CL125" sqref="CL125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hidden="1" customWidth="1"/>
    <col min="16" max="16" width="16.140625" style="114" hidden="1" customWidth="1"/>
    <col min="17" max="17" width="17.85546875" style="114" hidden="1" customWidth="1"/>
    <col min="18" max="18" width="14.42578125" style="114" hidden="1" customWidth="1"/>
    <col min="19" max="19" width="18.140625" style="114" hidden="1" customWidth="1"/>
    <col min="20" max="39" width="14.28515625" style="114" hidden="1" customWidth="1"/>
    <col min="40" max="47" width="13.42578125" style="114" hidden="1" customWidth="1"/>
    <col min="48" max="48" width="15.85546875" style="114" hidden="1" customWidth="1"/>
    <col min="49" max="86" width="13.42578125" style="114" hidden="1" customWidth="1"/>
    <col min="87" max="87" width="17.42578125" style="114" hidden="1" customWidth="1"/>
    <col min="88" max="89" width="9.140625" customWidth="1"/>
    <col min="90" max="90" width="11.28515625" bestFit="1" customWidth="1"/>
    <col min="91" max="93" width="9.140625" customWidth="1"/>
  </cols>
  <sheetData>
    <row r="1" spans="1:94" ht="24" thickBot="1" x14ac:dyDescent="0.4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O1" s="127"/>
      <c r="P1" s="219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</row>
    <row r="2" spans="1:94" ht="21" thickTop="1" thickBot="1" x14ac:dyDescent="0.4">
      <c r="A2" s="1"/>
      <c r="B2" s="100"/>
      <c r="C2" s="3"/>
      <c r="D2" s="3"/>
      <c r="E2" s="10"/>
      <c r="R2" s="182"/>
      <c r="S2" s="182"/>
    </row>
    <row r="3" spans="1:94" ht="48.75" customHeight="1" thickBot="1" x14ac:dyDescent="0.25">
      <c r="B3" s="228" t="s">
        <v>1</v>
      </c>
      <c r="C3" s="228"/>
      <c r="D3" s="101"/>
      <c r="E3" s="102" t="str">
        <f>'Model Inputs'!F5</f>
        <v>Centre Wellington Hydro Ltd.</v>
      </c>
      <c r="F3" s="36"/>
      <c r="G3" s="36"/>
      <c r="H3" s="26"/>
      <c r="I3" s="26"/>
      <c r="J3" s="26"/>
      <c r="K3" s="26"/>
      <c r="O3" s="3">
        <v>1</v>
      </c>
      <c r="P3" s="3" t="s">
        <v>276</v>
      </c>
      <c r="Q3" s="184" t="s">
        <v>204</v>
      </c>
      <c r="R3" s="184" t="s">
        <v>206</v>
      </c>
      <c r="S3" s="184" t="s">
        <v>207</v>
      </c>
      <c r="T3" s="184" t="s">
        <v>208</v>
      </c>
      <c r="U3" s="184" t="s">
        <v>209</v>
      </c>
      <c r="V3" s="184" t="s">
        <v>210</v>
      </c>
      <c r="W3" s="184" t="s">
        <v>211</v>
      </c>
      <c r="X3" s="184" t="s">
        <v>212</v>
      </c>
      <c r="Y3" s="184" t="s">
        <v>213</v>
      </c>
      <c r="Z3" s="184" t="s">
        <v>214</v>
      </c>
      <c r="AA3" s="184" t="s">
        <v>215</v>
      </c>
      <c r="AB3" s="184" t="s">
        <v>216</v>
      </c>
      <c r="AC3" s="184" t="s">
        <v>217</v>
      </c>
      <c r="AD3" s="184" t="s">
        <v>218</v>
      </c>
      <c r="AE3" s="184" t="s">
        <v>219</v>
      </c>
      <c r="AF3" s="184" t="s">
        <v>220</v>
      </c>
      <c r="AG3" s="184" t="s">
        <v>221</v>
      </c>
      <c r="AH3" s="184" t="s">
        <v>222</v>
      </c>
      <c r="AI3" s="184" t="s">
        <v>223</v>
      </c>
      <c r="AJ3" s="184" t="s">
        <v>224</v>
      </c>
      <c r="AK3" s="184" t="s">
        <v>225</v>
      </c>
      <c r="AL3" s="184" t="s">
        <v>226</v>
      </c>
      <c r="AM3" s="184" t="s">
        <v>227</v>
      </c>
      <c r="AN3" s="184" t="s">
        <v>228</v>
      </c>
      <c r="AO3" s="184" t="s">
        <v>229</v>
      </c>
      <c r="AP3" s="184" t="s">
        <v>230</v>
      </c>
      <c r="AQ3" s="184" t="s">
        <v>231</v>
      </c>
      <c r="AR3" s="184" t="s">
        <v>232</v>
      </c>
      <c r="AS3" s="184" t="s">
        <v>233</v>
      </c>
      <c r="AT3" s="184" t="s">
        <v>234</v>
      </c>
      <c r="AU3" s="184" t="s">
        <v>235</v>
      </c>
      <c r="AV3" s="184" t="s">
        <v>236</v>
      </c>
      <c r="AW3" s="184" t="s">
        <v>237</v>
      </c>
      <c r="AX3" s="184" t="s">
        <v>274</v>
      </c>
      <c r="AY3" s="184" t="s">
        <v>238</v>
      </c>
      <c r="AZ3" s="184" t="s">
        <v>239</v>
      </c>
      <c r="BA3" s="184" t="s">
        <v>240</v>
      </c>
      <c r="BB3" s="184" t="s">
        <v>241</v>
      </c>
      <c r="BC3" s="184" t="s">
        <v>242</v>
      </c>
      <c r="BD3" s="184" t="s">
        <v>243</v>
      </c>
      <c r="BE3" s="184" t="s">
        <v>244</v>
      </c>
      <c r="BF3" s="184" t="s">
        <v>245</v>
      </c>
      <c r="BG3" s="184" t="s">
        <v>246</v>
      </c>
      <c r="BH3" s="184" t="s">
        <v>247</v>
      </c>
      <c r="BI3" s="184" t="s">
        <v>248</v>
      </c>
      <c r="BJ3" s="184" t="s">
        <v>249</v>
      </c>
      <c r="BK3" s="184" t="s">
        <v>250</v>
      </c>
      <c r="BL3" s="184" t="s">
        <v>251</v>
      </c>
      <c r="BM3" s="184" t="s">
        <v>252</v>
      </c>
      <c r="BN3" s="184" t="s">
        <v>253</v>
      </c>
      <c r="BO3" s="184" t="s">
        <v>254</v>
      </c>
      <c r="BP3" s="184" t="s">
        <v>255</v>
      </c>
      <c r="BQ3" s="184" t="s">
        <v>256</v>
      </c>
      <c r="BR3" s="184" t="s">
        <v>257</v>
      </c>
      <c r="BS3" s="184" t="s">
        <v>258</v>
      </c>
      <c r="BT3" s="184" t="s">
        <v>259</v>
      </c>
      <c r="BU3" s="184" t="s">
        <v>260</v>
      </c>
      <c r="BV3" s="184" t="s">
        <v>261</v>
      </c>
      <c r="BW3" s="184" t="s">
        <v>262</v>
      </c>
      <c r="BX3" s="184" t="s">
        <v>263</v>
      </c>
      <c r="BY3" s="184" t="s">
        <v>264</v>
      </c>
      <c r="BZ3" s="184" t="s">
        <v>265</v>
      </c>
      <c r="CA3" s="184" t="s">
        <v>266</v>
      </c>
      <c r="CB3" s="184" t="s">
        <v>267</v>
      </c>
      <c r="CC3" s="184" t="s">
        <v>268</v>
      </c>
      <c r="CD3" s="184" t="s">
        <v>269</v>
      </c>
      <c r="CE3" s="184" t="s">
        <v>270</v>
      </c>
      <c r="CF3" s="184" t="s">
        <v>271</v>
      </c>
      <c r="CG3" s="184" t="s">
        <v>272</v>
      </c>
      <c r="CH3" s="184" t="s">
        <v>273</v>
      </c>
      <c r="CI3" s="184" t="s">
        <v>205</v>
      </c>
      <c r="CJ3" s="3"/>
      <c r="CK3" s="3"/>
      <c r="CL3" s="3"/>
      <c r="CM3" s="3"/>
      <c r="CN3" s="3"/>
      <c r="CO3" s="3"/>
      <c r="CP3" s="3"/>
    </row>
    <row r="4" spans="1:94" ht="19.5" x14ac:dyDescent="0.3">
      <c r="E4" s="5"/>
      <c r="F4" s="229"/>
      <c r="G4" s="230"/>
      <c r="H4" s="231" t="s">
        <v>2</v>
      </c>
      <c r="I4" s="232"/>
      <c r="J4" s="232"/>
      <c r="K4" s="232"/>
      <c r="L4" s="232"/>
      <c r="M4" s="232"/>
      <c r="N4" s="38"/>
      <c r="O4" s="114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</row>
    <row r="5" spans="1:94" ht="38.25" x14ac:dyDescent="0.2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200" t="s">
        <v>275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7" spans="1:94" s="3" customFormat="1" ht="13.5" thickBot="1" x14ac:dyDescent="0.25">
      <c r="A7" s="227" t="s">
        <v>6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147"/>
      <c r="N7" s="58"/>
      <c r="O7" s="114">
        <v>5</v>
      </c>
      <c r="P7" s="114">
        <v>0</v>
      </c>
      <c r="Q7" s="99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2">
      <c r="A8" s="9"/>
      <c r="B8" s="3"/>
      <c r="O8" s="114">
        <v>6</v>
      </c>
      <c r="P8" s="114">
        <v>0</v>
      </c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</row>
    <row r="9" spans="1:94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107595.38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9">
        <v>0</v>
      </c>
      <c r="S10" s="179">
        <v>500084</v>
      </c>
      <c r="T10" s="179">
        <v>76315.44</v>
      </c>
      <c r="U10" s="179">
        <v>444659.3</v>
      </c>
      <c r="V10" s="179">
        <v>0</v>
      </c>
      <c r="W10" s="179">
        <v>106958.11</v>
      </c>
      <c r="X10" s="179">
        <v>70273.77</v>
      </c>
      <c r="Y10" s="179">
        <v>107595.38</v>
      </c>
      <c r="Z10" s="179">
        <v>0</v>
      </c>
      <c r="AA10" s="179">
        <v>156082.43</v>
      </c>
      <c r="AB10" s="179">
        <v>0</v>
      </c>
      <c r="AC10" s="179">
        <v>18298.29</v>
      </c>
      <c r="AD10" s="179">
        <v>1778155.62</v>
      </c>
      <c r="AE10" s="179">
        <v>491076.77</v>
      </c>
      <c r="AF10" s="179">
        <v>476444.79</v>
      </c>
      <c r="AG10" s="179">
        <v>42370.14</v>
      </c>
      <c r="AH10" s="179">
        <v>62934.39</v>
      </c>
      <c r="AI10" s="179">
        <v>84161.51</v>
      </c>
      <c r="AJ10" s="179">
        <v>153779.03</v>
      </c>
      <c r="AK10" s="179">
        <v>131685.41</v>
      </c>
      <c r="AL10" s="179">
        <v>972412.33</v>
      </c>
      <c r="AM10" s="179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24975.95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9">
        <v>0</v>
      </c>
      <c r="S11" s="179">
        <v>387473</v>
      </c>
      <c r="T11" s="179">
        <v>0</v>
      </c>
      <c r="U11" s="179">
        <v>62941.95</v>
      </c>
      <c r="V11" s="179">
        <v>1511639.75</v>
      </c>
      <c r="W11" s="179">
        <v>636091.56999999995</v>
      </c>
      <c r="X11" s="179">
        <v>280923.67</v>
      </c>
      <c r="Y11" s="179">
        <v>24975.95</v>
      </c>
      <c r="Z11" s="179">
        <v>0</v>
      </c>
      <c r="AA11" s="179">
        <v>73255.360000000001</v>
      </c>
      <c r="AB11" s="179">
        <v>0</v>
      </c>
      <c r="AC11" s="179">
        <v>0</v>
      </c>
      <c r="AD11" s="179">
        <v>2479576.84</v>
      </c>
      <c r="AE11" s="179">
        <v>46199.77</v>
      </c>
      <c r="AF11" s="179">
        <v>118979.59</v>
      </c>
      <c r="AG11" s="179">
        <v>0</v>
      </c>
      <c r="AH11" s="179">
        <v>0</v>
      </c>
      <c r="AI11" s="179">
        <v>7839.09</v>
      </c>
      <c r="AJ11" s="179">
        <v>49168.35</v>
      </c>
      <c r="AK11" s="179">
        <v>0</v>
      </c>
      <c r="AL11" s="179">
        <v>715351.67</v>
      </c>
      <c r="AM11" s="179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67863.289999999994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9">
        <v>0</v>
      </c>
      <c r="S12" s="179">
        <v>4705</v>
      </c>
      <c r="T12" s="179">
        <v>94199.99</v>
      </c>
      <c r="U12" s="179">
        <v>36705.4</v>
      </c>
      <c r="V12" s="179">
        <v>301748.73</v>
      </c>
      <c r="W12" s="179">
        <v>0</v>
      </c>
      <c r="X12" s="179">
        <v>152244.22</v>
      </c>
      <c r="Y12" s="179">
        <v>67863.289999999994</v>
      </c>
      <c r="Z12" s="179">
        <v>0</v>
      </c>
      <c r="AA12" s="179">
        <v>65716.69</v>
      </c>
      <c r="AB12" s="179">
        <v>1449.78</v>
      </c>
      <c r="AC12" s="179">
        <v>0</v>
      </c>
      <c r="AD12" s="179">
        <v>0</v>
      </c>
      <c r="AE12" s="179">
        <v>0</v>
      </c>
      <c r="AF12" s="179">
        <v>0</v>
      </c>
      <c r="AG12" s="179">
        <v>0</v>
      </c>
      <c r="AH12" s="179">
        <v>753.98</v>
      </c>
      <c r="AI12" s="179">
        <v>0</v>
      </c>
      <c r="AJ12" s="179">
        <v>18155.25</v>
      </c>
      <c r="AK12" s="179">
        <v>70603.27</v>
      </c>
      <c r="AL12" s="179">
        <v>322178.46000000002</v>
      </c>
      <c r="AM12" s="179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9">
        <v>0</v>
      </c>
      <c r="S13" s="179">
        <v>0</v>
      </c>
      <c r="T13" s="179">
        <v>0</v>
      </c>
      <c r="U13" s="179">
        <v>8005.07</v>
      </c>
      <c r="V13" s="179">
        <v>0</v>
      </c>
      <c r="W13" s="179">
        <v>22055.23</v>
      </c>
      <c r="X13" s="179">
        <v>0</v>
      </c>
      <c r="Y13" s="179">
        <v>0</v>
      </c>
      <c r="Z13" s="179">
        <v>0</v>
      </c>
      <c r="AA13" s="179">
        <v>0</v>
      </c>
      <c r="AB13" s="179">
        <v>0</v>
      </c>
      <c r="AC13" s="179">
        <v>0</v>
      </c>
      <c r="AD13" s="179">
        <v>0</v>
      </c>
      <c r="AE13" s="179">
        <v>0</v>
      </c>
      <c r="AF13" s="179">
        <v>0</v>
      </c>
      <c r="AG13" s="179">
        <v>0</v>
      </c>
      <c r="AH13" s="179">
        <v>0</v>
      </c>
      <c r="AI13" s="179">
        <v>0</v>
      </c>
      <c r="AJ13" s="179">
        <v>7387.15</v>
      </c>
      <c r="AK13" s="179">
        <v>4490.29</v>
      </c>
      <c r="AL13" s="179">
        <v>0</v>
      </c>
      <c r="AM13" s="179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9">
        <v>0</v>
      </c>
      <c r="S14" s="179">
        <v>0</v>
      </c>
      <c r="T14" s="179">
        <v>0</v>
      </c>
      <c r="U14" s="179">
        <v>83400.27</v>
      </c>
      <c r="V14" s="179">
        <v>0</v>
      </c>
      <c r="W14" s="179">
        <v>85552.02</v>
      </c>
      <c r="X14" s="179">
        <v>0</v>
      </c>
      <c r="Y14" s="179">
        <v>0</v>
      </c>
      <c r="Z14" s="179">
        <v>0</v>
      </c>
      <c r="AA14" s="179">
        <v>0</v>
      </c>
      <c r="AB14" s="179">
        <v>0</v>
      </c>
      <c r="AC14" s="179">
        <v>0</v>
      </c>
      <c r="AD14" s="179">
        <v>0</v>
      </c>
      <c r="AE14" s="179">
        <v>0</v>
      </c>
      <c r="AF14" s="179">
        <v>0</v>
      </c>
      <c r="AG14" s="179">
        <v>0</v>
      </c>
      <c r="AH14" s="179">
        <v>0</v>
      </c>
      <c r="AI14" s="179">
        <v>0</v>
      </c>
      <c r="AJ14" s="179">
        <v>148537.69</v>
      </c>
      <c r="AK14" s="179">
        <v>5970.43</v>
      </c>
      <c r="AL14" s="179">
        <v>0</v>
      </c>
      <c r="AM14" s="179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9.5" hidden="1" outlineLevel="1" x14ac:dyDescent="0.3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101.9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9">
        <v>16315.94</v>
      </c>
      <c r="S15" s="179">
        <v>0</v>
      </c>
      <c r="T15" s="179">
        <v>2589.98</v>
      </c>
      <c r="U15" s="179">
        <v>2555.21</v>
      </c>
      <c r="V15" s="179">
        <v>651764.1</v>
      </c>
      <c r="W15" s="179">
        <v>0</v>
      </c>
      <c r="X15" s="179">
        <v>93016.13</v>
      </c>
      <c r="Y15" s="179">
        <v>101.9</v>
      </c>
      <c r="Z15" s="179">
        <v>3467.6</v>
      </c>
      <c r="AA15" s="179">
        <v>0</v>
      </c>
      <c r="AB15" s="179">
        <v>0</v>
      </c>
      <c r="AC15" s="179">
        <v>0</v>
      </c>
      <c r="AD15" s="179">
        <v>872128.85</v>
      </c>
      <c r="AE15" s="179">
        <v>42379.61</v>
      </c>
      <c r="AF15" s="179">
        <v>0</v>
      </c>
      <c r="AG15" s="179">
        <v>0</v>
      </c>
      <c r="AH15" s="179">
        <v>932.14</v>
      </c>
      <c r="AI15" s="179">
        <v>247.5</v>
      </c>
      <c r="AJ15" s="179">
        <v>0</v>
      </c>
      <c r="AK15" s="179">
        <v>0</v>
      </c>
      <c r="AL15" s="179">
        <v>321513.61</v>
      </c>
      <c r="AM15" s="179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15978.47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9">
        <v>13.07</v>
      </c>
      <c r="S16" s="179">
        <v>0</v>
      </c>
      <c r="T16" s="179">
        <v>513.78</v>
      </c>
      <c r="U16" s="179">
        <v>0</v>
      </c>
      <c r="V16" s="179">
        <v>468630.07</v>
      </c>
      <c r="W16" s="179">
        <v>0</v>
      </c>
      <c r="X16" s="179">
        <v>3434.57</v>
      </c>
      <c r="Y16" s="179">
        <v>15978.47</v>
      </c>
      <c r="Z16" s="179">
        <v>0</v>
      </c>
      <c r="AA16" s="179">
        <v>0</v>
      </c>
      <c r="AB16" s="179">
        <v>0</v>
      </c>
      <c r="AC16" s="179">
        <v>0</v>
      </c>
      <c r="AD16" s="179">
        <v>294111.08</v>
      </c>
      <c r="AE16" s="179">
        <v>32540.73</v>
      </c>
      <c r="AF16" s="179">
        <v>0</v>
      </c>
      <c r="AG16" s="179">
        <v>0</v>
      </c>
      <c r="AH16" s="179">
        <v>10833.07</v>
      </c>
      <c r="AI16" s="179">
        <v>36872.97</v>
      </c>
      <c r="AJ16" s="179">
        <v>0</v>
      </c>
      <c r="AK16" s="179">
        <v>0</v>
      </c>
      <c r="AL16" s="179">
        <v>118486.69</v>
      </c>
      <c r="AM16" s="179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-26.33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9">
        <v>237816.35</v>
      </c>
      <c r="S17" s="179">
        <v>0</v>
      </c>
      <c r="T17" s="179">
        <v>97769.12</v>
      </c>
      <c r="U17" s="179">
        <v>7220.8</v>
      </c>
      <c r="V17" s="179">
        <v>378614.23</v>
      </c>
      <c r="W17" s="179">
        <v>143033.72</v>
      </c>
      <c r="X17" s="179">
        <v>86037.41</v>
      </c>
      <c r="Y17" s="179">
        <v>-26.33</v>
      </c>
      <c r="Z17" s="179">
        <v>171305.24</v>
      </c>
      <c r="AA17" s="179">
        <v>19881.82</v>
      </c>
      <c r="AB17" s="179">
        <v>0</v>
      </c>
      <c r="AC17" s="179">
        <v>37314.06</v>
      </c>
      <c r="AD17" s="179">
        <v>2398983.87</v>
      </c>
      <c r="AE17" s="179">
        <v>45064.24</v>
      </c>
      <c r="AF17" s="179">
        <v>0</v>
      </c>
      <c r="AG17" s="179">
        <v>0</v>
      </c>
      <c r="AH17" s="179">
        <v>94822.97</v>
      </c>
      <c r="AI17" s="179">
        <v>83959.64</v>
      </c>
      <c r="AJ17" s="179">
        <v>19541.2</v>
      </c>
      <c r="AK17" s="179">
        <v>13595.09</v>
      </c>
      <c r="AL17" s="179">
        <v>168246.88</v>
      </c>
      <c r="AM17" s="179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10230.18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9">
        <v>42046.85</v>
      </c>
      <c r="S18" s="179">
        <v>343025</v>
      </c>
      <c r="T18" s="179">
        <v>23770.21</v>
      </c>
      <c r="U18" s="179">
        <v>19758.25</v>
      </c>
      <c r="V18" s="179">
        <v>521537.31</v>
      </c>
      <c r="W18" s="179">
        <v>132881.39000000001</v>
      </c>
      <c r="X18" s="179">
        <v>29778.59</v>
      </c>
      <c r="Y18" s="179">
        <v>10230.18</v>
      </c>
      <c r="Z18" s="179">
        <v>30993.759999999998</v>
      </c>
      <c r="AA18" s="179">
        <v>24565.15</v>
      </c>
      <c r="AB18" s="179">
        <v>0</v>
      </c>
      <c r="AC18" s="179">
        <v>0</v>
      </c>
      <c r="AD18" s="179">
        <v>240826.39</v>
      </c>
      <c r="AE18" s="179">
        <v>15630.26</v>
      </c>
      <c r="AF18" s="179">
        <v>644050.23</v>
      </c>
      <c r="AG18" s="179">
        <v>0</v>
      </c>
      <c r="AH18" s="179">
        <v>35828.31</v>
      </c>
      <c r="AI18" s="179">
        <v>32834.75</v>
      </c>
      <c r="AJ18" s="179">
        <v>24110.5</v>
      </c>
      <c r="AK18" s="179">
        <v>0</v>
      </c>
      <c r="AL18" s="179">
        <v>406732.73</v>
      </c>
      <c r="AM18" s="179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0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9">
        <v>0</v>
      </c>
      <c r="S19" s="179">
        <v>0</v>
      </c>
      <c r="T19" s="179">
        <v>5345.9</v>
      </c>
      <c r="U19" s="179">
        <v>-4749</v>
      </c>
      <c r="V19" s="179">
        <v>28708.04</v>
      </c>
      <c r="W19" s="179">
        <v>35806.660000000003</v>
      </c>
      <c r="X19" s="179">
        <v>31727.86</v>
      </c>
      <c r="Y19" s="179">
        <v>0</v>
      </c>
      <c r="Z19" s="179">
        <v>0</v>
      </c>
      <c r="AA19" s="179">
        <v>4115.41</v>
      </c>
      <c r="AB19" s="179">
        <v>1512.5</v>
      </c>
      <c r="AC19" s="179">
        <v>1010.61</v>
      </c>
      <c r="AD19" s="179">
        <v>0</v>
      </c>
      <c r="AE19" s="179">
        <v>857.82</v>
      </c>
      <c r="AF19" s="179">
        <v>23642.77</v>
      </c>
      <c r="AG19" s="179">
        <v>0</v>
      </c>
      <c r="AH19" s="179">
        <v>13181.5</v>
      </c>
      <c r="AI19" s="179">
        <v>27187.15</v>
      </c>
      <c r="AJ19" s="179">
        <v>6893.96</v>
      </c>
      <c r="AK19" s="179">
        <v>34.380000000000003</v>
      </c>
      <c r="AL19" s="179">
        <v>136768.70000000001</v>
      </c>
      <c r="AM19" s="179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0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9">
        <v>0</v>
      </c>
      <c r="S20" s="179">
        <v>1640076</v>
      </c>
      <c r="T20" s="179">
        <v>11277.56</v>
      </c>
      <c r="U20" s="179">
        <v>97561.13</v>
      </c>
      <c r="V20" s="179">
        <v>118921.13</v>
      </c>
      <c r="W20" s="179">
        <v>28883.11</v>
      </c>
      <c r="X20" s="179">
        <v>155482.63</v>
      </c>
      <c r="Y20" s="179">
        <v>0</v>
      </c>
      <c r="Z20" s="179">
        <v>0</v>
      </c>
      <c r="AA20" s="179">
        <v>0</v>
      </c>
      <c r="AB20" s="179">
        <v>0</v>
      </c>
      <c r="AC20" s="179">
        <v>180467.78</v>
      </c>
      <c r="AD20" s="179">
        <v>0</v>
      </c>
      <c r="AE20" s="179">
        <v>156904.78</v>
      </c>
      <c r="AF20" s="179">
        <v>0</v>
      </c>
      <c r="AG20" s="179">
        <v>0</v>
      </c>
      <c r="AH20" s="179">
        <v>48963.16</v>
      </c>
      <c r="AI20" s="179">
        <v>28568.84</v>
      </c>
      <c r="AJ20" s="179">
        <v>1006.63</v>
      </c>
      <c r="AK20" s="179">
        <v>32638.95</v>
      </c>
      <c r="AL20" s="179">
        <v>21921.59</v>
      </c>
      <c r="AM20" s="179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9">
        <v>0</v>
      </c>
      <c r="S21" s="179">
        <v>75024</v>
      </c>
      <c r="T21" s="179">
        <v>3587.75</v>
      </c>
      <c r="U21" s="179">
        <v>6266.71</v>
      </c>
      <c r="V21" s="179">
        <v>540432.06999999995</v>
      </c>
      <c r="W21" s="179">
        <v>71317.63</v>
      </c>
      <c r="X21" s="179">
        <v>10104.969999999999</v>
      </c>
      <c r="Y21" s="179">
        <v>0</v>
      </c>
      <c r="Z21" s="179">
        <v>0</v>
      </c>
      <c r="AA21" s="179">
        <v>0</v>
      </c>
      <c r="AB21" s="179">
        <v>0</v>
      </c>
      <c r="AC21" s="179">
        <v>0</v>
      </c>
      <c r="AD21" s="179">
        <v>0</v>
      </c>
      <c r="AE21" s="179">
        <v>79424.66</v>
      </c>
      <c r="AF21" s="179">
        <v>538842.15</v>
      </c>
      <c r="AG21" s="179">
        <v>0</v>
      </c>
      <c r="AH21" s="179">
        <v>11903.98</v>
      </c>
      <c r="AI21" s="179">
        <v>12019.36</v>
      </c>
      <c r="AJ21" s="179">
        <v>283.13</v>
      </c>
      <c r="AK21" s="179">
        <v>7052.55</v>
      </c>
      <c r="AL21" s="179">
        <v>33184.82</v>
      </c>
      <c r="AM21" s="179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1441.85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9">
        <v>0</v>
      </c>
      <c r="S22" s="179">
        <v>0</v>
      </c>
      <c r="T22" s="179">
        <v>21158.31</v>
      </c>
      <c r="U22" s="179">
        <v>9.8699999999999992</v>
      </c>
      <c r="V22" s="179">
        <v>272873.49</v>
      </c>
      <c r="W22" s="179">
        <v>61156.69</v>
      </c>
      <c r="X22" s="179">
        <v>7581.32</v>
      </c>
      <c r="Y22" s="179">
        <v>1441.85</v>
      </c>
      <c r="Z22" s="179">
        <v>0</v>
      </c>
      <c r="AA22" s="179">
        <v>0</v>
      </c>
      <c r="AB22" s="179">
        <v>0</v>
      </c>
      <c r="AC22" s="179">
        <v>3500.21</v>
      </c>
      <c r="AD22" s="179">
        <v>0</v>
      </c>
      <c r="AE22" s="179">
        <v>475.27</v>
      </c>
      <c r="AF22" s="179">
        <v>83870.600000000006</v>
      </c>
      <c r="AG22" s="179">
        <v>0</v>
      </c>
      <c r="AH22" s="179">
        <v>4862.6400000000003</v>
      </c>
      <c r="AI22" s="179">
        <v>29131.46</v>
      </c>
      <c r="AJ22" s="179">
        <v>3007.78</v>
      </c>
      <c r="AK22" s="179">
        <v>0</v>
      </c>
      <c r="AL22" s="179">
        <v>172138.65</v>
      </c>
      <c r="AM22" s="179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33526.61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9">
        <v>11121.92</v>
      </c>
      <c r="S23" s="179">
        <v>400579</v>
      </c>
      <c r="T23" s="179">
        <v>50738.67</v>
      </c>
      <c r="U23" s="179">
        <v>417822.81</v>
      </c>
      <c r="V23" s="179">
        <v>160776.12</v>
      </c>
      <c r="W23" s="179">
        <v>789701.74</v>
      </c>
      <c r="X23" s="179">
        <v>359286.58</v>
      </c>
      <c r="Y23" s="179">
        <v>33526.61</v>
      </c>
      <c r="Z23" s="179">
        <v>572.37</v>
      </c>
      <c r="AA23" s="179">
        <v>3139.16</v>
      </c>
      <c r="AB23" s="179">
        <v>1595</v>
      </c>
      <c r="AC23" s="179">
        <v>16919.88</v>
      </c>
      <c r="AD23" s="179">
        <v>0</v>
      </c>
      <c r="AE23" s="179">
        <v>200800.63</v>
      </c>
      <c r="AF23" s="179">
        <v>369244.3</v>
      </c>
      <c r="AG23" s="179">
        <v>0</v>
      </c>
      <c r="AH23" s="179">
        <v>5025.8900000000003</v>
      </c>
      <c r="AI23" s="179">
        <v>194414.63</v>
      </c>
      <c r="AJ23" s="179">
        <v>271870.27</v>
      </c>
      <c r="AK23" s="179">
        <v>20108.07</v>
      </c>
      <c r="AL23" s="179">
        <v>628104.67000000004</v>
      </c>
      <c r="AM23" s="179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0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9">
        <v>0</v>
      </c>
      <c r="S24" s="179">
        <v>0</v>
      </c>
      <c r="T24" s="179">
        <v>140240.14000000001</v>
      </c>
      <c r="U24" s="179">
        <v>267.35000000000002</v>
      </c>
      <c r="V24" s="179">
        <v>245143.09</v>
      </c>
      <c r="W24" s="179">
        <v>17409.95</v>
      </c>
      <c r="X24" s="179">
        <v>4289.04</v>
      </c>
      <c r="Y24" s="179">
        <v>0</v>
      </c>
      <c r="Z24" s="179">
        <v>0</v>
      </c>
      <c r="AA24" s="179">
        <v>0</v>
      </c>
      <c r="AB24" s="179">
        <v>0</v>
      </c>
      <c r="AC24" s="179">
        <v>0</v>
      </c>
      <c r="AD24" s="179">
        <v>1244843.8400000001</v>
      </c>
      <c r="AE24" s="179">
        <v>14566.25</v>
      </c>
      <c r="AF24" s="179">
        <v>0</v>
      </c>
      <c r="AG24" s="179">
        <v>0</v>
      </c>
      <c r="AH24" s="179">
        <v>27902.86</v>
      </c>
      <c r="AI24" s="179">
        <v>524824.37</v>
      </c>
      <c r="AJ24" s="179">
        <v>186535.72</v>
      </c>
      <c r="AK24" s="179">
        <v>0</v>
      </c>
      <c r="AL24" s="179">
        <v>634454.57999999996</v>
      </c>
      <c r="AM24" s="179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0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9">
        <v>0</v>
      </c>
      <c r="S25" s="179">
        <v>0</v>
      </c>
      <c r="T25" s="179">
        <v>-1863.36</v>
      </c>
      <c r="U25" s="179">
        <v>58</v>
      </c>
      <c r="V25" s="179">
        <v>73859.12</v>
      </c>
      <c r="W25" s="179">
        <v>8062.13</v>
      </c>
      <c r="X25" s="179">
        <v>4194.8900000000003</v>
      </c>
      <c r="Y25" s="179">
        <v>0</v>
      </c>
      <c r="Z25" s="179">
        <v>0</v>
      </c>
      <c r="AA25" s="179">
        <v>0</v>
      </c>
      <c r="AB25" s="179">
        <v>25524.58</v>
      </c>
      <c r="AC25" s="179">
        <v>0</v>
      </c>
      <c r="AD25" s="179">
        <v>24026.42</v>
      </c>
      <c r="AE25" s="179">
        <v>6259.65</v>
      </c>
      <c r="AF25" s="179">
        <v>7364.24</v>
      </c>
      <c r="AG25" s="179">
        <v>0</v>
      </c>
      <c r="AH25" s="179">
        <v>823.92</v>
      </c>
      <c r="AI25" s="179">
        <v>0</v>
      </c>
      <c r="AJ25" s="179">
        <v>6704.43</v>
      </c>
      <c r="AK25" s="179">
        <v>463</v>
      </c>
      <c r="AL25" s="179">
        <v>0</v>
      </c>
      <c r="AM25" s="179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54618.14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9">
        <v>14931.93</v>
      </c>
      <c r="S26" s="179">
        <v>426845</v>
      </c>
      <c r="T26" s="179">
        <v>168205.01</v>
      </c>
      <c r="U26" s="179">
        <v>367975.08</v>
      </c>
      <c r="V26" s="179">
        <v>0</v>
      </c>
      <c r="W26" s="179">
        <v>0</v>
      </c>
      <c r="X26" s="179">
        <v>370142.85</v>
      </c>
      <c r="Y26" s="179">
        <v>54618.14</v>
      </c>
      <c r="Z26" s="179">
        <v>0</v>
      </c>
      <c r="AA26" s="179">
        <v>202129.65</v>
      </c>
      <c r="AB26" s="179">
        <v>9682.09</v>
      </c>
      <c r="AC26" s="179">
        <v>0</v>
      </c>
      <c r="AD26" s="179">
        <v>2888634.55</v>
      </c>
      <c r="AE26" s="179">
        <v>0</v>
      </c>
      <c r="AF26" s="179">
        <v>102221.69</v>
      </c>
      <c r="AG26" s="179">
        <v>85389.08</v>
      </c>
      <c r="AH26" s="179">
        <v>7201.43</v>
      </c>
      <c r="AI26" s="179">
        <v>46809.09</v>
      </c>
      <c r="AJ26" s="179">
        <v>2099.37</v>
      </c>
      <c r="AK26" s="179">
        <v>140643.99</v>
      </c>
      <c r="AL26" s="179">
        <v>1240469.1299999999</v>
      </c>
      <c r="AM26" s="179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9">
        <v>0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6926.2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0</v>
      </c>
      <c r="AG27" s="179">
        <v>0</v>
      </c>
      <c r="AH27" s="179">
        <v>0</v>
      </c>
      <c r="AI27" s="179">
        <v>0</v>
      </c>
      <c r="AJ27" s="179">
        <v>0</v>
      </c>
      <c r="AK27" s="179">
        <v>0</v>
      </c>
      <c r="AL27" s="179">
        <v>0</v>
      </c>
      <c r="AM27" s="179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6172.31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9">
        <v>700.61</v>
      </c>
      <c r="S28" s="179">
        <v>13751</v>
      </c>
      <c r="T28" s="179">
        <v>17491.52</v>
      </c>
      <c r="U28" s="179">
        <v>0</v>
      </c>
      <c r="V28" s="179">
        <v>51857.63</v>
      </c>
      <c r="W28" s="179">
        <v>30365.29</v>
      </c>
      <c r="X28" s="179">
        <v>37240.44</v>
      </c>
      <c r="Y28" s="179">
        <v>6172.31</v>
      </c>
      <c r="Z28" s="179">
        <v>1900.34</v>
      </c>
      <c r="AA28" s="179">
        <v>0</v>
      </c>
      <c r="AB28" s="179">
        <v>0</v>
      </c>
      <c r="AC28" s="179">
        <v>5578.69</v>
      </c>
      <c r="AD28" s="179">
        <v>0</v>
      </c>
      <c r="AE28" s="179">
        <v>0</v>
      </c>
      <c r="AF28" s="179">
        <v>0</v>
      </c>
      <c r="AG28" s="179">
        <v>0</v>
      </c>
      <c r="AH28" s="179">
        <v>14622.9</v>
      </c>
      <c r="AI28" s="179">
        <v>0</v>
      </c>
      <c r="AJ28" s="179">
        <v>5564.1</v>
      </c>
      <c r="AK28" s="179">
        <v>0</v>
      </c>
      <c r="AL28" s="179">
        <v>90377.74</v>
      </c>
      <c r="AM28" s="179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9">
        <v>0</v>
      </c>
      <c r="S29" s="179">
        <v>0</v>
      </c>
      <c r="T29" s="179">
        <v>0</v>
      </c>
      <c r="U29" s="179">
        <v>3900</v>
      </c>
      <c r="V29" s="179">
        <v>0</v>
      </c>
      <c r="W29" s="179">
        <v>0</v>
      </c>
      <c r="X29" s="179">
        <v>0</v>
      </c>
      <c r="Y29" s="179">
        <v>0</v>
      </c>
      <c r="Z29" s="179">
        <v>0</v>
      </c>
      <c r="AA29" s="179">
        <v>172800</v>
      </c>
      <c r="AB29" s="179">
        <v>0</v>
      </c>
      <c r="AC29" s="179">
        <v>0</v>
      </c>
      <c r="AD29" s="179">
        <v>104159.05</v>
      </c>
      <c r="AE29" s="179">
        <v>0</v>
      </c>
      <c r="AF29" s="179">
        <v>0</v>
      </c>
      <c r="AG29" s="179">
        <v>810</v>
      </c>
      <c r="AH29" s="179">
        <v>0</v>
      </c>
      <c r="AI29" s="179">
        <v>65710.39</v>
      </c>
      <c r="AJ29" s="179">
        <v>0</v>
      </c>
      <c r="AK29" s="179">
        <v>0</v>
      </c>
      <c r="AL29" s="179">
        <v>0</v>
      </c>
      <c r="AM29" s="179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322477.75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9">
        <v>322946.67</v>
      </c>
      <c r="S30" s="179">
        <v>3791562</v>
      </c>
      <c r="T30" s="179">
        <v>711340.02000000014</v>
      </c>
      <c r="U30" s="179">
        <v>1554358.2000000002</v>
      </c>
      <c r="V30" s="179">
        <v>5326504.88</v>
      </c>
      <c r="W30" s="179">
        <v>2169275.2400000002</v>
      </c>
      <c r="X30" s="179">
        <v>1702685.14</v>
      </c>
      <c r="Y30" s="179">
        <v>322477.75</v>
      </c>
      <c r="Z30" s="179">
        <v>208239.31</v>
      </c>
      <c r="AA30" s="179">
        <v>721685.66999999993</v>
      </c>
      <c r="AB30" s="179">
        <v>39763.949999999997</v>
      </c>
      <c r="AC30" s="179">
        <v>263089.51999999996</v>
      </c>
      <c r="AD30" s="179">
        <v>12325446.510000002</v>
      </c>
      <c r="AE30" s="179">
        <v>1132180.44</v>
      </c>
      <c r="AF30" s="179">
        <v>2364660.36</v>
      </c>
      <c r="AG30" s="179">
        <v>128569.22</v>
      </c>
      <c r="AH30" s="179">
        <v>340593.14</v>
      </c>
      <c r="AI30" s="179">
        <v>1174580.75</v>
      </c>
      <c r="AJ30" s="179">
        <v>904644.56</v>
      </c>
      <c r="AK30" s="179">
        <v>427285.43</v>
      </c>
      <c r="AL30" s="179">
        <v>5982342.2499999991</v>
      </c>
      <c r="AM30" s="179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43284.33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9">
        <v>0</v>
      </c>
      <c r="S31" s="179">
        <v>0</v>
      </c>
      <c r="T31" s="179">
        <v>76803.62</v>
      </c>
      <c r="U31" s="179">
        <v>81810.210000000006</v>
      </c>
      <c r="V31" s="179">
        <v>0</v>
      </c>
      <c r="W31" s="179">
        <v>0</v>
      </c>
      <c r="X31" s="179">
        <v>33811.9</v>
      </c>
      <c r="Y31" s="179">
        <v>43284.33</v>
      </c>
      <c r="Z31" s="179">
        <v>0</v>
      </c>
      <c r="AA31" s="179">
        <v>105173.89</v>
      </c>
      <c r="AB31" s="179">
        <v>0</v>
      </c>
      <c r="AC31" s="179">
        <v>0</v>
      </c>
      <c r="AD31" s="179">
        <v>0</v>
      </c>
      <c r="AE31" s="179">
        <v>474071.66</v>
      </c>
      <c r="AF31" s="179">
        <v>0</v>
      </c>
      <c r="AG31" s="179">
        <v>0</v>
      </c>
      <c r="AH31" s="179">
        <v>40769.99</v>
      </c>
      <c r="AI31" s="179">
        <v>369946.43</v>
      </c>
      <c r="AJ31" s="179">
        <v>0</v>
      </c>
      <c r="AK31" s="179">
        <v>40472.83</v>
      </c>
      <c r="AL31" s="179">
        <v>0</v>
      </c>
      <c r="AM31" s="179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0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9">
        <v>0</v>
      </c>
      <c r="S32" s="179">
        <v>0</v>
      </c>
      <c r="T32" s="179">
        <v>59976.18</v>
      </c>
      <c r="U32" s="179">
        <v>7200.57</v>
      </c>
      <c r="V32" s="179">
        <v>138933.73000000001</v>
      </c>
      <c r="W32" s="179">
        <v>0</v>
      </c>
      <c r="X32" s="179">
        <v>44791.86</v>
      </c>
      <c r="Y32" s="179">
        <v>0</v>
      </c>
      <c r="Z32" s="179">
        <v>0</v>
      </c>
      <c r="AA32" s="179">
        <v>4565.47</v>
      </c>
      <c r="AB32" s="179">
        <v>7947.74</v>
      </c>
      <c r="AC32" s="179">
        <v>0</v>
      </c>
      <c r="AD32" s="179">
        <v>0</v>
      </c>
      <c r="AE32" s="179">
        <v>0</v>
      </c>
      <c r="AF32" s="179">
        <v>0</v>
      </c>
      <c r="AG32" s="179">
        <v>62772.34</v>
      </c>
      <c r="AH32" s="179">
        <v>4392.6400000000003</v>
      </c>
      <c r="AI32" s="179">
        <v>0</v>
      </c>
      <c r="AJ32" s="179">
        <v>4946.82</v>
      </c>
      <c r="AK32" s="179">
        <v>0</v>
      </c>
      <c r="AL32" s="179">
        <v>45460.5</v>
      </c>
      <c r="AM32" s="179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9">
        <v>0</v>
      </c>
      <c r="S33" s="179">
        <v>0</v>
      </c>
      <c r="T33" s="179">
        <v>62985.83</v>
      </c>
      <c r="U33" s="179">
        <v>0</v>
      </c>
      <c r="V33" s="179">
        <v>0</v>
      </c>
      <c r="W33" s="179">
        <v>22353.05</v>
      </c>
      <c r="X33" s="179">
        <v>0</v>
      </c>
      <c r="Y33" s="179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  <c r="AF33" s="179">
        <v>279788.24</v>
      </c>
      <c r="AG33" s="179">
        <v>53287.28</v>
      </c>
      <c r="AH33" s="179">
        <v>0</v>
      </c>
      <c r="AI33" s="179">
        <v>0</v>
      </c>
      <c r="AJ33" s="179">
        <v>0</v>
      </c>
      <c r="AK33" s="179">
        <v>0</v>
      </c>
      <c r="AL33" s="179">
        <v>0</v>
      </c>
      <c r="AM33" s="179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12225.62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9">
        <v>6769.92</v>
      </c>
      <c r="S34" s="179">
        <v>76514</v>
      </c>
      <c r="T34" s="179">
        <v>1222.4100000000001</v>
      </c>
      <c r="U34" s="179">
        <v>3639.94</v>
      </c>
      <c r="V34" s="179">
        <v>3546.07</v>
      </c>
      <c r="W34" s="179">
        <v>0</v>
      </c>
      <c r="X34" s="179">
        <v>192234.54</v>
      </c>
      <c r="Y34" s="179">
        <v>12225.62</v>
      </c>
      <c r="Z34" s="179">
        <v>0</v>
      </c>
      <c r="AA34" s="179">
        <v>35930.61</v>
      </c>
      <c r="AB34" s="179">
        <v>5093.05</v>
      </c>
      <c r="AC34" s="179">
        <v>0</v>
      </c>
      <c r="AD34" s="179">
        <v>0</v>
      </c>
      <c r="AE34" s="179">
        <v>109248.52</v>
      </c>
      <c r="AF34" s="179">
        <v>104492.04</v>
      </c>
      <c r="AG34" s="179">
        <v>0</v>
      </c>
      <c r="AH34" s="179">
        <v>13968.58</v>
      </c>
      <c r="AI34" s="179">
        <v>300</v>
      </c>
      <c r="AJ34" s="179">
        <v>670.65</v>
      </c>
      <c r="AK34" s="179">
        <v>28422.37</v>
      </c>
      <c r="AL34" s="179">
        <v>159993.48000000001</v>
      </c>
      <c r="AM34" s="179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13107.17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9">
        <v>0</v>
      </c>
      <c r="S35" s="179">
        <v>3835</v>
      </c>
      <c r="T35" s="179">
        <v>30322.22</v>
      </c>
      <c r="U35" s="179">
        <v>55725.75</v>
      </c>
      <c r="V35" s="179">
        <v>184909.56</v>
      </c>
      <c r="W35" s="179">
        <v>39719.79</v>
      </c>
      <c r="X35" s="179">
        <v>85079.6</v>
      </c>
      <c r="Y35" s="179">
        <v>13107.17</v>
      </c>
      <c r="Z35" s="179">
        <v>0</v>
      </c>
      <c r="AA35" s="179">
        <v>91285.74</v>
      </c>
      <c r="AB35" s="179">
        <v>2693</v>
      </c>
      <c r="AC35" s="179">
        <v>12302.31</v>
      </c>
      <c r="AD35" s="179">
        <v>0</v>
      </c>
      <c r="AE35" s="179">
        <v>162024.95999999999</v>
      </c>
      <c r="AF35" s="179">
        <v>0</v>
      </c>
      <c r="AG35" s="179">
        <v>56496.7</v>
      </c>
      <c r="AH35" s="179">
        <v>7308.58</v>
      </c>
      <c r="AI35" s="179">
        <v>34878.769999999997</v>
      </c>
      <c r="AJ35" s="179">
        <v>64492.72</v>
      </c>
      <c r="AK35" s="179">
        <v>41705.480000000003</v>
      </c>
      <c r="AL35" s="179">
        <v>214280.77</v>
      </c>
      <c r="AM35" s="179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11728.62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9">
        <v>480</v>
      </c>
      <c r="S36" s="179">
        <v>78864</v>
      </c>
      <c r="T36" s="179">
        <v>163820.96</v>
      </c>
      <c r="U36" s="179">
        <v>200915.67</v>
      </c>
      <c r="V36" s="179">
        <v>1092957.54</v>
      </c>
      <c r="W36" s="179">
        <v>500336.5</v>
      </c>
      <c r="X36" s="179">
        <v>323488.53999999998</v>
      </c>
      <c r="Y36" s="179">
        <v>11728.62</v>
      </c>
      <c r="Z36" s="179">
        <v>0</v>
      </c>
      <c r="AA36" s="179">
        <v>354023.63</v>
      </c>
      <c r="AB36" s="179">
        <v>4521.75</v>
      </c>
      <c r="AC36" s="179">
        <v>151180.76999999999</v>
      </c>
      <c r="AD36" s="179">
        <v>3267818.11</v>
      </c>
      <c r="AE36" s="179">
        <v>377820.97</v>
      </c>
      <c r="AF36" s="179">
        <v>0</v>
      </c>
      <c r="AG36" s="179">
        <v>0</v>
      </c>
      <c r="AH36" s="179">
        <v>46203.19</v>
      </c>
      <c r="AI36" s="179">
        <v>159428.98000000001</v>
      </c>
      <c r="AJ36" s="179">
        <v>79683.23</v>
      </c>
      <c r="AK36" s="179">
        <v>63367.3</v>
      </c>
      <c r="AL36" s="179">
        <v>332020.59999999998</v>
      </c>
      <c r="AM36" s="179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27419.25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9">
        <v>179.74</v>
      </c>
      <c r="S37" s="179">
        <v>1350</v>
      </c>
      <c r="T37" s="179">
        <v>60916.82</v>
      </c>
      <c r="U37" s="179">
        <v>348454.26</v>
      </c>
      <c r="V37" s="179">
        <v>240384.79</v>
      </c>
      <c r="W37" s="179">
        <v>318230.56</v>
      </c>
      <c r="X37" s="179">
        <v>272975.89</v>
      </c>
      <c r="Y37" s="179">
        <v>27419.25</v>
      </c>
      <c r="Z37" s="179">
        <v>0</v>
      </c>
      <c r="AA37" s="179">
        <v>154567.09</v>
      </c>
      <c r="AB37" s="179">
        <v>0</v>
      </c>
      <c r="AC37" s="179">
        <v>48857.25</v>
      </c>
      <c r="AD37" s="179">
        <v>0</v>
      </c>
      <c r="AE37" s="179">
        <v>179371.86</v>
      </c>
      <c r="AF37" s="179">
        <v>411745.24</v>
      </c>
      <c r="AG37" s="179">
        <v>165309.92000000001</v>
      </c>
      <c r="AH37" s="179">
        <v>32260.3</v>
      </c>
      <c r="AI37" s="179">
        <v>139342.53</v>
      </c>
      <c r="AJ37" s="179">
        <v>709316.32</v>
      </c>
      <c r="AK37" s="179">
        <v>5048.43</v>
      </c>
      <c r="AL37" s="179">
        <v>297737.45</v>
      </c>
      <c r="AM37" s="179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62947.87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9">
        <v>62820.160000000003</v>
      </c>
      <c r="S38" s="179">
        <v>0</v>
      </c>
      <c r="T38" s="179">
        <v>132083.17000000001</v>
      </c>
      <c r="U38" s="179">
        <v>386926.81</v>
      </c>
      <c r="V38" s="179">
        <v>720220.44</v>
      </c>
      <c r="W38" s="179">
        <v>368425.65</v>
      </c>
      <c r="X38" s="179">
        <v>464164.87</v>
      </c>
      <c r="Y38" s="179">
        <v>62947.87</v>
      </c>
      <c r="Z38" s="179">
        <v>0</v>
      </c>
      <c r="AA38" s="179">
        <v>168298.9</v>
      </c>
      <c r="AB38" s="179">
        <v>5995</v>
      </c>
      <c r="AC38" s="179">
        <v>320686.77</v>
      </c>
      <c r="AD38" s="179">
        <v>863795.36</v>
      </c>
      <c r="AE38" s="179">
        <v>179524.08</v>
      </c>
      <c r="AF38" s="179">
        <v>689860.26</v>
      </c>
      <c r="AG38" s="179">
        <v>136952.24</v>
      </c>
      <c r="AH38" s="179">
        <v>62555.37</v>
      </c>
      <c r="AI38" s="179">
        <v>536618.78</v>
      </c>
      <c r="AJ38" s="179">
        <v>161383.34</v>
      </c>
      <c r="AK38" s="179">
        <v>68501.72</v>
      </c>
      <c r="AL38" s="179">
        <v>440103.71</v>
      </c>
      <c r="AM38" s="179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1406.16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9">
        <v>0</v>
      </c>
      <c r="S39" s="179">
        <v>861</v>
      </c>
      <c r="T39" s="179">
        <v>599.91999999999996</v>
      </c>
      <c r="U39" s="179">
        <v>25622.9</v>
      </c>
      <c r="V39" s="179">
        <v>167530.62</v>
      </c>
      <c r="W39" s="179">
        <v>70519.490000000005</v>
      </c>
      <c r="X39" s="179">
        <v>4650.9399999999996</v>
      </c>
      <c r="Y39" s="179">
        <v>1406.16</v>
      </c>
      <c r="Z39" s="179">
        <v>0</v>
      </c>
      <c r="AA39" s="179">
        <v>-612.54999999999995</v>
      </c>
      <c r="AB39" s="179">
        <v>0</v>
      </c>
      <c r="AC39" s="179">
        <v>0</v>
      </c>
      <c r="AD39" s="179">
        <v>0</v>
      </c>
      <c r="AE39" s="179">
        <v>1055.25</v>
      </c>
      <c r="AF39" s="179">
        <v>0</v>
      </c>
      <c r="AG39" s="179">
        <v>0</v>
      </c>
      <c r="AH39" s="179">
        <v>130.9</v>
      </c>
      <c r="AI39" s="179">
        <v>0</v>
      </c>
      <c r="AJ39" s="179">
        <v>23297.63</v>
      </c>
      <c r="AK39" s="179">
        <v>0</v>
      </c>
      <c r="AL39" s="179">
        <v>144720.10999999999</v>
      </c>
      <c r="AM39" s="179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3477.39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9">
        <v>0</v>
      </c>
      <c r="S40" s="179">
        <v>11569</v>
      </c>
      <c r="T40" s="179">
        <v>10467.19</v>
      </c>
      <c r="U40" s="179">
        <v>134677.26999999999</v>
      </c>
      <c r="V40" s="179">
        <v>618634.93999999994</v>
      </c>
      <c r="W40" s="179">
        <v>430075.21</v>
      </c>
      <c r="X40" s="179">
        <v>29858.51</v>
      </c>
      <c r="Y40" s="179">
        <v>3477.39</v>
      </c>
      <c r="Z40" s="179">
        <v>0</v>
      </c>
      <c r="AA40" s="179">
        <v>127172.56</v>
      </c>
      <c r="AB40" s="179">
        <v>0</v>
      </c>
      <c r="AC40" s="179">
        <v>57680.22</v>
      </c>
      <c r="AD40" s="179">
        <v>5625572.9299999997</v>
      </c>
      <c r="AE40" s="179">
        <v>12743.8</v>
      </c>
      <c r="AF40" s="179">
        <v>0</v>
      </c>
      <c r="AG40" s="179">
        <v>9237.23</v>
      </c>
      <c r="AH40" s="179">
        <v>3996.48</v>
      </c>
      <c r="AI40" s="179">
        <v>75327.78</v>
      </c>
      <c r="AJ40" s="179">
        <v>94793.4</v>
      </c>
      <c r="AK40" s="179">
        <v>14030.72</v>
      </c>
      <c r="AL40" s="179">
        <v>21042.3</v>
      </c>
      <c r="AM40" s="179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90045.51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9">
        <v>0</v>
      </c>
      <c r="S41" s="179">
        <v>478</v>
      </c>
      <c r="T41" s="179">
        <v>0</v>
      </c>
      <c r="U41" s="179">
        <v>294455.82</v>
      </c>
      <c r="V41" s="179">
        <v>320248.28000000003</v>
      </c>
      <c r="W41" s="179">
        <v>124568.69</v>
      </c>
      <c r="X41" s="179">
        <v>61012.49</v>
      </c>
      <c r="Y41" s="179">
        <v>90045.51</v>
      </c>
      <c r="Z41" s="179">
        <v>0</v>
      </c>
      <c r="AA41" s="179">
        <v>325505.96000000002</v>
      </c>
      <c r="AB41" s="179">
        <v>0</v>
      </c>
      <c r="AC41" s="179">
        <v>89065.94</v>
      </c>
      <c r="AD41" s="179">
        <v>0</v>
      </c>
      <c r="AE41" s="179">
        <v>102691.78</v>
      </c>
      <c r="AF41" s="179">
        <v>220811.47</v>
      </c>
      <c r="AG41" s="179">
        <v>-339010.07</v>
      </c>
      <c r="AH41" s="179">
        <v>175.5</v>
      </c>
      <c r="AI41" s="179">
        <v>179244.04</v>
      </c>
      <c r="AJ41" s="179">
        <v>59586.43</v>
      </c>
      <c r="AK41" s="179">
        <v>0</v>
      </c>
      <c r="AL41" s="179">
        <v>112540.51</v>
      </c>
      <c r="AM41" s="179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42219.92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9">
        <v>0</v>
      </c>
      <c r="S42" s="179">
        <v>7117</v>
      </c>
      <c r="T42" s="179">
        <v>37270.400000000001</v>
      </c>
      <c r="U42" s="179">
        <v>23439.69</v>
      </c>
      <c r="V42" s="179">
        <v>103138.44</v>
      </c>
      <c r="W42" s="179">
        <v>138687.49</v>
      </c>
      <c r="X42" s="179">
        <v>31679.25</v>
      </c>
      <c r="Y42" s="179">
        <v>42219.92</v>
      </c>
      <c r="Z42" s="179">
        <v>0</v>
      </c>
      <c r="AA42" s="179">
        <v>45954.15</v>
      </c>
      <c r="AB42" s="179">
        <v>0</v>
      </c>
      <c r="AC42" s="179">
        <v>19306.669999999998</v>
      </c>
      <c r="AD42" s="179">
        <v>0</v>
      </c>
      <c r="AE42" s="179">
        <v>24204.23</v>
      </c>
      <c r="AF42" s="179">
        <v>43346.76</v>
      </c>
      <c r="AG42" s="179">
        <v>41450.480000000003</v>
      </c>
      <c r="AH42" s="179">
        <v>0</v>
      </c>
      <c r="AI42" s="179">
        <v>38219.51</v>
      </c>
      <c r="AJ42" s="179">
        <v>16370.35</v>
      </c>
      <c r="AK42" s="179">
        <v>0</v>
      </c>
      <c r="AL42" s="179">
        <v>199136.66</v>
      </c>
      <c r="AM42" s="179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2530.71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9">
        <v>41439.26</v>
      </c>
      <c r="S43" s="179">
        <v>-463</v>
      </c>
      <c r="T43" s="179">
        <v>105904.51</v>
      </c>
      <c r="U43" s="179">
        <v>0</v>
      </c>
      <c r="V43" s="179">
        <v>110665.43</v>
      </c>
      <c r="W43" s="179">
        <v>0</v>
      </c>
      <c r="X43" s="179">
        <v>369007.02</v>
      </c>
      <c r="Y43" s="179">
        <v>2530.71</v>
      </c>
      <c r="Z43" s="179">
        <v>0</v>
      </c>
      <c r="AA43" s="179">
        <v>255161.35</v>
      </c>
      <c r="AB43" s="179">
        <v>0</v>
      </c>
      <c r="AC43" s="179">
        <v>237613.57</v>
      </c>
      <c r="AD43" s="179">
        <v>1615062.16</v>
      </c>
      <c r="AE43" s="179">
        <v>196784.05</v>
      </c>
      <c r="AF43" s="179">
        <v>0</v>
      </c>
      <c r="AG43" s="179">
        <v>133663.82999999999</v>
      </c>
      <c r="AH43" s="179">
        <v>974.28</v>
      </c>
      <c r="AI43" s="179">
        <v>60986.6</v>
      </c>
      <c r="AJ43" s="179">
        <v>76419.100000000006</v>
      </c>
      <c r="AK43" s="179">
        <v>35785.040000000001</v>
      </c>
      <c r="AL43" s="179">
        <v>29633.279999999999</v>
      </c>
      <c r="AM43" s="179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310392.55000000005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9">
        <v>111689.08000000002</v>
      </c>
      <c r="S44" s="179">
        <v>180125</v>
      </c>
      <c r="T44" s="179">
        <v>742373.23</v>
      </c>
      <c r="U44" s="179">
        <v>1562868.89</v>
      </c>
      <c r="V44" s="179">
        <v>3701169.84</v>
      </c>
      <c r="W44" s="179">
        <v>2012916.4299999997</v>
      </c>
      <c r="X44" s="179">
        <v>1912755.41</v>
      </c>
      <c r="Y44" s="179">
        <v>310392.55000000005</v>
      </c>
      <c r="Z44" s="179">
        <v>0</v>
      </c>
      <c r="AA44" s="179">
        <v>1667026.8</v>
      </c>
      <c r="AB44" s="179">
        <v>26250.54</v>
      </c>
      <c r="AC44" s="179">
        <v>936693.5</v>
      </c>
      <c r="AD44" s="179">
        <v>11372248.559999999</v>
      </c>
      <c r="AE44" s="179">
        <v>1819541.16</v>
      </c>
      <c r="AF44" s="179">
        <v>1750044.01</v>
      </c>
      <c r="AG44" s="179">
        <v>320159.94999999995</v>
      </c>
      <c r="AH44" s="179">
        <v>212735.81</v>
      </c>
      <c r="AI44" s="179">
        <v>1594293.4200000004</v>
      </c>
      <c r="AJ44" s="179">
        <v>1290959.99</v>
      </c>
      <c r="AK44" s="179">
        <v>297333.88999999996</v>
      </c>
      <c r="AL44" s="179">
        <v>1996669.37</v>
      </c>
      <c r="AM44" s="179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37473.160000000003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9">
        <v>2421</v>
      </c>
      <c r="S45" s="179">
        <v>244254</v>
      </c>
      <c r="T45" s="179">
        <v>64477.279999999999</v>
      </c>
      <c r="U45" s="179">
        <v>354125.26</v>
      </c>
      <c r="V45" s="179">
        <v>0</v>
      </c>
      <c r="W45" s="179">
        <v>661051.16</v>
      </c>
      <c r="X45" s="179">
        <v>135934.95000000001</v>
      </c>
      <c r="Y45" s="179">
        <v>37473.160000000003</v>
      </c>
      <c r="Z45" s="179">
        <v>0</v>
      </c>
      <c r="AA45" s="179">
        <v>90766.13</v>
      </c>
      <c r="AB45" s="179">
        <v>0</v>
      </c>
      <c r="AC45" s="179">
        <v>102514.54</v>
      </c>
      <c r="AD45" s="179">
        <v>3346423.75</v>
      </c>
      <c r="AE45" s="179">
        <v>466369.12</v>
      </c>
      <c r="AF45" s="179">
        <v>0</v>
      </c>
      <c r="AG45" s="179">
        <v>0</v>
      </c>
      <c r="AH45" s="179">
        <v>0</v>
      </c>
      <c r="AI45" s="179">
        <v>182943.44</v>
      </c>
      <c r="AJ45" s="179">
        <v>31280.25</v>
      </c>
      <c r="AK45" s="179">
        <v>0</v>
      </c>
      <c r="AL45" s="179">
        <v>0</v>
      </c>
      <c r="AM45" s="179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103048.34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9">
        <v>39511.699999999997</v>
      </c>
      <c r="S46" s="179">
        <v>270167</v>
      </c>
      <c r="T46" s="179">
        <v>16528.509999999998</v>
      </c>
      <c r="U46" s="179">
        <v>474668.05</v>
      </c>
      <c r="V46" s="179">
        <v>385991.65</v>
      </c>
      <c r="W46" s="179">
        <v>261151.49</v>
      </c>
      <c r="X46" s="179">
        <v>89466.54</v>
      </c>
      <c r="Y46" s="179">
        <v>103048.34</v>
      </c>
      <c r="Z46" s="179">
        <v>32959.160000000003</v>
      </c>
      <c r="AA46" s="179">
        <v>170501.94</v>
      </c>
      <c r="AB46" s="179">
        <v>0</v>
      </c>
      <c r="AC46" s="179">
        <v>54311.199999999997</v>
      </c>
      <c r="AD46" s="179">
        <v>2137216.25</v>
      </c>
      <c r="AE46" s="179">
        <v>261072.01</v>
      </c>
      <c r="AF46" s="179">
        <v>295890.69</v>
      </c>
      <c r="AG46" s="179">
        <v>0</v>
      </c>
      <c r="AH46" s="179">
        <v>62426.31</v>
      </c>
      <c r="AI46" s="179">
        <v>294424.44</v>
      </c>
      <c r="AJ46" s="179">
        <v>236772.21</v>
      </c>
      <c r="AK46" s="179">
        <v>3546.87</v>
      </c>
      <c r="AL46" s="179">
        <v>24410.27</v>
      </c>
      <c r="AM46" s="179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200099.41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9">
        <v>127999</v>
      </c>
      <c r="S47" s="179">
        <v>932853</v>
      </c>
      <c r="T47" s="179">
        <v>292854.96000000002</v>
      </c>
      <c r="U47" s="179">
        <v>782822.03</v>
      </c>
      <c r="V47" s="179">
        <v>856666.1</v>
      </c>
      <c r="W47" s="179">
        <v>1075142.3600000001</v>
      </c>
      <c r="X47" s="179">
        <v>468791.54</v>
      </c>
      <c r="Y47" s="179">
        <v>200099.41</v>
      </c>
      <c r="Z47" s="179">
        <v>78035.350000000006</v>
      </c>
      <c r="AA47" s="179">
        <v>431511.81</v>
      </c>
      <c r="AB47" s="179">
        <v>201913.39</v>
      </c>
      <c r="AC47" s="179">
        <v>236392.21</v>
      </c>
      <c r="AD47" s="179">
        <v>863810.11</v>
      </c>
      <c r="AE47" s="179">
        <v>2365443.0099999998</v>
      </c>
      <c r="AF47" s="179">
        <v>376717.04</v>
      </c>
      <c r="AG47" s="179">
        <v>840661.94</v>
      </c>
      <c r="AH47" s="179">
        <v>164329.73000000001</v>
      </c>
      <c r="AI47" s="179">
        <v>484435.85</v>
      </c>
      <c r="AJ47" s="179">
        <v>561370.9</v>
      </c>
      <c r="AK47" s="179">
        <v>149179.20000000001</v>
      </c>
      <c r="AL47" s="179">
        <v>1547561.38</v>
      </c>
      <c r="AM47" s="179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104579.83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9">
        <v>0</v>
      </c>
      <c r="S48" s="179">
        <v>258401</v>
      </c>
      <c r="T48" s="179">
        <v>314208.28000000003</v>
      </c>
      <c r="U48" s="179">
        <v>379474.9</v>
      </c>
      <c r="V48" s="179">
        <v>229986.16</v>
      </c>
      <c r="W48" s="179">
        <v>273855.51</v>
      </c>
      <c r="X48" s="179">
        <v>367129.86</v>
      </c>
      <c r="Y48" s="179">
        <v>104579.83</v>
      </c>
      <c r="Z48" s="179">
        <v>0</v>
      </c>
      <c r="AA48" s="179">
        <v>101199.66</v>
      </c>
      <c r="AB48" s="179">
        <v>0</v>
      </c>
      <c r="AC48" s="179">
        <v>89833.37</v>
      </c>
      <c r="AD48" s="179">
        <v>1075005.92</v>
      </c>
      <c r="AE48" s="179">
        <v>-987227.53</v>
      </c>
      <c r="AF48" s="179">
        <v>54615.59</v>
      </c>
      <c r="AG48" s="179">
        <v>0</v>
      </c>
      <c r="AH48" s="179">
        <v>107235.44</v>
      </c>
      <c r="AI48" s="179">
        <v>69656.77</v>
      </c>
      <c r="AJ48" s="179">
        <v>191797.14</v>
      </c>
      <c r="AK48" s="179">
        <v>101720</v>
      </c>
      <c r="AL48" s="179">
        <v>196173.02</v>
      </c>
      <c r="AM48" s="179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-3.4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9">
        <v>-36.9</v>
      </c>
      <c r="S49" s="179">
        <v>0</v>
      </c>
      <c r="T49" s="179">
        <v>-70.83</v>
      </c>
      <c r="U49" s="179">
        <v>7122.57</v>
      </c>
      <c r="V49" s="179">
        <v>215.16</v>
      </c>
      <c r="W49" s="179">
        <v>-0.1</v>
      </c>
      <c r="X49" s="179">
        <v>0</v>
      </c>
      <c r="Y49" s="179">
        <v>-3.4</v>
      </c>
      <c r="Z49" s="179">
        <v>0</v>
      </c>
      <c r="AA49" s="179">
        <v>170.66</v>
      </c>
      <c r="AB49" s="179">
        <v>0</v>
      </c>
      <c r="AC49" s="179">
        <v>2753.27</v>
      </c>
      <c r="AD49" s="179">
        <v>0</v>
      </c>
      <c r="AE49" s="179">
        <v>0</v>
      </c>
      <c r="AF49" s="179">
        <v>0</v>
      </c>
      <c r="AG49" s="179">
        <v>0</v>
      </c>
      <c r="AH49" s="179">
        <v>0</v>
      </c>
      <c r="AI49" s="179">
        <v>0</v>
      </c>
      <c r="AJ49" s="179">
        <v>0</v>
      </c>
      <c r="AK49" s="179">
        <v>0</v>
      </c>
      <c r="AL49" s="179">
        <v>0</v>
      </c>
      <c r="AM49" s="179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0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9">
        <v>106.94</v>
      </c>
      <c r="S50" s="179">
        <v>38</v>
      </c>
      <c r="T50" s="179">
        <v>1660.15</v>
      </c>
      <c r="U50" s="179">
        <v>207.14</v>
      </c>
      <c r="V50" s="179">
        <v>107012.94</v>
      </c>
      <c r="W50" s="179">
        <v>22171.08</v>
      </c>
      <c r="X50" s="179">
        <v>0</v>
      </c>
      <c r="Y50" s="179">
        <v>0</v>
      </c>
      <c r="Z50" s="179">
        <v>0</v>
      </c>
      <c r="AA50" s="179">
        <v>0</v>
      </c>
      <c r="AB50" s="179">
        <v>3650</v>
      </c>
      <c r="AC50" s="179">
        <v>5329.26</v>
      </c>
      <c r="AD50" s="179">
        <v>-317680.38</v>
      </c>
      <c r="AE50" s="179">
        <v>0</v>
      </c>
      <c r="AF50" s="179">
        <v>0</v>
      </c>
      <c r="AG50" s="179">
        <v>183012.24</v>
      </c>
      <c r="AH50" s="179">
        <v>0</v>
      </c>
      <c r="AI50" s="179">
        <v>40</v>
      </c>
      <c r="AJ50" s="179">
        <v>0</v>
      </c>
      <c r="AK50" s="179">
        <v>0</v>
      </c>
      <c r="AL50" s="179">
        <v>0</v>
      </c>
      <c r="AM50" s="179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0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9">
        <v>0</v>
      </c>
      <c r="S51" s="179">
        <v>0</v>
      </c>
      <c r="T51" s="179">
        <v>54566.09</v>
      </c>
      <c r="U51" s="179">
        <v>769728.97</v>
      </c>
      <c r="V51" s="179">
        <v>596993.97</v>
      </c>
      <c r="W51" s="179">
        <v>0</v>
      </c>
      <c r="X51" s="179">
        <v>475043.82</v>
      </c>
      <c r="Y51" s="179">
        <v>0</v>
      </c>
      <c r="Z51" s="179">
        <v>0</v>
      </c>
      <c r="AA51" s="179">
        <v>0</v>
      </c>
      <c r="AB51" s="179">
        <v>0</v>
      </c>
      <c r="AC51" s="179">
        <v>0</v>
      </c>
      <c r="AD51" s="179">
        <v>174645.42</v>
      </c>
      <c r="AE51" s="179">
        <v>0</v>
      </c>
      <c r="AF51" s="179">
        <v>0</v>
      </c>
      <c r="AG51" s="179">
        <v>0</v>
      </c>
      <c r="AH51" s="179">
        <v>0</v>
      </c>
      <c r="AI51" s="179">
        <v>7860.54</v>
      </c>
      <c r="AJ51" s="179">
        <v>155555.45000000001</v>
      </c>
      <c r="AK51" s="179">
        <v>0</v>
      </c>
      <c r="AL51" s="179">
        <v>88050.81</v>
      </c>
      <c r="AM51" s="179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445197.34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9">
        <v>170001.74000000002</v>
      </c>
      <c r="S52" s="179">
        <v>1705713</v>
      </c>
      <c r="T52" s="179">
        <v>744224.44000000006</v>
      </c>
      <c r="U52" s="179">
        <v>2768148.92</v>
      </c>
      <c r="V52" s="179">
        <v>2176865.9799999995</v>
      </c>
      <c r="W52" s="179">
        <v>2293371.5000000005</v>
      </c>
      <c r="X52" s="179">
        <v>1536366.7100000002</v>
      </c>
      <c r="Y52" s="179">
        <v>445197.34</v>
      </c>
      <c r="Z52" s="179">
        <v>110994.51000000001</v>
      </c>
      <c r="AA52" s="179">
        <v>794150.20000000007</v>
      </c>
      <c r="AB52" s="179">
        <v>205563.39</v>
      </c>
      <c r="AC52" s="179">
        <v>491133.85</v>
      </c>
      <c r="AD52" s="179">
        <v>7279421.0700000003</v>
      </c>
      <c r="AE52" s="179">
        <v>2105656.6099999994</v>
      </c>
      <c r="AF52" s="179">
        <v>727223.32</v>
      </c>
      <c r="AG52" s="179">
        <v>1023674.1799999999</v>
      </c>
      <c r="AH52" s="179">
        <v>333991.48</v>
      </c>
      <c r="AI52" s="179">
        <v>1039361.04</v>
      </c>
      <c r="AJ52" s="179">
        <v>1176775.95</v>
      </c>
      <c r="AK52" s="179">
        <v>254446.07</v>
      </c>
      <c r="AL52" s="179">
        <v>1856195.48</v>
      </c>
      <c r="AM52" s="179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9">
        <v>0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179">
        <v>0</v>
      </c>
      <c r="AH53" s="179">
        <v>0</v>
      </c>
      <c r="AI53" s="179">
        <v>0</v>
      </c>
      <c r="AJ53" s="179">
        <v>0</v>
      </c>
      <c r="AK53" s="179">
        <v>15284.42</v>
      </c>
      <c r="AL53" s="179">
        <v>0</v>
      </c>
      <c r="AM53" s="179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11925.16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9">
        <v>0</v>
      </c>
      <c r="S54" s="179">
        <v>108281</v>
      </c>
      <c r="T54" s="179">
        <v>-162.02000000000001</v>
      </c>
      <c r="U54" s="179">
        <v>4975.13</v>
      </c>
      <c r="V54" s="179">
        <v>0</v>
      </c>
      <c r="W54" s="179">
        <v>5156.92</v>
      </c>
      <c r="X54" s="179">
        <v>46.22</v>
      </c>
      <c r="Y54" s="179">
        <v>11925.16</v>
      </c>
      <c r="Z54" s="179">
        <v>115</v>
      </c>
      <c r="AA54" s="179">
        <v>0</v>
      </c>
      <c r="AB54" s="179">
        <v>8362.7000000000007</v>
      </c>
      <c r="AC54" s="179">
        <v>-12907.47</v>
      </c>
      <c r="AD54" s="179">
        <v>0</v>
      </c>
      <c r="AE54" s="179">
        <v>26427.46</v>
      </c>
      <c r="AF54" s="179">
        <v>48725.18</v>
      </c>
      <c r="AG54" s="179">
        <v>21168.29</v>
      </c>
      <c r="AH54" s="179">
        <v>54.99</v>
      </c>
      <c r="AI54" s="179">
        <v>12012.75</v>
      </c>
      <c r="AJ54" s="179">
        <v>0</v>
      </c>
      <c r="AK54" s="179">
        <v>7513.57</v>
      </c>
      <c r="AL54" s="179">
        <v>0</v>
      </c>
      <c r="AM54" s="179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9">
        <v>0</v>
      </c>
      <c r="S55" s="179">
        <v>132914</v>
      </c>
      <c r="T55" s="179">
        <v>13238.72</v>
      </c>
      <c r="U55" s="179">
        <v>6529.83</v>
      </c>
      <c r="V55" s="179">
        <v>27979.66</v>
      </c>
      <c r="W55" s="179">
        <v>60739.37</v>
      </c>
      <c r="X55" s="179">
        <v>1830</v>
      </c>
      <c r="Y55" s="179">
        <v>0</v>
      </c>
      <c r="Z55" s="179">
        <v>0</v>
      </c>
      <c r="AA55" s="179">
        <v>2587.5</v>
      </c>
      <c r="AB55" s="179">
        <v>0</v>
      </c>
      <c r="AC55" s="179">
        <v>0</v>
      </c>
      <c r="AD55" s="179">
        <v>0</v>
      </c>
      <c r="AE55" s="179">
        <v>0</v>
      </c>
      <c r="AF55" s="179">
        <v>0</v>
      </c>
      <c r="AG55" s="179">
        <v>0</v>
      </c>
      <c r="AH55" s="179">
        <v>0</v>
      </c>
      <c r="AI55" s="179">
        <v>0</v>
      </c>
      <c r="AJ55" s="179">
        <v>11632.26</v>
      </c>
      <c r="AK55" s="179">
        <v>0</v>
      </c>
      <c r="AL55" s="179">
        <v>0</v>
      </c>
      <c r="AM55" s="179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7990.22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9">
        <v>0</v>
      </c>
      <c r="S56" s="179">
        <v>1062</v>
      </c>
      <c r="T56" s="179">
        <v>0</v>
      </c>
      <c r="U56" s="179">
        <v>0</v>
      </c>
      <c r="V56" s="179">
        <v>0</v>
      </c>
      <c r="W56" s="179">
        <v>29688.61</v>
      </c>
      <c r="X56" s="179">
        <v>20250</v>
      </c>
      <c r="Y56" s="179">
        <v>7990.22</v>
      </c>
      <c r="Z56" s="179">
        <v>0</v>
      </c>
      <c r="AA56" s="179">
        <v>205590.51</v>
      </c>
      <c r="AB56" s="179">
        <v>0</v>
      </c>
      <c r="AC56" s="179">
        <v>0</v>
      </c>
      <c r="AD56" s="179">
        <v>0</v>
      </c>
      <c r="AE56" s="179">
        <v>0</v>
      </c>
      <c r="AF56" s="179">
        <v>0</v>
      </c>
      <c r="AG56" s="179">
        <v>3681.32</v>
      </c>
      <c r="AH56" s="179">
        <v>0</v>
      </c>
      <c r="AI56" s="179">
        <v>0</v>
      </c>
      <c r="AJ56" s="179">
        <v>0</v>
      </c>
      <c r="AK56" s="179">
        <v>0</v>
      </c>
      <c r="AL56" s="179">
        <v>0</v>
      </c>
      <c r="AM56" s="179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19915.38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9">
        <v>0</v>
      </c>
      <c r="S57" s="179">
        <v>242257</v>
      </c>
      <c r="T57" s="179">
        <v>13076.699999999999</v>
      </c>
      <c r="U57" s="179">
        <v>11504.96</v>
      </c>
      <c r="V57" s="179">
        <v>27979.66</v>
      </c>
      <c r="W57" s="179">
        <v>95584.900000000009</v>
      </c>
      <c r="X57" s="179">
        <v>22126.22</v>
      </c>
      <c r="Y57" s="179">
        <v>19915.38</v>
      </c>
      <c r="Z57" s="179">
        <v>115</v>
      </c>
      <c r="AA57" s="179">
        <v>208178.01</v>
      </c>
      <c r="AB57" s="179">
        <v>8362.7000000000007</v>
      </c>
      <c r="AC57" s="179">
        <v>-12907.47</v>
      </c>
      <c r="AD57" s="179">
        <v>0</v>
      </c>
      <c r="AE57" s="179">
        <v>26427.46</v>
      </c>
      <c r="AF57" s="179">
        <v>48725.18</v>
      </c>
      <c r="AG57" s="179">
        <v>24849.61</v>
      </c>
      <c r="AH57" s="179">
        <v>54.99</v>
      </c>
      <c r="AI57" s="179">
        <v>12012.75</v>
      </c>
      <c r="AJ57" s="179">
        <v>11632.26</v>
      </c>
      <c r="AK57" s="179">
        <v>22797.989999999998</v>
      </c>
      <c r="AL57" s="179">
        <v>0</v>
      </c>
      <c r="AM57" s="179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0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9">
        <v>6078</v>
      </c>
      <c r="S58" s="179">
        <v>1398712</v>
      </c>
      <c r="T58" s="179">
        <v>118034.37</v>
      </c>
      <c r="U58" s="179">
        <v>1237215.04</v>
      </c>
      <c r="V58" s="179">
        <v>1532053.15</v>
      </c>
      <c r="W58" s="179">
        <v>2016050.9</v>
      </c>
      <c r="X58" s="179">
        <v>505967.88</v>
      </c>
      <c r="Y58" s="179">
        <v>0</v>
      </c>
      <c r="Z58" s="179">
        <v>13200</v>
      </c>
      <c r="AA58" s="179">
        <v>370415.42</v>
      </c>
      <c r="AB58" s="179">
        <v>27661.8</v>
      </c>
      <c r="AC58" s="179">
        <v>22608.92</v>
      </c>
      <c r="AD58" s="179">
        <v>303079.3</v>
      </c>
      <c r="AE58" s="179">
        <v>0</v>
      </c>
      <c r="AF58" s="179">
        <v>0</v>
      </c>
      <c r="AG58" s="179">
        <v>255459.68</v>
      </c>
      <c r="AH58" s="179">
        <v>18540</v>
      </c>
      <c r="AI58" s="179">
        <v>0</v>
      </c>
      <c r="AJ58" s="179">
        <v>632673.06000000006</v>
      </c>
      <c r="AK58" s="179">
        <v>166876.64000000001</v>
      </c>
      <c r="AL58" s="179">
        <v>720615.67</v>
      </c>
      <c r="AM58" s="179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364886.57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9">
        <v>124772.29</v>
      </c>
      <c r="S59" s="179">
        <v>89981</v>
      </c>
      <c r="T59" s="179">
        <v>200000</v>
      </c>
      <c r="U59" s="179">
        <v>321734.78999999998</v>
      </c>
      <c r="V59" s="179">
        <v>24412.48</v>
      </c>
      <c r="W59" s="179">
        <v>2143282.17</v>
      </c>
      <c r="X59" s="179">
        <v>518756.64</v>
      </c>
      <c r="Y59" s="179">
        <v>364886.57</v>
      </c>
      <c r="Z59" s="179">
        <v>60694.78</v>
      </c>
      <c r="AA59" s="179">
        <v>123483.31</v>
      </c>
      <c r="AB59" s="179">
        <v>93234.78</v>
      </c>
      <c r="AC59" s="179">
        <v>310992.98</v>
      </c>
      <c r="AD59" s="179">
        <v>3032384.49</v>
      </c>
      <c r="AE59" s="179">
        <v>1656427.36</v>
      </c>
      <c r="AF59" s="179">
        <v>6424375.4400000004</v>
      </c>
      <c r="AG59" s="179">
        <v>1248014.54</v>
      </c>
      <c r="AH59" s="179">
        <v>79354.73</v>
      </c>
      <c r="AI59" s="179">
        <v>1361535.19</v>
      </c>
      <c r="AJ59" s="179">
        <v>0</v>
      </c>
      <c r="AK59" s="179">
        <v>0</v>
      </c>
      <c r="AL59" s="179">
        <v>438063.9</v>
      </c>
      <c r="AM59" s="179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215288.65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9">
        <v>88830.03</v>
      </c>
      <c r="S60" s="179">
        <v>1408588</v>
      </c>
      <c r="T60" s="179">
        <v>146318.76999999999</v>
      </c>
      <c r="U60" s="179">
        <v>861522.14</v>
      </c>
      <c r="V60" s="179">
        <v>2103892.12</v>
      </c>
      <c r="W60" s="179">
        <v>1175366.31</v>
      </c>
      <c r="X60" s="179">
        <v>3426728.47</v>
      </c>
      <c r="Y60" s="179">
        <v>215288.65</v>
      </c>
      <c r="Z60" s="179">
        <v>14457.16</v>
      </c>
      <c r="AA60" s="179">
        <v>308901.42</v>
      </c>
      <c r="AB60" s="179">
        <v>64691.06</v>
      </c>
      <c r="AC60" s="179">
        <v>76505.5</v>
      </c>
      <c r="AD60" s="179">
        <v>2913982.43</v>
      </c>
      <c r="AE60" s="179">
        <v>91956.57</v>
      </c>
      <c r="AF60" s="179">
        <v>2110542.4500000002</v>
      </c>
      <c r="AG60" s="179">
        <v>112292.16</v>
      </c>
      <c r="AH60" s="179">
        <v>23003.22</v>
      </c>
      <c r="AI60" s="179">
        <v>218512.66</v>
      </c>
      <c r="AJ60" s="179">
        <v>452913.86</v>
      </c>
      <c r="AK60" s="179">
        <v>172472.23</v>
      </c>
      <c r="AL60" s="179">
        <v>821485.2</v>
      </c>
      <c r="AM60" s="179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58173.23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9">
        <v>3914.76</v>
      </c>
      <c r="S61" s="179">
        <v>2180</v>
      </c>
      <c r="T61" s="179">
        <v>19049.439999999999</v>
      </c>
      <c r="U61" s="179">
        <v>73080.61</v>
      </c>
      <c r="V61" s="179">
        <v>486947.15</v>
      </c>
      <c r="W61" s="179">
        <v>440151.98</v>
      </c>
      <c r="X61" s="179">
        <v>446962.09</v>
      </c>
      <c r="Y61" s="179">
        <v>58173.23</v>
      </c>
      <c r="Z61" s="179">
        <v>25504.86</v>
      </c>
      <c r="AA61" s="179">
        <v>0</v>
      </c>
      <c r="AB61" s="179">
        <v>42007.040000000001</v>
      </c>
      <c r="AC61" s="179">
        <v>79379.91</v>
      </c>
      <c r="AD61" s="179">
        <v>484119.4</v>
      </c>
      <c r="AE61" s="179">
        <v>213617.46</v>
      </c>
      <c r="AF61" s="179">
        <v>119843.51</v>
      </c>
      <c r="AG61" s="179">
        <v>69781.94</v>
      </c>
      <c r="AH61" s="179">
        <v>72713.02</v>
      </c>
      <c r="AI61" s="179">
        <v>443140.38</v>
      </c>
      <c r="AJ61" s="179">
        <v>177408.27</v>
      </c>
      <c r="AK61" s="179">
        <v>16576.36</v>
      </c>
      <c r="AL61" s="179">
        <v>219356.91</v>
      </c>
      <c r="AM61" s="179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9">
        <v>0</v>
      </c>
      <c r="S62" s="179">
        <v>0</v>
      </c>
      <c r="T62" s="179">
        <v>-229071.6</v>
      </c>
      <c r="U62" s="179">
        <v>-271232.73</v>
      </c>
      <c r="V62" s="179">
        <v>-314760.81</v>
      </c>
      <c r="W62" s="179">
        <v>-200960</v>
      </c>
      <c r="X62" s="179">
        <v>-4176269.18</v>
      </c>
      <c r="Y62" s="179">
        <v>0</v>
      </c>
      <c r="Z62" s="179">
        <v>0</v>
      </c>
      <c r="AA62" s="179">
        <v>0</v>
      </c>
      <c r="AB62" s="179">
        <v>0</v>
      </c>
      <c r="AC62" s="179">
        <v>0</v>
      </c>
      <c r="AD62" s="179">
        <v>-8663030.6799999997</v>
      </c>
      <c r="AE62" s="179">
        <v>0</v>
      </c>
      <c r="AF62" s="179">
        <v>0</v>
      </c>
      <c r="AG62" s="179">
        <v>0</v>
      </c>
      <c r="AH62" s="179">
        <v>0</v>
      </c>
      <c r="AI62" s="179">
        <v>0</v>
      </c>
      <c r="AJ62" s="179">
        <v>0</v>
      </c>
      <c r="AK62" s="179">
        <v>-6364.49</v>
      </c>
      <c r="AL62" s="179">
        <v>0</v>
      </c>
      <c r="AM62" s="179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42200.02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9">
        <v>43526.09</v>
      </c>
      <c r="S63" s="179">
        <v>-2770</v>
      </c>
      <c r="T63" s="179">
        <v>325101.99</v>
      </c>
      <c r="U63" s="179">
        <v>501850.27</v>
      </c>
      <c r="V63" s="179">
        <v>433624.43</v>
      </c>
      <c r="W63" s="179">
        <v>578398.79</v>
      </c>
      <c r="X63" s="179">
        <v>480141.32</v>
      </c>
      <c r="Y63" s="179">
        <v>42200.02</v>
      </c>
      <c r="Z63" s="179">
        <v>110675.31</v>
      </c>
      <c r="AA63" s="179">
        <v>68317.399999999994</v>
      </c>
      <c r="AB63" s="179">
        <v>42412.13</v>
      </c>
      <c r="AC63" s="179">
        <v>148908.07</v>
      </c>
      <c r="AD63" s="179">
        <v>0</v>
      </c>
      <c r="AE63" s="179">
        <v>335067.42</v>
      </c>
      <c r="AF63" s="179">
        <v>862885.23</v>
      </c>
      <c r="AG63" s="179">
        <v>208258.53</v>
      </c>
      <c r="AH63" s="179">
        <v>93144.73</v>
      </c>
      <c r="AI63" s="179">
        <v>54903.35</v>
      </c>
      <c r="AJ63" s="179">
        <v>93678.18</v>
      </c>
      <c r="AK63" s="179">
        <v>73383.06</v>
      </c>
      <c r="AL63" s="179">
        <v>53251.69</v>
      </c>
      <c r="AM63" s="179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32743.73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9">
        <v>0</v>
      </c>
      <c r="S64" s="179">
        <v>0</v>
      </c>
      <c r="T64" s="179">
        <v>54868.800000000003</v>
      </c>
      <c r="U64" s="179">
        <v>0</v>
      </c>
      <c r="V64" s="179">
        <v>160260.98000000001</v>
      </c>
      <c r="W64" s="179">
        <v>132414.04999999999</v>
      </c>
      <c r="X64" s="179">
        <v>0</v>
      </c>
      <c r="Y64" s="179">
        <v>32743.73</v>
      </c>
      <c r="Z64" s="179">
        <v>7020.81</v>
      </c>
      <c r="AA64" s="179">
        <v>45507.79</v>
      </c>
      <c r="AB64" s="179">
        <v>2062.4</v>
      </c>
      <c r="AC64" s="179">
        <v>42777.47</v>
      </c>
      <c r="AD64" s="179">
        <v>0</v>
      </c>
      <c r="AE64" s="179">
        <v>253.6</v>
      </c>
      <c r="AF64" s="179">
        <v>331013.59999999998</v>
      </c>
      <c r="AG64" s="179">
        <v>0</v>
      </c>
      <c r="AH64" s="179">
        <v>7530.44</v>
      </c>
      <c r="AI64" s="179">
        <v>15116.27</v>
      </c>
      <c r="AJ64" s="179">
        <v>34543.040000000001</v>
      </c>
      <c r="AK64" s="179">
        <v>0</v>
      </c>
      <c r="AL64" s="179">
        <v>0</v>
      </c>
      <c r="AM64" s="179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14641.81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9">
        <v>61991.74</v>
      </c>
      <c r="S65" s="179">
        <v>1551815</v>
      </c>
      <c r="T65" s="179">
        <v>0</v>
      </c>
      <c r="U65" s="179">
        <v>37645.050000000003</v>
      </c>
      <c r="V65" s="179">
        <v>335511.90999999997</v>
      </c>
      <c r="W65" s="179">
        <v>249388.76</v>
      </c>
      <c r="X65" s="179">
        <v>1098810.8799999999</v>
      </c>
      <c r="Y65" s="179">
        <v>14641.81</v>
      </c>
      <c r="Z65" s="179">
        <v>63952.77</v>
      </c>
      <c r="AA65" s="179">
        <v>-6830</v>
      </c>
      <c r="AB65" s="179">
        <v>0</v>
      </c>
      <c r="AC65" s="179">
        <v>0</v>
      </c>
      <c r="AD65" s="179">
        <v>71242.77</v>
      </c>
      <c r="AE65" s="179">
        <v>209003.15</v>
      </c>
      <c r="AF65" s="179">
        <v>6284997.2800000003</v>
      </c>
      <c r="AG65" s="179">
        <v>1027162.91</v>
      </c>
      <c r="AH65" s="179">
        <v>12011.36</v>
      </c>
      <c r="AI65" s="179">
        <v>191789</v>
      </c>
      <c r="AJ65" s="179">
        <v>70826.45</v>
      </c>
      <c r="AK65" s="179">
        <v>42993.22</v>
      </c>
      <c r="AL65" s="179">
        <v>-477626</v>
      </c>
      <c r="AM65" s="179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9">
        <v>0</v>
      </c>
      <c r="S66" s="179">
        <v>0</v>
      </c>
      <c r="T66" s="179">
        <v>0</v>
      </c>
      <c r="U66" s="179">
        <v>0</v>
      </c>
      <c r="V66" s="179">
        <v>0</v>
      </c>
      <c r="W66" s="179">
        <v>0</v>
      </c>
      <c r="X66" s="179">
        <v>0</v>
      </c>
      <c r="Y66" s="179">
        <v>0</v>
      </c>
      <c r="Z66" s="179">
        <v>0</v>
      </c>
      <c r="AA66" s="179">
        <v>0</v>
      </c>
      <c r="AB66" s="179">
        <v>0</v>
      </c>
      <c r="AC66" s="179">
        <v>0</v>
      </c>
      <c r="AD66" s="179">
        <v>0</v>
      </c>
      <c r="AE66" s="179">
        <v>0</v>
      </c>
      <c r="AF66" s="179">
        <v>0</v>
      </c>
      <c r="AG66" s="179">
        <v>0</v>
      </c>
      <c r="AH66" s="179">
        <v>0</v>
      </c>
      <c r="AI66" s="179">
        <v>0</v>
      </c>
      <c r="AJ66" s="179">
        <v>0</v>
      </c>
      <c r="AK66" s="179">
        <v>0</v>
      </c>
      <c r="AL66" s="179">
        <v>0</v>
      </c>
      <c r="AM66" s="179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9">
        <v>0</v>
      </c>
      <c r="S67" s="179">
        <v>0</v>
      </c>
      <c r="T67" s="179">
        <v>0</v>
      </c>
      <c r="U67" s="179">
        <v>0</v>
      </c>
      <c r="V67" s="179">
        <v>0</v>
      </c>
      <c r="W67" s="179">
        <v>0</v>
      </c>
      <c r="X67" s="179">
        <v>0</v>
      </c>
      <c r="Y67" s="179">
        <v>0</v>
      </c>
      <c r="Z67" s="179">
        <v>0</v>
      </c>
      <c r="AA67" s="179">
        <v>0</v>
      </c>
      <c r="AB67" s="179">
        <v>0</v>
      </c>
      <c r="AC67" s="179">
        <v>0</v>
      </c>
      <c r="AD67" s="179">
        <v>0</v>
      </c>
      <c r="AE67" s="179">
        <v>0</v>
      </c>
      <c r="AF67" s="179">
        <v>0</v>
      </c>
      <c r="AG67" s="179">
        <v>0</v>
      </c>
      <c r="AH67" s="179">
        <v>0</v>
      </c>
      <c r="AI67" s="179">
        <v>0</v>
      </c>
      <c r="AJ67" s="179">
        <v>0</v>
      </c>
      <c r="AK67" s="179">
        <v>0</v>
      </c>
      <c r="AL67" s="179">
        <v>0</v>
      </c>
      <c r="AM67" s="179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9">
        <v>0</v>
      </c>
      <c r="S68" s="179">
        <v>0</v>
      </c>
      <c r="T68" s="179">
        <v>0</v>
      </c>
      <c r="U68" s="179">
        <v>62200</v>
      </c>
      <c r="V68" s="179">
        <v>0</v>
      </c>
      <c r="W68" s="179">
        <v>0</v>
      </c>
      <c r="X68" s="179">
        <v>0</v>
      </c>
      <c r="Y68" s="179">
        <v>0</v>
      </c>
      <c r="Z68" s="179">
        <v>0</v>
      </c>
      <c r="AA68" s="179">
        <v>0</v>
      </c>
      <c r="AB68" s="179">
        <v>0</v>
      </c>
      <c r="AC68" s="179">
        <v>0</v>
      </c>
      <c r="AD68" s="179">
        <v>0</v>
      </c>
      <c r="AE68" s="179">
        <v>0</v>
      </c>
      <c r="AF68" s="179">
        <v>0</v>
      </c>
      <c r="AG68" s="179">
        <v>0</v>
      </c>
      <c r="AH68" s="179">
        <v>0</v>
      </c>
      <c r="AI68" s="179">
        <v>0</v>
      </c>
      <c r="AJ68" s="179">
        <v>0</v>
      </c>
      <c r="AK68" s="179">
        <v>0</v>
      </c>
      <c r="AL68" s="179">
        <v>0</v>
      </c>
      <c r="AM68" s="179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93458.96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9">
        <v>13555.07</v>
      </c>
      <c r="S69" s="179">
        <v>324758</v>
      </c>
      <c r="T69" s="179">
        <v>50126.05</v>
      </c>
      <c r="U69" s="179">
        <v>104605.8</v>
      </c>
      <c r="V69" s="179">
        <v>227877.68</v>
      </c>
      <c r="W69" s="179">
        <v>182712.94</v>
      </c>
      <c r="X69" s="179">
        <v>232673.24</v>
      </c>
      <c r="Y69" s="179">
        <v>93458.96</v>
      </c>
      <c r="Z69" s="179">
        <v>7774.19</v>
      </c>
      <c r="AA69" s="179">
        <v>122296.33</v>
      </c>
      <c r="AB69" s="179">
        <v>36194.21</v>
      </c>
      <c r="AC69" s="179">
        <v>68693.039999999994</v>
      </c>
      <c r="AD69" s="179">
        <v>765392.94</v>
      </c>
      <c r="AE69" s="179">
        <v>492630.93</v>
      </c>
      <c r="AF69" s="179">
        <v>315141.25</v>
      </c>
      <c r="AG69" s="179">
        <v>78600.87</v>
      </c>
      <c r="AH69" s="179">
        <v>105120.25</v>
      </c>
      <c r="AI69" s="179">
        <v>146535.21</v>
      </c>
      <c r="AJ69" s="179">
        <v>138888.75</v>
      </c>
      <c r="AK69" s="179">
        <v>23683.4</v>
      </c>
      <c r="AL69" s="179">
        <v>418206.96</v>
      </c>
      <c r="AM69" s="179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98005.64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9">
        <v>29363.65</v>
      </c>
      <c r="S70" s="179">
        <v>786750</v>
      </c>
      <c r="T70" s="179">
        <v>218488.66</v>
      </c>
      <c r="U70" s="179">
        <v>5880.87</v>
      </c>
      <c r="V70" s="179">
        <v>488108.07</v>
      </c>
      <c r="W70" s="179">
        <v>2659.42</v>
      </c>
      <c r="X70" s="179">
        <v>427231.46</v>
      </c>
      <c r="Y70" s="179">
        <v>98005.64</v>
      </c>
      <c r="Z70" s="179">
        <v>72119.59</v>
      </c>
      <c r="AA70" s="179">
        <v>95358.720000000001</v>
      </c>
      <c r="AB70" s="179">
        <v>0</v>
      </c>
      <c r="AC70" s="179">
        <v>10272.49</v>
      </c>
      <c r="AD70" s="179">
        <v>16407610.74</v>
      </c>
      <c r="AE70" s="179">
        <v>21809.200000000001</v>
      </c>
      <c r="AF70" s="179">
        <v>111662.64</v>
      </c>
      <c r="AG70" s="179">
        <v>605348.74</v>
      </c>
      <c r="AH70" s="179">
        <v>2060.38</v>
      </c>
      <c r="AI70" s="179">
        <v>96851.31</v>
      </c>
      <c r="AJ70" s="179">
        <v>59198.400000000001</v>
      </c>
      <c r="AK70" s="179">
        <v>58335.4</v>
      </c>
      <c r="AL70" s="179">
        <v>470371.35</v>
      </c>
      <c r="AM70" s="179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0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9">
        <v>0</v>
      </c>
      <c r="S71" s="179">
        <v>0</v>
      </c>
      <c r="T71" s="179">
        <v>0</v>
      </c>
      <c r="U71" s="179">
        <v>0</v>
      </c>
      <c r="V71" s="179">
        <v>115698.24000000001</v>
      </c>
      <c r="W71" s="179">
        <v>34613.64</v>
      </c>
      <c r="X71" s="179">
        <v>342585.12</v>
      </c>
      <c r="Y71" s="179">
        <v>0</v>
      </c>
      <c r="Z71" s="179">
        <v>0</v>
      </c>
      <c r="AA71" s="179">
        <v>64992</v>
      </c>
      <c r="AB71" s="179">
        <v>14100</v>
      </c>
      <c r="AC71" s="179">
        <v>0</v>
      </c>
      <c r="AD71" s="179">
        <v>0</v>
      </c>
      <c r="AE71" s="179">
        <v>0</v>
      </c>
      <c r="AF71" s="179">
        <v>0</v>
      </c>
      <c r="AG71" s="179">
        <v>227975.36</v>
      </c>
      <c r="AH71" s="179">
        <v>0</v>
      </c>
      <c r="AI71" s="179">
        <v>0</v>
      </c>
      <c r="AJ71" s="179">
        <v>0</v>
      </c>
      <c r="AK71" s="179">
        <v>13284</v>
      </c>
      <c r="AL71" s="179">
        <v>42000</v>
      </c>
      <c r="AM71" s="179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  <c r="AF72" s="179">
        <v>0</v>
      </c>
      <c r="AG72" s="179">
        <v>0</v>
      </c>
      <c r="AH72" s="179">
        <v>0</v>
      </c>
      <c r="AI72" s="179">
        <v>0</v>
      </c>
      <c r="AJ72" s="179">
        <v>0</v>
      </c>
      <c r="AK72" s="179">
        <v>0</v>
      </c>
      <c r="AL72" s="179">
        <v>0</v>
      </c>
      <c r="AM72" s="179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22729.07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9">
        <v>40927.129999999997</v>
      </c>
      <c r="S73" s="179">
        <v>257497</v>
      </c>
      <c r="T73" s="179">
        <v>1779.75</v>
      </c>
      <c r="U73" s="179">
        <v>0</v>
      </c>
      <c r="V73" s="179">
        <v>334818.81</v>
      </c>
      <c r="W73" s="179">
        <v>864172.14</v>
      </c>
      <c r="X73" s="179">
        <v>611871.4</v>
      </c>
      <c r="Y73" s="179">
        <v>22729.07</v>
      </c>
      <c r="Z73" s="179">
        <v>0</v>
      </c>
      <c r="AA73" s="179">
        <v>30729.78</v>
      </c>
      <c r="AB73" s="179">
        <v>0</v>
      </c>
      <c r="AC73" s="179">
        <v>83637.62</v>
      </c>
      <c r="AD73" s="179">
        <v>11668054.380000001</v>
      </c>
      <c r="AE73" s="179">
        <v>476367.18</v>
      </c>
      <c r="AF73" s="179">
        <v>1502026.57</v>
      </c>
      <c r="AG73" s="179">
        <v>330340.53999999998</v>
      </c>
      <c r="AH73" s="179">
        <v>0</v>
      </c>
      <c r="AI73" s="179">
        <v>178260.32</v>
      </c>
      <c r="AJ73" s="179">
        <v>156107.09</v>
      </c>
      <c r="AK73" s="179">
        <v>0</v>
      </c>
      <c r="AL73" s="179">
        <v>501276.01</v>
      </c>
      <c r="AM73" s="179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10043.280000000001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9">
        <v>0</v>
      </c>
      <c r="S74" s="179">
        <v>898</v>
      </c>
      <c r="T74" s="179">
        <v>0</v>
      </c>
      <c r="U74" s="179">
        <v>16340.25</v>
      </c>
      <c r="V74" s="179">
        <v>0</v>
      </c>
      <c r="W74" s="179">
        <v>0</v>
      </c>
      <c r="X74" s="179">
        <v>14384.63</v>
      </c>
      <c r="Y74" s="179">
        <v>10043.280000000001</v>
      </c>
      <c r="Z74" s="179">
        <v>0</v>
      </c>
      <c r="AA74" s="179">
        <v>7434.31</v>
      </c>
      <c r="AB74" s="179">
        <v>1913.1</v>
      </c>
      <c r="AC74" s="179">
        <v>5261.75</v>
      </c>
      <c r="AD74" s="179">
        <v>100059.71</v>
      </c>
      <c r="AE74" s="179">
        <v>0</v>
      </c>
      <c r="AF74" s="179">
        <v>43793.71</v>
      </c>
      <c r="AG74" s="179">
        <v>0</v>
      </c>
      <c r="AH74" s="179">
        <v>3104.46</v>
      </c>
      <c r="AI74" s="179">
        <v>12379.14</v>
      </c>
      <c r="AJ74" s="179">
        <v>10482</v>
      </c>
      <c r="AK74" s="179">
        <v>5029.03</v>
      </c>
      <c r="AL74" s="179">
        <v>0</v>
      </c>
      <c r="AM74" s="179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952170.96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9">
        <v>412958.76000000007</v>
      </c>
      <c r="S75" s="179">
        <v>5818409</v>
      </c>
      <c r="T75" s="179">
        <v>904696.2300000001</v>
      </c>
      <c r="U75" s="179">
        <v>2950842.09</v>
      </c>
      <c r="V75" s="179">
        <v>5928444.21</v>
      </c>
      <c r="W75" s="179">
        <v>7618251.0999999987</v>
      </c>
      <c r="X75" s="179">
        <v>3929843.9499999997</v>
      </c>
      <c r="Y75" s="179">
        <v>952170.96</v>
      </c>
      <c r="Z75" s="179">
        <v>375399.47</v>
      </c>
      <c r="AA75" s="179">
        <v>1230606.48</v>
      </c>
      <c r="AB75" s="179">
        <v>324276.52</v>
      </c>
      <c r="AC75" s="179">
        <v>849037.74999999988</v>
      </c>
      <c r="AD75" s="179">
        <v>27082895.480000004</v>
      </c>
      <c r="AE75" s="179">
        <v>3497132.8700000006</v>
      </c>
      <c r="AF75" s="179">
        <v>18106281.680000003</v>
      </c>
      <c r="AG75" s="179">
        <v>4163235.27</v>
      </c>
      <c r="AH75" s="179">
        <v>416582.59</v>
      </c>
      <c r="AI75" s="179">
        <v>2719022.83</v>
      </c>
      <c r="AJ75" s="179">
        <v>1826719.0999999999</v>
      </c>
      <c r="AK75" s="179">
        <v>566268.85000000009</v>
      </c>
      <c r="AL75" s="179">
        <v>3207001.6900000004</v>
      </c>
      <c r="AM75" s="179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5519.88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9">
        <v>8280.85</v>
      </c>
      <c r="S76" s="179">
        <v>133208</v>
      </c>
      <c r="T76" s="179">
        <v>0</v>
      </c>
      <c r="U76" s="179">
        <v>80563.05</v>
      </c>
      <c r="V76" s="179">
        <v>37267.589999999997</v>
      </c>
      <c r="W76" s="179">
        <v>25449.03</v>
      </c>
      <c r="X76" s="179">
        <v>58796.72</v>
      </c>
      <c r="Y76" s="179">
        <v>5519.88</v>
      </c>
      <c r="Z76" s="179">
        <v>14916.1</v>
      </c>
      <c r="AA76" s="179">
        <v>29679.8</v>
      </c>
      <c r="AB76" s="179">
        <v>1854</v>
      </c>
      <c r="AC76" s="179">
        <v>27207.360000000001</v>
      </c>
      <c r="AD76" s="179">
        <v>0</v>
      </c>
      <c r="AE76" s="179">
        <v>103023.12</v>
      </c>
      <c r="AF76" s="179">
        <v>434110.3</v>
      </c>
      <c r="AG76" s="179">
        <v>25072.39</v>
      </c>
      <c r="AH76" s="179">
        <v>5757.48</v>
      </c>
      <c r="AI76" s="179">
        <v>21205.73</v>
      </c>
      <c r="AJ76" s="179">
        <v>0</v>
      </c>
      <c r="AK76" s="179">
        <v>17957.43</v>
      </c>
      <c r="AL76" s="179">
        <v>0</v>
      </c>
      <c r="AM76" s="179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9">
        <v>0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79">
        <v>0</v>
      </c>
      <c r="Z77" s="179">
        <v>0</v>
      </c>
      <c r="AA77" s="179">
        <v>0</v>
      </c>
      <c r="AB77" s="179">
        <v>0</v>
      </c>
      <c r="AC77" s="179">
        <v>0</v>
      </c>
      <c r="AD77" s="179">
        <v>0</v>
      </c>
      <c r="AE77" s="179">
        <v>0</v>
      </c>
      <c r="AF77" s="179">
        <v>0</v>
      </c>
      <c r="AG77" s="179">
        <v>0</v>
      </c>
      <c r="AH77" s="179">
        <v>0</v>
      </c>
      <c r="AI77" s="179">
        <v>0</v>
      </c>
      <c r="AJ77" s="179">
        <v>0</v>
      </c>
      <c r="AK77" s="179">
        <v>0</v>
      </c>
      <c r="AL77" s="179">
        <v>0</v>
      </c>
      <c r="AM77" s="179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5"/>
      <c r="G78" s="105">
        <f t="shared" si="2"/>
        <v>5519.88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9">
        <v>8280.85</v>
      </c>
      <c r="S78" s="179">
        <v>133208</v>
      </c>
      <c r="T78" s="179">
        <v>0</v>
      </c>
      <c r="U78" s="179">
        <v>80563.05</v>
      </c>
      <c r="V78" s="179">
        <v>37267.589999999997</v>
      </c>
      <c r="W78" s="179">
        <v>25449.03</v>
      </c>
      <c r="X78" s="179">
        <v>58796.72</v>
      </c>
      <c r="Y78" s="179">
        <v>5519.88</v>
      </c>
      <c r="Z78" s="179">
        <v>14916.1</v>
      </c>
      <c r="AA78" s="179">
        <v>29679.8</v>
      </c>
      <c r="AB78" s="179">
        <v>1854</v>
      </c>
      <c r="AC78" s="179">
        <v>27207.360000000001</v>
      </c>
      <c r="AD78" s="179">
        <v>0</v>
      </c>
      <c r="AE78" s="179">
        <v>103023.12</v>
      </c>
      <c r="AF78" s="179">
        <v>434110.3</v>
      </c>
      <c r="AG78" s="179">
        <v>25072.39</v>
      </c>
      <c r="AH78" s="179">
        <v>5757.48</v>
      </c>
      <c r="AI78" s="179">
        <v>21205.73</v>
      </c>
      <c r="AJ78" s="179">
        <v>0</v>
      </c>
      <c r="AK78" s="179">
        <v>17957.43</v>
      </c>
      <c r="AL78" s="179">
        <v>0</v>
      </c>
      <c r="AM78" s="179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9">
        <v>0</v>
      </c>
      <c r="S79" s="179">
        <v>0</v>
      </c>
      <c r="T79" s="179">
        <v>888.6</v>
      </c>
      <c r="U79" s="179">
        <v>0</v>
      </c>
      <c r="V79" s="179">
        <v>0</v>
      </c>
      <c r="W79" s="179">
        <v>0</v>
      </c>
      <c r="X79" s="179">
        <v>0</v>
      </c>
      <c r="Y79" s="179">
        <v>0</v>
      </c>
      <c r="Z79" s="179">
        <v>0</v>
      </c>
      <c r="AA79" s="179">
        <v>0</v>
      </c>
      <c r="AB79" s="179">
        <v>0</v>
      </c>
      <c r="AC79" s="179">
        <v>100</v>
      </c>
      <c r="AD79" s="179">
        <v>0</v>
      </c>
      <c r="AE79" s="179">
        <v>0</v>
      </c>
      <c r="AF79" s="179">
        <v>0</v>
      </c>
      <c r="AG79" s="179">
        <v>7043.8</v>
      </c>
      <c r="AH79" s="179">
        <v>0</v>
      </c>
      <c r="AI79" s="179">
        <v>0</v>
      </c>
      <c r="AJ79" s="179">
        <v>0</v>
      </c>
      <c r="AK79" s="179">
        <v>0</v>
      </c>
      <c r="AL79" s="179">
        <v>0</v>
      </c>
      <c r="AM79" s="179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9">
        <v>0</v>
      </c>
      <c r="S80" s="179">
        <v>0</v>
      </c>
      <c r="T80" s="179">
        <v>888.6</v>
      </c>
      <c r="U80" s="179">
        <v>0</v>
      </c>
      <c r="V80" s="179">
        <v>0</v>
      </c>
      <c r="W80" s="179">
        <v>0</v>
      </c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179">
        <v>100</v>
      </c>
      <c r="AD80" s="179">
        <v>0</v>
      </c>
      <c r="AE80" s="179">
        <v>0</v>
      </c>
      <c r="AF80" s="179">
        <v>0</v>
      </c>
      <c r="AG80" s="179">
        <v>7043.8</v>
      </c>
      <c r="AH80" s="179">
        <v>0</v>
      </c>
      <c r="AI80" s="179">
        <v>0</v>
      </c>
      <c r="AJ80" s="179">
        <v>0</v>
      </c>
      <c r="AK80" s="179">
        <v>0</v>
      </c>
      <c r="AL80" s="179">
        <v>0</v>
      </c>
      <c r="AM80" s="179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2055673.8599999999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9">
        <v>1025877.1</v>
      </c>
      <c r="S81" s="179">
        <v>11871274</v>
      </c>
      <c r="T81" s="179">
        <v>3116599.22</v>
      </c>
      <c r="U81" s="179">
        <v>8928286.1099999994</v>
      </c>
      <c r="V81" s="179">
        <v>17198232.16</v>
      </c>
      <c r="W81" s="179">
        <v>14214848.199999997</v>
      </c>
      <c r="X81" s="179">
        <v>9162574.1500000004</v>
      </c>
      <c r="Y81" s="179">
        <v>2055673.8599999999</v>
      </c>
      <c r="Z81" s="179">
        <v>709664.39</v>
      </c>
      <c r="AA81" s="179">
        <v>4651326.96</v>
      </c>
      <c r="AB81" s="179">
        <v>606071.10000000009</v>
      </c>
      <c r="AC81" s="179">
        <v>2554354.5099999998</v>
      </c>
      <c r="AD81" s="179">
        <v>58060011.620000005</v>
      </c>
      <c r="AE81" s="179">
        <v>8683961.6599999983</v>
      </c>
      <c r="AF81" s="179">
        <v>23431044.850000005</v>
      </c>
      <c r="AG81" s="179">
        <v>5692604.4199999999</v>
      </c>
      <c r="AH81" s="179">
        <v>1309715.49</v>
      </c>
      <c r="AI81" s="179">
        <v>6560476.5200000014</v>
      </c>
      <c r="AJ81" s="179">
        <v>5210731.8599999994</v>
      </c>
      <c r="AK81" s="179">
        <v>1586089.66</v>
      </c>
      <c r="AL81" s="179">
        <v>13042208.789999999</v>
      </c>
      <c r="AM81" s="179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90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51278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2106951.86</v>
      </c>
      <c r="H89" s="186">
        <f>'Model Inputs'!H31</f>
        <v>2186605</v>
      </c>
      <c r="I89" s="187">
        <f>'Model Inputs'!I31</f>
        <v>2336978</v>
      </c>
      <c r="J89" s="187">
        <f>'Model Inputs'!J31</f>
        <v>2449878</v>
      </c>
      <c r="K89" s="187">
        <f>'Model Inputs'!K31</f>
        <v>0</v>
      </c>
      <c r="L89" s="187">
        <f>'Model Inputs'!L31</f>
        <v>0</v>
      </c>
      <c r="M89" s="188">
        <f>'Model Inputs'!M31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1884000.9</v>
      </c>
      <c r="H92" s="186">
        <f>'Model Inputs'!H9</f>
        <v>2132796.9699999997</v>
      </c>
      <c r="I92" s="187">
        <f>'Model Inputs'!I9</f>
        <v>1377600</v>
      </c>
      <c r="J92" s="187">
        <f>'Model Inputs'!J9</f>
        <v>875300</v>
      </c>
      <c r="K92" s="187">
        <f>'Model Inputs'!K9</f>
        <v>750600</v>
      </c>
      <c r="L92" s="187">
        <f>'Model Inputs'!L9</f>
        <v>973600</v>
      </c>
      <c r="M92" s="188">
        <f>'Model Inputs'!M9</f>
        <v>720000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32714.01</v>
      </c>
      <c r="H93" s="186">
        <f>'Model Inputs'!H10</f>
        <v>0</v>
      </c>
      <c r="I93" s="187">
        <f>'Model Inputs'!I10</f>
        <v>0</v>
      </c>
      <c r="J93" s="187">
        <f>'Model Inputs'!J10</f>
        <v>0</v>
      </c>
      <c r="K93" s="187">
        <f>'Model Inputs'!K10</f>
        <v>0</v>
      </c>
      <c r="L93" s="187">
        <f>'Model Inputs'!L10</f>
        <v>0</v>
      </c>
      <c r="M93" s="188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6757</v>
      </c>
      <c r="H96" s="186">
        <f>'Model Inputs'!H13</f>
        <v>6911.5414404781222</v>
      </c>
      <c r="I96" s="187">
        <f>'Model Inputs'!I13</f>
        <v>6843.6259921260244</v>
      </c>
      <c r="J96" s="187">
        <f>'Model Inputs'!J13</f>
        <v>6911.5414404781222</v>
      </c>
      <c r="K96" s="187">
        <f>'Model Inputs'!K13</f>
        <v>0</v>
      </c>
      <c r="L96" s="187">
        <f>'Model Inputs'!L13</f>
        <v>0</v>
      </c>
      <c r="M96" s="188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139446467.25</v>
      </c>
      <c r="H97" s="186">
        <f>'Model Inputs'!H14</f>
        <v>138233652</v>
      </c>
      <c r="I97" s="187">
        <f>'Model Inputs'!I14</f>
        <v>146918511.24504298</v>
      </c>
      <c r="J97" s="187">
        <f>'Model Inputs'!J14</f>
        <v>144365460.10254392</v>
      </c>
      <c r="K97" s="187">
        <f>'Model Inputs'!K14</f>
        <v>0</v>
      </c>
      <c r="L97" s="187">
        <f>'Model Inputs'!L14</f>
        <v>0</v>
      </c>
      <c r="M97" s="188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4"/>
      <c r="G98" s="104">
        <f>HLOOKUP($E$3,$P$3:$CI$269,O98,FALSE)</f>
        <v>28656</v>
      </c>
      <c r="H98" s="186">
        <f>'Model Inputs'!H15</f>
        <v>0</v>
      </c>
      <c r="I98" s="187">
        <f>'Model Inputs'!I15</f>
        <v>0</v>
      </c>
      <c r="J98" s="187">
        <f>'Model Inputs'!J15</f>
        <v>0</v>
      </c>
      <c r="K98" s="187">
        <f>'Model Inputs'!K15</f>
        <v>0</v>
      </c>
      <c r="L98" s="187">
        <f>'Model Inputs'!L15</f>
        <v>0</v>
      </c>
      <c r="M98" s="188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4"/>
      <c r="G99" s="104">
        <f>HLOOKUP($E$3,$P$3:$CI$269,O99,FALSE)</f>
        <v>151</v>
      </c>
      <c r="H99" s="186">
        <f>'Model Inputs'!H16</f>
        <v>151</v>
      </c>
      <c r="I99" s="187">
        <f>'Model Inputs'!I16</f>
        <v>151</v>
      </c>
      <c r="J99" s="187">
        <f>'Model Inputs'!J16</f>
        <v>151</v>
      </c>
      <c r="K99" s="187">
        <f>'Model Inputs'!K16</f>
        <v>0</v>
      </c>
      <c r="L99" s="187">
        <f>'Model Inputs'!L16</f>
        <v>0</v>
      </c>
      <c r="M99" s="188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3.5" thickBot="1" x14ac:dyDescent="0.25">
      <c r="A102" s="227" t="s">
        <v>93</v>
      </c>
      <c r="B102" s="227"/>
      <c r="C102" s="227"/>
      <c r="D102" s="227"/>
      <c r="E102" s="227"/>
      <c r="F102" s="227"/>
      <c r="G102" s="227"/>
      <c r="H102" s="227"/>
      <c r="I102" s="227"/>
      <c r="J102" s="227"/>
      <c r="K102" s="227"/>
      <c r="L102" s="227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2106951.86</v>
      </c>
      <c r="H107" s="29">
        <f t="shared" ref="H107:K107" si="4">H89</f>
        <v>2186605</v>
      </c>
      <c r="I107" s="29">
        <f t="shared" si="4"/>
        <v>2336978</v>
      </c>
      <c r="J107" s="29">
        <f t="shared" si="4"/>
        <v>2449878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HLOOKUP($E$3,$P$3:$CI$269,O110,FALSE)</f>
        <v>6.5054666666666677E-2</v>
      </c>
      <c r="H110" s="201">
        <f>'Model Inputs'!H22</f>
        <v>6.5054666666666677E-2</v>
      </c>
      <c r="I110" s="202">
        <f>'Model Inputs'!I22</f>
        <v>6.5054666666666677E-2</v>
      </c>
      <c r="J110" s="202">
        <f>'Model Inputs'!J22</f>
        <v>5.7142825183000026E-2</v>
      </c>
      <c r="K110" s="202">
        <f>'Model Inputs'!K22</f>
        <v>0</v>
      </c>
      <c r="L110" s="202">
        <f>'Model Inputs'!L22</f>
        <v>0</v>
      </c>
      <c r="M110" s="203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4">
        <f>G112*EXP('Model Inputs'!H21)</f>
        <v>165.70687961774755</v>
      </c>
      <c r="I112" s="205">
        <f>H112*EXP('Model Inputs'!I21)</f>
        <v>168.33656781093197</v>
      </c>
      <c r="J112" s="205">
        <f>I112*EXP('Model Inputs'!J21)</f>
        <v>171.00798788639747</v>
      </c>
      <c r="K112" s="205">
        <f>J112*EXP('Model Inputs'!K21)</f>
        <v>171.00798788639747</v>
      </c>
      <c r="L112" s="205">
        <f>K112*EXP('Model Inputs'!L21)</f>
        <v>171.00798788639747</v>
      </c>
      <c r="M112" s="206">
        <f>L112*EXP('Model Inputs'!M21)</f>
        <v>171.00798788639747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18.217550546821649</v>
      </c>
      <c r="I113" s="29">
        <f t="shared" si="7"/>
        <v>18.506654280427806</v>
      </c>
      <c r="J113" s="29">
        <f t="shared" si="7"/>
        <v>17.468493710311961</v>
      </c>
      <c r="K113" s="29">
        <f t="shared" si="7"/>
        <v>7.8492666439856444</v>
      </c>
      <c r="L113" s="29">
        <f t="shared" si="7"/>
        <v>7.8492666439856444</v>
      </c>
      <c r="M113" s="29">
        <f t="shared" si="7"/>
        <v>7.8492666439856444</v>
      </c>
      <c r="N113" s="190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1884000.9</v>
      </c>
      <c r="H114" s="207">
        <f>H92</f>
        <v>2132796.9699999997</v>
      </c>
      <c r="I114" s="208">
        <f t="shared" ref="I114:L114" si="8">I92</f>
        <v>1377600</v>
      </c>
      <c r="J114" s="208">
        <f t="shared" si="8"/>
        <v>875300</v>
      </c>
      <c r="K114" s="208">
        <f t="shared" si="8"/>
        <v>750600</v>
      </c>
      <c r="L114" s="208">
        <f t="shared" si="8"/>
        <v>973600</v>
      </c>
      <c r="M114" s="209">
        <f t="shared" ref="M114" si="9">M92</f>
        <v>720000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32714.01</v>
      </c>
      <c r="H115" s="210">
        <f>H93</f>
        <v>0</v>
      </c>
      <c r="I115" s="211">
        <f t="shared" ref="I115:L115" si="10">I93</f>
        <v>0</v>
      </c>
      <c r="J115" s="211">
        <f t="shared" si="10"/>
        <v>0</v>
      </c>
      <c r="K115" s="211">
        <f t="shared" si="10"/>
        <v>0</v>
      </c>
      <c r="L115" s="211">
        <f t="shared" si="10"/>
        <v>0</v>
      </c>
      <c r="M115" s="212">
        <f t="shared" ref="M115" si="11">M93</f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11349.35328979989</v>
      </c>
      <c r="H116" s="8">
        <f t="shared" ref="H116:K116" si="12">(H114-H115)/H112</f>
        <v>12870.901768954514</v>
      </c>
      <c r="I116" s="8">
        <f t="shared" si="12"/>
        <v>8183.60513056948</v>
      </c>
      <c r="J116" s="8">
        <f t="shared" si="12"/>
        <v>5118.4743520955972</v>
      </c>
      <c r="K116" s="8">
        <f t="shared" si="12"/>
        <v>4389.2686492436369</v>
      </c>
      <c r="L116" s="8">
        <f t="shared" ref="L116:M116" si="13">(L114-L115)/L112</f>
        <v>5693.301301496942</v>
      </c>
      <c r="M116" s="8">
        <f t="shared" si="13"/>
        <v>4210.329639562241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5650.7904618818839</v>
      </c>
      <c r="H117" s="25">
        <f t="shared" ref="H117:M117" si="14">H111*G118</f>
        <v>5912.3544956833202</v>
      </c>
      <c r="I117" s="25">
        <f t="shared" si="14"/>
        <v>6231.7518155264688</v>
      </c>
      <c r="J117" s="25">
        <f t="shared" si="14"/>
        <v>6321.3418826869438</v>
      </c>
      <c r="K117" s="25">
        <f t="shared" si="14"/>
        <v>6266.1302630328009</v>
      </c>
      <c r="L117" s="25">
        <f t="shared" si="14"/>
        <v>6179.9823149598778</v>
      </c>
      <c r="M117" s="25">
        <f t="shared" si="14"/>
        <v>6157.64365644193</v>
      </c>
      <c r="N117" s="191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128809.4661368915</v>
      </c>
      <c r="H118" s="25">
        <f t="shared" ref="H118:M118" si="15">G118+H116-H117</f>
        <v>135768.0134101627</v>
      </c>
      <c r="I118" s="25">
        <f t="shared" si="15"/>
        <v>137719.86672520573</v>
      </c>
      <c r="J118" s="25">
        <f t="shared" si="15"/>
        <v>136516.99919461439</v>
      </c>
      <c r="K118" s="25">
        <f t="shared" si="15"/>
        <v>134640.13758082522</v>
      </c>
      <c r="L118" s="25">
        <f t="shared" si="15"/>
        <v>134153.4565673623</v>
      </c>
      <c r="M118" s="25">
        <f t="shared" si="15"/>
        <v>132206.14255048259</v>
      </c>
      <c r="N118" s="191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2309342.2673896877</v>
      </c>
      <c r="H119" s="25">
        <f t="shared" ref="H119:K119" si="16">H113*H118</f>
        <v>2473360.6469411985</v>
      </c>
      <c r="I119" s="25">
        <f t="shared" si="16"/>
        <v>2548733.9610299757</v>
      </c>
      <c r="J119" s="25">
        <f t="shared" si="16"/>
        <v>2384746.3417817843</v>
      </c>
      <c r="K119" s="25">
        <f t="shared" si="16"/>
        <v>1056826.3408548094</v>
      </c>
      <c r="L119" s="25">
        <f t="shared" ref="L119:M119" si="17">L113*L118</f>
        <v>1053006.2518095737</v>
      </c>
      <c r="M119" s="25">
        <f t="shared" si="17"/>
        <v>1037721.2648515141</v>
      </c>
      <c r="N119" s="191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  <c r="CJ120" s="26"/>
      <c r="CK120" s="26"/>
      <c r="CL120" s="26"/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4416294.127389688</v>
      </c>
      <c r="H121" s="25">
        <f t="shared" ref="H121:K121" si="18">H107+H119</f>
        <v>4659965.646941198</v>
      </c>
      <c r="I121" s="25">
        <f t="shared" si="18"/>
        <v>4885711.9610299757</v>
      </c>
      <c r="J121" s="25">
        <f t="shared" si="18"/>
        <v>4834624.3417817838</v>
      </c>
      <c r="K121" s="25">
        <f t="shared" si="18"/>
        <v>1056826.3408548094</v>
      </c>
      <c r="L121" s="25">
        <f t="shared" ref="L121:M121" si="19">L107+L119</f>
        <v>1053006.2518095737</v>
      </c>
      <c r="M121" s="25">
        <f t="shared" si="19"/>
        <v>1037721.2648515141</v>
      </c>
      <c r="N121" s="191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  <c r="CJ121" s="26"/>
      <c r="CK121" s="26"/>
      <c r="CL121" s="26"/>
    </row>
    <row r="122" spans="1:90" x14ac:dyDescent="0.2">
      <c r="A122" s="3"/>
      <c r="B122" s="3"/>
      <c r="C122" s="3"/>
      <c r="D122" s="3"/>
      <c r="E122" s="3"/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  <c r="CJ122" s="26"/>
      <c r="CK122" s="26"/>
      <c r="CL122" s="26"/>
    </row>
    <row r="123" spans="1:90" s="3" customFormat="1" ht="13.5" thickBot="1" x14ac:dyDescent="0.25">
      <c r="A123" s="227" t="s">
        <v>108</v>
      </c>
      <c r="B123" s="227"/>
      <c r="C123" s="227"/>
      <c r="D123" s="227"/>
      <c r="E123" s="227"/>
      <c r="F123" s="227"/>
      <c r="G123" s="227"/>
      <c r="H123" s="227"/>
      <c r="I123" s="227"/>
      <c r="J123" s="227"/>
      <c r="K123" s="227"/>
      <c r="L123" s="227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226"/>
      <c r="CK123" s="226"/>
      <c r="CL123" s="226"/>
    </row>
    <row r="124" spans="1:90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  <c r="CJ124" s="26"/>
      <c r="CK124" s="26"/>
      <c r="CL124" s="26"/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  <c r="CJ125" s="26"/>
      <c r="CK125" s="26"/>
      <c r="CL125" s="26"/>
    </row>
    <row r="126" spans="1:90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  <c r="CJ126" s="26"/>
      <c r="CK126" s="26"/>
      <c r="CL126" s="26"/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  <c r="CJ127" s="26"/>
      <c r="CK127" s="26"/>
      <c r="CL127" s="26"/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6757</v>
      </c>
      <c r="H128" s="8">
        <f t="shared" ref="H128:K130" si="20">H96</f>
        <v>6911.5414404781222</v>
      </c>
      <c r="I128" s="8">
        <f t="shared" si="20"/>
        <v>6843.6259921260244</v>
      </c>
      <c r="J128" s="8">
        <f t="shared" si="20"/>
        <v>6911.5414404781222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  <c r="CJ128" s="26"/>
      <c r="CK128" s="26"/>
      <c r="CL128" s="26"/>
    </row>
    <row r="129" spans="1:90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139446467.25</v>
      </c>
      <c r="H129" s="39">
        <f t="shared" si="20"/>
        <v>138233652</v>
      </c>
      <c r="I129" s="39">
        <f t="shared" si="20"/>
        <v>146918511.24504298</v>
      </c>
      <c r="J129" s="39">
        <f t="shared" si="20"/>
        <v>144365460.10254392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92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  <c r="CJ129" s="26"/>
      <c r="CK129" s="26"/>
      <c r="CL129" s="26"/>
    </row>
    <row r="130" spans="1:90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28656</v>
      </c>
      <c r="H130" s="8">
        <f t="shared" si="20"/>
        <v>0</v>
      </c>
      <c r="I130" s="8">
        <f t="shared" si="20"/>
        <v>0</v>
      </c>
      <c r="J130" s="8">
        <f t="shared" si="20"/>
        <v>0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  <c r="CJ130" s="26"/>
      <c r="CK130" s="26"/>
      <c r="CL130" s="26"/>
    </row>
    <row r="131" spans="1:90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39945</v>
      </c>
      <c r="H131" s="8">
        <f t="shared" ref="H131:M131" si="24">MAX(G131,H130)</f>
        <v>39945</v>
      </c>
      <c r="I131" s="8">
        <f t="shared" si="24"/>
        <v>39945</v>
      </c>
      <c r="J131" s="8">
        <f t="shared" si="24"/>
        <v>39945</v>
      </c>
      <c r="K131" s="8">
        <f t="shared" si="24"/>
        <v>39945</v>
      </c>
      <c r="L131" s="8">
        <f t="shared" si="24"/>
        <v>39945</v>
      </c>
      <c r="M131" s="8">
        <f t="shared" si="24"/>
        <v>39945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  <c r="CJ131" s="26"/>
      <c r="CK131" s="26"/>
      <c r="CL131" s="26"/>
    </row>
    <row r="132" spans="1:90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  <c r="CJ132" s="26"/>
      <c r="CK132" s="26"/>
      <c r="CL132" s="26"/>
    </row>
    <row r="133" spans="1:90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  <c r="CJ133" s="26"/>
      <c r="CK133" s="26"/>
      <c r="CL133" s="26"/>
    </row>
    <row r="134" spans="1:90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3">
        <f>G134*EXP('Model Inputs'!H21)</f>
        <v>117.0535651311439</v>
      </c>
      <c r="I134" s="214">
        <f>H134*EXP('Model Inputs'!I21)</f>
        <v>118.91114870827467</v>
      </c>
      <c r="J134" s="214">
        <f>I134*EXP('Model Inputs'!J21)</f>
        <v>120.79821124012295</v>
      </c>
      <c r="K134" s="214">
        <f>J134*EXP('Model Inputs'!K21)</f>
        <v>120.79821124012295</v>
      </c>
      <c r="L134" s="214">
        <f>K134*EXP('Model Inputs'!L21)</f>
        <v>120.79821124012295</v>
      </c>
      <c r="M134" s="215">
        <f>L134*EXP('Model Inputs'!M21)</f>
        <v>120.79821124012295</v>
      </c>
      <c r="N134" s="220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  <c r="CJ134" s="26"/>
      <c r="CK134" s="26"/>
      <c r="CL134" s="26"/>
    </row>
    <row r="135" spans="1:90" ht="13.5" thickBot="1" x14ac:dyDescent="0.25">
      <c r="A135" s="3"/>
      <c r="B135" s="10">
        <v>121</v>
      </c>
      <c r="C135" s="3"/>
      <c r="D135" s="3"/>
      <c r="E135" s="37" t="s">
        <v>277</v>
      </c>
      <c r="F135" s="41">
        <v>938.36</v>
      </c>
      <c r="G135" s="41">
        <f>HLOOKUP($E$3,$P$3:$CI$269,O135,FALSE)</f>
        <v>962.73</v>
      </c>
      <c r="H135" s="216">
        <f>G135*EXP('Model Inputs'!H20)</f>
        <v>987.73290943774236</v>
      </c>
      <c r="I135" s="217">
        <f>H135*EXP('Model Inputs'!I20)</f>
        <v>1013.3851655047079</v>
      </c>
      <c r="J135" s="217">
        <f>I135*EXP('Model Inputs'!J20)</f>
        <v>1039.7036322800923</v>
      </c>
      <c r="K135" s="217">
        <f>J135*EXP('Model Inputs'!K20)</f>
        <v>1039.7036322800923</v>
      </c>
      <c r="L135" s="217">
        <f>K135*EXP('Model Inputs'!L20)</f>
        <v>1039.7036322800923</v>
      </c>
      <c r="M135" s="218">
        <f>L135*EXP('Model Inputs'!M20)</f>
        <v>1039.7036322800923</v>
      </c>
      <c r="N135" s="220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  <c r="CJ135" s="26"/>
      <c r="CK135" s="26"/>
      <c r="CL135" s="26"/>
    </row>
    <row r="136" spans="1:90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2.2671003495575846E-2</v>
      </c>
      <c r="I136" s="40">
        <f t="shared" ref="I136:M136" si="25">LN(I134/H134)*0.3+LN(I135/H135)*0.7</f>
        <v>2.2671003495575846E-2</v>
      </c>
      <c r="J136" s="40">
        <f t="shared" si="25"/>
        <v>2.2671003495575846E-2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3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  <c r="CJ136" s="26"/>
      <c r="CK136" s="26"/>
      <c r="CL136" s="26"/>
    </row>
    <row r="137" spans="1:90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126.45318898924809</v>
      </c>
      <c r="H137" s="29">
        <f t="shared" ref="H137:M137" si="26">G137*EXP(H136)</f>
        <v>129.35275350674215</v>
      </c>
      <c r="I137" s="29">
        <f t="shared" si="26"/>
        <v>132.31880487568148</v>
      </c>
      <c r="J137" s="29">
        <f t="shared" si="26"/>
        <v>135.35286763583352</v>
      </c>
      <c r="K137" s="29">
        <f t="shared" si="26"/>
        <v>135.35286763583352</v>
      </c>
      <c r="L137" s="29">
        <f t="shared" si="26"/>
        <v>135.35286763583352</v>
      </c>
      <c r="M137" s="29">
        <f t="shared" si="26"/>
        <v>135.35286763583352</v>
      </c>
      <c r="N137" s="190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90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90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90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7">H113</f>
        <v>18.217550546821649</v>
      </c>
      <c r="I139" s="29">
        <f t="shared" si="27"/>
        <v>18.506654280427806</v>
      </c>
      <c r="J139" s="29">
        <f t="shared" si="27"/>
        <v>17.468493710311961</v>
      </c>
      <c r="K139" s="29">
        <f t="shared" si="27"/>
        <v>7.8492666439856444</v>
      </c>
      <c r="L139" s="29">
        <f t="shared" ref="L139:M139" si="28">L113</f>
        <v>7.8492666439856444</v>
      </c>
      <c r="M139" s="29">
        <f t="shared" si="28"/>
        <v>7.8492666439856444</v>
      </c>
      <c r="N139" s="190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90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90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90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151</v>
      </c>
      <c r="H142" s="42">
        <f>'Model Inputs'!H16</f>
        <v>151</v>
      </c>
      <c r="I142" s="42">
        <f>'Model Inputs'!I16</f>
        <v>151</v>
      </c>
      <c r="J142" s="42">
        <f>'Model Inputs'!J16</f>
        <v>151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90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90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146</v>
      </c>
      <c r="H143" s="41">
        <f>(G143*14+H142)/15</f>
        <v>146.33333333333334</v>
      </c>
      <c r="I143" s="41">
        <f>(H143*15+I142)/16</f>
        <v>146.625</v>
      </c>
      <c r="J143" s="41">
        <f>(I143*16+J142)/17</f>
        <v>146.88235294117646</v>
      </c>
      <c r="K143" s="41">
        <f>(J143*17+K142)/18</f>
        <v>138.72222222222223</v>
      </c>
      <c r="L143" s="41">
        <f>(K143*17+L142)/18</f>
        <v>131.01543209876544</v>
      </c>
      <c r="M143" s="41">
        <f>(L143*17+M142)/18</f>
        <v>123.73679698216736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90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6086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0.11025303976339139</v>
      </c>
      <c r="H145" s="30">
        <f>'Model Inputs'!H17</f>
        <v>0.01</v>
      </c>
      <c r="I145" s="30">
        <f>'Model Inputs'!I17</f>
        <v>0.01</v>
      </c>
      <c r="J145" s="30">
        <f>'Model Inputs'!J17</f>
        <v>0.01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HLOOKUP($E$3,$P$3:$CI$269,O151,FALSE)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4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0.14177861776611947</v>
      </c>
      <c r="H152" s="44">
        <f t="shared" ref="H152:K152" si="31">H113/H137</f>
        <v>0.14083620219087264</v>
      </c>
      <c r="I152" s="44">
        <f t="shared" si="31"/>
        <v>0.13986412813972668</v>
      </c>
      <c r="J152" s="44">
        <f t="shared" si="31"/>
        <v>0.1290589110923818</v>
      </c>
      <c r="K152" s="44">
        <f t="shared" si="31"/>
        <v>5.799113665699402E-2</v>
      </c>
      <c r="L152" s="44">
        <f t="shared" ref="L152:M152" si="32">L113/L137</f>
        <v>5.799113665699402E-2</v>
      </c>
      <c r="M152" s="44">
        <f t="shared" si="32"/>
        <v>5.799113665699402E-2</v>
      </c>
      <c r="N152" s="195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6757</v>
      </c>
      <c r="H153" s="25">
        <f t="shared" ref="H153:K153" si="33">H96</f>
        <v>6911.5414404781222</v>
      </c>
      <c r="I153" s="25">
        <f t="shared" si="33"/>
        <v>6843.6259921260244</v>
      </c>
      <c r="J153" s="25">
        <f t="shared" si="33"/>
        <v>6911.5414404781222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91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39945</v>
      </c>
      <c r="H154" s="25">
        <f t="shared" ref="H154:K154" si="35">H131</f>
        <v>39945</v>
      </c>
      <c r="I154" s="25">
        <f t="shared" si="35"/>
        <v>39945</v>
      </c>
      <c r="J154" s="25">
        <f t="shared" si="35"/>
        <v>39945</v>
      </c>
      <c r="K154" s="25">
        <f t="shared" si="35"/>
        <v>39945</v>
      </c>
      <c r="L154" s="25">
        <f t="shared" ref="L154:M154" si="36">L131</f>
        <v>39945</v>
      </c>
      <c r="M154" s="25">
        <f t="shared" si="36"/>
        <v>39945</v>
      </c>
      <c r="N154" s="191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139446467.25</v>
      </c>
      <c r="H155" s="39">
        <f t="shared" ref="H155:K155" si="37">H97</f>
        <v>138233652</v>
      </c>
      <c r="I155" s="39">
        <f t="shared" si="37"/>
        <v>146918511.24504298</v>
      </c>
      <c r="J155" s="39">
        <f t="shared" si="37"/>
        <v>144365460.10254392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92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146</v>
      </c>
      <c r="H156" s="45">
        <f t="shared" ref="H156:K156" si="39">H143</f>
        <v>146.33333333333334</v>
      </c>
      <c r="I156" s="45">
        <f t="shared" si="39"/>
        <v>146.625</v>
      </c>
      <c r="J156" s="45">
        <f t="shared" si="39"/>
        <v>146.88235294117646</v>
      </c>
      <c r="K156" s="45">
        <f t="shared" si="39"/>
        <v>138.72222222222223</v>
      </c>
      <c r="L156" s="45">
        <f t="shared" ref="L156:M156" si="40">L143</f>
        <v>131.01543209876544</v>
      </c>
      <c r="M156" s="45">
        <f t="shared" si="40"/>
        <v>123.73679698216736</v>
      </c>
      <c r="N156" s="196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0.11025303976339139</v>
      </c>
      <c r="H157" s="31">
        <f t="shared" ref="H157:L157" si="41">H145</f>
        <v>0.01</v>
      </c>
      <c r="I157" s="31">
        <f t="shared" si="41"/>
        <v>0.01</v>
      </c>
      <c r="J157" s="31">
        <f t="shared" si="41"/>
        <v>0.01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9</v>
      </c>
      <c r="H158" s="3">
        <f t="shared" ref="H158:K158" si="43">H5-2006</f>
        <v>10</v>
      </c>
      <c r="I158" s="3">
        <f t="shared" si="43"/>
        <v>11</v>
      </c>
      <c r="J158" s="3">
        <f t="shared" si="43"/>
        <v>12</v>
      </c>
      <c r="K158" s="3">
        <f t="shared" si="43"/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HLOOKUP($E$3,$P$3:$CI$269,O162,FALSE)</f>
        <v>12.81331330994302</v>
      </c>
      <c r="H162" s="49">
        <f t="shared" ref="H162:M179" si="45">G162</f>
        <v>12.81331330994302</v>
      </c>
      <c r="I162" s="49">
        <f t="shared" si="45"/>
        <v>12.81331330994302</v>
      </c>
      <c r="J162" s="49">
        <f t="shared" si="45"/>
        <v>12.81331330994302</v>
      </c>
      <c r="K162" s="49">
        <f t="shared" si="45"/>
        <v>12.81331330994302</v>
      </c>
      <c r="L162" s="49">
        <f t="shared" si="45"/>
        <v>12.81331330994302</v>
      </c>
      <c r="M162" s="49">
        <f t="shared" si="45"/>
        <v>12.81331330994302</v>
      </c>
      <c r="N162" s="197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0.62722193683244376</v>
      </c>
      <c r="H163" s="49">
        <f t="shared" si="45"/>
        <v>0.62722193683244376</v>
      </c>
      <c r="I163" s="49">
        <f t="shared" si="45"/>
        <v>0.62722193683244376</v>
      </c>
      <c r="J163" s="49">
        <f t="shared" si="45"/>
        <v>0.62722193683244376</v>
      </c>
      <c r="K163" s="49">
        <f t="shared" si="45"/>
        <v>0.62722193683244376</v>
      </c>
      <c r="L163" s="49">
        <f t="shared" si="45"/>
        <v>0.62722193683244376</v>
      </c>
      <c r="M163" s="49">
        <f t="shared" si="45"/>
        <v>0.62722193683244376</v>
      </c>
      <c r="N163" s="197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0.44755158910340032</v>
      </c>
      <c r="H164" s="49">
        <f t="shared" si="45"/>
        <v>0.44755158910340032</v>
      </c>
      <c r="I164" s="49">
        <f t="shared" si="45"/>
        <v>0.44755158910340032</v>
      </c>
      <c r="J164" s="49">
        <f t="shared" si="45"/>
        <v>0.44755158910340032</v>
      </c>
      <c r="K164" s="49">
        <f t="shared" si="45"/>
        <v>0.44755158910340032</v>
      </c>
      <c r="L164" s="49">
        <f t="shared" si="45"/>
        <v>0.44755158910340032</v>
      </c>
      <c r="M164" s="49">
        <f t="shared" si="45"/>
        <v>0.44755158910340032</v>
      </c>
      <c r="N164" s="197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0.15481466094418173</v>
      </c>
      <c r="H165" s="49">
        <f t="shared" si="45"/>
        <v>0.15481466094418173</v>
      </c>
      <c r="I165" s="49">
        <f t="shared" si="45"/>
        <v>0.15481466094418173</v>
      </c>
      <c r="J165" s="49">
        <f t="shared" si="45"/>
        <v>0.15481466094418173</v>
      </c>
      <c r="K165" s="49">
        <f t="shared" si="45"/>
        <v>0.15481466094418173</v>
      </c>
      <c r="L165" s="49">
        <f t="shared" si="45"/>
        <v>0.15481466094418173</v>
      </c>
      <c r="M165" s="49">
        <f t="shared" si="45"/>
        <v>0.15481466094418173</v>
      </c>
      <c r="N165" s="197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0.10977007445625103</v>
      </c>
      <c r="H166" s="49">
        <f t="shared" si="45"/>
        <v>0.10977007445625103</v>
      </c>
      <c r="I166" s="49">
        <f t="shared" si="45"/>
        <v>0.10977007445625103</v>
      </c>
      <c r="J166" s="49">
        <f t="shared" si="45"/>
        <v>0.10977007445625103</v>
      </c>
      <c r="K166" s="49">
        <f t="shared" si="45"/>
        <v>0.10977007445625103</v>
      </c>
      <c r="L166" s="49">
        <f t="shared" si="45"/>
        <v>0.10977007445625103</v>
      </c>
      <c r="M166" s="49">
        <f t="shared" si="45"/>
        <v>0.10977007445625103</v>
      </c>
      <c r="N166" s="197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0.12487470386764654</v>
      </c>
      <c r="H167" s="49">
        <f t="shared" si="45"/>
        <v>0.12487470386764654</v>
      </c>
      <c r="I167" s="49">
        <f t="shared" si="45"/>
        <v>0.12487470386764654</v>
      </c>
      <c r="J167" s="49">
        <f t="shared" si="45"/>
        <v>0.12487470386764654</v>
      </c>
      <c r="K167" s="49">
        <f t="shared" si="45"/>
        <v>0.12487470386764654</v>
      </c>
      <c r="L167" s="49">
        <f t="shared" si="45"/>
        <v>0.12487470386764654</v>
      </c>
      <c r="M167" s="49">
        <f t="shared" si="45"/>
        <v>0.12487470386764654</v>
      </c>
      <c r="N167" s="197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-0.39556858220062985</v>
      </c>
      <c r="H168" s="49">
        <f t="shared" si="45"/>
        <v>-0.39556858220062985</v>
      </c>
      <c r="I168" s="49">
        <f t="shared" si="45"/>
        <v>-0.39556858220062985</v>
      </c>
      <c r="J168" s="49">
        <f t="shared" si="45"/>
        <v>-0.39556858220062985</v>
      </c>
      <c r="K168" s="49">
        <f t="shared" si="45"/>
        <v>-0.39556858220062985</v>
      </c>
      <c r="L168" s="49">
        <f t="shared" si="45"/>
        <v>-0.39556858220062985</v>
      </c>
      <c r="M168" s="49">
        <f t="shared" si="45"/>
        <v>-0.39556858220062985</v>
      </c>
      <c r="N168" s="197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0.25152891820417489</v>
      </c>
      <c r="H169" s="49">
        <f t="shared" si="45"/>
        <v>0.25152891820417489</v>
      </c>
      <c r="I169" s="49">
        <f t="shared" si="45"/>
        <v>0.25152891820417489</v>
      </c>
      <c r="J169" s="49">
        <f t="shared" si="45"/>
        <v>0.25152891820417489</v>
      </c>
      <c r="K169" s="49">
        <f t="shared" si="45"/>
        <v>0.25152891820417489</v>
      </c>
      <c r="L169" s="49">
        <f t="shared" si="45"/>
        <v>0.25152891820417489</v>
      </c>
      <c r="M169" s="49">
        <f t="shared" si="45"/>
        <v>0.25152891820417489</v>
      </c>
      <c r="N169" s="197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0.17826995710647331</v>
      </c>
      <c r="H170" s="49">
        <f t="shared" si="45"/>
        <v>0.17826995710647331</v>
      </c>
      <c r="I170" s="49">
        <f t="shared" si="45"/>
        <v>0.17826995710647331</v>
      </c>
      <c r="J170" s="49">
        <f t="shared" si="45"/>
        <v>0.17826995710647331</v>
      </c>
      <c r="K170" s="49">
        <f t="shared" si="45"/>
        <v>0.17826995710647331</v>
      </c>
      <c r="L170" s="49">
        <f t="shared" si="45"/>
        <v>0.17826995710647331</v>
      </c>
      <c r="M170" s="49">
        <f t="shared" si="45"/>
        <v>0.17826995710647331</v>
      </c>
      <c r="N170" s="197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5.3512745703827136E-2</v>
      </c>
      <c r="H171" s="49">
        <f t="shared" si="45"/>
        <v>5.3512745703827136E-2</v>
      </c>
      <c r="I171" s="49">
        <f t="shared" si="45"/>
        <v>5.3512745703827136E-2</v>
      </c>
      <c r="J171" s="49">
        <f t="shared" si="45"/>
        <v>5.3512745703827136E-2</v>
      </c>
      <c r="K171" s="49">
        <f t="shared" si="45"/>
        <v>5.3512745703827136E-2</v>
      </c>
      <c r="L171" s="49">
        <f t="shared" si="45"/>
        <v>5.3512745703827136E-2</v>
      </c>
      <c r="M171" s="49">
        <f t="shared" si="45"/>
        <v>5.3512745703827136E-2</v>
      </c>
      <c r="N171" s="197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9.2589979425976576E-3</v>
      </c>
      <c r="H172" s="49">
        <f t="shared" si="45"/>
        <v>9.2589979425976576E-3</v>
      </c>
      <c r="I172" s="49">
        <f t="shared" si="45"/>
        <v>9.2589979425976576E-3</v>
      </c>
      <c r="J172" s="49">
        <f t="shared" si="45"/>
        <v>9.2589979425976576E-3</v>
      </c>
      <c r="K172" s="49">
        <f t="shared" si="45"/>
        <v>9.2589979425976576E-3</v>
      </c>
      <c r="L172" s="49">
        <f t="shared" si="45"/>
        <v>9.2589979425976576E-3</v>
      </c>
      <c r="M172" s="49">
        <f t="shared" si="45"/>
        <v>9.2589979425976576E-3</v>
      </c>
      <c r="N172" s="197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8.5376572339093681E-4</v>
      </c>
      <c r="H173" s="49">
        <f t="shared" si="45"/>
        <v>8.5376572339093681E-4</v>
      </c>
      <c r="I173" s="49">
        <f t="shared" si="45"/>
        <v>8.5376572339093681E-4</v>
      </c>
      <c r="J173" s="49">
        <f t="shared" si="45"/>
        <v>8.5376572339093681E-4</v>
      </c>
      <c r="K173" s="49">
        <f t="shared" si="45"/>
        <v>8.5376572339093681E-4</v>
      </c>
      <c r="L173" s="49">
        <f t="shared" si="45"/>
        <v>8.5376572339093681E-4</v>
      </c>
      <c r="M173" s="49">
        <f t="shared" si="45"/>
        <v>8.5376572339093681E-4</v>
      </c>
      <c r="N173" s="197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0.12466894617253094</v>
      </c>
      <c r="H174" s="49">
        <f t="shared" si="45"/>
        <v>0.12466894617253094</v>
      </c>
      <c r="I174" s="49">
        <f t="shared" si="45"/>
        <v>0.12466894617253094</v>
      </c>
      <c r="J174" s="49">
        <f t="shared" si="45"/>
        <v>0.12466894617253094</v>
      </c>
      <c r="K174" s="49">
        <f t="shared" si="45"/>
        <v>0.12466894617253094</v>
      </c>
      <c r="L174" s="49">
        <f t="shared" si="45"/>
        <v>0.12466894617253094</v>
      </c>
      <c r="M174" s="49">
        <f t="shared" si="45"/>
        <v>0.12466894617253094</v>
      </c>
      <c r="N174" s="197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0.10565182817113133</v>
      </c>
      <c r="H175" s="49">
        <f t="shared" si="45"/>
        <v>0.10565182817113133</v>
      </c>
      <c r="I175" s="49">
        <f t="shared" si="45"/>
        <v>0.10565182817113133</v>
      </c>
      <c r="J175" s="49">
        <f t="shared" si="45"/>
        <v>0.10565182817113133</v>
      </c>
      <c r="K175" s="49">
        <f t="shared" si="45"/>
        <v>0.10565182817113133</v>
      </c>
      <c r="L175" s="49">
        <f t="shared" si="45"/>
        <v>0.10565182817113133</v>
      </c>
      <c r="M175" s="49">
        <f t="shared" si="45"/>
        <v>0.10565182817113133</v>
      </c>
      <c r="N175" s="197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-0.24875118665730625</v>
      </c>
      <c r="H176" s="49">
        <f t="shared" si="45"/>
        <v>-0.24875118665730625</v>
      </c>
      <c r="I176" s="49">
        <f t="shared" si="45"/>
        <v>-0.24875118665730625</v>
      </c>
      <c r="J176" s="49">
        <f t="shared" si="45"/>
        <v>-0.24875118665730625</v>
      </c>
      <c r="K176" s="49">
        <f t="shared" si="45"/>
        <v>-0.24875118665730625</v>
      </c>
      <c r="L176" s="49">
        <f t="shared" si="45"/>
        <v>-0.24875118665730625</v>
      </c>
      <c r="M176" s="49">
        <f t="shared" si="45"/>
        <v>-0.24875118665730625</v>
      </c>
      <c r="N176" s="197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0.28370267151158091</v>
      </c>
      <c r="H177" s="49">
        <f t="shared" si="45"/>
        <v>0.28370267151158091</v>
      </c>
      <c r="I177" s="49">
        <f t="shared" si="45"/>
        <v>0.28370267151158091</v>
      </c>
      <c r="J177" s="49">
        <f t="shared" si="45"/>
        <v>0.28370267151158091</v>
      </c>
      <c r="K177" s="49">
        <f t="shared" si="45"/>
        <v>0.28370267151158091</v>
      </c>
      <c r="L177" s="49">
        <f t="shared" si="45"/>
        <v>0.28370267151158091</v>
      </c>
      <c r="M177" s="49">
        <f t="shared" si="45"/>
        <v>0.28370267151158091</v>
      </c>
      <c r="N177" s="197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1.7042358123801227E-2</v>
      </c>
      <c r="H178" s="49">
        <f t="shared" si="45"/>
        <v>1.7042358123801227E-2</v>
      </c>
      <c r="I178" s="49">
        <f t="shared" si="45"/>
        <v>1.7042358123801227E-2</v>
      </c>
      <c r="J178" s="49">
        <f t="shared" si="45"/>
        <v>1.7042358123801227E-2</v>
      </c>
      <c r="K178" s="49">
        <f t="shared" si="45"/>
        <v>1.7042358123801227E-2</v>
      </c>
      <c r="L178" s="49">
        <f t="shared" si="45"/>
        <v>1.7042358123801227E-2</v>
      </c>
      <c r="M178" s="49">
        <f t="shared" si="45"/>
        <v>1.7042358123801227E-2</v>
      </c>
      <c r="N178" s="197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1.7168498267042372E-2</v>
      </c>
      <c r="H179" s="49">
        <f t="shared" si="45"/>
        <v>1.7168498267042372E-2</v>
      </c>
      <c r="I179" s="49">
        <f t="shared" si="45"/>
        <v>1.7168498267042372E-2</v>
      </c>
      <c r="J179" s="49">
        <f t="shared" si="45"/>
        <v>1.7168498267042372E-2</v>
      </c>
      <c r="K179" s="49">
        <f t="shared" si="45"/>
        <v>1.7168498267042372E-2</v>
      </c>
      <c r="L179" s="49">
        <f t="shared" si="45"/>
        <v>1.7168498267042372E-2</v>
      </c>
      <c r="M179" s="49">
        <f t="shared" si="45"/>
        <v>1.7168498267042372E-2</v>
      </c>
      <c r="N179" s="197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HLOOKUP($E$3,$P$3:$CI$269,O183,FALSE)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7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7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7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7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91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7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7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7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7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7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7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7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7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7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7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91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7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7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8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-0.14803567138845372</v>
      </c>
      <c r="H206" s="48">
        <f t="shared" ref="H206:K209" si="49">LN(H152/H184)</f>
        <v>-0.1547049541143603</v>
      </c>
      <c r="I206" s="48">
        <f t="shared" si="49"/>
        <v>-0.16163104455339208</v>
      </c>
      <c r="J206" s="48">
        <f t="shared" si="49"/>
        <v>-0.24203350737001814</v>
      </c>
      <c r="K206" s="48">
        <f t="shared" si="49"/>
        <v>-1.0420123000119781</v>
      </c>
      <c r="L206" s="48">
        <f t="shared" ref="L206:M206" si="50">LN(L152/L184)</f>
        <v>-1.0420123000119781</v>
      </c>
      <c r="M206" s="48">
        <f t="shared" si="50"/>
        <v>-1.0420123000119781</v>
      </c>
      <c r="N206" s="198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-2.2392367160990712</v>
      </c>
      <c r="H207" s="48">
        <f t="shared" si="49"/>
        <v>-2.2166230338915365</v>
      </c>
      <c r="I207" s="48">
        <f t="shared" si="49"/>
        <v>-2.2264980136884978</v>
      </c>
      <c r="J207" s="48">
        <f t="shared" si="49"/>
        <v>-2.2166230338915365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8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-2.1564147945557934</v>
      </c>
      <c r="H208" s="48">
        <f t="shared" si="49"/>
        <v>-2.1564147945557934</v>
      </c>
      <c r="I208" s="48">
        <f t="shared" si="49"/>
        <v>-2.1564147945557934</v>
      </c>
      <c r="J208" s="48">
        <f t="shared" si="49"/>
        <v>-2.1564147945557934</v>
      </c>
      <c r="K208" s="48">
        <f t="shared" si="49"/>
        <v>-2.1564147945557934</v>
      </c>
      <c r="L208" s="48">
        <f t="shared" ref="L208:M208" si="52">LN(L154/L186)</f>
        <v>-2.1564147945557934</v>
      </c>
      <c r="M208" s="48">
        <f t="shared" si="52"/>
        <v>-2.1564147945557934</v>
      </c>
      <c r="N208" s="198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-2.4588557166100724</v>
      </c>
      <c r="H209" s="48">
        <f t="shared" si="49"/>
        <v>-2.467591113047328</v>
      </c>
      <c r="I209" s="48">
        <f t="shared" si="49"/>
        <v>-2.4066584091090499</v>
      </c>
      <c r="J209" s="48">
        <f t="shared" si="49"/>
        <v>-2.4241884950287766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8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1.0957280001715128E-2</v>
      </c>
      <c r="H210" s="48">
        <f t="shared" ref="H210:K213" si="54">H206*H206/2</f>
        <v>1.1966811413763163E-2</v>
      </c>
      <c r="I210" s="48">
        <f t="shared" si="54"/>
        <v>1.3062297281710308E-2</v>
      </c>
      <c r="J210" s="48">
        <f t="shared" si="54"/>
        <v>2.9290109344916312E-2</v>
      </c>
      <c r="K210" s="48">
        <f t="shared" si="54"/>
        <v>0.54289481668812634</v>
      </c>
      <c r="L210" s="48">
        <f t="shared" ref="L210:M210" si="55">L206*L206/2</f>
        <v>0.54289481668812634</v>
      </c>
      <c r="M210" s="48">
        <f t="shared" si="55"/>
        <v>0.54289481668812634</v>
      </c>
      <c r="N210" s="198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2.5070905353630759</v>
      </c>
      <c r="H211" s="48">
        <f t="shared" si="54"/>
        <v>2.45670883718926</v>
      </c>
      <c r="I211" s="48">
        <f t="shared" si="54"/>
        <v>2.4786467024794128</v>
      </c>
      <c r="J211" s="48">
        <f t="shared" si="54"/>
        <v>2.45670883718926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8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2.3250623830895525</v>
      </c>
      <c r="H212" s="48">
        <f t="shared" si="54"/>
        <v>2.3250623830895525</v>
      </c>
      <c r="I212" s="48">
        <f t="shared" si="54"/>
        <v>2.3250623830895525</v>
      </c>
      <c r="J212" s="48">
        <f t="shared" si="54"/>
        <v>2.3250623830895525</v>
      </c>
      <c r="K212" s="48">
        <f t="shared" si="54"/>
        <v>2.3250623830895525</v>
      </c>
      <c r="L212" s="48">
        <f t="shared" ref="L212:M212" si="57">L208*L208/2</f>
        <v>2.3250623830895525</v>
      </c>
      <c r="M212" s="48">
        <f t="shared" si="57"/>
        <v>2.3250623830895525</v>
      </c>
      <c r="N212" s="198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3.0229857175530164</v>
      </c>
      <c r="H213" s="48">
        <f t="shared" si="54"/>
        <v>3.0445029505950756</v>
      </c>
      <c r="I213" s="48">
        <f t="shared" si="54"/>
        <v>2.8960023490676514</v>
      </c>
      <c r="J213" s="48">
        <f t="shared" si="54"/>
        <v>2.9383449297149427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8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0.33148691066540231</v>
      </c>
      <c r="H214" s="48">
        <f t="shared" ref="H214:K214" si="59">H206*H207</f>
        <v>0.34292256474702426</v>
      </c>
      <c r="I214" s="48">
        <f t="shared" si="59"/>
        <v>0.35987119964852454</v>
      </c>
      <c r="J214" s="48">
        <f t="shared" si="59"/>
        <v>0.5364970474099392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8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0.31922631190406137</v>
      </c>
      <c r="H215" s="48">
        <f t="shared" ref="H215:K215" si="61">H206*H208</f>
        <v>0.33360805184328174</v>
      </c>
      <c r="I215" s="48">
        <f t="shared" si="61"/>
        <v>0.34854357573444128</v>
      </c>
      <c r="J215" s="48">
        <f t="shared" si="61"/>
        <v>0.52192463607093575</v>
      </c>
      <c r="K215" s="48">
        <f t="shared" si="61"/>
        <v>2.2470107398549395</v>
      </c>
      <c r="L215" s="48">
        <f t="shared" ref="L215:M215" si="62">L206*L208</f>
        <v>2.2470107398549395</v>
      </c>
      <c r="M215" s="48">
        <f t="shared" si="62"/>
        <v>2.2470107398549395</v>
      </c>
      <c r="N215" s="198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0.36399835685570958</v>
      </c>
      <c r="H216" s="48">
        <f t="shared" ref="H216:K216" si="63">H206*H209</f>
        <v>0.38174856991699013</v>
      </c>
      <c r="I216" s="48">
        <f t="shared" si="63"/>
        <v>0.38899071254750056</v>
      </c>
      <c r="J216" s="48">
        <f t="shared" si="63"/>
        <v>0.58673484397786058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8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4.8287231831085684</v>
      </c>
      <c r="H217" s="48">
        <f t="shared" ref="H217:K217" si="65">H207*H208</f>
        <v>4.779958704236857</v>
      </c>
      <c r="I217" s="48">
        <f t="shared" si="65"/>
        <v>4.8012532567669641</v>
      </c>
      <c r="J217" s="48">
        <f t="shared" si="65"/>
        <v>4.779958704236857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8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5.5059600002233671</v>
      </c>
      <c r="H218" s="48">
        <f t="shared" ref="H218:K218" si="67">H207*H209</f>
        <v>5.469719299406762</v>
      </c>
      <c r="I218" s="48">
        <f t="shared" si="67"/>
        <v>5.3584201675080196</v>
      </c>
      <c r="J218" s="48">
        <f t="shared" si="67"/>
        <v>5.3735120565756445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8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5.3023128449760479</v>
      </c>
      <c r="H219" s="48">
        <f t="shared" ref="H219:K219" si="69">H208*H209</f>
        <v>5.3211499830896551</v>
      </c>
      <c r="I219" s="48">
        <f t="shared" si="69"/>
        <v>5.1897537988448645</v>
      </c>
      <c r="J219" s="48">
        <f t="shared" si="69"/>
        <v>5.2275559354719974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8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-2.9258086853272145</v>
      </c>
      <c r="H220" s="48">
        <f t="shared" ref="H220:K220" si="71">LN(H156/H198)</f>
        <v>-2.9235281826284893</v>
      </c>
      <c r="I220" s="48">
        <f t="shared" si="71"/>
        <v>-2.9215370000619112</v>
      </c>
      <c r="J220" s="48">
        <f t="shared" si="71"/>
        <v>-2.9197833608119939</v>
      </c>
      <c r="K220" s="48">
        <f t="shared" si="71"/>
        <v>-2.9769417746519422</v>
      </c>
      <c r="L220" s="48">
        <f t="shared" ref="L220:M220" si="72">LN(L156/L198)</f>
        <v>-3.034100188491891</v>
      </c>
      <c r="M220" s="48">
        <f t="shared" si="72"/>
        <v>-3.0912586023318394</v>
      </c>
      <c r="N220" s="198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0.85733312413212592</v>
      </c>
      <c r="H221" s="31">
        <f t="shared" ref="H221:K221" si="73">H157/H199</f>
        <v>7.7760497667185083E-2</v>
      </c>
      <c r="I221" s="31">
        <f t="shared" si="73"/>
        <v>7.7760497667185083E-2</v>
      </c>
      <c r="J221" s="31">
        <f t="shared" si="73"/>
        <v>7.7760497667185083E-2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9</v>
      </c>
      <c r="H222" s="48">
        <f t="shared" ref="H222:K222" si="75">H158</f>
        <v>10</v>
      </c>
      <c r="I222" s="48">
        <f t="shared" si="75"/>
        <v>11</v>
      </c>
      <c r="J222" s="48">
        <f t="shared" si="75"/>
        <v>12</v>
      </c>
      <c r="K222" s="48">
        <f t="shared" si="75"/>
        <v>13</v>
      </c>
      <c r="L222" s="48">
        <f t="shared" ref="L222:M222" si="76">L158</f>
        <v>14</v>
      </c>
      <c r="M222" s="48">
        <f t="shared" si="76"/>
        <v>15</v>
      </c>
      <c r="N222" s="198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HLOOKUP($E$3,$P$3:$CI$269,O226,FALSE)</f>
        <v>12.81331330994302</v>
      </c>
      <c r="H226" s="50">
        <f t="shared" ref="H226:K241" si="78">H162*H205</f>
        <v>12.81331330994302</v>
      </c>
      <c r="I226" s="50">
        <f t="shared" si="78"/>
        <v>12.81331330994302</v>
      </c>
      <c r="J226" s="50">
        <f t="shared" si="78"/>
        <v>12.81331330994302</v>
      </c>
      <c r="K226" s="50">
        <f t="shared" si="78"/>
        <v>12.81331330994302</v>
      </c>
      <c r="L226" s="50">
        <f t="shared" ref="L226:M226" si="79">L162*L205</f>
        <v>12.81331330994302</v>
      </c>
      <c r="M226" s="50">
        <f t="shared" si="79"/>
        <v>12.81331330994302</v>
      </c>
      <c r="N226" s="199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-9.2851220528557127E-2</v>
      </c>
      <c r="H227" s="50">
        <f t="shared" si="78"/>
        <v>-9.7034340957183413E-2</v>
      </c>
      <c r="I227" s="50">
        <f t="shared" si="78"/>
        <v>-0.10137853681702959</v>
      </c>
      <c r="J227" s="50">
        <f t="shared" si="78"/>
        <v>-0.15180872527097233</v>
      </c>
      <c r="K227" s="50">
        <f t="shared" si="78"/>
        <v>-0.65357297301674233</v>
      </c>
      <c r="L227" s="50">
        <f t="shared" ref="L227:M227" si="80">L163*L206</f>
        <v>-0.65357297301674233</v>
      </c>
      <c r="M227" s="50">
        <f t="shared" si="80"/>
        <v>-0.65357297301674233</v>
      </c>
      <c r="N227" s="199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-1.002173950668819</v>
      </c>
      <c r="H228" s="50">
        <f t="shared" si="78"/>
        <v>-0.99205316126135756</v>
      </c>
      <c r="I228" s="50">
        <f t="shared" si="78"/>
        <v>-0.99647272416185151</v>
      </c>
      <c r="J228" s="50">
        <f t="shared" si="78"/>
        <v>-0.99205316126135756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9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-0.33384462527417247</v>
      </c>
      <c r="H229" s="50">
        <f t="shared" si="78"/>
        <v>-0.33384462527417247</v>
      </c>
      <c r="I229" s="50">
        <f t="shared" si="78"/>
        <v>-0.33384462527417247</v>
      </c>
      <c r="J229" s="50">
        <f t="shared" si="78"/>
        <v>-0.33384462527417247</v>
      </c>
      <c r="K229" s="50">
        <f t="shared" si="78"/>
        <v>-0.33384462527417247</v>
      </c>
      <c r="L229" s="50">
        <f t="shared" ref="L229:M229" si="82">L165*L208</f>
        <v>-0.33384462527417247</v>
      </c>
      <c r="M229" s="50">
        <f t="shared" si="82"/>
        <v>-0.33384462527417247</v>
      </c>
      <c r="N229" s="199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-0.26990877508946615</v>
      </c>
      <c r="H230" s="50">
        <f t="shared" si="78"/>
        <v>-0.27086766020678854</v>
      </c>
      <c r="I230" s="50">
        <f t="shared" si="78"/>
        <v>-0.26417907275866309</v>
      </c>
      <c r="J230" s="50">
        <f t="shared" si="78"/>
        <v>-0.26610335159529597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9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1.3682870954090621E-3</v>
      </c>
      <c r="H231" s="50">
        <f t="shared" si="78"/>
        <v>1.4943520315336477E-3</v>
      </c>
      <c r="I231" s="50">
        <f t="shared" si="78"/>
        <v>1.6311505048847391E-3</v>
      </c>
      <c r="J231" s="50">
        <f t="shared" si="78"/>
        <v>3.6575937306974112E-3</v>
      </c>
      <c r="K231" s="50">
        <f t="shared" si="78"/>
        <v>6.7793829465210023E-2</v>
      </c>
      <c r="L231" s="50">
        <f t="shared" ref="L231:M231" si="84">L167*L210</f>
        <v>6.7793829465210023E-2</v>
      </c>
      <c r="M231" s="50">
        <f t="shared" si="84"/>
        <v>6.7793829465210023E-2</v>
      </c>
      <c r="N231" s="199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-0.99172624852218993</v>
      </c>
      <c r="H232" s="50">
        <f t="shared" si="78"/>
        <v>-0.9717968316067136</v>
      </c>
      <c r="I232" s="50">
        <f t="shared" si="78"/>
        <v>-0.98047476187604765</v>
      </c>
      <c r="J232" s="50">
        <f t="shared" si="78"/>
        <v>-0.9717968316067136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9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0.58482042597573602</v>
      </c>
      <c r="H233" s="50">
        <f t="shared" si="78"/>
        <v>0.58482042597573602</v>
      </c>
      <c r="I233" s="50">
        <f t="shared" si="78"/>
        <v>0.58482042597573602</v>
      </c>
      <c r="J233" s="50">
        <f t="shared" si="78"/>
        <v>0.58482042597573602</v>
      </c>
      <c r="K233" s="50">
        <f t="shared" si="78"/>
        <v>0.58482042597573602</v>
      </c>
      <c r="L233" s="50">
        <f t="shared" ref="L233:M233" si="86">L169*L212</f>
        <v>0.58482042597573602</v>
      </c>
      <c r="M233" s="50">
        <f t="shared" si="86"/>
        <v>0.58482042597573602</v>
      </c>
      <c r="N233" s="199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0.53890753420165771</v>
      </c>
      <c r="H234" s="50">
        <f t="shared" si="78"/>
        <v>0.54274341041311558</v>
      </c>
      <c r="I234" s="50">
        <f t="shared" si="78"/>
        <v>0.51627021454853617</v>
      </c>
      <c r="J234" s="50">
        <f t="shared" si="78"/>
        <v>0.52381862458430617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9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1.7738774754584938E-2</v>
      </c>
      <c r="H235" s="50">
        <f t="shared" si="78"/>
        <v>1.8350728003411705E-2</v>
      </c>
      <c r="I235" s="50">
        <f t="shared" si="78"/>
        <v>1.9257695992922701E-2</v>
      </c>
      <c r="J235" s="50">
        <f t="shared" si="78"/>
        <v>2.8709430068902166E-2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9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2.9557157651427424E-3</v>
      </c>
      <c r="H236" s="50">
        <f t="shared" si="78"/>
        <v>3.0888762656509582E-3</v>
      </c>
      <c r="I236" s="50">
        <f t="shared" si="78"/>
        <v>3.2271642506308228E-3</v>
      </c>
      <c r="J236" s="50">
        <f t="shared" si="78"/>
        <v>4.8324991315718251E-3</v>
      </c>
      <c r="K236" s="50">
        <f t="shared" si="78"/>
        <v>2.0805067817311725E-2</v>
      </c>
      <c r="L236" s="50">
        <f t="shared" ref="L236:M236" si="89">L172*L215</f>
        <v>2.0805067817311725E-2</v>
      </c>
      <c r="M236" s="50">
        <f t="shared" si="89"/>
        <v>2.0805067817311725E-2</v>
      </c>
      <c r="N236" s="199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3.1076932045402727E-4</v>
      </c>
      <c r="H237" s="50">
        <f t="shared" si="78"/>
        <v>3.2592384394863471E-4</v>
      </c>
      <c r="I237" s="50">
        <f t="shared" si="78"/>
        <v>3.321069370904728E-4</v>
      </c>
      <c r="J237" s="50">
        <f t="shared" si="78"/>
        <v>5.0093409850742658E-4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9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0.60199183059701433</v>
      </c>
      <c r="H238" s="50">
        <f t="shared" si="78"/>
        <v>0.59591241440542542</v>
      </c>
      <c r="I238" s="50">
        <f t="shared" si="78"/>
        <v>0.59856718382856955</v>
      </c>
      <c r="J238" s="50">
        <f t="shared" si="78"/>
        <v>0.59591241440542542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9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0.58171473986072142</v>
      </c>
      <c r="H239" s="50">
        <f t="shared" si="78"/>
        <v>0.57788584356524408</v>
      </c>
      <c r="I239" s="50">
        <f t="shared" si="78"/>
        <v>0.56612688680628209</v>
      </c>
      <c r="J239" s="50">
        <f t="shared" si="78"/>
        <v>0.56772137247683252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9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-1.3189566122160694</v>
      </c>
      <c r="H240" s="50">
        <f t="shared" si="78"/>
        <v>-1.3236423726750568</v>
      </c>
      <c r="I240" s="50">
        <f t="shared" si="78"/>
        <v>-1.290957415921923</v>
      </c>
      <c r="J240" s="50">
        <f t="shared" si="78"/>
        <v>-1.3003607422661041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9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-0.83005974035911712</v>
      </c>
      <c r="H241" s="50">
        <f t="shared" si="78"/>
        <v>-0.8294127556510994</v>
      </c>
      <c r="I241" s="50">
        <f t="shared" si="78"/>
        <v>-0.82884785183749388</v>
      </c>
      <c r="J241" s="50">
        <f t="shared" si="78"/>
        <v>-0.82835033969742478</v>
      </c>
      <c r="K241" s="50">
        <f t="shared" si="78"/>
        <v>-0.84456633440318263</v>
      </c>
      <c r="L241" s="50">
        <f t="shared" ref="L241:M241" si="94">L177*L220</f>
        <v>-0.8607823291089407</v>
      </c>
      <c r="M241" s="50">
        <f t="shared" si="94"/>
        <v>-0.87699832381469855</v>
      </c>
      <c r="N241" s="199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1.4610978132857022E-2</v>
      </c>
      <c r="H242" s="50">
        <f t="shared" ref="H242:K243" si="95">H178*H221</f>
        <v>1.325222249129178E-3</v>
      </c>
      <c r="I242" s="50">
        <f t="shared" si="95"/>
        <v>1.325222249129178E-3</v>
      </c>
      <c r="J242" s="50">
        <f t="shared" si="95"/>
        <v>1.325222249129178E-3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9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0.15451648440338134</v>
      </c>
      <c r="H243" s="50">
        <f t="shared" si="95"/>
        <v>0.1716849826704237</v>
      </c>
      <c r="I243" s="50">
        <f t="shared" si="95"/>
        <v>0.18885348093746609</v>
      </c>
      <c r="J243" s="50">
        <f t="shared" si="95"/>
        <v>0.20602197920450846</v>
      </c>
      <c r="K243" s="50">
        <f t="shared" si="95"/>
        <v>0.22319047747155082</v>
      </c>
      <c r="L243" s="50">
        <f t="shared" ref="L243:M243" si="97">L179*L222</f>
        <v>0.24035897573859322</v>
      </c>
      <c r="M243" s="50">
        <f t="shared" si="97"/>
        <v>0.25752747400563558</v>
      </c>
      <c r="N243" s="199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10.472727677391589</v>
      </c>
      <c r="H245" s="44">
        <f t="shared" ref="H245:K245" si="98">SUM(H226:H243)</f>
        <v>10.492293741734267</v>
      </c>
      <c r="I245" s="44">
        <f t="shared" si="98"/>
        <v>10.497569853327084</v>
      </c>
      <c r="J245" s="44">
        <f t="shared" si="98"/>
        <v>10.486316028896594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5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35338.477992618151</v>
      </c>
      <c r="H246" s="8">
        <f t="shared" ref="H246:K246" si="100">EXP(H245)</f>
        <v>36036.721590752903</v>
      </c>
      <c r="I246" s="8">
        <f t="shared" si="100"/>
        <v>36227.357822086262</v>
      </c>
      <c r="J246" s="8">
        <f t="shared" si="100"/>
        <v>35821.946987469441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126.45318898924809</v>
      </c>
      <c r="H247" s="21">
        <f t="shared" ref="H247:K247" si="102">H137</f>
        <v>129.35275350674215</v>
      </c>
      <c r="I247" s="21">
        <f t="shared" si="102"/>
        <v>132.31880487568148</v>
      </c>
      <c r="J247" s="21">
        <f t="shared" si="102"/>
        <v>135.35286763583352</v>
      </c>
      <c r="K247" s="21">
        <f t="shared" si="102"/>
        <v>135.35286763583352</v>
      </c>
      <c r="L247" s="21">
        <f t="shared" ref="L247:M247" si="103">L137</f>
        <v>135.35286763583352</v>
      </c>
      <c r="M247" s="21">
        <f t="shared" si="103"/>
        <v>135.35286763583352</v>
      </c>
      <c r="N247" s="190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4468663.2361929277</v>
      </c>
      <c r="H248" s="8">
        <f t="shared" ref="H248:K248" si="104">H246*H247</f>
        <v>4661449.1651197532</v>
      </c>
      <c r="I248" s="8">
        <f t="shared" si="104"/>
        <v>4793560.6908221254</v>
      </c>
      <c r="J248" s="8">
        <f t="shared" si="104"/>
        <v>4848603.2490527965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2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90" x14ac:dyDescent="0.2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90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3.5" thickBot="1" x14ac:dyDescent="0.25">
      <c r="A253" s="227" t="s">
        <v>151</v>
      </c>
      <c r="B253" s="227"/>
      <c r="C253" s="227"/>
      <c r="D253" s="227"/>
      <c r="E253" s="227"/>
      <c r="F253" s="227"/>
      <c r="G253" s="227"/>
      <c r="H253" s="227"/>
      <c r="I253" s="227"/>
      <c r="J253" s="227"/>
      <c r="K253" s="227"/>
      <c r="L253" s="227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4416294.127389688</v>
      </c>
      <c r="H256" s="60">
        <f t="shared" ref="H256:K256" si="107">H121</f>
        <v>4659965.646941198</v>
      </c>
      <c r="I256" s="60">
        <f t="shared" si="107"/>
        <v>4885711.9610299757</v>
      </c>
      <c r="J256" s="60">
        <f t="shared" si="107"/>
        <v>4834624.3417817838</v>
      </c>
      <c r="K256" s="60">
        <f t="shared" si="107"/>
        <v>1056826.3408548094</v>
      </c>
      <c r="L256" s="60">
        <f t="shared" ref="L256:M256" si="108">L121</f>
        <v>1053006.2518095737</v>
      </c>
      <c r="M256" s="60">
        <f t="shared" si="108"/>
        <v>1037721.2648515141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4468663.2361929277</v>
      </c>
      <c r="H257" s="60">
        <f t="shared" ref="H257:K257" si="110">H248</f>
        <v>4661449.1651197532</v>
      </c>
      <c r="I257" s="60">
        <f t="shared" si="110"/>
        <v>4793560.6908221254</v>
      </c>
      <c r="J257" s="60">
        <f t="shared" si="110"/>
        <v>4848603.2490527965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-52369.108803239651</v>
      </c>
      <c r="H258" s="25">
        <f t="shared" ref="H258:K258" si="113">H256-H257</f>
        <v>-1483.5181785551831</v>
      </c>
      <c r="I258" s="25">
        <f t="shared" si="113"/>
        <v>92151.270207850263</v>
      </c>
      <c r="J258" s="25">
        <f t="shared" si="113"/>
        <v>-13978.907271012664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91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-1.1719188946503709E-2</v>
      </c>
      <c r="H259" s="61">
        <f t="shared" ref="H259:K259" si="116">H258/H257</f>
        <v>-3.1825257039289653E-4</v>
      </c>
      <c r="I259" s="61">
        <f t="shared" si="116"/>
        <v>1.9223970687235786E-2</v>
      </c>
      <c r="J259" s="61">
        <f t="shared" si="116"/>
        <v>-2.8830792195140994E-3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-1.178839990354383E-2</v>
      </c>
      <c r="H261" s="64">
        <f t="shared" ref="H261:K261" si="118">LN(H256/H257)</f>
        <v>-3.1830322348941429E-4</v>
      </c>
      <c r="I261" s="64">
        <f t="shared" si="118"/>
        <v>1.9041524679320888E-2</v>
      </c>
      <c r="J261" s="64">
        <f t="shared" si="118"/>
        <v>-2.8872432979116093E-3</v>
      </c>
      <c r="K261" s="64" t="e">
        <f t="shared" si="118"/>
        <v>#NUM!</v>
      </c>
      <c r="L261" s="64" t="e">
        <f t="shared" ref="L261:M261" si="119">LN(L256/L257)</f>
        <v>#NUM!</v>
      </c>
      <c r="M261" s="64" t="e">
        <f t="shared" si="119"/>
        <v>#NUM!</v>
      </c>
      <c r="N261" s="64"/>
      <c r="O261" s="114">
        <v>259</v>
      </c>
      <c r="P261" s="114">
        <v>0</v>
      </c>
      <c r="Q261" s="183">
        <v>0.70603191069711846</v>
      </c>
      <c r="R261" s="183">
        <v>9.7302851273268903E-2</v>
      </c>
      <c r="S261" s="183">
        <v>7.9116818658470298E-3</v>
      </c>
      <c r="T261" s="183">
        <v>-0.13566026656147193</v>
      </c>
      <c r="U261" s="183">
        <v>-6.0531179294817661E-2</v>
      </c>
      <c r="V261" s="183">
        <v>-0.10273580479940848</v>
      </c>
      <c r="W261" s="183">
        <v>-3.6171762355483722E-2</v>
      </c>
      <c r="X261" s="183">
        <v>0.12954887332885678</v>
      </c>
      <c r="Y261" s="183">
        <v>-1.178839990354383E-2</v>
      </c>
      <c r="Z261" s="183">
        <v>0.23878141255250601</v>
      </c>
      <c r="AA261" s="183">
        <v>-0.14187073129993855</v>
      </c>
      <c r="AB261" s="183">
        <v>-0.33248359794952609</v>
      </c>
      <c r="AC261" s="183">
        <v>-0.34709538811768975</v>
      </c>
      <c r="AD261" s="183">
        <v>-8.2235750663606749E-2</v>
      </c>
      <c r="AE261" s="183">
        <v>-0.17338453941922083</v>
      </c>
      <c r="AF261" s="183">
        <v>9.9081698234558827E-2</v>
      </c>
      <c r="AG261" s="183">
        <v>7.0076968960318273E-2</v>
      </c>
      <c r="AH261" s="183">
        <v>-0.20361196118985733</v>
      </c>
      <c r="AI261" s="183">
        <v>-0.13480116485236857</v>
      </c>
      <c r="AJ261" s="183">
        <v>0.13983043346236282</v>
      </c>
      <c r="AK261" s="183">
        <v>5.1052990879939683E-2</v>
      </c>
      <c r="AL261" s="183">
        <v>8.012318813172821E-2</v>
      </c>
      <c r="AM261" s="183">
        <v>-0.16981590559649995</v>
      </c>
      <c r="AN261" s="183">
        <v>-3.7508067196586295E-2</v>
      </c>
      <c r="AO261" s="183">
        <v>-0.21390807364979811</v>
      </c>
      <c r="AP261" s="183">
        <v>-0.28160334207753757</v>
      </c>
      <c r="AQ261" s="183">
        <v>-7.4283903775821045E-2</v>
      </c>
      <c r="AR261" s="183">
        <v>-2.0728495983574402E-2</v>
      </c>
      <c r="AS261" s="183">
        <v>-6.1766129420147635E-2</v>
      </c>
      <c r="AT261" s="183">
        <v>-0.68104304591369058</v>
      </c>
      <c r="AU261" s="183">
        <v>-2.9109769391623443E-2</v>
      </c>
      <c r="AV261" s="183">
        <v>0.20347584733324961</v>
      </c>
      <c r="AW261" s="183">
        <v>0.15249207969423123</v>
      </c>
      <c r="AX261" s="183">
        <v>8.5332278337988773E-2</v>
      </c>
      <c r="AY261" s="183">
        <v>-3.8703118930454125E-2</v>
      </c>
      <c r="AZ261" s="183">
        <v>-3.1235094258237218E-2</v>
      </c>
      <c r="BA261" s="183">
        <v>-0.22347261724008805</v>
      </c>
      <c r="BB261" s="183">
        <v>-0.22059548171389978</v>
      </c>
      <c r="BC261" s="183">
        <v>-7.5826148872448346E-2</v>
      </c>
      <c r="BD261" s="183">
        <v>-9.9379610138709898E-2</v>
      </c>
      <c r="BE261" s="183">
        <v>0.13847971310394705</v>
      </c>
      <c r="BF261" s="183">
        <v>2.6932793990189417E-2</v>
      </c>
      <c r="BG261" s="183">
        <v>-0.19301495707109628</v>
      </c>
      <c r="BH261" s="183">
        <v>4.544285653579741E-2</v>
      </c>
      <c r="BI261" s="183">
        <v>-6.5883889446759644E-2</v>
      </c>
      <c r="BJ261" s="183">
        <v>6.9845361050938568E-2</v>
      </c>
      <c r="BK261" s="183">
        <v>-0.42248785768120484</v>
      </c>
      <c r="BL261" s="183">
        <v>6.8902247247756065E-2</v>
      </c>
      <c r="BM261" s="183">
        <v>-7.6480481158966551E-2</v>
      </c>
      <c r="BN261" s="183">
        <v>-7.9807448010616705E-2</v>
      </c>
      <c r="BO261" s="183">
        <v>-0.14945401007620784</v>
      </c>
      <c r="BP261" s="183">
        <v>-9.3384746134531446E-2</v>
      </c>
      <c r="BQ261" s="183">
        <v>0.11039920036442048</v>
      </c>
      <c r="BR261" s="183">
        <v>8.0906502290503404E-2</v>
      </c>
      <c r="BS261" s="183">
        <v>0.16164588870826915</v>
      </c>
      <c r="BT261" s="183">
        <v>0.10577263093813177</v>
      </c>
      <c r="BU261" s="183">
        <v>-4.7918446426578928E-2</v>
      </c>
      <c r="BV261" s="183">
        <v>-4.264729379385946E-2</v>
      </c>
      <c r="BW261" s="183">
        <v>-0.10279460260258678</v>
      </c>
      <c r="BX261" s="183">
        <v>8.6308655856581151E-2</v>
      </c>
      <c r="BY261" s="183">
        <v>-4.7652832167869672E-3</v>
      </c>
      <c r="BZ261" s="183">
        <v>0.51474627393933603</v>
      </c>
      <c r="CA261" s="183">
        <v>-2.6843472228933584E-2</v>
      </c>
      <c r="CB261" s="183">
        <v>-0.45550285863118628</v>
      </c>
      <c r="CC261" s="183">
        <v>8.1979682414906066E-2</v>
      </c>
      <c r="CD261" s="183">
        <v>-0.1865758992943703</v>
      </c>
      <c r="CE261" s="183">
        <v>0.1183000698598986</v>
      </c>
      <c r="CF261" s="183">
        <v>0.33475924181663491</v>
      </c>
      <c r="CG261" s="183">
        <v>-5.9947503055636536E-2</v>
      </c>
      <c r="CH261" s="183">
        <v>-2.6103213552321727E-2</v>
      </c>
      <c r="CI261" s="183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3">
        <v>0.70603191069711846</v>
      </c>
      <c r="R262" s="183">
        <v>9.7302851273268903E-2</v>
      </c>
      <c r="S262" s="183">
        <v>7.9116818658470298E-3</v>
      </c>
      <c r="T262" s="183">
        <v>-0.13566026656147193</v>
      </c>
      <c r="U262" s="183">
        <v>-6.0531179294817661E-2</v>
      </c>
      <c r="V262" s="183">
        <v>-0.10273580479940848</v>
      </c>
      <c r="W262" s="183">
        <v>-3.6171762355483722E-2</v>
      </c>
      <c r="X262" s="183">
        <v>0.12954887332885678</v>
      </c>
      <c r="Y262" s="183">
        <v>-1.178839990354383E-2</v>
      </c>
      <c r="Z262" s="183">
        <v>0.23878141255250601</v>
      </c>
      <c r="AA262" s="183">
        <v>-0.14187073129993855</v>
      </c>
      <c r="AB262" s="183">
        <v>-0.33248359794952609</v>
      </c>
      <c r="AC262" s="183">
        <v>-0.34709538811768975</v>
      </c>
      <c r="AD262" s="183">
        <v>-8.2235750663606749E-2</v>
      </c>
      <c r="AE262" s="183">
        <v>-0.17338453941922083</v>
      </c>
      <c r="AF262" s="183">
        <v>9.9081698234558827E-2</v>
      </c>
      <c r="AG262" s="183">
        <v>7.0076968960318273E-2</v>
      </c>
      <c r="AH262" s="183">
        <v>-0.20361196118985733</v>
      </c>
      <c r="AI262" s="183">
        <v>-0.13480116485236857</v>
      </c>
      <c r="AJ262" s="183">
        <v>0.13983043346236282</v>
      </c>
      <c r="AK262" s="183">
        <v>5.1052990879939683E-2</v>
      </c>
      <c r="AL262" s="183">
        <v>8.012318813172821E-2</v>
      </c>
      <c r="AM262" s="183">
        <v>-0.16981590559649995</v>
      </c>
      <c r="AN262" s="183">
        <v>-3.7508067196586295E-2</v>
      </c>
      <c r="AO262" s="183">
        <v>-0.21390807364979811</v>
      </c>
      <c r="AP262" s="183">
        <v>-0.28160334207753757</v>
      </c>
      <c r="AQ262" s="183">
        <v>-7.4283903775821045E-2</v>
      </c>
      <c r="AR262" s="183">
        <v>-2.0728495983574402E-2</v>
      </c>
      <c r="AS262" s="183">
        <v>-6.1766129420147635E-2</v>
      </c>
      <c r="AT262" s="183">
        <v>-0.68104304591369058</v>
      </c>
      <c r="AU262" s="183">
        <v>-2.9109769391623443E-2</v>
      </c>
      <c r="AV262" s="183">
        <v>0.20347584733324961</v>
      </c>
      <c r="AW262" s="183">
        <v>0.15249207969423123</v>
      </c>
      <c r="AX262" s="183">
        <v>8.5332278337988773E-2</v>
      </c>
      <c r="AY262" s="183">
        <v>-3.8703118930454125E-2</v>
      </c>
      <c r="AZ262" s="183">
        <v>-3.1235094258237218E-2</v>
      </c>
      <c r="BA262" s="183">
        <v>-0.22347261724008805</v>
      </c>
      <c r="BB262" s="183">
        <v>-0.22059548171389978</v>
      </c>
      <c r="BC262" s="183">
        <v>-7.5826148872448346E-2</v>
      </c>
      <c r="BD262" s="183">
        <v>-9.9379610138709898E-2</v>
      </c>
      <c r="BE262" s="183">
        <v>0.13847971310394705</v>
      </c>
      <c r="BF262" s="183">
        <v>2.6932793990189417E-2</v>
      </c>
      <c r="BG262" s="183">
        <v>-0.19301495707109628</v>
      </c>
      <c r="BH262" s="183">
        <v>4.544285653579741E-2</v>
      </c>
      <c r="BI262" s="183">
        <v>-6.5883889446759644E-2</v>
      </c>
      <c r="BJ262" s="183">
        <v>6.9845361050938568E-2</v>
      </c>
      <c r="BK262" s="183">
        <v>-0.42248785768120484</v>
      </c>
      <c r="BL262" s="183">
        <v>6.8902247247756065E-2</v>
      </c>
      <c r="BM262" s="183">
        <v>-7.6480481158966551E-2</v>
      </c>
      <c r="BN262" s="183">
        <v>-7.9807448010616705E-2</v>
      </c>
      <c r="BO262" s="183">
        <v>-0.14945401007620784</v>
      </c>
      <c r="BP262" s="183">
        <v>-9.3384746134531446E-2</v>
      </c>
      <c r="BQ262" s="183">
        <v>0.11039920036442048</v>
      </c>
      <c r="BR262" s="183">
        <v>8.0906502290503404E-2</v>
      </c>
      <c r="BS262" s="183">
        <v>0.16164588870826915</v>
      </c>
      <c r="BT262" s="183">
        <v>0.10577263093813177</v>
      </c>
      <c r="BU262" s="183">
        <v>-4.7918446426578928E-2</v>
      </c>
      <c r="BV262" s="183">
        <v>-4.264729379385946E-2</v>
      </c>
      <c r="BW262" s="183">
        <v>-0.10279460260258678</v>
      </c>
      <c r="BX262" s="183">
        <v>8.6308655856581151E-2</v>
      </c>
      <c r="BY262" s="183">
        <v>-4.7652832167869672E-3</v>
      </c>
      <c r="BZ262" s="183">
        <v>0.51474627393933603</v>
      </c>
      <c r="CA262" s="183">
        <v>-2.6843472228933584E-2</v>
      </c>
      <c r="CB262" s="183">
        <v>-0.45550285863118628</v>
      </c>
      <c r="CC262" s="183">
        <v>8.1979682414906066E-2</v>
      </c>
      <c r="CD262" s="183">
        <v>-0.1865758992943703</v>
      </c>
      <c r="CE262" s="183">
        <v>0.1183000698598986</v>
      </c>
      <c r="CF262" s="183">
        <v>0.33475924181663491</v>
      </c>
      <c r="CG262" s="183">
        <v>-5.9947503055636536E-2</v>
      </c>
      <c r="CH262" s="183">
        <v>-2.6103213552321727E-2</v>
      </c>
      <c r="CI262" s="183">
        <v>0.1947149274489047</v>
      </c>
    </row>
    <row r="263" spans="1:90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3">
        <v>0</v>
      </c>
      <c r="R263" s="183">
        <v>0</v>
      </c>
      <c r="S263" s="183">
        <v>0</v>
      </c>
      <c r="T263" s="183">
        <v>0</v>
      </c>
      <c r="U263" s="183">
        <v>0</v>
      </c>
      <c r="V263" s="183">
        <v>0</v>
      </c>
      <c r="W263" s="183">
        <v>0</v>
      </c>
      <c r="X263" s="183">
        <v>0</v>
      </c>
      <c r="Y263" s="183">
        <v>0</v>
      </c>
      <c r="Z263" s="183">
        <v>0</v>
      </c>
      <c r="AA263" s="183">
        <v>0</v>
      </c>
      <c r="AB263" s="183">
        <v>0</v>
      </c>
      <c r="AC263" s="183">
        <v>0</v>
      </c>
      <c r="AD263" s="183">
        <v>0</v>
      </c>
      <c r="AE263" s="183">
        <v>0</v>
      </c>
      <c r="AF263" s="183">
        <v>0</v>
      </c>
      <c r="AG263" s="183">
        <v>0</v>
      </c>
      <c r="AH263" s="183">
        <v>0</v>
      </c>
      <c r="AI263" s="183">
        <v>0</v>
      </c>
      <c r="AJ263" s="183">
        <v>0</v>
      </c>
      <c r="AK263" s="183">
        <v>0</v>
      </c>
      <c r="AL263" s="183">
        <v>0</v>
      </c>
      <c r="AM263" s="183">
        <v>0</v>
      </c>
      <c r="AN263" s="183">
        <v>0</v>
      </c>
      <c r="AO263" s="183">
        <v>0</v>
      </c>
      <c r="AP263" s="183">
        <v>0</v>
      </c>
      <c r="AQ263" s="183">
        <v>0</v>
      </c>
      <c r="AR263" s="183">
        <v>0</v>
      </c>
      <c r="AS263" s="183">
        <v>0</v>
      </c>
      <c r="AT263" s="183">
        <v>0</v>
      </c>
      <c r="AU263" s="183">
        <v>0</v>
      </c>
      <c r="AV263" s="183">
        <v>0</v>
      </c>
      <c r="AW263" s="183">
        <v>0</v>
      </c>
      <c r="AX263" s="183">
        <v>0</v>
      </c>
      <c r="AY263" s="183">
        <v>0</v>
      </c>
      <c r="AZ263" s="183">
        <v>0</v>
      </c>
      <c r="BA263" s="183">
        <v>0</v>
      </c>
      <c r="BB263" s="183">
        <v>0</v>
      </c>
      <c r="BC263" s="183">
        <v>0</v>
      </c>
      <c r="BD263" s="183">
        <v>0</v>
      </c>
      <c r="BE263" s="183">
        <v>0</v>
      </c>
      <c r="BF263" s="183">
        <v>0</v>
      </c>
      <c r="BG263" s="183">
        <v>0</v>
      </c>
      <c r="BH263" s="183">
        <v>0</v>
      </c>
      <c r="BI263" s="183">
        <v>0</v>
      </c>
      <c r="BJ263" s="183">
        <v>0</v>
      </c>
      <c r="BK263" s="183">
        <v>0</v>
      </c>
      <c r="BL263" s="183">
        <v>0</v>
      </c>
      <c r="BM263" s="183">
        <v>0</v>
      </c>
      <c r="BN263" s="183">
        <v>0</v>
      </c>
      <c r="BO263" s="183">
        <v>0</v>
      </c>
      <c r="BP263" s="183">
        <v>0</v>
      </c>
      <c r="BQ263" s="183">
        <v>0</v>
      </c>
      <c r="BR263" s="183">
        <v>0</v>
      </c>
      <c r="BS263" s="183">
        <v>0</v>
      </c>
      <c r="BT263" s="183">
        <v>0</v>
      </c>
      <c r="BU263" s="183">
        <v>0</v>
      </c>
      <c r="BV263" s="183">
        <v>0</v>
      </c>
      <c r="BW263" s="183">
        <v>0</v>
      </c>
      <c r="BX263" s="183">
        <v>0</v>
      </c>
      <c r="BY263" s="183">
        <v>0</v>
      </c>
      <c r="BZ263" s="183">
        <v>0</v>
      </c>
      <c r="CA263" s="183">
        <v>0</v>
      </c>
      <c r="CB263" s="183">
        <v>0</v>
      </c>
      <c r="CC263" s="183">
        <v>0</v>
      </c>
      <c r="CD263" s="183">
        <v>0</v>
      </c>
      <c r="CE263" s="183">
        <v>0</v>
      </c>
      <c r="CF263" s="183">
        <v>0</v>
      </c>
      <c r="CG263" s="183">
        <v>0</v>
      </c>
      <c r="CH263" s="183">
        <v>0</v>
      </c>
      <c r="CI263" s="183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9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2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9">
    <mergeCell ref="CJ123:CL123"/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0866141732283472" right="0.70866141732283472" top="0.74803149606299213" bottom="0.74803149606299213" header="0.31496062992125984" footer="0.31496062992125984"/>
  <pageSetup scale="19" orientation="landscape" r:id="rId1"/>
  <headerFooter>
    <oddFooter>&amp;C&amp;Z&amp;F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2:Q29"/>
  <sheetViews>
    <sheetView workbookViewId="0">
      <selection activeCell="F12" sqref="F12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2" t="s">
        <v>168</v>
      </c>
      <c r="D2" s="222"/>
      <c r="E2" s="222"/>
      <c r="F2" s="222"/>
      <c r="G2" s="222"/>
      <c r="H2" s="222"/>
      <c r="I2" s="222"/>
      <c r="J2" s="222"/>
      <c r="K2" s="222"/>
    </row>
    <row r="3" spans="3:17" s="92" customFormat="1" ht="23.25" customHeight="1" x14ac:dyDescent="0.25">
      <c r="C3" s="233" t="str">
        <f>'Model Inputs'!F5</f>
        <v>Centre Wellington Hydro Ltd.</v>
      </c>
      <c r="D3" s="233"/>
      <c r="E3" s="233"/>
      <c r="F3" s="233"/>
      <c r="G3" s="233"/>
      <c r="H3" s="233"/>
      <c r="I3" s="233"/>
      <c r="J3" s="233"/>
      <c r="K3" s="233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2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4416294.127389688</v>
      </c>
      <c r="G10" s="86">
        <f>'Benchmarking Calculations'!H121</f>
        <v>4659965.646941198</v>
      </c>
      <c r="H10" s="86">
        <f>'Benchmarking Calculations'!I121</f>
        <v>4885711.9610299757</v>
      </c>
      <c r="I10" s="91">
        <f>IF(ISNUMBER(I12),'Benchmarking Calculations'!J121,"na")</f>
        <v>4834624.3417817838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4468663.2361929277</v>
      </c>
      <c r="G12" s="86">
        <f>'Benchmarking Calculations'!H257</f>
        <v>4661449.1651197532</v>
      </c>
      <c r="H12" s="86">
        <f>'Benchmarking Calculations'!I257</f>
        <v>4793560.6908221254</v>
      </c>
      <c r="I12" s="91">
        <f>IF(ISNUMBER('Benchmarking Calculations'!J257),'Benchmarking Calculations'!J257,"na")</f>
        <v>4848603.2490527965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-52369.108803239651</v>
      </c>
      <c r="G14" s="86">
        <f t="shared" si="0"/>
        <v>-1483.5181785551831</v>
      </c>
      <c r="H14" s="86">
        <f t="shared" si="0"/>
        <v>92151.270207850263</v>
      </c>
      <c r="I14" s="91">
        <f>IF(ISNUMBER(I12),I10-I12,"na")</f>
        <v>-13978.907271012664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167">
        <f>LN(F10/F12)</f>
        <v>-1.178839990354383E-2</v>
      </c>
      <c r="G16" s="167">
        <f t="shared" ref="G16:H16" si="2">LN(G10/G12)</f>
        <v>-3.1830322348941429E-4</v>
      </c>
      <c r="H16" s="167">
        <f t="shared" si="2"/>
        <v>1.9041524679320888E-2</v>
      </c>
      <c r="I16" s="148">
        <f>IF(ISNUMBER(I14),LN(I10/I12),"na")</f>
        <v>-2.8872432979116093E-3</v>
      </c>
      <c r="J16" s="148" t="str">
        <f t="shared" ref="J16:K16" si="3">IF(ISNUMBER(J14),LN(J10/J12),"na")</f>
        <v>na</v>
      </c>
      <c r="K16" s="148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8"/>
      <c r="G17" s="168"/>
      <c r="H17" s="168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9"/>
      <c r="G18" s="169"/>
      <c r="H18" s="169">
        <f>AVERAGE(F16:H16)</f>
        <v>2.3116071840958811E-3</v>
      </c>
      <c r="I18" s="66">
        <f>IF(ISNUMBER(I16),AVERAGE(G16:I16),"na")</f>
        <v>5.2786593859732887E-3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9">
        <f>IF(F16&lt;-0.25,1,IF(F16&lt;-0.1,2,IF(F16&lt;0.1,3,IF(F16&lt;0.25,4,5))))</f>
        <v>3</v>
      </c>
      <c r="G22" s="149">
        <f t="shared" ref="G22" si="5">IF(G16&lt;-0.25,1,IF(G16&lt;-0.1,2,IF(G16&lt;0.1,3,IF(G16&lt;0.25,4,5))))</f>
        <v>3</v>
      </c>
      <c r="H22" s="149">
        <f>IF($H$16&lt;-0.25,1,IF($H$16&lt;-0.1,2,IF($H$16&lt;0.1,3,IF($H$16&lt;0.25,4,5))))</f>
        <v>3</v>
      </c>
      <c r="I22" s="149">
        <f>IF(ISNUMBER(I16),IF(I16&lt;-0.25,1,IF(I16&lt;-0.1,2,IF(I16&lt;0.1,3,IF(I16&lt;0.25,4,5)))),"na")</f>
        <v>3</v>
      </c>
      <c r="J22" s="149" t="str">
        <f t="shared" ref="J22:K22" si="6">IF(ISNUMBER(J16),IF(J16&lt;-0.25,1,IF(J16&lt;-0.1,2,IF(J16&lt;0.1,3,IF(J16&lt;0.25,4,5)))),"na")</f>
        <v>na</v>
      </c>
      <c r="K22" s="149" t="str">
        <f t="shared" si="6"/>
        <v>na</v>
      </c>
    </row>
    <row r="24" spans="4:15" ht="15" x14ac:dyDescent="0.25">
      <c r="E24" t="s">
        <v>155</v>
      </c>
      <c r="H24" s="149">
        <f>IF($H$18&lt;-0.25,1,IF($H$18&lt;-0.1,2,IF($H$18&lt;0.1,3,IF($H$18&lt;0.25,4,5))))</f>
        <v>3</v>
      </c>
    </row>
    <row r="27" spans="4:15" x14ac:dyDescent="0.2">
      <c r="D27" s="11"/>
    </row>
    <row r="29" spans="4:15" x14ac:dyDescent="0.2">
      <c r="F29" s="141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Manuela Ris-Schofield</cp:lastModifiedBy>
  <cp:lastPrinted>2017-04-21T15:16:59Z</cp:lastPrinted>
  <dcterms:created xsi:type="dcterms:W3CDTF">2016-07-20T15:58:10Z</dcterms:created>
  <dcterms:modified xsi:type="dcterms:W3CDTF">2017-04-28T20:50:18Z</dcterms:modified>
</cp:coreProperties>
</file>