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2216"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LRAM'!$B$17:$P$323</definedName>
    <definedName name="_xlnm.Print_Area" localSheetId="6">'5.  2015 LRAM'!$A$1:$Q$134</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J115" i="54" l="1"/>
  <c r="I34" i="43"/>
  <c r="H34" i="43"/>
  <c r="G34" i="43"/>
  <c r="F34" i="43"/>
  <c r="E34" i="43"/>
  <c r="D34" i="43"/>
  <c r="C34" i="43"/>
  <c r="K33" i="43" l="1"/>
  <c r="Q74" i="47" l="1"/>
  <c r="I33" i="43"/>
  <c r="H33" i="43"/>
  <c r="G33" i="43"/>
  <c r="F33" i="43"/>
  <c r="E33" i="43"/>
  <c r="D33" i="43"/>
  <c r="C33" i="43"/>
  <c r="I28" i="47"/>
  <c r="I146" i="46" l="1"/>
  <c r="J228" i="46"/>
  <c r="H226" i="46"/>
  <c r="H146" i="46"/>
  <c r="J70" i="46"/>
  <c r="I68" i="46"/>
  <c r="H68" i="46"/>
  <c r="N114" i="54" l="1"/>
  <c r="P30" i="46" l="1"/>
  <c r="P31" i="46"/>
  <c r="P32" i="46"/>
  <c r="P33" i="46"/>
  <c r="P40" i="46"/>
  <c r="P41" i="46"/>
  <c r="P42" i="46"/>
  <c r="P43" i="46"/>
  <c r="O114" i="54" l="1"/>
  <c r="P114" i="54" s="1"/>
  <c r="H113" i="54"/>
  <c r="I113" i="54"/>
  <c r="P31" i="54"/>
  <c r="P113" i="54" l="1"/>
  <c r="F307" i="46" l="1"/>
  <c r="G307" i="46"/>
  <c r="P68" i="46" l="1"/>
  <c r="I121" i="44"/>
  <c r="I108" i="44"/>
  <c r="I95" i="44"/>
  <c r="I82" i="44"/>
  <c r="I69" i="44"/>
  <c r="P192" i="46" l="1"/>
  <c r="P193" i="46"/>
  <c r="P194" i="46"/>
  <c r="P179" i="46"/>
  <c r="P180" i="46"/>
  <c r="P181" i="46"/>
  <c r="J116" i="54" l="1"/>
  <c r="I226" i="46"/>
  <c r="I227" i="46" s="1"/>
  <c r="H227" i="46"/>
  <c r="I147" i="46"/>
  <c r="I69" i="46"/>
  <c r="M28" i="3" l="1"/>
  <c r="N323" i="46" s="1"/>
  <c r="L28" i="3"/>
  <c r="N322" i="46" s="1"/>
  <c r="K28" i="3"/>
  <c r="N321" i="46" s="1"/>
  <c r="J28" i="3"/>
  <c r="N320" i="46" s="1"/>
  <c r="I28" i="3"/>
  <c r="N319" i="46" s="1"/>
  <c r="H28" i="3"/>
  <c r="N318" i="46" s="1"/>
  <c r="J148" i="46"/>
  <c r="H27" i="3"/>
  <c r="N237" i="46" s="1"/>
  <c r="H26" i="3"/>
  <c r="I157" i="46" s="1"/>
  <c r="H25" i="3"/>
  <c r="N78" i="46" s="1"/>
  <c r="G27" i="3"/>
  <c r="N236" i="46" s="1"/>
  <c r="G26" i="3"/>
  <c r="I156" i="46" s="1"/>
  <c r="G25" i="3"/>
  <c r="N77" i="46" s="1"/>
  <c r="T27" i="3"/>
  <c r="L237" i="46" s="1"/>
  <c r="U27" i="3"/>
  <c r="L238" i="46" s="1"/>
  <c r="V27" i="3"/>
  <c r="M239" i="46" s="1"/>
  <c r="W27" i="3"/>
  <c r="L240" i="46" s="1"/>
  <c r="X27" i="3"/>
  <c r="L241" i="46" s="1"/>
  <c r="Y27" i="3"/>
  <c r="L242" i="46" s="1"/>
  <c r="S27" i="3"/>
  <c r="L236" i="46" s="1"/>
  <c r="I27" i="3"/>
  <c r="H238" i="46" s="1"/>
  <c r="J27" i="3"/>
  <c r="N239" i="46" s="1"/>
  <c r="K27" i="3"/>
  <c r="H240" i="46" s="1"/>
  <c r="L27" i="3"/>
  <c r="H241" i="46" s="1"/>
  <c r="M27" i="3"/>
  <c r="I242" i="46" s="1"/>
  <c r="K26" i="3"/>
  <c r="N160" i="46" s="1"/>
  <c r="M26" i="3"/>
  <c r="I162" i="46" s="1"/>
  <c r="Y28" i="3"/>
  <c r="M323" i="46" s="1"/>
  <c r="Y26" i="3"/>
  <c r="L162" i="46" s="1"/>
  <c r="W26" i="3"/>
  <c r="L160" i="46" s="1"/>
  <c r="U26" i="3"/>
  <c r="M158" i="46" s="1"/>
  <c r="U25" i="3"/>
  <c r="L79" i="46" s="1"/>
  <c r="W25" i="3"/>
  <c r="M81" i="46" s="1"/>
  <c r="Y25" i="3"/>
  <c r="M83" i="46" s="1"/>
  <c r="U28" i="3"/>
  <c r="L319" i="46" s="1"/>
  <c r="V28" i="3"/>
  <c r="L320" i="46" s="1"/>
  <c r="W28" i="3"/>
  <c r="L321" i="46" s="1"/>
  <c r="X28" i="3"/>
  <c r="M322" i="46" s="1"/>
  <c r="T25" i="3"/>
  <c r="L78" i="46" s="1"/>
  <c r="V25" i="3"/>
  <c r="M80" i="46" s="1"/>
  <c r="X25" i="3"/>
  <c r="M82" i="46" s="1"/>
  <c r="T26" i="3"/>
  <c r="M157" i="46" s="1"/>
  <c r="V26" i="3"/>
  <c r="L159" i="46" s="1"/>
  <c r="X26" i="3"/>
  <c r="L161" i="46" s="1"/>
  <c r="T28" i="3"/>
  <c r="M318" i="46" s="1"/>
  <c r="L26" i="3"/>
  <c r="I161" i="46" s="1"/>
  <c r="I26" i="3"/>
  <c r="N158" i="46" s="1"/>
  <c r="J26" i="3"/>
  <c r="N159" i="46" s="1"/>
  <c r="J25" i="3"/>
  <c r="N80" i="46" s="1"/>
  <c r="I25" i="3"/>
  <c r="N79" i="46" s="1"/>
  <c r="K25" i="3"/>
  <c r="N81" i="46" s="1"/>
  <c r="L25" i="3"/>
  <c r="I82" i="46" s="1"/>
  <c r="M25" i="3"/>
  <c r="N83" i="46" s="1"/>
  <c r="L157" i="46" l="1"/>
  <c r="M78" i="46"/>
  <c r="M238" i="46"/>
  <c r="L158" i="46"/>
  <c r="M159" i="46"/>
  <c r="L80" i="46"/>
  <c r="L239" i="46"/>
  <c r="L323" i="46"/>
  <c r="N240" i="46"/>
  <c r="H239" i="46"/>
  <c r="N241" i="46"/>
  <c r="I77" i="46"/>
  <c r="N156" i="46"/>
  <c r="M240" i="46"/>
  <c r="I79" i="46"/>
  <c r="L81" i="46"/>
  <c r="N161" i="46"/>
  <c r="H242" i="46"/>
  <c r="M241" i="46"/>
  <c r="N242" i="46"/>
  <c r="I80" i="46"/>
  <c r="L82" i="46"/>
  <c r="I160" i="46"/>
  <c r="H236" i="46"/>
  <c r="I237" i="46"/>
  <c r="M242" i="46"/>
  <c r="L83" i="46"/>
  <c r="H237" i="46"/>
  <c r="I239" i="46"/>
  <c r="L322" i="46"/>
  <c r="M160" i="46"/>
  <c r="M161" i="46"/>
  <c r="M319" i="46"/>
  <c r="M162" i="46"/>
  <c r="M236" i="46"/>
  <c r="L318" i="46"/>
  <c r="M320" i="46"/>
  <c r="M237" i="46"/>
  <c r="M321" i="46"/>
  <c r="M79" i="46"/>
  <c r="I78" i="46"/>
  <c r="I83" i="46"/>
  <c r="I158" i="46"/>
  <c r="N238" i="46"/>
  <c r="I159" i="46"/>
  <c r="N162" i="46"/>
  <c r="I236" i="46"/>
  <c r="N157" i="46"/>
  <c r="N82" i="46"/>
  <c r="I240" i="46"/>
  <c r="I81" i="46"/>
  <c r="I241" i="46"/>
  <c r="I238" i="46"/>
  <c r="V48" i="3"/>
  <c r="V44" i="3"/>
  <c r="U44" i="3"/>
  <c r="T44" i="3"/>
  <c r="S44" i="3"/>
  <c r="M129" i="54" l="1"/>
  <c r="L129" i="54"/>
  <c r="M130" i="54"/>
  <c r="L130" i="54"/>
  <c r="M131" i="54"/>
  <c r="L131" i="54"/>
  <c r="L132" i="54"/>
  <c r="M132" i="54"/>
  <c r="J309" i="46"/>
  <c r="J310" i="46" s="1"/>
  <c r="F25" i="3"/>
  <c r="E25" i="3"/>
  <c r="K70" i="46"/>
  <c r="K51" i="44"/>
  <c r="K71" i="46" l="1"/>
  <c r="J322" i="46"/>
  <c r="J321" i="46"/>
  <c r="J318" i="46"/>
  <c r="J323" i="46"/>
  <c r="J320" i="46"/>
  <c r="J319" i="46"/>
  <c r="K83" i="46"/>
  <c r="K82" i="46"/>
  <c r="K81" i="46"/>
  <c r="K80" i="46"/>
  <c r="K79" i="46"/>
  <c r="K78" i="46"/>
  <c r="K115" i="54"/>
  <c r="P115" i="54" s="1"/>
  <c r="H69" i="46"/>
  <c r="H75" i="46" s="1"/>
  <c r="V47" i="3"/>
  <c r="V46" i="3"/>
  <c r="V45" i="3"/>
  <c r="I44" i="3"/>
  <c r="F44" i="3"/>
  <c r="S26" i="3"/>
  <c r="R26" i="3"/>
  <c r="S25" i="3"/>
  <c r="R25" i="3"/>
  <c r="L76" i="46" s="1"/>
  <c r="F26" i="3"/>
  <c r="N76" i="46"/>
  <c r="N75" i="46"/>
  <c r="K309" i="46"/>
  <c r="K310" i="46" s="1"/>
  <c r="I307" i="46"/>
  <c r="I308" i="46" s="1"/>
  <c r="H307" i="46"/>
  <c r="H308" i="46" s="1"/>
  <c r="K228" i="46"/>
  <c r="K229" i="46" s="1"/>
  <c r="J229" i="46"/>
  <c r="K148" i="46"/>
  <c r="K149" i="46" s="1"/>
  <c r="J149" i="46"/>
  <c r="J71" i="46"/>
  <c r="H147" i="46"/>
  <c r="I129" i="54" l="1"/>
  <c r="N129" i="54"/>
  <c r="I132" i="54"/>
  <c r="N132" i="54"/>
  <c r="L156" i="46"/>
  <c r="M156" i="46"/>
  <c r="L77" i="46"/>
  <c r="M77" i="46"/>
  <c r="K77" i="46"/>
  <c r="I320" i="46"/>
  <c r="I319" i="46"/>
  <c r="I318" i="46"/>
  <c r="I323" i="46"/>
  <c r="I322" i="46"/>
  <c r="I321" i="46"/>
  <c r="K323" i="46"/>
  <c r="K322" i="46"/>
  <c r="K319" i="46"/>
  <c r="K318" i="46"/>
  <c r="K321" i="46"/>
  <c r="K320" i="46"/>
  <c r="H318" i="46"/>
  <c r="H323" i="46"/>
  <c r="H320" i="46"/>
  <c r="H319" i="46"/>
  <c r="H322" i="46"/>
  <c r="H321" i="46"/>
  <c r="J160" i="46"/>
  <c r="J157" i="46"/>
  <c r="J156" i="46"/>
  <c r="J162" i="46"/>
  <c r="J161" i="46"/>
  <c r="J159" i="46"/>
  <c r="J158" i="46"/>
  <c r="K160" i="46"/>
  <c r="K159" i="46"/>
  <c r="K157" i="46"/>
  <c r="K156" i="46"/>
  <c r="K162" i="46"/>
  <c r="K161" i="46"/>
  <c r="K158" i="46"/>
  <c r="H159" i="46"/>
  <c r="H158" i="46"/>
  <c r="H157" i="46"/>
  <c r="H156" i="46"/>
  <c r="H162" i="46"/>
  <c r="H161" i="46"/>
  <c r="H160" i="46"/>
  <c r="J83" i="46"/>
  <c r="J82" i="46"/>
  <c r="J81" i="46"/>
  <c r="J80" i="46"/>
  <c r="J79" i="46"/>
  <c r="J78" i="46"/>
  <c r="J77" i="46"/>
  <c r="H82" i="46"/>
  <c r="H81" i="46"/>
  <c r="H80" i="46"/>
  <c r="H79" i="46"/>
  <c r="H78" i="46"/>
  <c r="H77" i="46"/>
  <c r="H83" i="46"/>
  <c r="H132" i="54"/>
  <c r="K116" i="54"/>
  <c r="J242" i="46"/>
  <c r="J238" i="46"/>
  <c r="J240" i="46"/>
  <c r="J241" i="46"/>
  <c r="J237" i="46"/>
  <c r="J236" i="46"/>
  <c r="J239" i="46"/>
  <c r="K239" i="46"/>
  <c r="K241" i="46"/>
  <c r="K240" i="46"/>
  <c r="K242" i="46"/>
  <c r="K238" i="46"/>
  <c r="K237" i="46"/>
  <c r="K236" i="46"/>
  <c r="K155" i="46"/>
  <c r="I155" i="46"/>
  <c r="H129" i="54"/>
  <c r="M76" i="46"/>
  <c r="J155" i="46"/>
  <c r="K76" i="46"/>
  <c r="J76" i="46"/>
  <c r="I75" i="46"/>
  <c r="I76" i="46"/>
  <c r="H76" i="46"/>
  <c r="C52" i="44"/>
  <c r="C53" i="44" s="1"/>
  <c r="K103" i="44"/>
  <c r="K129" i="54" l="1"/>
  <c r="K132" i="54"/>
  <c r="K131" i="54"/>
  <c r="K130" i="54"/>
  <c r="J132" i="54"/>
  <c r="J130" i="54"/>
  <c r="J129" i="54"/>
  <c r="J131" i="54"/>
  <c r="F104" i="44"/>
  <c r="F105" i="44" s="1"/>
  <c r="C104" i="44"/>
  <c r="C105" i="44" s="1"/>
  <c r="E104" i="44"/>
  <c r="E105" i="44" s="1"/>
  <c r="D104" i="44"/>
  <c r="D105" i="44" s="1"/>
  <c r="I104" i="44"/>
  <c r="I105" i="44" s="1"/>
  <c r="I109" i="44" s="1"/>
  <c r="I110"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l="1"/>
  <c r="C40" i="44" s="1"/>
  <c r="H39" i="44"/>
  <c r="H40" i="44" s="1"/>
  <c r="K104" i="44"/>
  <c r="E91" i="44"/>
  <c r="E92" i="44" s="1"/>
  <c r="D91" i="44"/>
  <c r="D92" i="44" s="1"/>
  <c r="C91" i="44"/>
  <c r="C92" i="44" s="1"/>
  <c r="F91" i="44"/>
  <c r="F92" i="44" s="1"/>
  <c r="G91" i="44"/>
  <c r="G92" i="44" s="1"/>
  <c r="H91" i="44"/>
  <c r="H92" i="44" s="1"/>
  <c r="I91" i="44"/>
  <c r="G39" i="44"/>
  <c r="G40" i="44" s="1"/>
  <c r="D39" i="44"/>
  <c r="D40" i="44" s="1"/>
  <c r="F39" i="44"/>
  <c r="F40" i="44" s="1"/>
  <c r="E39" i="44"/>
  <c r="E40" i="44" s="1"/>
  <c r="I39" i="44"/>
  <c r="I40" i="44" s="1"/>
  <c r="E69" i="44"/>
  <c r="I92" i="44" l="1"/>
  <c r="I96" i="44" s="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I97" i="44" l="1"/>
  <c r="I30" i="44"/>
  <c r="P85" i="6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I122" i="44" s="1"/>
  <c r="I123" i="44" s="1"/>
  <c r="C117" i="44"/>
  <c r="C118" i="44" s="1"/>
  <c r="K95" i="44"/>
  <c r="K108" i="44"/>
  <c r="K121" i="44"/>
  <c r="F56" i="44"/>
  <c r="K117" i="44" l="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I39" i="45" s="1"/>
  <c r="H19" i="45"/>
  <c r="G19" i="45"/>
  <c r="F19" i="45"/>
  <c r="E19" i="45"/>
  <c r="G34" i="45" l="1"/>
  <c r="G33" i="45"/>
  <c r="J116" i="59"/>
  <c r="T45" i="3"/>
  <c r="T46" i="3"/>
  <c r="H33" i="45"/>
  <c r="H312" i="46" s="1"/>
  <c r="D119" i="44"/>
  <c r="E33" i="45"/>
  <c r="E34" i="45"/>
  <c r="D133" i="44" s="1"/>
  <c r="D22" i="43" s="1"/>
  <c r="E35" i="45"/>
  <c r="E36" i="45"/>
  <c r="E37" i="45"/>
  <c r="E38" i="45"/>
  <c r="M73" i="46" s="1"/>
  <c r="E39" i="45"/>
  <c r="I133" i="44" s="1"/>
  <c r="I22" i="43" s="1"/>
  <c r="F33" i="45"/>
  <c r="F34" i="45"/>
  <c r="F35" i="45"/>
  <c r="J151" i="46" s="1"/>
  <c r="J153" i="46" s="1"/>
  <c r="F36" i="45"/>
  <c r="F37" i="45"/>
  <c r="L151" i="46" s="1"/>
  <c r="L153" i="46" s="1"/>
  <c r="F38" i="45"/>
  <c r="F39" i="45"/>
  <c r="N151" i="46" s="1"/>
  <c r="N153" i="46" s="1"/>
  <c r="Q25" i="3"/>
  <c r="L75" i="46" s="1"/>
  <c r="I231" i="46"/>
  <c r="I234" i="46" s="1"/>
  <c r="G35" i="45"/>
  <c r="J231" i="46" s="1"/>
  <c r="G36" i="45"/>
  <c r="K231" i="46" s="1"/>
  <c r="G37" i="45"/>
  <c r="L231" i="46" s="1"/>
  <c r="G38" i="45"/>
  <c r="G39" i="45"/>
  <c r="M155" i="46"/>
  <c r="H34" i="45"/>
  <c r="I312" i="46" s="1"/>
  <c r="H35" i="45"/>
  <c r="H36" i="45"/>
  <c r="H37" i="45"/>
  <c r="L312" i="46" s="1"/>
  <c r="H38" i="45"/>
  <c r="M312" i="46" s="1"/>
  <c r="H39" i="45"/>
  <c r="I33" i="45"/>
  <c r="H120" i="54" s="1"/>
  <c r="I34" i="45"/>
  <c r="I120" i="54" s="1"/>
  <c r="I37" i="45"/>
  <c r="L120" i="54" s="1"/>
  <c r="I38" i="45"/>
  <c r="M120" i="54" s="1"/>
  <c r="N120" i="54"/>
  <c r="N125"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20"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5" i="46"/>
  <c r="P104" i="46"/>
  <c r="P303" i="46"/>
  <c r="P302" i="46"/>
  <c r="P296" i="46"/>
  <c r="P295" i="46"/>
  <c r="P294" i="46"/>
  <c r="P293" i="46"/>
  <c r="P292" i="46"/>
  <c r="P287" i="46"/>
  <c r="P281" i="46"/>
  <c r="P280" i="46"/>
  <c r="P279" i="46"/>
  <c r="P278" i="46"/>
  <c r="P277" i="46"/>
  <c r="P271" i="46"/>
  <c r="P270" i="46"/>
  <c r="P269" i="46"/>
  <c r="P268" i="46"/>
  <c r="P267" i="46"/>
  <c r="P266" i="46"/>
  <c r="P265" i="46"/>
  <c r="P264" i="46"/>
  <c r="P258" i="46"/>
  <c r="P257" i="46"/>
  <c r="P256" i="46"/>
  <c r="P255" i="46"/>
  <c r="P254" i="46"/>
  <c r="P253" i="46"/>
  <c r="P252" i="46"/>
  <c r="P251" i="46"/>
  <c r="P250" i="46"/>
  <c r="P222" i="46"/>
  <c r="P221" i="46"/>
  <c r="P216" i="46"/>
  <c r="P215" i="46"/>
  <c r="P214" i="46"/>
  <c r="P213" i="46"/>
  <c r="P212" i="46"/>
  <c r="P207" i="46"/>
  <c r="P201" i="46"/>
  <c r="P200" i="46"/>
  <c r="P199" i="46"/>
  <c r="P198" i="46"/>
  <c r="P197" i="46"/>
  <c r="P191" i="46"/>
  <c r="P190" i="46"/>
  <c r="P189" i="46"/>
  <c r="P188" i="46"/>
  <c r="P187" i="46"/>
  <c r="P186" i="46"/>
  <c r="P185" i="46"/>
  <c r="P184" i="46"/>
  <c r="P178" i="46"/>
  <c r="P177" i="46"/>
  <c r="P176" i="46"/>
  <c r="P175" i="46"/>
  <c r="P174" i="46"/>
  <c r="P173" i="46"/>
  <c r="P172" i="46"/>
  <c r="P171" i="46"/>
  <c r="P170" i="46"/>
  <c r="G56" i="44"/>
  <c r="H56" i="44"/>
  <c r="P142" i="46"/>
  <c r="P141" i="46"/>
  <c r="P135" i="46"/>
  <c r="P134" i="46"/>
  <c r="P133" i="46"/>
  <c r="P132" i="46"/>
  <c r="P131" i="46"/>
  <c r="P126" i="46"/>
  <c r="P120" i="46"/>
  <c r="P119" i="46"/>
  <c r="P118" i="46"/>
  <c r="P117" i="46"/>
  <c r="P116" i="46"/>
  <c r="P111" i="46"/>
  <c r="P110" i="46"/>
  <c r="P109" i="46"/>
  <c r="P108" i="46"/>
  <c r="P107" i="46"/>
  <c r="P106" i="46"/>
  <c r="P99" i="46"/>
  <c r="P98" i="46"/>
  <c r="P97" i="46"/>
  <c r="P96" i="46"/>
  <c r="P95" i="46"/>
  <c r="P94" i="46"/>
  <c r="P93" i="46"/>
  <c r="P92" i="46"/>
  <c r="P91" i="46"/>
  <c r="I35" i="45"/>
  <c r="J120" i="54" s="1"/>
  <c r="H82" i="44"/>
  <c r="G82" i="44"/>
  <c r="F82" i="44"/>
  <c r="E82" i="44"/>
  <c r="K77" i="44"/>
  <c r="I78" i="44" s="1"/>
  <c r="I79" i="44" s="1"/>
  <c r="H69" i="44"/>
  <c r="G69" i="44"/>
  <c r="F69" i="44"/>
  <c r="K64" i="44"/>
  <c r="P63" i="46"/>
  <c r="Q15" i="47"/>
  <c r="J15" i="47"/>
  <c r="K15" i="47"/>
  <c r="L15" i="47"/>
  <c r="M15" i="47"/>
  <c r="N15" i="47"/>
  <c r="O15" i="47"/>
  <c r="I15" i="47"/>
  <c r="P62" i="46"/>
  <c r="P61" i="46"/>
  <c r="P60" i="46"/>
  <c r="P55" i="46"/>
  <c r="P50" i="46"/>
  <c r="P49" i="46"/>
  <c r="P48" i="46"/>
  <c r="P47" i="46"/>
  <c r="P46" i="46"/>
  <c r="P39" i="46"/>
  <c r="P38" i="46"/>
  <c r="P37" i="46"/>
  <c r="P36" i="46"/>
  <c r="P35" i="46"/>
  <c r="P23" i="46"/>
  <c r="P24" i="46"/>
  <c r="P25" i="46"/>
  <c r="P26" i="46"/>
  <c r="P27" i="46"/>
  <c r="P28" i="46"/>
  <c r="P29" i="46"/>
  <c r="P22" i="46"/>
  <c r="P20" i="46"/>
  <c r="C26" i="45"/>
  <c r="C39" i="45" s="1"/>
  <c r="C25" i="45"/>
  <c r="C38" i="45" s="1"/>
  <c r="C24" i="45"/>
  <c r="C37" i="45" s="1"/>
  <c r="C23" i="45"/>
  <c r="C36" i="45" s="1"/>
  <c r="C21" i="45"/>
  <c r="C34" i="45" s="1"/>
  <c r="C22" i="45"/>
  <c r="C35" i="45" s="1"/>
  <c r="C20" i="45"/>
  <c r="C33" i="45" s="1"/>
  <c r="D24" i="44"/>
  <c r="B21" i="45" s="1"/>
  <c r="B34" i="45" s="1"/>
  <c r="E24" i="44"/>
  <c r="B22" i="45" s="1"/>
  <c r="B35" i="45" s="1"/>
  <c r="F24" i="44"/>
  <c r="G24" i="44"/>
  <c r="B24" i="45" s="1"/>
  <c r="B37" i="45" s="1"/>
  <c r="H24" i="44"/>
  <c r="B25" i="45" s="1"/>
  <c r="B38" i="45" s="1"/>
  <c r="I24" i="44"/>
  <c r="C24" i="44"/>
  <c r="J131" i="44"/>
  <c r="N231" i="46" l="1"/>
  <c r="H151" i="46"/>
  <c r="H153" i="46" s="1"/>
  <c r="C134" i="44"/>
  <c r="M125" i="54"/>
  <c r="M121" i="54"/>
  <c r="H124" i="59"/>
  <c r="P113" i="58"/>
  <c r="J127" i="58"/>
  <c r="J123" i="59" s="1"/>
  <c r="L125" i="57"/>
  <c r="L123" i="58" s="1"/>
  <c r="M128" i="54"/>
  <c r="M121" i="57" s="1"/>
  <c r="L128" i="54"/>
  <c r="L121" i="57" s="1"/>
  <c r="L123" i="57" s="1"/>
  <c r="J128" i="54"/>
  <c r="J122" i="58" s="1"/>
  <c r="K128" i="54"/>
  <c r="K122" i="58" s="1"/>
  <c r="N131" i="54"/>
  <c r="I131" i="54"/>
  <c r="I121" i="60" s="1"/>
  <c r="H131" i="54"/>
  <c r="H121" i="60" s="1"/>
  <c r="I130" i="54"/>
  <c r="I121" i="59" s="1"/>
  <c r="N130" i="54"/>
  <c r="N121" i="59" s="1"/>
  <c r="H130" i="54"/>
  <c r="H121" i="59" s="1"/>
  <c r="N127" i="59"/>
  <c r="N124" i="60" s="1"/>
  <c r="N128" i="54"/>
  <c r="N122" i="58" s="1"/>
  <c r="I128" i="54"/>
  <c r="I121" i="57" s="1"/>
  <c r="H128" i="54"/>
  <c r="H121" i="57" s="1"/>
  <c r="I129" i="58"/>
  <c r="I123" i="61" s="1"/>
  <c r="H314" i="46"/>
  <c r="H313" i="46"/>
  <c r="L122" i="54"/>
  <c r="L123" i="54"/>
  <c r="L121" i="54"/>
  <c r="L124" i="54"/>
  <c r="I123" i="54"/>
  <c r="I121" i="54"/>
  <c r="I124" i="54"/>
  <c r="I122" i="54"/>
  <c r="I125" i="54"/>
  <c r="N122" i="54"/>
  <c r="N124" i="54"/>
  <c r="N123" i="54"/>
  <c r="N121" i="54"/>
  <c r="K124" i="54"/>
  <c r="K122" i="54"/>
  <c r="K121" i="54"/>
  <c r="K125" i="54"/>
  <c r="K123" i="54"/>
  <c r="M124" i="54"/>
  <c r="M123" i="54"/>
  <c r="M122" i="54"/>
  <c r="H123" i="54"/>
  <c r="H122" i="54"/>
  <c r="H121" i="54"/>
  <c r="H124" i="54"/>
  <c r="H125" i="54"/>
  <c r="J122" i="54"/>
  <c r="J124" i="54"/>
  <c r="J121" i="54"/>
  <c r="J125" i="54"/>
  <c r="J123" i="54"/>
  <c r="M75" i="46"/>
  <c r="K75" i="46"/>
  <c r="J75" i="46"/>
  <c r="J152" i="46" s="1"/>
  <c r="L125" i="54"/>
  <c r="H316" i="46"/>
  <c r="H315" i="46"/>
  <c r="H231" i="46"/>
  <c r="H234" i="46" s="1"/>
  <c r="M74" i="46"/>
  <c r="H23" i="43" s="1"/>
  <c r="H73" i="46"/>
  <c r="C133" i="44"/>
  <c r="C78" i="44"/>
  <c r="C79" i="44" s="1"/>
  <c r="F78" i="44"/>
  <c r="F79" i="44" s="1"/>
  <c r="D78" i="44"/>
  <c r="E78" i="44"/>
  <c r="E79" i="44" s="1"/>
  <c r="G78" i="44"/>
  <c r="H78" i="44"/>
  <c r="C65" i="44"/>
  <c r="C66" i="44" s="1"/>
  <c r="C28" i="44" s="1"/>
  <c r="G65" i="44"/>
  <c r="H65" i="44"/>
  <c r="H66" i="44" s="1"/>
  <c r="I65" i="44"/>
  <c r="E65" i="44"/>
  <c r="E66" i="44" s="1"/>
  <c r="D65" i="44"/>
  <c r="D66" i="44" s="1"/>
  <c r="F65" i="44"/>
  <c r="F66" i="44" s="1"/>
  <c r="K69" i="44"/>
  <c r="L232" i="46"/>
  <c r="J232" i="46"/>
  <c r="N155" i="46"/>
  <c r="N233" i="46" s="1"/>
  <c r="I233" i="46"/>
  <c r="H155" i="46"/>
  <c r="I314" i="46"/>
  <c r="I313" i="46"/>
  <c r="I232" i="46"/>
  <c r="J234" i="46"/>
  <c r="I128" i="60"/>
  <c r="I125" i="61" s="1"/>
  <c r="M315" i="46"/>
  <c r="H129" i="58"/>
  <c r="H123" i="61" s="1"/>
  <c r="L315" i="46"/>
  <c r="I127" i="59"/>
  <c r="I124" i="60" s="1"/>
  <c r="P309"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2" i="46"/>
  <c r="J316" i="46" s="1"/>
  <c r="K233" i="46"/>
  <c r="K105" i="44"/>
  <c r="E19" i="44" s="1"/>
  <c r="E122" i="44"/>
  <c r="E20" i="44"/>
  <c r="F52" i="44"/>
  <c r="I52" i="44"/>
  <c r="D52" i="44"/>
  <c r="I41" i="44"/>
  <c r="K82" i="44"/>
  <c r="G52" i="44"/>
  <c r="I73" i="46"/>
  <c r="I74" i="46" s="1"/>
  <c r="L73" i="46"/>
  <c r="C41" i="44"/>
  <c r="D41" i="44"/>
  <c r="H52" i="44"/>
  <c r="H53" i="44" s="1"/>
  <c r="E52" i="44"/>
  <c r="K121" i="59"/>
  <c r="N123" i="58"/>
  <c r="K127" i="58"/>
  <c r="K123" i="59" s="1"/>
  <c r="I128" i="59"/>
  <c r="I124" i="61" s="1"/>
  <c r="H128" i="59"/>
  <c r="H124" i="61" s="1"/>
  <c r="M313" i="46"/>
  <c r="I127" i="57"/>
  <c r="I122" i="60" s="1"/>
  <c r="L313" i="46"/>
  <c r="L155" i="46"/>
  <c r="L233" i="46" s="1"/>
  <c r="M127" i="59"/>
  <c r="M124" i="60" s="1"/>
  <c r="N128" i="60"/>
  <c r="N125" i="61" s="1"/>
  <c r="K128" i="60"/>
  <c r="K125" i="61" s="1"/>
  <c r="M125" i="57"/>
  <c r="M123" i="58" s="1"/>
  <c r="H125" i="57"/>
  <c r="H123" i="58" s="1"/>
  <c r="N128" i="58"/>
  <c r="N123" i="60" s="1"/>
  <c r="K129" i="58"/>
  <c r="K123" i="61" s="1"/>
  <c r="K127" i="59"/>
  <c r="K124" i="60" s="1"/>
  <c r="J128" i="59"/>
  <c r="J124" i="61" s="1"/>
  <c r="I121" i="61"/>
  <c r="I315" i="46"/>
  <c r="L127" i="59"/>
  <c r="L124" i="60" s="1"/>
  <c r="J128" i="58"/>
  <c r="J123" i="60" s="1"/>
  <c r="I128" i="58"/>
  <c r="I123" i="60" s="1"/>
  <c r="J125" i="57"/>
  <c r="J123" i="58" s="1"/>
  <c r="I125" i="57"/>
  <c r="I123" i="58" s="1"/>
  <c r="L122" i="60"/>
  <c r="L121" i="60"/>
  <c r="L123" i="60"/>
  <c r="I126" i="61"/>
  <c r="L124" i="58"/>
  <c r="N73" i="46"/>
  <c r="P307" i="46"/>
  <c r="P148" i="46"/>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6" i="46"/>
  <c r="P146" i="46"/>
  <c r="P228" i="46"/>
  <c r="P226" i="46"/>
  <c r="P70" i="46"/>
  <c r="N232" i="46"/>
  <c r="L234" i="46"/>
  <c r="N152" i="46"/>
  <c r="N154" i="46" s="1"/>
  <c r="I26" i="43" s="1"/>
  <c r="N234" i="46"/>
  <c r="B20" i="45"/>
  <c r="B33" i="45" s="1"/>
  <c r="B26" i="45"/>
  <c r="B39" i="45" s="1"/>
  <c r="B23" i="45"/>
  <c r="B36" i="45" s="1"/>
  <c r="I124" i="58"/>
  <c r="K126" i="61"/>
  <c r="N122" i="61"/>
  <c r="N124" i="61"/>
  <c r="N123" i="61"/>
  <c r="N121" i="61"/>
  <c r="N126" i="61"/>
  <c r="L121" i="61"/>
  <c r="L124" i="61"/>
  <c r="L122" i="61"/>
  <c r="L123" i="61"/>
  <c r="K125" i="60"/>
  <c r="L121" i="59"/>
  <c r="L122" i="59"/>
  <c r="L124" i="59"/>
  <c r="L123" i="59"/>
  <c r="K312" i="46"/>
  <c r="M231" i="46"/>
  <c r="M151" i="46"/>
  <c r="M123" i="61"/>
  <c r="K232" i="46"/>
  <c r="K234" i="46"/>
  <c r="K151" i="46"/>
  <c r="M314" i="46"/>
  <c r="M124" i="61"/>
  <c r="M122" i="60"/>
  <c r="M123" i="60"/>
  <c r="M125" i="60"/>
  <c r="N123" i="59"/>
  <c r="N122" i="59"/>
  <c r="K124" i="59"/>
  <c r="H122" i="57"/>
  <c r="J125" i="60"/>
  <c r="M125" i="61"/>
  <c r="M126" i="61"/>
  <c r="M121" i="61"/>
  <c r="J124" i="58"/>
  <c r="M316" i="46"/>
  <c r="L314" i="46"/>
  <c r="L316" i="46"/>
  <c r="L126" i="61"/>
  <c r="I124" i="59"/>
  <c r="M122" i="57"/>
  <c r="I151" i="46"/>
  <c r="N121" i="60"/>
  <c r="N122" i="60"/>
  <c r="L125" i="61"/>
  <c r="H125" i="60"/>
  <c r="M121" i="59"/>
  <c r="M122" i="59"/>
  <c r="M123" i="59"/>
  <c r="M124" i="59"/>
  <c r="M124" i="58"/>
  <c r="H124" i="58"/>
  <c r="L152" i="46"/>
  <c r="L154" i="46" s="1"/>
  <c r="G26" i="43" s="1"/>
  <c r="J126" i="61"/>
  <c r="H122" i="61"/>
  <c r="L125" i="60"/>
  <c r="N312" i="46"/>
  <c r="J124" i="59"/>
  <c r="J73" i="46"/>
  <c r="J74" i="46" s="1"/>
  <c r="K73" i="46"/>
  <c r="K74" i="46" s="1"/>
  <c r="G28" i="44" l="1"/>
  <c r="G66" i="44"/>
  <c r="G79" i="44"/>
  <c r="G29" i="44" s="1"/>
  <c r="D29" i="44"/>
  <c r="D79" i="44"/>
  <c r="I66" i="44"/>
  <c r="I67" i="44" s="1"/>
  <c r="H83" i="44"/>
  <c r="H84" i="44" s="1"/>
  <c r="H79" i="44"/>
  <c r="H152" i="46"/>
  <c r="H154" i="46" s="1"/>
  <c r="C26" i="43" s="1"/>
  <c r="H74" i="46"/>
  <c r="C23" i="43" s="1"/>
  <c r="N126" i="54"/>
  <c r="I35" i="43" s="1"/>
  <c r="M126" i="54"/>
  <c r="H35" i="43" s="1"/>
  <c r="I80" i="44"/>
  <c r="I83" i="44"/>
  <c r="C80" i="44"/>
  <c r="K79" i="44"/>
  <c r="J126" i="54"/>
  <c r="E35" i="43" s="1"/>
  <c r="H233" i="46"/>
  <c r="P123" i="54"/>
  <c r="K126" i="54"/>
  <c r="F35" i="43" s="1"/>
  <c r="I126" i="54"/>
  <c r="D35" i="43" s="1"/>
  <c r="P124" i="54"/>
  <c r="L126" i="54"/>
  <c r="G35" i="43" s="1"/>
  <c r="H126" i="54"/>
  <c r="C35" i="43" s="1"/>
  <c r="P121" i="54"/>
  <c r="P122" i="54"/>
  <c r="K235" i="46"/>
  <c r="F29" i="43" s="1"/>
  <c r="I235" i="46"/>
  <c r="D29" i="43" s="1"/>
  <c r="H232" i="46"/>
  <c r="H317" i="46"/>
  <c r="L235" i="46"/>
  <c r="G29" i="43" s="1"/>
  <c r="I153" i="46"/>
  <c r="I152" i="46"/>
  <c r="N74" i="46"/>
  <c r="I23" i="43" s="1"/>
  <c r="L74" i="46"/>
  <c r="G23" i="43" s="1"/>
  <c r="F23" i="43"/>
  <c r="K66" i="44"/>
  <c r="E53" i="44"/>
  <c r="E57" i="44" s="1"/>
  <c r="I53" i="44"/>
  <c r="I54" i="44" s="1"/>
  <c r="F53" i="44"/>
  <c r="F54" i="44" s="1"/>
  <c r="D53" i="44"/>
  <c r="K52" i="44"/>
  <c r="G53" i="44"/>
  <c r="G57" i="44" s="1"/>
  <c r="I317" i="46"/>
  <c r="D32" i="43" s="1"/>
  <c r="J314" i="46"/>
  <c r="J233" i="46"/>
  <c r="J235" i="46" s="1"/>
  <c r="J154" i="46"/>
  <c r="E26" i="43" s="1"/>
  <c r="J315" i="46"/>
  <c r="D23" i="43"/>
  <c r="C54" i="44"/>
  <c r="C25" i="43"/>
  <c r="E123" i="44"/>
  <c r="C30" i="44"/>
  <c r="C137" i="44" s="1"/>
  <c r="K92" i="44"/>
  <c r="E18" i="44" s="1"/>
  <c r="N121" i="57"/>
  <c r="N123" i="57" s="1"/>
  <c r="I123" i="57"/>
  <c r="J313"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137" i="44"/>
  <c r="H106" i="44"/>
  <c r="H109" i="44"/>
  <c r="G109" i="44"/>
  <c r="G106" i="44"/>
  <c r="C31" i="44"/>
  <c r="C138" i="44" s="1"/>
  <c r="C106" i="44"/>
  <c r="H122" i="44"/>
  <c r="H119" i="44"/>
  <c r="D80" i="44"/>
  <c r="K78" i="44"/>
  <c r="I106" i="44"/>
  <c r="I31" i="44"/>
  <c r="I138" i="44" s="1"/>
  <c r="G122" i="44"/>
  <c r="G119" i="44"/>
  <c r="G70" i="44"/>
  <c r="G67" i="44"/>
  <c r="F93" i="44"/>
  <c r="F96" i="44"/>
  <c r="E93" i="44"/>
  <c r="E96" i="44"/>
  <c r="C29" i="44"/>
  <c r="C136" i="44" s="1"/>
  <c r="C93" i="44"/>
  <c r="G96" i="44"/>
  <c r="G93" i="44"/>
  <c r="H96" i="44"/>
  <c r="H93" i="44"/>
  <c r="G41" i="44"/>
  <c r="G44" i="44"/>
  <c r="H41" i="44"/>
  <c r="H44" i="44"/>
  <c r="F41" i="44"/>
  <c r="F44" i="44"/>
  <c r="E41" i="44"/>
  <c r="E44" i="44"/>
  <c r="E133" i="44" s="1"/>
  <c r="E22" i="43" s="1"/>
  <c r="K39" i="44"/>
  <c r="E83" i="44"/>
  <c r="E80" i="44"/>
  <c r="G80" i="44"/>
  <c r="G83" i="44"/>
  <c r="H80" i="44"/>
  <c r="E67" i="44"/>
  <c r="E70" i="44"/>
  <c r="K40" i="44"/>
  <c r="E14" i="44" s="1"/>
  <c r="C67" i="44"/>
  <c r="C135" i="44"/>
  <c r="H57" i="44"/>
  <c r="H54" i="44"/>
  <c r="H67" i="44"/>
  <c r="H70" i="44"/>
  <c r="H28" i="44" s="1"/>
  <c r="F67" i="44"/>
  <c r="F70" i="44"/>
  <c r="F83" i="44"/>
  <c r="F80" i="44"/>
  <c r="K121" i="57"/>
  <c r="K123" i="57" s="1"/>
  <c r="M122" i="58"/>
  <c r="M125" i="58" s="1"/>
  <c r="L122" i="58"/>
  <c r="L125" i="58" s="1"/>
  <c r="L126" i="60"/>
  <c r="H125" i="59"/>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5" i="46"/>
  <c r="I29" i="43" s="1"/>
  <c r="L317" i="46"/>
  <c r="G32" i="43" s="1"/>
  <c r="M317" i="46"/>
  <c r="H32" i="43" s="1"/>
  <c r="P124" i="58"/>
  <c r="H123" i="57"/>
  <c r="N316" i="46"/>
  <c r="N314" i="46"/>
  <c r="N313" i="46"/>
  <c r="N315" i="46"/>
  <c r="P123" i="58"/>
  <c r="P125" i="60"/>
  <c r="M127" i="61"/>
  <c r="K152" i="46"/>
  <c r="K153" i="46"/>
  <c r="J125" i="58"/>
  <c r="P121" i="61"/>
  <c r="I125" i="58"/>
  <c r="P125" i="61"/>
  <c r="P123" i="60"/>
  <c r="P124" i="60"/>
  <c r="M234" i="46"/>
  <c r="P234" i="46" s="1"/>
  <c r="M232" i="46"/>
  <c r="M233" i="46"/>
  <c r="P121" i="60"/>
  <c r="P125" i="54"/>
  <c r="K315" i="46"/>
  <c r="K313" i="46"/>
  <c r="K316" i="46"/>
  <c r="K314" i="46"/>
  <c r="P123" i="59"/>
  <c r="M152" i="46"/>
  <c r="M153" i="46"/>
  <c r="M125" i="59"/>
  <c r="L127" i="61"/>
  <c r="P121" i="59"/>
  <c r="L125" i="59"/>
  <c r="H125" i="58"/>
  <c r="H127" i="61"/>
  <c r="E23" i="43"/>
  <c r="C22" i="43"/>
  <c r="H29" i="44" l="1"/>
  <c r="I70" i="44"/>
  <c r="G136" i="44"/>
  <c r="G31" i="43" s="1"/>
  <c r="I84" i="44"/>
  <c r="I29" i="44"/>
  <c r="I136" i="44" s="1"/>
  <c r="I31" i="43" s="1"/>
  <c r="H235" i="46"/>
  <c r="C29" i="43" s="1"/>
  <c r="G54" i="44"/>
  <c r="P126" i="54"/>
  <c r="K35" i="43"/>
  <c r="H135" i="44"/>
  <c r="H28" i="43" s="1"/>
  <c r="G135" i="44"/>
  <c r="G28" i="43" s="1"/>
  <c r="H45" i="44"/>
  <c r="H133" i="44"/>
  <c r="H22" i="43" s="1"/>
  <c r="F45" i="44"/>
  <c r="F133" i="44"/>
  <c r="F22" i="43" s="1"/>
  <c r="L16" i="47" s="1"/>
  <c r="G45" i="44"/>
  <c r="G133" i="44"/>
  <c r="G22" i="43" s="1"/>
  <c r="M17" i="47" s="1"/>
  <c r="I134" i="44"/>
  <c r="I25" i="43" s="1"/>
  <c r="E54" i="44"/>
  <c r="I31" i="47"/>
  <c r="I16" i="47"/>
  <c r="I154" i="46"/>
  <c r="D26" i="43" s="1"/>
  <c r="O17" i="47"/>
  <c r="O22" i="47"/>
  <c r="O20" i="47"/>
  <c r="O18" i="47"/>
  <c r="O21" i="47"/>
  <c r="O24" i="47"/>
  <c r="O26" i="47"/>
  <c r="O25" i="47"/>
  <c r="O16" i="47"/>
  <c r="O19" i="47"/>
  <c r="O23" i="47"/>
  <c r="O27" i="47"/>
  <c r="K119" i="44"/>
  <c r="K122" i="44"/>
  <c r="D20" i="44" s="1"/>
  <c r="K106" i="44"/>
  <c r="K53" i="44"/>
  <c r="E15" i="44" s="1"/>
  <c r="K70" i="44"/>
  <c r="D16" i="44" s="1"/>
  <c r="G58" i="44"/>
  <c r="H134" i="44"/>
  <c r="H25" i="43" s="1"/>
  <c r="D54" i="44"/>
  <c r="F57" i="44"/>
  <c r="D134" i="44"/>
  <c r="D25" i="43" s="1"/>
  <c r="K41" i="44"/>
  <c r="K44" i="44"/>
  <c r="D14" i="44" s="1"/>
  <c r="I17" i="47"/>
  <c r="P233" i="46"/>
  <c r="P235" i="46" s="1"/>
  <c r="J317" i="46"/>
  <c r="E32" i="43" s="1"/>
  <c r="P74" i="46"/>
  <c r="E29" i="43"/>
  <c r="J23" i="47"/>
  <c r="J21" i="47"/>
  <c r="J25" i="47"/>
  <c r="J22" i="47"/>
  <c r="J20" i="47"/>
  <c r="J27" i="47"/>
  <c r="J19" i="47"/>
  <c r="J16" i="47"/>
  <c r="J17" i="47"/>
  <c r="J26" i="47"/>
  <c r="J18" i="47"/>
  <c r="J24" i="47"/>
  <c r="K16" i="47"/>
  <c r="K17" i="47"/>
  <c r="E31" i="44"/>
  <c r="E138" i="44" s="1"/>
  <c r="K109" i="44"/>
  <c r="D19" i="44" s="1"/>
  <c r="E30" i="44"/>
  <c r="E137" i="44" s="1"/>
  <c r="K96" i="44"/>
  <c r="D18" i="44" s="1"/>
  <c r="C28" i="43"/>
  <c r="C31" i="43"/>
  <c r="F97" i="44"/>
  <c r="F30" i="44"/>
  <c r="F137" i="44" s="1"/>
  <c r="G123" i="44"/>
  <c r="G32" i="44"/>
  <c r="G139" i="44" s="1"/>
  <c r="G97" i="44"/>
  <c r="G30" i="44"/>
  <c r="G137" i="44" s="1"/>
  <c r="H110" i="44"/>
  <c r="H31" i="44"/>
  <c r="H138" i="44" s="1"/>
  <c r="F110" i="44"/>
  <c r="F31" i="44"/>
  <c r="F138" i="44" s="1"/>
  <c r="G110" i="44"/>
  <c r="G31" i="44"/>
  <c r="G138" i="44" s="1"/>
  <c r="H97" i="44"/>
  <c r="H30" i="44"/>
  <c r="H137" i="44" s="1"/>
  <c r="F123" i="44"/>
  <c r="F32" i="44"/>
  <c r="F139" i="44" s="1"/>
  <c r="H123" i="44"/>
  <c r="H32" i="44"/>
  <c r="H139" i="44" s="1"/>
  <c r="E17" i="44"/>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3" i="46"/>
  <c r="P315" i="46"/>
  <c r="K27" i="47"/>
  <c r="K24" i="47"/>
  <c r="K20" i="47"/>
  <c r="K18" i="47"/>
  <c r="K26" i="47"/>
  <c r="K22" i="47"/>
  <c r="K25" i="47"/>
  <c r="K21" i="47"/>
  <c r="K23" i="47"/>
  <c r="P313" i="46"/>
  <c r="C32" i="43"/>
  <c r="M154" i="46"/>
  <c r="H26" i="43" s="1"/>
  <c r="M235" i="46"/>
  <c r="H29" i="43" s="1"/>
  <c r="P232" i="46"/>
  <c r="N317" i="46"/>
  <c r="I32" i="43" s="1"/>
  <c r="P314" i="46"/>
  <c r="K317" i="46"/>
  <c r="F32" i="43" s="1"/>
  <c r="P152" i="46"/>
  <c r="K154" i="46"/>
  <c r="F26" i="43" s="1"/>
  <c r="P316" i="46"/>
  <c r="K19" i="47"/>
  <c r="I19" i="47"/>
  <c r="I25" i="47"/>
  <c r="I22" i="47"/>
  <c r="I26" i="47"/>
  <c r="I23" i="47"/>
  <c r="I20" i="47"/>
  <c r="I27" i="47"/>
  <c r="I18" i="47"/>
  <c r="I24" i="47"/>
  <c r="I21" i="47"/>
  <c r="I71" i="44" l="1"/>
  <c r="K71" i="44" s="1"/>
  <c r="I28" i="44"/>
  <c r="I135" i="44" s="1"/>
  <c r="I28" i="43" s="1"/>
  <c r="K54" i="44"/>
  <c r="I47" i="47"/>
  <c r="K22" i="43"/>
  <c r="I61" i="47"/>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L24" i="47"/>
  <c r="M20" i="47"/>
  <c r="M27" i="47"/>
  <c r="N22" i="47"/>
  <c r="N34" i="47"/>
  <c r="N24" i="47"/>
  <c r="N25" i="47"/>
  <c r="N26" i="47"/>
  <c r="N16" i="47"/>
  <c r="N18" i="47"/>
  <c r="N19" i="47"/>
  <c r="N20" i="47"/>
  <c r="N17" i="47"/>
  <c r="Q17" i="47" s="1"/>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I156" i="47"/>
  <c r="I162" i="47"/>
  <c r="I145" i="47"/>
  <c r="Q145" i="47" s="1"/>
  <c r="I159" i="47"/>
  <c r="I125" i="47"/>
  <c r="Q125" i="47" s="1"/>
  <c r="I161" i="47"/>
  <c r="I160" i="47"/>
  <c r="I141" i="47"/>
  <c r="Q141" i="47" s="1"/>
  <c r="I142" i="47"/>
  <c r="Q142" i="47" s="1"/>
  <c r="I146" i="47"/>
  <c r="Q146" i="47" s="1"/>
  <c r="F58" i="44"/>
  <c r="F134" i="44"/>
  <c r="F25" i="43" s="1"/>
  <c r="K57" i="44"/>
  <c r="J28" i="47"/>
  <c r="M130" i="47"/>
  <c r="M121" i="47"/>
  <c r="M126" i="47"/>
  <c r="M159" i="47"/>
  <c r="M146" i="47"/>
  <c r="M143" i="47"/>
  <c r="M131" i="47"/>
  <c r="M152" i="47"/>
  <c r="M139" i="47"/>
  <c r="M127" i="47"/>
  <c r="M153" i="47"/>
  <c r="M145" i="47"/>
  <c r="M124" i="47"/>
  <c r="M160" i="47"/>
  <c r="M123" i="47"/>
  <c r="M147" i="47"/>
  <c r="M156" i="47"/>
  <c r="K34" i="43"/>
  <c r="I109" i="47"/>
  <c r="M100" i="47"/>
  <c r="K84" i="44"/>
  <c r="M111" i="47"/>
  <c r="M97" i="47"/>
  <c r="M109" i="47"/>
  <c r="M107" i="47"/>
  <c r="M106" i="47"/>
  <c r="M101" i="47"/>
  <c r="M95" i="47"/>
  <c r="M102" i="47"/>
  <c r="M98" i="47"/>
  <c r="M94" i="47"/>
  <c r="M116" i="47"/>
  <c r="D28" i="43"/>
  <c r="K28" i="43" s="1"/>
  <c r="F31" i="43"/>
  <c r="P154"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30" i="47"/>
  <c r="K26" i="43"/>
  <c r="K32" i="43"/>
  <c r="P317" i="46"/>
  <c r="I43" i="47" l="1"/>
  <c r="Q22" i="47"/>
  <c r="Q21" i="47"/>
  <c r="Q20" i="47"/>
  <c r="Q18" i="47"/>
  <c r="Q26" i="47"/>
  <c r="Q19" i="47"/>
  <c r="Q25" i="47"/>
  <c r="Q16"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M3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M45" i="47" s="1"/>
  <c r="M58" i="47" s="1"/>
  <c r="M60" i="47" s="1"/>
  <c r="M73" i="47" s="1"/>
  <c r="M75" i="47" s="1"/>
  <c r="M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L43" i="47"/>
  <c r="O90" i="47"/>
  <c r="O103" i="47" s="1"/>
  <c r="O105" i="47" s="1"/>
  <c r="O118" i="47" s="1"/>
  <c r="O120" i="47" s="1"/>
  <c r="O133" i="47" s="1"/>
  <c r="O135" i="47" s="1"/>
  <c r="O148" i="47" s="1"/>
  <c r="O150" i="47" s="1"/>
  <c r="O163" i="47" s="1"/>
  <c r="I37" i="43"/>
  <c r="I38" i="43" s="1"/>
  <c r="I75" i="47" l="1"/>
  <c r="I88" i="47" s="1"/>
  <c r="G37" i="43"/>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J90" i="47"/>
  <c r="J103" i="47" s="1"/>
  <c r="J105" i="47" s="1"/>
  <c r="J118" i="47" s="1"/>
  <c r="J120" i="47" s="1"/>
  <c r="J133" i="47" s="1"/>
  <c r="J135" i="47" s="1"/>
  <c r="J148" i="47" s="1"/>
  <c r="J150" i="47" s="1"/>
  <c r="J163" i="47" s="1"/>
  <c r="C37" i="43" l="1"/>
  <c r="C38" i="43" s="1"/>
  <c r="I90" i="47"/>
  <c r="I103" i="47" s="1"/>
  <c r="I105" i="47" s="1"/>
  <c r="I118" i="47" s="1"/>
  <c r="I120" i="47" s="1"/>
  <c r="I133" i="47" s="1"/>
  <c r="I135" i="47" s="1"/>
  <c r="I148" i="47" s="1"/>
  <c r="I150" i="47" s="1"/>
  <c r="I163" i="47" s="1"/>
  <c r="L90" i="47"/>
  <c r="L103" i="47" s="1"/>
  <c r="L105" i="47" s="1"/>
  <c r="L118" i="47" s="1"/>
  <c r="L120" i="47" s="1"/>
  <c r="L133" i="47" s="1"/>
  <c r="L135" i="47" s="1"/>
  <c r="L148" i="47" s="1"/>
  <c r="L150" i="47" s="1"/>
  <c r="L163" i="47" s="1"/>
  <c r="F37" i="43"/>
  <c r="F38" i="43" s="1"/>
  <c r="D38" i="43"/>
  <c r="E58" i="44"/>
  <c r="K58" i="44" s="1"/>
  <c r="D15" i="44"/>
  <c r="E134" i="44"/>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Q135" i="47"/>
  <c r="Q148" i="47" s="1"/>
  <c r="H14" i="43" l="1"/>
  <c r="E38" i="43"/>
  <c r="Q150" i="47"/>
  <c r="Q163" i="47" s="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Manuela Ris-Schofield</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 xml:space="preserve">LDCs to input CDM savings or LRAMVA Threshold as approved in the previous CoS values beginning the most recent year the LDC rebased.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text>
        <r>
          <rPr>
            <b/>
            <sz val="9"/>
            <color indexed="81"/>
            <rFont val="Tahoma"/>
            <family val="2"/>
          </rPr>
          <t>OEB Staff:</t>
        </r>
        <r>
          <rPr>
            <sz val="9"/>
            <color indexed="81"/>
            <rFont val="Tahoma"/>
            <family val="2"/>
          </rPr>
          <t xml:space="preserve">
If Table 3 requires a manual update to reflect a different allocation of CDM savings or LRAMVA Threshold that was approved by the OEB in the Settlement Agreement, please override the applicable cells and highlight the changes made to the cells in yellow. Please include a comment with your written evidence indicating the rationale for the change.</t>
        </r>
      </text>
    </comment>
    <comment ref="I28" authorId="2">
      <text>
        <r>
          <rPr>
            <b/>
            <sz val="9"/>
            <color indexed="81"/>
            <rFont val="Tahoma"/>
            <family val="2"/>
          </rPr>
          <t>Manuela Ris-Schofield:</t>
        </r>
        <r>
          <rPr>
            <sz val="9"/>
            <color indexed="81"/>
            <rFont val="Tahoma"/>
            <family val="2"/>
          </rPr>
          <t xml:space="preserve">
OEB formula overwritte</t>
        </r>
      </text>
    </comment>
    <comment ref="B38" authorId="1">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8"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0" authorId="0">
      <text>
        <r>
          <rPr>
            <b/>
            <sz val="9"/>
            <color indexed="81"/>
            <rFont val="Tahoma"/>
            <family val="2"/>
          </rPr>
          <t>OEB Staff:</t>
        </r>
        <r>
          <rPr>
            <sz val="9"/>
            <color indexed="81"/>
            <rFont val="Tahoma"/>
            <family val="2"/>
          </rPr>
          <t xml:space="preserve">
Excludes demand response</t>
        </r>
      </text>
    </comment>
    <comment ref="C75"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6"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6"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8" authorId="0">
      <text>
        <r>
          <rPr>
            <b/>
            <sz val="9"/>
            <color indexed="81"/>
            <rFont val="Tahoma"/>
            <family val="2"/>
          </rPr>
          <t>OEB Staff:</t>
        </r>
        <r>
          <rPr>
            <sz val="9"/>
            <color indexed="81"/>
            <rFont val="Tahoma"/>
            <family val="2"/>
          </rPr>
          <t xml:space="preserve">
Excludes demand response savings</t>
        </r>
      </text>
    </comment>
    <comment ref="C22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8" authorId="0">
      <text>
        <r>
          <rPr>
            <b/>
            <sz val="9"/>
            <color indexed="81"/>
            <rFont val="Tahoma"/>
            <family val="2"/>
          </rPr>
          <t>OEB Staff:</t>
        </r>
        <r>
          <rPr>
            <sz val="9"/>
            <color indexed="81"/>
            <rFont val="Tahoma"/>
            <family val="2"/>
          </rPr>
          <t xml:space="preserve">
Excludes demand response savings</t>
        </r>
      </text>
    </comment>
    <comment ref="C307"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9"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5" authorId="0">
      <text>
        <r>
          <rPr>
            <b/>
            <sz val="9"/>
            <color indexed="81"/>
            <rFont val="Tahoma"/>
            <family val="2"/>
          </rPr>
          <t>OEB Staff:</t>
        </r>
        <r>
          <rPr>
            <sz val="9"/>
            <color indexed="81"/>
            <rFont val="Tahoma"/>
            <family val="2"/>
          </rPr>
          <t xml:space="preserve">
Adjust formulas as needed.</t>
        </r>
      </text>
    </comment>
    <comment ref="C116" author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21"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<sst xmlns="http://schemas.openxmlformats.org/spreadsheetml/2006/main" count="2153" uniqueCount="525">
  <si>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</si>
  <si>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</si>
  <si>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</si>
  <si>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</si>
  <si>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</si>
  <si>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</si>
  <si>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</si>
  <si>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</si>
  <si>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</si>
  <si>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</si>
  <si>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</si>
  <si>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</si>
  <si>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</si>
  <si>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</si>
  <si>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</si>
  <si>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</si>
  <si>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</si>
  <si>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</si>
  <si>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</si>
  <si>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</si>
  <si>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</si>
  <si>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</si>
  <si>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</si>
  <si>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</si>
  <si>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</si>
  <si>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</si>
  <si>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</si>
  <si>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</si>
  <si>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</si>
  <si>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</si>
  <si>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</si>
  <si>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</si>
  <si>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</si>
  <si>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</si>
  <si>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</si>
  <si>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</si>
  <si>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</si>
  <si>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</si>
  <si>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</si>
  <si>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</si>
  <si>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</si>
  <si>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</si>
  <si>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</si>
  <si>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</si>
  <si>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</si>
  <si>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</si>
  <si>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</si>
  <si>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</si>
  <si>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</si>
  <si>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</si>
  <si>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</si>
  <si>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</si>
  <si>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</si>
  <si>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</si>
  <si>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</si>
  <si>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</si>
  <si>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</si>
  <si>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</si>
  <si>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</si>
  <si>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</si>
  <si>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</si>
  <si>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</si>
  <si>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</si>
  <si>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</si>
  <si>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</si>
  <si>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</si>
  <si>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</si>
  <si>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</si>
  <si>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</si>
  <si>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</si>
  <si>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</si>
  <si>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</si>
  <si>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</si>
  <si>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</si>
  <si>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</si>
  <si>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</si>
  <si>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</si>
  <si>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</si>
  <si>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</si>
  <si>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</si>
  <si>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</si>
  <si>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</si>
  <si>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</si>
  <si>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</si>
  <si>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</si>
  <si>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</si>
  <si>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</si>
  <si>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</si>
  <si>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</si>
  <si>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</si>
  <si>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</si>
  <si>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</si>
  <si>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</si>
  <si>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</si>
  <si>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</si>
  <si>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</si>
  <si>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</si>
  <si>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</si>
  <si>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</si>
  <si>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</si>
  <si>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</si>
  <si>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</si>
  <si>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</si>
  <si>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</si>
  <si>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</si>
  <si>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</si>
  <si>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</si>
  <si>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</si>
  <si>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</si>
  <si>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</si>
  <si>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</si>
  <si>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</si>
  <si>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</si>
  <si>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2014
to
Apr 30, 2015</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</si>
  <si>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</si>
  <si>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</si>
  <si>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</si>
  <si>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</si>
  <si>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</si>
  <si>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</si>
  <si>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</si>
  <si>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</si>
  <si>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</si>
  <si>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</si>
  <si>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</si>
  <si>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</si>
  <si>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</si>
  <si>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</si>
  <si>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</si>
  <si>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</si>
  <si>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</si>
  <si>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</si>
  <si>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</si>
  <si>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</si>
  <si>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</si>
  <si>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</si>
  <si>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</si>
  <si>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</si>
  <si>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</si>
  <si>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</si>
  <si>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</si>
  <si>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</si>
  <si>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</si>
  <si>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</si>
  <si>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</si>
  <si>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</si>
  <si>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</si>
  <si>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</si>
  <si>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</si>
  <si>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</si>
  <si>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</si>
  <si>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</si>
  <si>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</si>
  <si>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</si>
  <si>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</si>
  <si>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</si>
  <si>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</si>
  <si>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</si>
  <si>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</si>
  <si>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</si>
  <si>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</si>
  <si>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</si>
  <si>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</si>
  <si>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</si>
  <si>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</si>
  <si>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</si>
  <si>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</si>
  <si>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</si>
  <si>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</si>
  <si>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</si>
  <si>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</si>
  <si>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</si>
  <si>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</si>
  <si>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</si>
  <si>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</si>
  <si>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</si>
  <si>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</si>
  <si>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</si>
  <si>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</si>
  <si>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</si>
  <si>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</si>
  <si>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</si>
  <si>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</si>
  <si>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</si>
  <si>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</si>
  <si>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</si>
  <si>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</si>
  <si>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</si>
  <si>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</si>
  <si>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</si>
  <si>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</si>
  <si>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</si>
  <si>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</si>
  <si>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</si>
  <si>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</si>
  <si>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</si>
  <si>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</si>
  <si>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</si>
  <si>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</si>
  <si>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</si>
  <si>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</si>
  <si>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</si>
  <si>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</si>
  <si>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</si>
  <si>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</si>
  <si>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</si>
  <si>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</si>
  <si>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</si>
  <si>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</si>
  <si>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</si>
  <si>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</si>
  <si>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</si>
  <si>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</si>
  <si>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</si>
  <si>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</si>
  <si>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</si>
  <si>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</si>
  <si>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</si>
  <si>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</si>
  <si>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</si>
  <si>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</si>
  <si>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</si>
  <si>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</si>
  <si>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</si>
  <si>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</si>
  <si>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</si>
  <si>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</si>
  <si>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</si>
  <si>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</si>
  <si>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</si>
  <si>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</si>
  <si>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</si>
  <si>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</si>
  <si>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</si>
  <si>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</si>
  <si>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</si>
  <si>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</si>
  <si>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</si>
  <si>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</si>
  <si>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</si>
  <si>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</si>
  <si>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</si>
  <si>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</si>
  <si>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</si>
  <si>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</si>
  <si>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</si>
  <si>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</si>
  <si>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</si>
  <si>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</si>
  <si>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</si>
  <si>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</si>
  <si>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</si>
  <si>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</si>
  <si>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</si>
  <si>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</si>
  <si>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</si>
  <si>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</si>
  <si>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</si>
  <si>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</si>
  <si>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</si>
  <si>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</si>
  <si>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</si>
  <si>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</si>
  <si>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</si>
  <si>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</si>
  <si>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</si>
  <si>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</si>
  <si>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</si>
  <si>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</si>
  <si>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</si>
  <si>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</si>
  <si>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</si>
  <si>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</si>
  <si>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</si>
  <si>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</si>
  <si>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</si>
  <si>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</si>
  <si>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</si>
  <si>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</si>
  <si>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</si>
  <si>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</si>
  <si>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</si>
  <si>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</si>
  <si>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</si>
  <si>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</si>
  <si>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</si>
  <si>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</si>
  <si>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</si>
  <si>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</si>
  <si>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</si>
  <si>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</si>
  <si>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</si>
  <si>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</si>
  <si>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</si>
  <si>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</si>
  <si>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</si>
  <si>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</si>
  <si>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</si>
  <si>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</si>
  <si>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</si>
  <si>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</si>
  <si>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</si>
  <si>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</si>
  <si>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</si>
  <si>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</si>
  <si>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</si>
  <si>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</si>
  <si>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</si>
  <si>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</si>
  <si>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</si>
  <si>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</si>
  <si>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</si>
  <si>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</si>
  <si>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</si>
  <si>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</si>
  <si>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</si>
  <si>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</si>
  <si>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</si>
  <si>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</si>
  <si>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</si>
  <si>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</si>
  <si>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</si>
  <si>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</si>
  <si>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</si>
  <si>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</si>
  <si>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</si>
  <si>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</si>
  <si>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</si>
  <si>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</si>
  <si>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</si>
  <si>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</si>
  <si>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</si>
  <si>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</si>
  <si>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</si>
  <si>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</si>
  <si>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</si>
  <si>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</si>
  <si>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</si>
  <si>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</si>
  <si>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</si>
  <si>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</si>
  <si>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</si>
  <si>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</si>
  <si>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</si>
  <si>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</si>
  <si>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</si>
  <si>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</si>
  <si>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</si>
  <si>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</si>
  <si>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</si>
  <si>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</si>
  <si>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</si>
  <si>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</si>
  <si>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</si>
  <si>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</si>
  <si>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</si>
  <si>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</si>
  <si>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</si>
  <si>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</si>
  <si>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</si>
  <si>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</si>
  <si>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</si>
  <si>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</si>
  <si>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</si>
  <si>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</si>
  <si>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</si>
  <si>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</si>
  <si>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</si>
  <si>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</si>
  <si>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</si>
  <si>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</si>
  <si>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</si>
  <si>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</si>
  <si>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</si>
  <si>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</si>
  <si>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</si>
  <si>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</si>
  <si>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</si>
  <si>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</si>
  <si>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</si>
  <si>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</si>
  <si>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</si>
  <si>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</si>
  <si>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</si>
  <si>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</si>
  <si>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</si>
  <si>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</si>
  <si>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</si>
  <si>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</si>
  <si>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</si>
  <si>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</si>
  <si>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</si>
  <si>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</si>
  <si>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</si>
  <si>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</si>
  <si>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</si>
  <si>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</si>
  <si>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</si>
  <si>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</si>
  <si>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</si>
  <si>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</si>
  <si>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</si>
  <si>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</si>
  <si>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</si>
  <si>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</si>
  <si>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</si>
  <si>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</si>
  <si>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</si>
  <si>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</si>
  <si>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</si>
  <si>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</si>
  <si>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</si>
  <si>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</si>
  <si>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</si>
  <si>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</si>
  <si>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</si>
  <si>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</si>
  <si>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</si>
  <si>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</si>
  <si>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</si>
  <si>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</si>
  <si>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</si>
  <si>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</si>
  <si>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</si>
  <si>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</si>
  <si>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</si>
  <si>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</si>
  <si>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</si>
  <si>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</si>
  <si>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</si>
  <si>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</si>
  <si>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</si>
  <si>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</si>
  <si>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</si>
  <si>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</si>
  <si>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</si>
  <si>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</si>
  <si>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</si>
  <si>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</si>
  <si>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</si>
  <si>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</si>
  <si>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</si>
  <si>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</si>
  <si>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</si>
  <si>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</si>
  <si>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</si>
  <si>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</si>
  <si>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</si>
  <si>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</si>
  <si>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</si>
  <si>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</si>
  <si>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</si>
  <si>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</si>
  <si>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</si>
  <si>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</si>
  <si>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</si>
  <si>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</si>
  <si>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</si>
  <si>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</si>
  <si>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</si>
  <si>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</si>
  <si>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</si>
  <si>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</si>
  <si>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</si>
  <si>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</si>
  <si>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</si>
  <si>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</si>
  <si>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</si>
  <si>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</si>
  <si>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</si>
  <si>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</si>
  <si>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</si>
  <si>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</si>
  <si>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</si>
  <si>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</si>
  <si>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</si>
  <si>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</si>
  <si>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</si>
  <si>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</si>
  <si>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</si>
  <si>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</si>
  <si>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</si>
  <si>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</si>
  <si>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</si>
  <si>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</si>
  <si>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</si>
  <si>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</si>
  <si>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</si>
  <si>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</si>
  <si>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</si>
  <si>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</si>
  <si>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</si>
  <si>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</si>
  <si>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</si>
  <si>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</si>
  <si>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</si>
  <si>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</si>
  <si>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</si>
  <si>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</si>
  <si>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</si>
  <si>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</si>
  <si>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</si>
  <si>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</si>
  <si>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General Service &lt; 50 kW</t>
  </si>
  <si>
    <t>General Service 50 to 2999 kW</t>
  </si>
  <si>
    <t>General Service 3000 to 4999 kW</t>
  </si>
  <si>
    <t xml:space="preserve"> EB-2009-0218</t>
  </si>
  <si>
    <t>EB-2010-0072</t>
  </si>
  <si>
    <t>EB-2011-0160</t>
  </si>
  <si>
    <t>EB-2013-0113</t>
  </si>
  <si>
    <t>EB-2013-0118</t>
  </si>
  <si>
    <t>EB-2015-0059</t>
  </si>
  <si>
    <t>EB-2014-0062</t>
  </si>
  <si>
    <t>EB-2016-0062</t>
  </si>
  <si>
    <t>EB-2012-0113</t>
  </si>
  <si>
    <t>May 1, 2015
to
Apr 30, 2016</t>
  </si>
  <si>
    <t>May 1, 2016
to
Apr 30, 2017</t>
  </si>
  <si>
    <t>Total Street Lights</t>
  </si>
  <si>
    <t>Conservartion Instant Coupon Booklet</t>
  </si>
  <si>
    <t>May 1, 2011
to
July 31, 2012</t>
  </si>
  <si>
    <t>Aug 1, 2012
to
June 30, 2013</t>
  </si>
  <si>
    <t>July 1, 2013
to
Apr 30, 2014</t>
  </si>
  <si>
    <t xml:space="preserve">Tables 3A:  Weather Normalized Load Forecast as Approved in Cost of Service Application + LRAMVA threshold as approved in last CoS </t>
  </si>
  <si>
    <t>LRAMVA Threshold</t>
  </si>
  <si>
    <t>kW Reduction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</si>
</sst>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61">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0" fontId="64" fillId="29" borderId="29" xfId="40" applyNumberFormat="1" applyFont="1" applyFill="1" applyBorder="1" applyAlignment="1">
      <alignment horizontal="center" vertical="center" wrapText="1"/>
    </xf>
    <xf numFmtId="43" fontId="56" fillId="2" borderId="0" xfId="72" applyNumberFormat="1" applyFont="1" applyFill="1" applyBorder="1" applyAlignment="1">
      <alignment horizontal="center" vertical="center"/>
    </xf>
    <xf numFmtId="3" fontId="51" fillId="29" borderId="2" xfId="0" applyNumberFormat="1" applyFont="1" applyFill="1" applyBorder="1" applyAlignment="1" applyProtection="1">
      <alignment horizontal="center"/>
      <protection locked="0"/>
    </xf>
    <xf numFmtId="3" fontId="51" fillId="32" borderId="2" xfId="0" applyNumberFormat="1" applyFont="1" applyFill="1" applyBorder="1" applyAlignment="1">
      <alignment horizontal="center"/>
    </xf>
    <xf numFmtId="3" fontId="51" fillId="32" borderId="37" xfId="0" applyNumberFormat="1" applyFont="1" applyFill="1" applyBorder="1" applyAlignment="1">
      <alignment horizontal="center"/>
    </xf>
    <xf numFmtId="38" fontId="51" fillId="32" borderId="37" xfId="0" applyNumberFormat="1" applyFont="1" applyFill="1" applyBorder="1" applyAlignment="1">
      <alignment horizontal="center"/>
    </xf>
    <xf numFmtId="3" fontId="10" fillId="2" borderId="0"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56" fillId="0" borderId="0" xfId="0" applyFont="1" applyFill="1" applyBorder="1" applyAlignment="1">
      <alignment horizontal="center" vertical="top" wrapText="1"/>
    </xf>
    <xf numFmtId="3" fontId="10" fillId="29" borderId="0" xfId="0" applyNumberFormat="1" applyFont="1" applyFill="1" applyBorder="1" applyAlignment="1">
      <alignment horizontal="center" vertical="center"/>
    </xf>
    <xf numFmtId="0" fontId="56" fillId="0" borderId="12" xfId="0" applyNumberFormat="1" applyFont="1" applyFill="1" applyBorder="1" applyAlignment="1">
      <alignment horizontal="center" vertical="top"/>
    </xf>
    <xf numFmtId="0" fontId="56" fillId="0" borderId="0" xfId="0" applyNumberFormat="1" applyFont="1" applyFill="1" applyBorder="1" applyAlignment="1">
      <alignment vertical="top" wrapText="1"/>
    </xf>
    <xf numFmtId="3" fontId="56" fillId="0" borderId="0" xfId="0" applyNumberFormat="1" applyFont="1" applyFill="1" applyBorder="1" applyAlignment="1">
      <alignment vertical="center" wrapText="1"/>
    </xf>
    <xf numFmtId="3" fontId="56" fillId="0" borderId="12" xfId="0" applyNumberFormat="1" applyFont="1" applyFill="1" applyBorder="1" applyAlignment="1">
      <alignment horizontal="center" vertical="center"/>
    </xf>
    <xf numFmtId="3" fontId="10" fillId="0" borderId="39" xfId="0" applyNumberFormat="1" applyFont="1" applyFill="1" applyBorder="1" applyAlignment="1">
      <alignment horizontal="left"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0" borderId="39"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 xmlns:a16="http://schemas.microsoft.com/office/drawing/2014/main" id="{00000000-0008-0000-0100-000004000000}"/>
            </a:ext>
          </a:extLst>
        </xdr:cNvPr>
        <xdr:cNvGrpSpPr/>
      </xdr:nvGrpSpPr>
      <xdr:grpSpPr>
        <a:xfrm>
          <a:off x="0" y="1"/>
          <a:ext cx="10080625" cy="1863724"/>
          <a:chOff x="10997237" y="5479676"/>
          <a:chExt cx="8857420" cy="1900278"/>
        </a:xfrm>
      </xdr:grpSpPr>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 xmlns:a16="http://schemas.microsoft.com/office/drawing/2014/main" id="{00000000-0008-0000-0200-000002000000}"/>
            </a:ext>
          </a:extLst>
        </xdr:cNvPr>
        <xdr:cNvGrpSpPr/>
      </xdr:nvGrpSpPr>
      <xdr:grpSpPr>
        <a:xfrm>
          <a:off x="482600" y="0"/>
          <a:ext cx="13785850" cy="2096558"/>
          <a:chOff x="10997237" y="5479676"/>
          <a:chExt cx="8857420" cy="1900278"/>
        </a:xfrm>
      </xdr:grpSpPr>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 xmlns:a16="http://schemas.microsoft.com/office/drawing/2014/main" id="{00000000-0008-0000-0400-000003000000}"/>
            </a:ext>
          </a:extLst>
        </xdr:cNvPr>
        <xdr:cNvGrpSpPr/>
      </xdr:nvGrpSpPr>
      <xdr:grpSpPr>
        <a:xfrm>
          <a:off x="320001" y="289473"/>
          <a:ext cx="11448668" cy="1819356"/>
          <a:chOff x="11107771" y="5637897"/>
          <a:chExt cx="7550541" cy="1604481"/>
        </a:xfrm>
      </xdr:grpSpPr>
      <xdr:sp macro="" textlink="">
        <xdr:nvSpPr>
          <xdr:cNvPr id="5" name="Rectangle 4">
            <a:extLst>
              <a:ext uri="{FF2B5EF4-FFF2-40B4-BE49-F238E27FC236}">
                <a16:creationId xmlns=""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 xmlns:a16="http://schemas.microsoft.com/office/drawing/2014/main" id="{00000000-0008-0000-0600-000004000000}"/>
            </a:ext>
          </a:extLst>
        </xdr:cNvPr>
        <xdr:cNvGrpSpPr/>
      </xdr:nvGrpSpPr>
      <xdr:grpSpPr>
        <a:xfrm>
          <a:off x="0" y="0"/>
          <a:ext cx="13778877" cy="2105025"/>
          <a:chOff x="10997237" y="5479676"/>
          <a:chExt cx="8857420" cy="1900278"/>
        </a:xfrm>
      </xdr:grpSpPr>
      <xdr:pic>
        <xdr:nvPicPr>
          <xdr:cNvPr id="5" name="Picture 4">
            <a:extLst>
              <a:ext uri="{FF2B5EF4-FFF2-40B4-BE49-F238E27FC236}">
                <a16:creationId xmlns=""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 xmlns:a16="http://schemas.microsoft.com/office/drawing/2014/main" id="{00000000-0008-0000-0C00-000002000000}"/>
            </a:ext>
          </a:extLst>
        </xdr:cNvPr>
        <xdr:cNvGrpSpPr/>
      </xdr:nvGrpSpPr>
      <xdr:grpSpPr>
        <a:xfrm>
          <a:off x="0" y="0"/>
          <a:ext cx="16291983" cy="2196042"/>
          <a:chOff x="10997237" y="5479676"/>
          <a:chExt cx="8857420" cy="1900278"/>
        </a:xfrm>
      </xdr:grpSpPr>
      <xdr:pic>
        <xdr:nvPicPr>
          <xdr:cNvPr id="3" name="Picture 2">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 xmlns:a16="http://schemas.microsoft.com/office/drawing/2014/main" id="{00000000-0008-0000-0D00-000002000000}"/>
            </a:ext>
          </a:extLst>
        </xdr:cNvPr>
        <xdr:cNvGrpSpPr/>
      </xdr:nvGrpSpPr>
      <xdr:grpSpPr>
        <a:xfrm>
          <a:off x="0" y="0"/>
          <a:ext cx="13182388" cy="2195036"/>
          <a:chOff x="10997237" y="5479676"/>
          <a:chExt cx="8857420" cy="1900278"/>
        </a:xfrm>
      </xdr:grpSpPr>
      <xdr:pic>
        <xdr:nvPicPr>
          <xdr:cNvPr id="3" name="Picture 2">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09375" defaultRowHeight="14.4" x14ac:dyDescent="0.3"/>
  <cols>
    <col min="1" max="1" width="9.109375" style="23"/>
    <col min="2" max="2" width="32.109375" style="66" customWidth="1"/>
    <col min="3" max="3" width="114.33203125" style="23" customWidth="1"/>
    <col min="4" max="4" width="8.109375" style="23" customWidth="1"/>
    <col min="5" max="16384" width="9.109375" style="23"/>
  </cols>
  <sheetData>
    <row r="1" spans="1:3" ht="174" customHeight="1" x14ac:dyDescent="0.25"/>
    <row r="3" spans="1:3" ht="20.25" x14ac:dyDescent="0.25">
      <c r="B3" s="549" t="s">
        <v>337</v>
      </c>
      <c r="C3" s="549"/>
    </row>
    <row r="4" spans="1:3" ht="21" customHeight="1" x14ac:dyDescent="0.25"/>
    <row r="5" spans="1:3" s="73" customFormat="1" ht="25.5" customHeight="1" x14ac:dyDescent="0.2">
      <c r="B5" s="469" t="s">
        <v>372</v>
      </c>
      <c r="C5" s="469" t="s">
        <v>336</v>
      </c>
    </row>
    <row r="6" spans="1:3" s="80" customFormat="1" ht="32.25" customHeight="1" x14ac:dyDescent="0.25">
      <c r="A6" s="43"/>
      <c r="B6" s="470" t="s">
        <v>332</v>
      </c>
      <c r="C6" s="471" t="s">
        <v>454</v>
      </c>
    </row>
    <row r="7" spans="1:3" s="80" customFormat="1" ht="9.75" customHeight="1" x14ac:dyDescent="0.25">
      <c r="B7" s="91"/>
      <c r="C7" s="93"/>
    </row>
    <row r="8" spans="1:3" s="80" customFormat="1" ht="15" x14ac:dyDescent="0.25">
      <c r="B8" s="305" t="s">
        <v>328</v>
      </c>
      <c r="C8" s="93" t="s">
        <v>344</v>
      </c>
    </row>
    <row r="9" spans="1:3" s="80" customFormat="1" ht="14.25" x14ac:dyDescent="0.25">
      <c r="B9" s="91"/>
      <c r="C9" s="93"/>
    </row>
    <row r="10" spans="1:3" s="80" customFormat="1" ht="15" x14ac:dyDescent="0.25">
      <c r="B10" s="305" t="s">
        <v>329</v>
      </c>
      <c r="C10" s="93" t="s">
        <v>346</v>
      </c>
    </row>
    <row r="11" spans="1:3" s="80" customFormat="1" ht="14.25" x14ac:dyDescent="0.25">
      <c r="B11" s="91"/>
      <c r="C11" s="93"/>
    </row>
    <row r="12" spans="1:3" s="80" customFormat="1" ht="30" customHeight="1" x14ac:dyDescent="0.25">
      <c r="B12" s="305" t="s">
        <v>330</v>
      </c>
      <c r="C12" s="464" t="s">
        <v>455</v>
      </c>
    </row>
    <row r="13" spans="1:3" s="80" customFormat="1" ht="14.25" x14ac:dyDescent="0.25">
      <c r="B13" s="91"/>
      <c r="C13" s="93"/>
    </row>
    <row r="14" spans="1:3" s="80" customFormat="1" ht="15" x14ac:dyDescent="0.25">
      <c r="B14" s="305" t="s">
        <v>496</v>
      </c>
      <c r="C14" s="93" t="s">
        <v>475</v>
      </c>
    </row>
    <row r="15" spans="1:3" s="80" customFormat="1" ht="15" hidden="1" x14ac:dyDescent="0.25">
      <c r="B15" s="305" t="s">
        <v>463</v>
      </c>
      <c r="C15" s="93" t="s">
        <v>476</v>
      </c>
    </row>
    <row r="16" spans="1:3" s="80" customFormat="1" ht="14.25" hidden="1" x14ac:dyDescent="0.25">
      <c r="B16" s="91"/>
      <c r="C16" s="93"/>
    </row>
    <row r="17" spans="2:8" s="80" customFormat="1" ht="15" hidden="1" x14ac:dyDescent="0.25">
      <c r="B17" s="305" t="s">
        <v>464</v>
      </c>
      <c r="C17" s="93" t="s">
        <v>477</v>
      </c>
    </row>
    <row r="18" spans="2:8" s="80" customFormat="1" ht="14.25" hidden="1" x14ac:dyDescent="0.25">
      <c r="B18" s="91"/>
      <c r="C18" s="93"/>
    </row>
    <row r="19" spans="2:8" s="80" customFormat="1" ht="15" hidden="1" x14ac:dyDescent="0.25">
      <c r="B19" s="305" t="s">
        <v>465</v>
      </c>
      <c r="C19" s="93" t="s">
        <v>478</v>
      </c>
      <c r="E19" s="550" t="s">
        <v>460</v>
      </c>
      <c r="F19" s="550"/>
      <c r="G19" s="550"/>
      <c r="H19" s="550"/>
    </row>
    <row r="20" spans="2:8" s="80" customFormat="1" ht="14.25" hidden="1" x14ac:dyDescent="0.25">
      <c r="B20" s="91"/>
      <c r="C20" s="93"/>
      <c r="E20" s="550"/>
      <c r="F20" s="550"/>
      <c r="G20" s="550"/>
      <c r="H20" s="550"/>
    </row>
    <row r="21" spans="2:8" s="80" customFormat="1" ht="15" hidden="1" x14ac:dyDescent="0.25">
      <c r="B21" s="305" t="s">
        <v>466</v>
      </c>
      <c r="C21" s="93" t="s">
        <v>479</v>
      </c>
      <c r="E21" s="550"/>
      <c r="F21" s="550"/>
      <c r="G21" s="550"/>
      <c r="H21" s="550"/>
    </row>
    <row r="22" spans="2:8" s="80" customFormat="1" ht="14.25" hidden="1" x14ac:dyDescent="0.25">
      <c r="B22" s="91"/>
      <c r="C22" s="93"/>
    </row>
    <row r="23" spans="2:8" s="80" customFormat="1" ht="15" hidden="1" x14ac:dyDescent="0.25">
      <c r="B23" s="305" t="s">
        <v>467</v>
      </c>
      <c r="C23" s="93" t="s">
        <v>480</v>
      </c>
    </row>
    <row r="24" spans="2:8" s="80" customFormat="1" ht="14.25" x14ac:dyDescent="0.25">
      <c r="B24" s="91"/>
      <c r="C24" s="93"/>
    </row>
    <row r="25" spans="2:8" s="80" customFormat="1" ht="15" x14ac:dyDescent="0.25">
      <c r="B25" s="305" t="s">
        <v>462</v>
      </c>
      <c r="C25" s="464" t="s">
        <v>484</v>
      </c>
    </row>
    <row r="26" spans="2:8" s="80" customFormat="1" ht="14.25" x14ac:dyDescent="0.25">
      <c r="B26" s="305"/>
      <c r="C26" s="464"/>
    </row>
    <row r="27" spans="2:8" s="80" customFormat="1" ht="15" x14ac:dyDescent="0.25">
      <c r="B27" s="305" t="s">
        <v>331</v>
      </c>
      <c r="C27" s="93" t="s">
        <v>359</v>
      </c>
    </row>
    <row r="28" spans="2:8" s="80" customFormat="1" ht="14.25" x14ac:dyDescent="0.25">
      <c r="B28" s="92"/>
      <c r="C28" s="92"/>
    </row>
    <row r="29" spans="2:8" s="81" customFormat="1" ht="15" x14ac:dyDescent="0.25">
      <c r="B29" s="212"/>
    </row>
    <row r="30" spans="2:8" s="81" customFormat="1" ht="15"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09375" defaultRowHeight="14.4" outlineLevelRow="1" x14ac:dyDescent="0.3"/>
  <cols>
    <col min="1" max="1" width="6.5546875" style="23"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23" customWidth="1"/>
    <col min="18" max="16384" width="9.109375" style="23"/>
  </cols>
  <sheetData>
    <row r="2" spans="1:18" ht="18.75" customHeight="1" x14ac:dyDescent="0.3">
      <c r="B2" s="643" t="s">
        <v>277</v>
      </c>
      <c r="C2" s="643"/>
      <c r="D2" s="643"/>
      <c r="E2" s="643"/>
      <c r="F2" s="643"/>
      <c r="G2" s="643"/>
      <c r="H2" s="643"/>
      <c r="I2" s="643"/>
      <c r="J2" s="643"/>
      <c r="K2" s="643"/>
      <c r="L2" s="643"/>
      <c r="M2" s="643"/>
      <c r="N2" s="643"/>
      <c r="O2" s="643"/>
      <c r="P2" s="643"/>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334</v>
      </c>
      <c r="D9" s="447"/>
      <c r="E9" s="627" t="s">
        <v>361</v>
      </c>
      <c r="F9" s="627"/>
      <c r="G9" s="447"/>
      <c r="H9" s="447"/>
      <c r="I9" s="447"/>
      <c r="J9" s="447"/>
      <c r="K9" s="447"/>
      <c r="L9" s="447"/>
      <c r="M9" s="447"/>
      <c r="N9" s="447"/>
      <c r="O9" s="447"/>
      <c r="P9" s="447"/>
      <c r="R9" s="82"/>
    </row>
    <row r="10" spans="1:18" ht="18.75" customHeight="1" outlineLevel="1" x14ac:dyDescent="0.3">
      <c r="B10" s="447"/>
      <c r="C10" s="447"/>
      <c r="D10" s="447"/>
      <c r="E10" s="561" t="s">
        <v>335</v>
      </c>
      <c r="F10" s="561"/>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ht="15" x14ac:dyDescent="0.25">
      <c r="A12" s="48"/>
      <c r="B12" s="450" t="s">
        <v>472</v>
      </c>
      <c r="C12" s="451"/>
      <c r="D12" s="452"/>
      <c r="E12" s="452"/>
    </row>
    <row r="13" spans="1:18" ht="41.4" x14ac:dyDescent="0.3">
      <c r="B13" s="634" t="s">
        <v>58</v>
      </c>
      <c r="C13" s="636" t="s">
        <v>0</v>
      </c>
      <c r="D13" s="636" t="s">
        <v>44</v>
      </c>
      <c r="E13" s="636" t="s">
        <v>203</v>
      </c>
      <c r="F13" s="240" t="s">
        <v>200</v>
      </c>
      <c r="G13" s="240" t="s">
        <v>45</v>
      </c>
      <c r="H13" s="638" t="s">
        <v>59</v>
      </c>
      <c r="I13" s="638"/>
      <c r="J13" s="638"/>
      <c r="K13" s="638"/>
      <c r="L13" s="638"/>
      <c r="M13" s="638"/>
      <c r="N13" s="638"/>
      <c r="O13" s="638"/>
      <c r="P13" s="639"/>
    </row>
    <row r="14" spans="1:18" ht="55.2" x14ac:dyDescent="0.3">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ht="15" x14ac:dyDescent="0.25">
      <c r="A17" s="50"/>
      <c r="B17" s="433">
        <v>1</v>
      </c>
      <c r="C17" s="418" t="s">
        <v>141</v>
      </c>
      <c r="D17" s="255" t="s">
        <v>33</v>
      </c>
      <c r="E17" s="419"/>
      <c r="F17" s="300"/>
      <c r="G17" s="300"/>
      <c r="H17" s="430">
        <v>1</v>
      </c>
      <c r="I17" s="420"/>
      <c r="J17" s="420"/>
      <c r="K17" s="420"/>
      <c r="L17" s="420"/>
      <c r="M17" s="420"/>
      <c r="N17" s="420"/>
      <c r="O17" s="420"/>
      <c r="P17" s="434">
        <f>SUM(H17:O17)</f>
        <v>1</v>
      </c>
    </row>
    <row r="18" spans="1:16" ht="15" x14ac:dyDescent="0.25">
      <c r="A18" s="47"/>
      <c r="B18" s="433">
        <v>2</v>
      </c>
      <c r="C18" s="418" t="s">
        <v>142</v>
      </c>
      <c r="D18" s="255" t="s">
        <v>33</v>
      </c>
      <c r="E18" s="421"/>
      <c r="F18" s="300"/>
      <c r="G18" s="300"/>
      <c r="H18" s="430">
        <v>1</v>
      </c>
      <c r="I18" s="420"/>
      <c r="J18" s="420"/>
      <c r="K18" s="420"/>
      <c r="L18" s="420"/>
      <c r="M18" s="420"/>
      <c r="N18" s="420"/>
      <c r="O18" s="420"/>
      <c r="P18" s="434">
        <f t="shared" ref="P18:P79" si="0">SUM(H18:O18)</f>
        <v>1</v>
      </c>
    </row>
    <row r="19" spans="1:16" ht="15" x14ac:dyDescent="0.25">
      <c r="A19" s="50"/>
      <c r="B19" s="433">
        <v>3</v>
      </c>
      <c r="C19" s="418" t="s">
        <v>143</v>
      </c>
      <c r="D19" s="255" t="s">
        <v>33</v>
      </c>
      <c r="E19" s="421"/>
      <c r="F19" s="300"/>
      <c r="G19" s="300"/>
      <c r="H19" s="430">
        <v>1</v>
      </c>
      <c r="I19" s="420"/>
      <c r="J19" s="420"/>
      <c r="K19" s="420"/>
      <c r="L19" s="420"/>
      <c r="M19" s="420"/>
      <c r="N19" s="420"/>
      <c r="O19" s="420"/>
      <c r="P19" s="434">
        <f t="shared" si="0"/>
        <v>1</v>
      </c>
    </row>
    <row r="20" spans="1:16" ht="15" x14ac:dyDescent="0.25">
      <c r="A20" s="50"/>
      <c r="B20" s="433">
        <v>4</v>
      </c>
      <c r="C20" s="418" t="s">
        <v>144</v>
      </c>
      <c r="D20" s="255" t="s">
        <v>33</v>
      </c>
      <c r="E20" s="421"/>
      <c r="F20" s="300"/>
      <c r="G20" s="300"/>
      <c r="H20" s="430">
        <v>1</v>
      </c>
      <c r="I20" s="420"/>
      <c r="J20" s="420"/>
      <c r="K20" s="420"/>
      <c r="L20" s="420"/>
      <c r="M20" s="420"/>
      <c r="N20" s="420"/>
      <c r="O20" s="420"/>
      <c r="P20" s="434">
        <f t="shared" si="0"/>
        <v>1</v>
      </c>
    </row>
    <row r="21" spans="1:16" ht="15" x14ac:dyDescent="0.25">
      <c r="A21" s="50"/>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146</v>
      </c>
      <c r="D22" s="255" t="s">
        <v>33</v>
      </c>
      <c r="E22" s="421"/>
      <c r="F22" s="300"/>
      <c r="G22" s="300"/>
      <c r="H22" s="430">
        <v>1</v>
      </c>
      <c r="I22" s="420"/>
      <c r="J22" s="420"/>
      <c r="K22" s="420"/>
      <c r="L22" s="420"/>
      <c r="M22" s="420"/>
      <c r="N22" s="420"/>
      <c r="O22" s="420"/>
      <c r="P22" s="434">
        <f t="shared" si="0"/>
        <v>1</v>
      </c>
    </row>
    <row r="23" spans="1:16" ht="15" x14ac:dyDescent="0.25">
      <c r="A23" s="50"/>
      <c r="B23" s="435" t="s">
        <v>278</v>
      </c>
      <c r="C23" s="418"/>
      <c r="D23" s="255" t="s">
        <v>251</v>
      </c>
      <c r="E23" s="421"/>
      <c r="F23" s="300"/>
      <c r="G23" s="300"/>
      <c r="H23" s="430"/>
      <c r="I23" s="420"/>
      <c r="J23" s="420"/>
      <c r="K23" s="420"/>
      <c r="L23" s="420"/>
      <c r="M23" s="420"/>
      <c r="N23" s="420"/>
      <c r="O23" s="420"/>
      <c r="P23" s="434">
        <f t="shared" si="0"/>
        <v>0</v>
      </c>
    </row>
    <row r="24" spans="1:16" ht="15" x14ac:dyDescent="0.25">
      <c r="A24" s="50"/>
      <c r="B24" s="433"/>
      <c r="C24" s="418"/>
      <c r="D24" s="255"/>
      <c r="E24" s="421"/>
      <c r="F24" s="300"/>
      <c r="G24" s="300"/>
      <c r="H24" s="430"/>
      <c r="I24" s="420"/>
      <c r="J24" s="420"/>
      <c r="K24" s="420"/>
      <c r="L24" s="420"/>
      <c r="M24" s="420"/>
      <c r="N24" s="420"/>
      <c r="O24" s="420"/>
      <c r="P24" s="434">
        <f t="shared" si="0"/>
        <v>0</v>
      </c>
    </row>
    <row r="25" spans="1:16" ht="15" x14ac:dyDescent="0.25">
      <c r="A25" s="50"/>
      <c r="B25" s="433"/>
      <c r="C25" s="418"/>
      <c r="D25" s="255"/>
      <c r="E25" s="421"/>
      <c r="F25" s="300"/>
      <c r="G25" s="300"/>
      <c r="H25" s="430"/>
      <c r="I25" s="420"/>
      <c r="J25" s="420"/>
      <c r="K25" s="420"/>
      <c r="L25" s="420"/>
      <c r="M25" s="420"/>
      <c r="N25" s="420"/>
      <c r="O25" s="420"/>
      <c r="P25" s="434">
        <f t="shared" si="0"/>
        <v>0</v>
      </c>
    </row>
    <row r="26" spans="1:16" ht="15"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ht="15" x14ac:dyDescent="0.25">
      <c r="A28" s="50"/>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152</v>
      </c>
      <c r="D32" s="255" t="s">
        <v>33</v>
      </c>
      <c r="E32" s="421">
        <v>3</v>
      </c>
      <c r="F32" s="300"/>
      <c r="G32" s="300"/>
      <c r="H32" s="420"/>
      <c r="I32" s="420"/>
      <c r="J32" s="430">
        <v>1</v>
      </c>
      <c r="K32" s="420"/>
      <c r="L32" s="420"/>
      <c r="M32" s="420"/>
      <c r="N32" s="420"/>
      <c r="O32" s="420"/>
      <c r="P32" s="434">
        <f t="shared" si="0"/>
        <v>1</v>
      </c>
    </row>
    <row r="33" spans="1:16" ht="15" x14ac:dyDescent="0.25">
      <c r="A33" s="50"/>
      <c r="B33" s="435" t="s">
        <v>278</v>
      </c>
      <c r="C33" s="418"/>
      <c r="D33" s="255" t="s">
        <v>251</v>
      </c>
      <c r="E33" s="421"/>
      <c r="F33" s="300"/>
      <c r="G33" s="300"/>
      <c r="H33" s="420"/>
      <c r="I33" s="420"/>
      <c r="J33" s="420"/>
      <c r="K33" s="420"/>
      <c r="L33" s="420"/>
      <c r="M33" s="420"/>
      <c r="N33" s="420"/>
      <c r="O33" s="420"/>
      <c r="P33" s="434">
        <f t="shared" si="0"/>
        <v>0</v>
      </c>
    </row>
    <row r="34" spans="1:16" ht="15" x14ac:dyDescent="0.25">
      <c r="A34" s="50"/>
      <c r="B34" s="433"/>
      <c r="C34" s="418"/>
      <c r="D34" s="255"/>
      <c r="E34" s="421"/>
      <c r="F34" s="300"/>
      <c r="G34" s="300"/>
      <c r="H34" s="420"/>
      <c r="I34" s="420"/>
      <c r="J34" s="420"/>
      <c r="K34" s="420"/>
      <c r="L34" s="420"/>
      <c r="M34" s="420"/>
      <c r="N34" s="420"/>
      <c r="O34" s="420"/>
      <c r="P34" s="434">
        <f t="shared" si="0"/>
        <v>0</v>
      </c>
    </row>
    <row r="35" spans="1:16" ht="15" x14ac:dyDescent="0.25">
      <c r="A35" s="50"/>
      <c r="B35" s="433"/>
      <c r="C35" s="418"/>
      <c r="D35" s="255"/>
      <c r="E35" s="421"/>
      <c r="F35" s="300"/>
      <c r="G35" s="300"/>
      <c r="H35" s="420"/>
      <c r="I35" s="420"/>
      <c r="J35" s="420"/>
      <c r="K35" s="420"/>
      <c r="L35" s="420"/>
      <c r="M35" s="420"/>
      <c r="N35" s="420"/>
      <c r="O35" s="420"/>
      <c r="P35" s="434">
        <f t="shared" si="0"/>
        <v>0</v>
      </c>
    </row>
    <row r="36" spans="1:16" ht="15"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ht="28.5" x14ac:dyDescent="0.25">
      <c r="A38" s="50"/>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50"/>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50"/>
      <c r="B40" s="433">
        <v>14</v>
      </c>
      <c r="C40" s="418" t="s">
        <v>155</v>
      </c>
      <c r="D40" s="255" t="s">
        <v>33</v>
      </c>
      <c r="E40" s="421">
        <v>12</v>
      </c>
      <c r="F40" s="300"/>
      <c r="G40" s="300"/>
      <c r="H40" s="420"/>
      <c r="I40" s="420"/>
      <c r="J40" s="430">
        <v>1</v>
      </c>
      <c r="K40" s="420"/>
      <c r="L40" s="420"/>
      <c r="M40" s="420"/>
      <c r="N40" s="420"/>
      <c r="O40" s="420"/>
      <c r="P40" s="434">
        <f t="shared" si="0"/>
        <v>1</v>
      </c>
    </row>
    <row r="41" spans="1:16" ht="15" x14ac:dyDescent="0.25">
      <c r="A41" s="50"/>
      <c r="B41" s="435" t="s">
        <v>278</v>
      </c>
      <c r="C41" s="418"/>
      <c r="D41" s="255" t="s">
        <v>251</v>
      </c>
      <c r="E41" s="421"/>
      <c r="F41" s="300"/>
      <c r="G41" s="300"/>
      <c r="H41" s="420"/>
      <c r="I41" s="420"/>
      <c r="J41" s="420"/>
      <c r="K41" s="420"/>
      <c r="L41" s="420"/>
      <c r="M41" s="420"/>
      <c r="N41" s="420"/>
      <c r="O41" s="420"/>
      <c r="P41" s="434">
        <f t="shared" si="0"/>
        <v>0</v>
      </c>
    </row>
    <row r="42" spans="1:16" ht="15" x14ac:dyDescent="0.25">
      <c r="A42" s="50"/>
      <c r="B42" s="433"/>
      <c r="C42" s="418"/>
      <c r="D42" s="255"/>
      <c r="E42" s="421"/>
      <c r="F42" s="300"/>
      <c r="G42" s="300"/>
      <c r="H42" s="420"/>
      <c r="I42" s="420"/>
      <c r="J42" s="420"/>
      <c r="K42" s="420"/>
      <c r="L42" s="420"/>
      <c r="M42" s="420"/>
      <c r="N42" s="420"/>
      <c r="O42" s="420"/>
      <c r="P42" s="434">
        <f t="shared" si="0"/>
        <v>0</v>
      </c>
    </row>
    <row r="43" spans="1:16" ht="15" x14ac:dyDescent="0.25">
      <c r="A43" s="50"/>
      <c r="B43" s="433"/>
      <c r="C43" s="418"/>
      <c r="D43" s="255"/>
      <c r="E43" s="421"/>
      <c r="F43" s="300"/>
      <c r="G43" s="300"/>
      <c r="H43" s="420"/>
      <c r="I43" s="420"/>
      <c r="J43" s="420"/>
      <c r="K43" s="420"/>
      <c r="L43" s="420"/>
      <c r="M43" s="420"/>
      <c r="N43" s="420"/>
      <c r="O43" s="420"/>
      <c r="P43" s="434">
        <f t="shared" si="0"/>
        <v>0</v>
      </c>
    </row>
    <row r="44" spans="1:16" ht="15"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28" t="s">
        <v>156</v>
      </c>
      <c r="C45" s="629"/>
      <c r="D45" s="629"/>
      <c r="E45" s="629"/>
      <c r="F45" s="629"/>
      <c r="G45" s="629"/>
      <c r="H45" s="629"/>
      <c r="I45" s="629"/>
      <c r="J45" s="629"/>
      <c r="K45" s="629"/>
      <c r="L45" s="629"/>
      <c r="M45" s="629"/>
      <c r="N45" s="629"/>
      <c r="O45" s="629"/>
      <c r="P45" s="630"/>
    </row>
    <row r="46" spans="1:16" ht="15" x14ac:dyDescent="0.25">
      <c r="A46" s="50"/>
      <c r="B46" s="433">
        <v>15</v>
      </c>
      <c r="C46" s="418" t="s">
        <v>157</v>
      </c>
      <c r="D46" s="255" t="s">
        <v>33</v>
      </c>
      <c r="E46" s="421"/>
      <c r="F46" s="300"/>
      <c r="G46" s="300"/>
      <c r="H46" s="430">
        <v>1</v>
      </c>
      <c r="I46" s="420"/>
      <c r="J46" s="420"/>
      <c r="K46" s="420"/>
      <c r="L46" s="420"/>
      <c r="M46" s="420"/>
      <c r="N46" s="420"/>
      <c r="O46" s="420"/>
      <c r="P46" s="434">
        <f t="shared" si="0"/>
        <v>1</v>
      </c>
    </row>
    <row r="47" spans="1:16" ht="15" x14ac:dyDescent="0.25">
      <c r="A47" s="50"/>
      <c r="B47" s="435" t="s">
        <v>278</v>
      </c>
      <c r="C47" s="418"/>
      <c r="D47" s="255" t="s">
        <v>251</v>
      </c>
      <c r="E47" s="421"/>
      <c r="F47" s="300"/>
      <c r="G47" s="300"/>
      <c r="H47" s="430"/>
      <c r="I47" s="420"/>
      <c r="J47" s="420"/>
      <c r="K47" s="420"/>
      <c r="L47" s="420"/>
      <c r="M47" s="420"/>
      <c r="N47" s="420"/>
      <c r="O47" s="420"/>
      <c r="P47" s="434">
        <f t="shared" si="0"/>
        <v>0</v>
      </c>
    </row>
    <row r="48" spans="1:16" ht="15" x14ac:dyDescent="0.25">
      <c r="A48" s="50"/>
      <c r="B48" s="433"/>
      <c r="C48" s="418"/>
      <c r="D48" s="255"/>
      <c r="E48" s="421"/>
      <c r="F48" s="300"/>
      <c r="G48" s="300"/>
      <c r="H48" s="430"/>
      <c r="I48" s="420"/>
      <c r="J48" s="420"/>
      <c r="K48" s="420"/>
      <c r="L48" s="420"/>
      <c r="M48" s="420"/>
      <c r="N48" s="420"/>
      <c r="O48" s="420"/>
      <c r="P48" s="434">
        <f t="shared" si="0"/>
        <v>0</v>
      </c>
    </row>
    <row r="49" spans="1:16" ht="15" x14ac:dyDescent="0.25">
      <c r="A49" s="50"/>
      <c r="B49" s="433"/>
      <c r="C49" s="418"/>
      <c r="D49" s="255"/>
      <c r="E49" s="421"/>
      <c r="F49" s="300"/>
      <c r="G49" s="300"/>
      <c r="H49" s="430"/>
      <c r="I49" s="420"/>
      <c r="J49" s="420"/>
      <c r="K49" s="420"/>
      <c r="L49" s="420"/>
      <c r="M49" s="420"/>
      <c r="N49" s="420"/>
      <c r="O49" s="420"/>
      <c r="P49" s="434"/>
    </row>
    <row r="50" spans="1:16" ht="15"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28" t="s">
        <v>158</v>
      </c>
      <c r="C51" s="629"/>
      <c r="D51" s="629"/>
      <c r="E51" s="629"/>
      <c r="F51" s="629"/>
      <c r="G51" s="629"/>
      <c r="H51" s="629"/>
      <c r="I51" s="629"/>
      <c r="J51" s="629"/>
      <c r="K51" s="629"/>
      <c r="L51" s="629"/>
      <c r="M51" s="629"/>
      <c r="N51" s="629"/>
      <c r="O51" s="629"/>
      <c r="P51" s="630"/>
    </row>
    <row r="52" spans="1:16" ht="15" x14ac:dyDescent="0.25">
      <c r="A52" s="50"/>
      <c r="B52" s="433">
        <v>16</v>
      </c>
      <c r="C52" s="418" t="s">
        <v>159</v>
      </c>
      <c r="D52" s="255" t="s">
        <v>33</v>
      </c>
      <c r="E52" s="421"/>
      <c r="F52" s="300"/>
      <c r="G52" s="300"/>
      <c r="H52" s="420"/>
      <c r="I52" s="420"/>
      <c r="J52" s="420"/>
      <c r="K52" s="420"/>
      <c r="L52" s="420"/>
      <c r="M52" s="420"/>
      <c r="N52" s="420"/>
      <c r="O52" s="420"/>
      <c r="P52" s="434">
        <f t="shared" si="0"/>
        <v>0</v>
      </c>
    </row>
    <row r="53" spans="1:16" ht="15" x14ac:dyDescent="0.25">
      <c r="A53" s="50"/>
      <c r="B53" s="433">
        <v>17</v>
      </c>
      <c r="C53" s="418" t="s">
        <v>160</v>
      </c>
      <c r="D53" s="255" t="s">
        <v>33</v>
      </c>
      <c r="E53" s="421"/>
      <c r="F53" s="300"/>
      <c r="G53" s="300"/>
      <c r="H53" s="420"/>
      <c r="I53" s="420"/>
      <c r="J53" s="420"/>
      <c r="K53" s="420"/>
      <c r="L53" s="420"/>
      <c r="M53" s="420"/>
      <c r="N53" s="420"/>
      <c r="O53" s="420"/>
      <c r="P53" s="434">
        <f t="shared" si="0"/>
        <v>0</v>
      </c>
    </row>
    <row r="54" spans="1:16" ht="15" x14ac:dyDescent="0.25">
      <c r="A54" s="50"/>
      <c r="B54" s="433">
        <v>18</v>
      </c>
      <c r="C54" s="418" t="s">
        <v>161</v>
      </c>
      <c r="D54" s="255" t="s">
        <v>33</v>
      </c>
      <c r="E54" s="421"/>
      <c r="F54" s="300"/>
      <c r="G54" s="300"/>
      <c r="H54" s="420"/>
      <c r="I54" s="420"/>
      <c r="J54" s="420"/>
      <c r="K54" s="420"/>
      <c r="L54" s="420"/>
      <c r="M54" s="420"/>
      <c r="N54" s="420"/>
      <c r="O54" s="420"/>
      <c r="P54" s="434">
        <f t="shared" si="0"/>
        <v>0</v>
      </c>
    </row>
    <row r="55" spans="1:16" ht="15" x14ac:dyDescent="0.25">
      <c r="A55" s="50"/>
      <c r="B55" s="433">
        <v>19</v>
      </c>
      <c r="C55" s="418" t="s">
        <v>162</v>
      </c>
      <c r="D55" s="255" t="s">
        <v>33</v>
      </c>
      <c r="E55" s="421"/>
      <c r="F55" s="300"/>
      <c r="G55" s="300"/>
      <c r="H55" s="420"/>
      <c r="I55" s="420"/>
      <c r="J55" s="420"/>
      <c r="K55" s="420"/>
      <c r="L55" s="420"/>
      <c r="M55" s="420"/>
      <c r="N55" s="420"/>
      <c r="O55" s="420"/>
      <c r="P55" s="434">
        <f t="shared" si="0"/>
        <v>0</v>
      </c>
    </row>
    <row r="56" spans="1:16" ht="15" x14ac:dyDescent="0.25">
      <c r="A56" s="50"/>
      <c r="B56" s="435" t="s">
        <v>278</v>
      </c>
      <c r="C56" s="418"/>
      <c r="D56" s="255" t="s">
        <v>251</v>
      </c>
      <c r="E56" s="421"/>
      <c r="F56" s="300"/>
      <c r="G56" s="300"/>
      <c r="H56" s="420"/>
      <c r="I56" s="420"/>
      <c r="J56" s="420"/>
      <c r="K56" s="420"/>
      <c r="L56" s="420"/>
      <c r="M56" s="420"/>
      <c r="N56" s="420"/>
      <c r="O56" s="420"/>
      <c r="P56" s="434">
        <f t="shared" si="0"/>
        <v>0</v>
      </c>
    </row>
    <row r="57" spans="1:16" ht="15" x14ac:dyDescent="0.25">
      <c r="A57" s="50"/>
      <c r="B57" s="435"/>
      <c r="C57" s="418"/>
      <c r="D57" s="255"/>
      <c r="E57" s="421"/>
      <c r="F57" s="300"/>
      <c r="G57" s="300"/>
      <c r="H57" s="420"/>
      <c r="I57" s="420"/>
      <c r="J57" s="420"/>
      <c r="K57" s="420"/>
      <c r="L57" s="420"/>
      <c r="M57" s="420"/>
      <c r="N57" s="420"/>
      <c r="O57" s="420"/>
      <c r="P57" s="434"/>
    </row>
    <row r="58" spans="1:16" ht="15" x14ac:dyDescent="0.25">
      <c r="A58" s="50"/>
      <c r="B58" s="435"/>
      <c r="C58" s="418"/>
      <c r="D58" s="255"/>
      <c r="E58" s="421"/>
      <c r="F58" s="300"/>
      <c r="G58" s="300"/>
      <c r="H58" s="420"/>
      <c r="I58" s="420"/>
      <c r="J58" s="420"/>
      <c r="K58" s="420"/>
      <c r="L58" s="420"/>
      <c r="M58" s="420"/>
      <c r="N58" s="420"/>
      <c r="O58" s="420"/>
      <c r="P58" s="434"/>
    </row>
    <row r="59" spans="1:16" ht="15" x14ac:dyDescent="0.25">
      <c r="A59" s="48"/>
      <c r="B59" s="436"/>
      <c r="C59" s="422"/>
      <c r="D59" s="423"/>
      <c r="E59" s="423"/>
      <c r="F59" s="300"/>
      <c r="G59" s="300"/>
      <c r="H59" s="424"/>
      <c r="I59" s="424"/>
      <c r="J59" s="424"/>
      <c r="K59" s="424"/>
      <c r="L59" s="424"/>
      <c r="M59" s="424"/>
      <c r="N59" s="424"/>
      <c r="O59" s="424"/>
      <c r="P59" s="434"/>
    </row>
    <row r="60" spans="1:16" ht="27" customHeight="1" x14ac:dyDescent="0.25">
      <c r="B60" s="615" t="s">
        <v>163</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31" t="s">
        <v>164</v>
      </c>
      <c r="C62" s="607"/>
      <c r="D62" s="607"/>
      <c r="E62" s="607"/>
      <c r="F62" s="607"/>
      <c r="G62" s="607"/>
      <c r="H62" s="607"/>
      <c r="I62" s="607"/>
      <c r="J62" s="607"/>
      <c r="K62" s="607"/>
      <c r="L62" s="607"/>
      <c r="M62" s="607"/>
      <c r="N62" s="607"/>
      <c r="O62" s="607"/>
      <c r="P62" s="632"/>
    </row>
    <row r="63" spans="1:16" ht="15" x14ac:dyDescent="0.25">
      <c r="A63" s="50"/>
      <c r="B63" s="433">
        <v>21</v>
      </c>
      <c r="C63" s="418" t="s">
        <v>165</v>
      </c>
      <c r="D63" s="255" t="s">
        <v>33</v>
      </c>
      <c r="E63" s="421"/>
      <c r="F63" s="300"/>
      <c r="G63" s="300"/>
      <c r="H63" s="430">
        <v>1</v>
      </c>
      <c r="I63" s="420"/>
      <c r="J63" s="420"/>
      <c r="K63" s="420"/>
      <c r="L63" s="420"/>
      <c r="M63" s="420"/>
      <c r="N63" s="420"/>
      <c r="O63" s="420"/>
      <c r="P63" s="434">
        <f t="shared" si="0"/>
        <v>1</v>
      </c>
    </row>
    <row r="64" spans="1:16" ht="28.5" x14ac:dyDescent="0.25">
      <c r="A64" s="50"/>
      <c r="B64" s="433">
        <v>22</v>
      </c>
      <c r="C64" s="418" t="s">
        <v>166</v>
      </c>
      <c r="D64" s="255" t="s">
        <v>33</v>
      </c>
      <c r="E64" s="421"/>
      <c r="F64" s="300"/>
      <c r="G64" s="300"/>
      <c r="H64" s="430">
        <v>1</v>
      </c>
      <c r="I64" s="420"/>
      <c r="J64" s="420"/>
      <c r="K64" s="420"/>
      <c r="L64" s="420"/>
      <c r="M64" s="420"/>
      <c r="N64" s="420"/>
      <c r="O64" s="420"/>
      <c r="P64" s="434">
        <f t="shared" si="0"/>
        <v>1</v>
      </c>
    </row>
    <row r="65" spans="1:16" ht="15" x14ac:dyDescent="0.25">
      <c r="A65" s="50"/>
      <c r="B65" s="433">
        <v>23</v>
      </c>
      <c r="C65" s="418" t="s">
        <v>167</v>
      </c>
      <c r="D65" s="255" t="s">
        <v>33</v>
      </c>
      <c r="E65" s="421"/>
      <c r="F65" s="300"/>
      <c r="G65" s="300"/>
      <c r="H65" s="430">
        <v>1</v>
      </c>
      <c r="I65" s="420"/>
      <c r="J65" s="420"/>
      <c r="K65" s="420"/>
      <c r="L65" s="420"/>
      <c r="M65" s="420"/>
      <c r="N65" s="420"/>
      <c r="O65" s="420"/>
      <c r="P65" s="434">
        <f t="shared" si="0"/>
        <v>1</v>
      </c>
    </row>
    <row r="66" spans="1:16" ht="15" x14ac:dyDescent="0.25">
      <c r="A66" s="50"/>
      <c r="B66" s="433">
        <v>24</v>
      </c>
      <c r="C66" s="418" t="s">
        <v>168</v>
      </c>
      <c r="D66" s="255" t="s">
        <v>33</v>
      </c>
      <c r="E66" s="421"/>
      <c r="F66" s="300"/>
      <c r="G66" s="300"/>
      <c r="H66" s="430">
        <v>1</v>
      </c>
      <c r="I66" s="420"/>
      <c r="J66" s="420"/>
      <c r="K66" s="420"/>
      <c r="L66" s="420"/>
      <c r="M66" s="420"/>
      <c r="N66" s="420"/>
      <c r="O66" s="420"/>
      <c r="P66" s="434">
        <f t="shared" si="0"/>
        <v>1</v>
      </c>
    </row>
    <row r="67" spans="1:16" ht="15" x14ac:dyDescent="0.25">
      <c r="A67" s="50"/>
      <c r="B67" s="435" t="s">
        <v>278</v>
      </c>
      <c r="C67" s="418"/>
      <c r="D67" s="255" t="s">
        <v>251</v>
      </c>
      <c r="E67" s="421"/>
      <c r="F67" s="300"/>
      <c r="G67" s="300"/>
      <c r="H67" s="430"/>
      <c r="I67" s="420"/>
      <c r="J67" s="420"/>
      <c r="K67" s="420"/>
      <c r="L67" s="420"/>
      <c r="M67" s="420"/>
      <c r="N67" s="420"/>
      <c r="O67" s="420"/>
      <c r="P67" s="434"/>
    </row>
    <row r="68" spans="1:16" ht="15" x14ac:dyDescent="0.25">
      <c r="A68" s="50"/>
      <c r="B68" s="433"/>
      <c r="C68" s="418"/>
      <c r="D68" s="255"/>
      <c r="E68" s="421"/>
      <c r="F68" s="300"/>
      <c r="G68" s="300"/>
      <c r="H68" s="430"/>
      <c r="I68" s="420"/>
      <c r="J68" s="420"/>
      <c r="K68" s="420"/>
      <c r="L68" s="420"/>
      <c r="M68" s="420"/>
      <c r="N68" s="420"/>
      <c r="O68" s="420"/>
      <c r="P68" s="434"/>
    </row>
    <row r="69" spans="1:16" ht="15" x14ac:dyDescent="0.25">
      <c r="A69" s="50"/>
      <c r="B69" s="433"/>
      <c r="C69" s="418"/>
      <c r="D69" s="255"/>
      <c r="E69" s="421"/>
      <c r="F69" s="300"/>
      <c r="G69" s="300"/>
      <c r="H69" s="430"/>
      <c r="I69" s="420"/>
      <c r="J69" s="420"/>
      <c r="K69" s="420"/>
      <c r="L69" s="420"/>
      <c r="M69" s="420"/>
      <c r="N69" s="420"/>
      <c r="O69" s="420"/>
      <c r="P69" s="434"/>
    </row>
    <row r="70" spans="1:16" ht="15"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31" t="s">
        <v>169</v>
      </c>
      <c r="C71" s="607"/>
      <c r="D71" s="607"/>
      <c r="E71" s="607"/>
      <c r="F71" s="607"/>
      <c r="G71" s="607"/>
      <c r="H71" s="607"/>
      <c r="I71" s="607"/>
      <c r="J71" s="607"/>
      <c r="K71" s="607"/>
      <c r="L71" s="607"/>
      <c r="M71" s="607"/>
      <c r="N71" s="607"/>
      <c r="O71" s="607"/>
      <c r="P71" s="632"/>
    </row>
    <row r="72" spans="1:16" ht="15" x14ac:dyDescent="0.25">
      <c r="A72" s="50"/>
      <c r="B72" s="433">
        <v>25</v>
      </c>
      <c r="C72" s="418" t="s">
        <v>170</v>
      </c>
      <c r="D72" s="255" t="s">
        <v>33</v>
      </c>
      <c r="E72" s="421"/>
      <c r="F72" s="300"/>
      <c r="G72" s="300"/>
      <c r="H72" s="420"/>
      <c r="I72" s="430">
        <v>1</v>
      </c>
      <c r="J72" s="420"/>
      <c r="K72" s="420"/>
      <c r="L72" s="420"/>
      <c r="M72" s="420"/>
      <c r="N72" s="420"/>
      <c r="O72" s="420"/>
      <c r="P72" s="434">
        <f t="shared" si="0"/>
        <v>1</v>
      </c>
    </row>
    <row r="73" spans="1:16" ht="15" x14ac:dyDescent="0.25">
      <c r="A73" s="50"/>
      <c r="B73" s="433">
        <v>26</v>
      </c>
      <c r="C73" s="418" t="s">
        <v>171</v>
      </c>
      <c r="D73" s="255" t="s">
        <v>33</v>
      </c>
      <c r="E73" s="421"/>
      <c r="F73" s="300"/>
      <c r="G73" s="300"/>
      <c r="H73" s="420"/>
      <c r="I73" s="430">
        <v>1</v>
      </c>
      <c r="J73" s="420"/>
      <c r="K73" s="420"/>
      <c r="L73" s="420"/>
      <c r="M73" s="420"/>
      <c r="N73" s="420"/>
      <c r="O73" s="420"/>
      <c r="P73" s="434">
        <f t="shared" si="0"/>
        <v>1</v>
      </c>
    </row>
    <row r="74" spans="1:16" ht="28.5" x14ac:dyDescent="0.25">
      <c r="A74" s="50"/>
      <c r="B74" s="433">
        <v>27</v>
      </c>
      <c r="C74" s="418" t="s">
        <v>172</v>
      </c>
      <c r="D74" s="255" t="s">
        <v>33</v>
      </c>
      <c r="E74" s="421"/>
      <c r="F74" s="300"/>
      <c r="G74" s="300"/>
      <c r="H74" s="420"/>
      <c r="I74" s="430">
        <v>0.8</v>
      </c>
      <c r="J74" s="430">
        <v>0.2</v>
      </c>
      <c r="K74" s="420"/>
      <c r="L74" s="420"/>
      <c r="M74" s="420"/>
      <c r="N74" s="420"/>
      <c r="O74" s="420"/>
      <c r="P74" s="434">
        <f t="shared" si="0"/>
        <v>1</v>
      </c>
    </row>
    <row r="75" spans="1:16" ht="28.5" x14ac:dyDescent="0.25">
      <c r="A75" s="50"/>
      <c r="B75" s="433">
        <v>28</v>
      </c>
      <c r="C75" s="418" t="s">
        <v>173</v>
      </c>
      <c r="D75" s="255" t="s">
        <v>33</v>
      </c>
      <c r="E75" s="421"/>
      <c r="F75" s="300"/>
      <c r="G75" s="300"/>
      <c r="H75" s="420"/>
      <c r="I75" s="420"/>
      <c r="J75" s="420"/>
      <c r="K75" s="420"/>
      <c r="L75" s="420"/>
      <c r="M75" s="420"/>
      <c r="N75" s="420"/>
      <c r="O75" s="420"/>
      <c r="P75" s="434">
        <f t="shared" si="0"/>
        <v>0</v>
      </c>
    </row>
    <row r="76" spans="1:16" ht="28.5" x14ac:dyDescent="0.25">
      <c r="A76" s="50"/>
      <c r="B76" s="433">
        <v>29</v>
      </c>
      <c r="C76" s="418" t="s">
        <v>174</v>
      </c>
      <c r="D76" s="255" t="s">
        <v>33</v>
      </c>
      <c r="E76" s="421"/>
      <c r="F76" s="300"/>
      <c r="G76" s="300"/>
      <c r="H76" s="420"/>
      <c r="I76" s="420"/>
      <c r="J76" s="420"/>
      <c r="K76" s="420"/>
      <c r="L76" s="420"/>
      <c r="M76" s="420"/>
      <c r="N76" s="420"/>
      <c r="O76" s="420"/>
      <c r="P76" s="434">
        <f t="shared" si="0"/>
        <v>0</v>
      </c>
    </row>
    <row r="77" spans="1:16" ht="28.5" x14ac:dyDescent="0.25">
      <c r="A77" s="50"/>
      <c r="B77" s="433">
        <v>30</v>
      </c>
      <c r="C77" s="418" t="s">
        <v>175</v>
      </c>
      <c r="D77" s="255" t="s">
        <v>33</v>
      </c>
      <c r="E77" s="421"/>
      <c r="F77" s="300"/>
      <c r="G77" s="300"/>
      <c r="H77" s="420"/>
      <c r="I77" s="420"/>
      <c r="J77" s="420"/>
      <c r="K77" s="420"/>
      <c r="L77" s="420"/>
      <c r="M77" s="420"/>
      <c r="N77" s="420"/>
      <c r="O77" s="420"/>
      <c r="P77" s="434">
        <f t="shared" si="0"/>
        <v>0</v>
      </c>
    </row>
    <row r="78" spans="1:16" ht="28.5" x14ac:dyDescent="0.25">
      <c r="A78" s="50"/>
      <c r="B78" s="433">
        <v>31</v>
      </c>
      <c r="C78" s="418" t="s">
        <v>176</v>
      </c>
      <c r="D78" s="255" t="s">
        <v>33</v>
      </c>
      <c r="E78" s="421"/>
      <c r="F78" s="300"/>
      <c r="G78" s="300"/>
      <c r="H78" s="420"/>
      <c r="I78" s="420"/>
      <c r="J78" s="420"/>
      <c r="K78" s="420"/>
      <c r="L78" s="420"/>
      <c r="M78" s="420"/>
      <c r="N78" s="420"/>
      <c r="O78" s="420"/>
      <c r="P78" s="434">
        <f t="shared" si="0"/>
        <v>0</v>
      </c>
    </row>
    <row r="79" spans="1:16" ht="15" x14ac:dyDescent="0.25">
      <c r="A79" s="50"/>
      <c r="B79" s="433">
        <v>32</v>
      </c>
      <c r="C79" s="418" t="s">
        <v>177</v>
      </c>
      <c r="D79" s="255" t="s">
        <v>33</v>
      </c>
      <c r="E79" s="421"/>
      <c r="F79" s="300"/>
      <c r="G79" s="300"/>
      <c r="H79" s="420"/>
      <c r="I79" s="420"/>
      <c r="J79" s="420"/>
      <c r="K79" s="420"/>
      <c r="L79" s="420"/>
      <c r="M79" s="420"/>
      <c r="N79" s="420"/>
      <c r="O79" s="420"/>
      <c r="P79" s="434">
        <f t="shared" si="0"/>
        <v>0</v>
      </c>
    </row>
    <row r="80" spans="1:16" ht="15" x14ac:dyDescent="0.25">
      <c r="A80" s="50"/>
      <c r="B80" s="435" t="s">
        <v>278</v>
      </c>
      <c r="C80" s="418"/>
      <c r="D80" s="255" t="s">
        <v>251</v>
      </c>
      <c r="E80" s="421"/>
      <c r="F80" s="300"/>
      <c r="G80" s="300"/>
      <c r="H80" s="420"/>
      <c r="I80" s="420"/>
      <c r="J80" s="420"/>
      <c r="K80" s="420"/>
      <c r="L80" s="420"/>
      <c r="M80" s="420"/>
      <c r="N80" s="420"/>
      <c r="O80" s="420"/>
      <c r="P80" s="434"/>
    </row>
    <row r="81" spans="1:16" ht="15" x14ac:dyDescent="0.25">
      <c r="A81" s="50"/>
      <c r="B81" s="433"/>
      <c r="C81" s="418"/>
      <c r="D81" s="255"/>
      <c r="E81" s="421"/>
      <c r="F81" s="300"/>
      <c r="G81" s="300"/>
      <c r="H81" s="420"/>
      <c r="I81" s="420"/>
      <c r="J81" s="420"/>
      <c r="K81" s="420"/>
      <c r="L81" s="420"/>
      <c r="M81" s="420"/>
      <c r="N81" s="420"/>
      <c r="O81" s="420"/>
      <c r="P81" s="434"/>
    </row>
    <row r="82" spans="1:16" ht="15" x14ac:dyDescent="0.25">
      <c r="A82" s="50"/>
      <c r="B82" s="433"/>
      <c r="C82" s="418"/>
      <c r="D82" s="255"/>
      <c r="E82" s="421"/>
      <c r="F82" s="300"/>
      <c r="G82" s="300"/>
      <c r="H82" s="420"/>
      <c r="I82" s="420"/>
      <c r="J82" s="420"/>
      <c r="K82" s="420"/>
      <c r="L82" s="420"/>
      <c r="M82" s="420"/>
      <c r="N82" s="420"/>
      <c r="O82" s="420"/>
      <c r="P82" s="434"/>
    </row>
    <row r="83" spans="1:16" ht="15"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31" t="s">
        <v>178</v>
      </c>
      <c r="C84" s="607"/>
      <c r="D84" s="607"/>
      <c r="E84" s="607"/>
      <c r="F84" s="607"/>
      <c r="G84" s="607"/>
      <c r="H84" s="607"/>
      <c r="I84" s="607"/>
      <c r="J84" s="607"/>
      <c r="K84" s="607"/>
      <c r="L84" s="607"/>
      <c r="M84" s="607"/>
      <c r="N84" s="607"/>
      <c r="O84" s="607"/>
      <c r="P84" s="632"/>
    </row>
    <row r="85" spans="1:16" ht="15" x14ac:dyDescent="0.25">
      <c r="A85" s="50"/>
      <c r="B85" s="433">
        <v>33</v>
      </c>
      <c r="C85" s="418" t="s">
        <v>179</v>
      </c>
      <c r="D85" s="255" t="s">
        <v>33</v>
      </c>
      <c r="E85" s="421"/>
      <c r="F85" s="300"/>
      <c r="G85" s="300"/>
      <c r="H85" s="426"/>
      <c r="I85" s="426"/>
      <c r="J85" s="426"/>
      <c r="K85" s="426"/>
      <c r="L85" s="426"/>
      <c r="M85" s="426"/>
      <c r="N85" s="426"/>
      <c r="O85" s="426"/>
      <c r="P85" s="434">
        <f t="shared" si="1"/>
        <v>0</v>
      </c>
    </row>
    <row r="86" spans="1:16" ht="15" x14ac:dyDescent="0.25">
      <c r="A86" s="50"/>
      <c r="B86" s="433">
        <v>34</v>
      </c>
      <c r="C86" s="418" t="s">
        <v>180</v>
      </c>
      <c r="D86" s="255" t="s">
        <v>33</v>
      </c>
      <c r="E86" s="421"/>
      <c r="F86" s="300"/>
      <c r="G86" s="300"/>
      <c r="H86" s="426"/>
      <c r="I86" s="426"/>
      <c r="J86" s="426"/>
      <c r="K86" s="426"/>
      <c r="L86" s="426"/>
      <c r="M86" s="426"/>
      <c r="N86" s="426"/>
      <c r="O86" s="426"/>
      <c r="P86" s="434">
        <f t="shared" si="1"/>
        <v>0</v>
      </c>
    </row>
    <row r="87" spans="1:16" ht="15" x14ac:dyDescent="0.25">
      <c r="A87" s="50"/>
      <c r="B87" s="433">
        <v>35</v>
      </c>
      <c r="C87" s="418" t="s">
        <v>181</v>
      </c>
      <c r="D87" s="255" t="s">
        <v>33</v>
      </c>
      <c r="E87" s="421"/>
      <c r="F87" s="300"/>
      <c r="G87" s="300"/>
      <c r="H87" s="426"/>
      <c r="I87" s="426"/>
      <c r="J87" s="426"/>
      <c r="K87" s="426"/>
      <c r="L87" s="426"/>
      <c r="M87" s="426"/>
      <c r="N87" s="426"/>
      <c r="O87" s="426"/>
      <c r="P87" s="434">
        <f t="shared" si="1"/>
        <v>0</v>
      </c>
    </row>
    <row r="88" spans="1:16" ht="15" x14ac:dyDescent="0.25">
      <c r="A88" s="50"/>
      <c r="B88" s="435" t="s">
        <v>278</v>
      </c>
      <c r="C88" s="418"/>
      <c r="D88" s="255" t="s">
        <v>251</v>
      </c>
      <c r="E88" s="421"/>
      <c r="F88" s="300"/>
      <c r="G88" s="300"/>
      <c r="H88" s="426"/>
      <c r="I88" s="426"/>
      <c r="J88" s="426"/>
      <c r="K88" s="426"/>
      <c r="L88" s="426"/>
      <c r="M88" s="426"/>
      <c r="N88" s="426"/>
      <c r="O88" s="426"/>
      <c r="P88" s="434"/>
    </row>
    <row r="89" spans="1:16" ht="15" x14ac:dyDescent="0.25">
      <c r="A89" s="50"/>
      <c r="B89" s="433"/>
      <c r="C89" s="418"/>
      <c r="D89" s="255"/>
      <c r="E89" s="421"/>
      <c r="F89" s="300"/>
      <c r="G89" s="300"/>
      <c r="H89" s="426"/>
      <c r="I89" s="426"/>
      <c r="J89" s="426"/>
      <c r="K89" s="426"/>
      <c r="L89" s="426"/>
      <c r="M89" s="426"/>
      <c r="N89" s="426"/>
      <c r="O89" s="426"/>
      <c r="P89" s="434"/>
    </row>
    <row r="90" spans="1:16" ht="15" x14ac:dyDescent="0.25">
      <c r="A90" s="50"/>
      <c r="B90" s="433"/>
      <c r="C90" s="418"/>
      <c r="D90" s="255"/>
      <c r="E90" s="421"/>
      <c r="F90" s="300"/>
      <c r="G90" s="300"/>
      <c r="H90" s="426"/>
      <c r="I90" s="426"/>
      <c r="J90" s="426"/>
      <c r="K90" s="426"/>
      <c r="L90" s="426"/>
      <c r="M90" s="426"/>
      <c r="N90" s="426"/>
      <c r="O90" s="426"/>
      <c r="P90" s="434"/>
    </row>
    <row r="91" spans="1:16" ht="15"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31" t="s">
        <v>182</v>
      </c>
      <c r="C92" s="607"/>
      <c r="D92" s="607"/>
      <c r="E92" s="607"/>
      <c r="F92" s="607"/>
      <c r="G92" s="607"/>
      <c r="H92" s="607"/>
      <c r="I92" s="607"/>
      <c r="J92" s="607"/>
      <c r="K92" s="607"/>
      <c r="L92" s="607"/>
      <c r="M92" s="607"/>
      <c r="N92" s="607"/>
      <c r="O92" s="607"/>
      <c r="P92" s="632"/>
    </row>
    <row r="93" spans="1:16" ht="42.75" x14ac:dyDescent="0.25">
      <c r="A93" s="50"/>
      <c r="B93" s="433">
        <v>36</v>
      </c>
      <c r="C93" s="418" t="s">
        <v>183</v>
      </c>
      <c r="D93" s="255" t="s">
        <v>33</v>
      </c>
      <c r="E93" s="421"/>
      <c r="F93" s="300"/>
      <c r="G93" s="300"/>
      <c r="H93" s="426"/>
      <c r="I93" s="426"/>
      <c r="J93" s="426"/>
      <c r="K93" s="426"/>
      <c r="L93" s="426"/>
      <c r="M93" s="426"/>
      <c r="N93" s="426"/>
      <c r="O93" s="426"/>
      <c r="P93" s="434">
        <f t="shared" si="1"/>
        <v>0</v>
      </c>
    </row>
    <row r="94" spans="1:16" ht="28.5" x14ac:dyDescent="0.25">
      <c r="A94" s="50"/>
      <c r="B94" s="433">
        <v>37</v>
      </c>
      <c r="C94" s="418" t="s">
        <v>184</v>
      </c>
      <c r="D94" s="255" t="s">
        <v>33</v>
      </c>
      <c r="E94" s="421"/>
      <c r="F94" s="300"/>
      <c r="G94" s="300"/>
      <c r="H94" s="426"/>
      <c r="I94" s="426"/>
      <c r="J94" s="426"/>
      <c r="K94" s="426"/>
      <c r="L94" s="426"/>
      <c r="M94" s="426"/>
      <c r="N94" s="426"/>
      <c r="O94" s="426"/>
      <c r="P94" s="434">
        <f t="shared" si="1"/>
        <v>0</v>
      </c>
    </row>
    <row r="95" spans="1:16" ht="15" x14ac:dyDescent="0.25">
      <c r="A95" s="50"/>
      <c r="B95" s="433">
        <v>38</v>
      </c>
      <c r="C95" s="418" t="s">
        <v>185</v>
      </c>
      <c r="D95" s="255" t="s">
        <v>33</v>
      </c>
      <c r="E95" s="421"/>
      <c r="F95" s="300"/>
      <c r="G95" s="300"/>
      <c r="H95" s="426"/>
      <c r="I95" s="426"/>
      <c r="J95" s="426"/>
      <c r="K95" s="426"/>
      <c r="L95" s="426"/>
      <c r="M95" s="426"/>
      <c r="N95" s="426"/>
      <c r="O95" s="426"/>
      <c r="P95" s="434">
        <f t="shared" si="1"/>
        <v>0</v>
      </c>
    </row>
    <row r="96" spans="1:16" ht="28.5" x14ac:dyDescent="0.25">
      <c r="A96" s="50"/>
      <c r="B96" s="433">
        <v>39</v>
      </c>
      <c r="C96" s="418" t="s">
        <v>186</v>
      </c>
      <c r="D96" s="255" t="s">
        <v>33</v>
      </c>
      <c r="E96" s="421"/>
      <c r="F96" s="300"/>
      <c r="G96" s="300"/>
      <c r="H96" s="426"/>
      <c r="I96" s="426"/>
      <c r="J96" s="426"/>
      <c r="K96" s="426"/>
      <c r="L96" s="426"/>
      <c r="M96" s="426"/>
      <c r="N96" s="426"/>
      <c r="O96" s="426"/>
      <c r="P96" s="434">
        <f t="shared" si="1"/>
        <v>0</v>
      </c>
    </row>
    <row r="97" spans="1:16" ht="28.5" x14ac:dyDescent="0.25">
      <c r="A97" s="50"/>
      <c r="B97" s="433">
        <v>40</v>
      </c>
      <c r="C97" s="418" t="s">
        <v>187</v>
      </c>
      <c r="D97" s="255" t="s">
        <v>33</v>
      </c>
      <c r="E97" s="421"/>
      <c r="F97" s="300"/>
      <c r="G97" s="300"/>
      <c r="H97" s="426"/>
      <c r="I97" s="426"/>
      <c r="J97" s="426"/>
      <c r="K97" s="426"/>
      <c r="L97" s="426"/>
      <c r="M97" s="426"/>
      <c r="N97" s="426"/>
      <c r="O97" s="426"/>
      <c r="P97" s="434">
        <f t="shared" si="1"/>
        <v>0</v>
      </c>
    </row>
    <row r="98" spans="1:16" ht="28.5" x14ac:dyDescent="0.25">
      <c r="A98" s="50"/>
      <c r="B98" s="433">
        <v>41</v>
      </c>
      <c r="C98" s="418" t="s">
        <v>188</v>
      </c>
      <c r="D98" s="255" t="s">
        <v>33</v>
      </c>
      <c r="E98" s="421"/>
      <c r="F98" s="300"/>
      <c r="G98" s="300"/>
      <c r="H98" s="426"/>
      <c r="I98" s="426"/>
      <c r="J98" s="426"/>
      <c r="K98" s="426"/>
      <c r="L98" s="426"/>
      <c r="M98" s="426"/>
      <c r="N98" s="426"/>
      <c r="O98" s="426"/>
      <c r="P98" s="434">
        <f t="shared" si="1"/>
        <v>0</v>
      </c>
    </row>
    <row r="99" spans="1:16" ht="28.5" x14ac:dyDescent="0.25">
      <c r="A99" s="50"/>
      <c r="B99" s="433">
        <v>42</v>
      </c>
      <c r="C99" s="418" t="s">
        <v>189</v>
      </c>
      <c r="D99" s="255" t="s">
        <v>33</v>
      </c>
      <c r="E99" s="421"/>
      <c r="F99" s="300"/>
      <c r="G99" s="300"/>
      <c r="H99" s="426"/>
      <c r="I99" s="426"/>
      <c r="J99" s="426"/>
      <c r="K99" s="426"/>
      <c r="L99" s="426"/>
      <c r="M99" s="426"/>
      <c r="N99" s="426"/>
      <c r="O99" s="426"/>
      <c r="P99" s="434">
        <f t="shared" si="1"/>
        <v>0</v>
      </c>
    </row>
    <row r="100" spans="1:16" ht="15" x14ac:dyDescent="0.25">
      <c r="A100" s="50"/>
      <c r="B100" s="433">
        <v>43</v>
      </c>
      <c r="C100" s="418" t="s">
        <v>190</v>
      </c>
      <c r="D100" s="255" t="s">
        <v>33</v>
      </c>
      <c r="E100" s="421"/>
      <c r="F100" s="300"/>
      <c r="G100" s="300"/>
      <c r="H100" s="426"/>
      <c r="I100" s="426"/>
      <c r="J100" s="426"/>
      <c r="K100" s="426"/>
      <c r="L100" s="426"/>
      <c r="M100" s="426"/>
      <c r="N100" s="426"/>
      <c r="O100" s="426"/>
      <c r="P100" s="434">
        <f t="shared" si="1"/>
        <v>0</v>
      </c>
    </row>
    <row r="101" spans="1:16" ht="42.75" x14ac:dyDescent="0.25">
      <c r="A101" s="50"/>
      <c r="B101" s="433">
        <v>44</v>
      </c>
      <c r="C101" s="418" t="s">
        <v>191</v>
      </c>
      <c r="D101" s="255" t="s">
        <v>33</v>
      </c>
      <c r="E101" s="421"/>
      <c r="F101" s="300"/>
      <c r="G101" s="300"/>
      <c r="H101" s="426"/>
      <c r="I101" s="426"/>
      <c r="J101" s="426"/>
      <c r="K101" s="426"/>
      <c r="L101" s="426"/>
      <c r="M101" s="426"/>
      <c r="N101" s="426"/>
      <c r="O101" s="426"/>
      <c r="P101" s="434">
        <f t="shared" si="1"/>
        <v>0</v>
      </c>
    </row>
    <row r="102" spans="1:16" ht="28.5" x14ac:dyDescent="0.25">
      <c r="A102" s="50"/>
      <c r="B102" s="433">
        <v>45</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50"/>
      <c r="B103" s="433">
        <v>46</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50"/>
      <c r="B104" s="433">
        <v>47</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50"/>
      <c r="B105" s="433">
        <v>48</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50"/>
      <c r="B106" s="433">
        <v>49</v>
      </c>
      <c r="C106" s="418" t="s">
        <v>196</v>
      </c>
      <c r="D106" s="255" t="s">
        <v>33</v>
      </c>
      <c r="E106" s="421"/>
      <c r="F106" s="300"/>
      <c r="G106" s="300"/>
      <c r="H106" s="426"/>
      <c r="I106" s="426"/>
      <c r="J106" s="426"/>
      <c r="K106" s="426"/>
      <c r="L106" s="426"/>
      <c r="M106" s="426"/>
      <c r="N106" s="426"/>
      <c r="O106" s="426"/>
      <c r="P106" s="434">
        <f t="shared" si="1"/>
        <v>0</v>
      </c>
    </row>
    <row r="107" spans="1:16" ht="15" x14ac:dyDescent="0.25">
      <c r="A107" s="50"/>
      <c r="B107" s="435" t="s">
        <v>278</v>
      </c>
      <c r="C107" s="418"/>
      <c r="D107" s="255" t="s">
        <v>251</v>
      </c>
      <c r="E107" s="421"/>
      <c r="F107" s="300"/>
      <c r="G107" s="300"/>
      <c r="H107" s="426"/>
      <c r="I107" s="426"/>
      <c r="J107" s="426"/>
      <c r="K107" s="426"/>
      <c r="L107" s="426"/>
      <c r="M107" s="426"/>
      <c r="N107" s="426"/>
      <c r="O107" s="426"/>
      <c r="P107" s="434"/>
    </row>
    <row r="108" spans="1:16" ht="15" x14ac:dyDescent="0.25">
      <c r="A108" s="50"/>
      <c r="B108" s="433"/>
      <c r="C108" s="418"/>
      <c r="D108" s="255"/>
      <c r="E108" s="421"/>
      <c r="F108" s="300"/>
      <c r="G108" s="300"/>
      <c r="H108" s="426"/>
      <c r="I108" s="426"/>
      <c r="J108" s="426"/>
      <c r="K108" s="426"/>
      <c r="L108" s="426"/>
      <c r="M108" s="426"/>
      <c r="N108" s="426"/>
      <c r="O108" s="426"/>
      <c r="P108" s="434"/>
    </row>
    <row r="109" spans="1:16" ht="15" x14ac:dyDescent="0.25">
      <c r="A109" s="50"/>
      <c r="B109" s="433"/>
      <c r="C109" s="418"/>
      <c r="D109" s="255"/>
      <c r="E109" s="421"/>
      <c r="F109" s="300"/>
      <c r="G109" s="300"/>
      <c r="H109" s="426"/>
      <c r="I109" s="426"/>
      <c r="J109" s="426"/>
      <c r="K109" s="426"/>
      <c r="L109" s="426"/>
      <c r="M109" s="426"/>
      <c r="N109" s="426"/>
      <c r="O109" s="426"/>
      <c r="P109" s="434"/>
    </row>
    <row r="110" spans="1:16" ht="15" x14ac:dyDescent="0.25">
      <c r="A110" s="50"/>
      <c r="B110" s="433"/>
      <c r="C110" s="418"/>
      <c r="D110" s="255"/>
      <c r="E110" s="421"/>
      <c r="F110" s="300"/>
      <c r="G110" s="300"/>
      <c r="H110" s="426"/>
      <c r="I110" s="426"/>
      <c r="J110" s="426"/>
      <c r="K110" s="426"/>
      <c r="L110" s="426"/>
      <c r="M110" s="426"/>
      <c r="N110" s="426"/>
      <c r="O110" s="426"/>
      <c r="P110" s="434"/>
    </row>
    <row r="111" spans="1:16" ht="15" x14ac:dyDescent="0.25">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ht="15" x14ac:dyDescent="0.25">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ht="15" x14ac:dyDescent="0.25">
      <c r="B113" s="277"/>
      <c r="C113" s="596" t="s">
        <v>259</v>
      </c>
      <c r="D113" s="596"/>
      <c r="E113" s="271"/>
      <c r="F113" s="269"/>
      <c r="G113" s="269"/>
      <c r="H113" s="271"/>
      <c r="I113" s="271"/>
      <c r="J113" s="272">
        <f>J112-(E32*G32*J32)</f>
        <v>0</v>
      </c>
      <c r="K113" s="271">
        <f>K112-(E32*G32*K32)</f>
        <v>0</v>
      </c>
      <c r="L113" s="271"/>
      <c r="M113" s="271"/>
      <c r="N113" s="271"/>
      <c r="O113" s="271"/>
      <c r="P113" s="278"/>
    </row>
    <row r="114" spans="2:16" ht="15" x14ac:dyDescent="0.25">
      <c r="B114" s="357"/>
      <c r="C114" s="595"/>
      <c r="D114" s="595"/>
      <c r="E114" s="358"/>
      <c r="F114" s="359"/>
      <c r="G114" s="359"/>
      <c r="H114" s="358"/>
      <c r="I114" s="358"/>
      <c r="J114" s="358"/>
      <c r="K114" s="358"/>
      <c r="L114" s="358"/>
      <c r="M114" s="358"/>
      <c r="N114" s="358"/>
      <c r="O114" s="358"/>
      <c r="P114" s="362"/>
    </row>
    <row r="115" spans="2:16" ht="15" x14ac:dyDescent="0.25">
      <c r="B115" s="279"/>
      <c r="C115" s="263"/>
      <c r="D115" s="264"/>
      <c r="E115" s="264"/>
      <c r="F115" s="262"/>
      <c r="G115" s="262"/>
      <c r="H115" s="264"/>
      <c r="I115" s="264"/>
      <c r="J115" s="264"/>
      <c r="K115" s="264"/>
      <c r="L115" s="264"/>
      <c r="M115" s="264"/>
      <c r="N115" s="264"/>
      <c r="O115" s="264"/>
      <c r="P115" s="280"/>
    </row>
    <row r="116" spans="2:16" ht="15" x14ac:dyDescent="0.25">
      <c r="B116" s="385"/>
      <c r="C116" s="598" t="s">
        <v>325</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ht="15" x14ac:dyDescent="0.25">
      <c r="B117" s="385"/>
      <c r="C117" s="598" t="s">
        <v>279</v>
      </c>
      <c r="D117" s="598"/>
      <c r="E117" s="264"/>
      <c r="F117" s="266"/>
      <c r="G117" s="266"/>
      <c r="H117" s="360"/>
      <c r="I117" s="360"/>
      <c r="J117" s="360"/>
      <c r="K117" s="360"/>
      <c r="L117" s="360"/>
      <c r="M117" s="360"/>
      <c r="N117" s="360"/>
      <c r="O117" s="255"/>
      <c r="P117" s="281">
        <f>SUM(H117:O117)</f>
        <v>0</v>
      </c>
    </row>
    <row r="118" spans="2:16" ht="15" x14ac:dyDescent="0.25">
      <c r="B118" s="385"/>
      <c r="C118" s="598" t="s">
        <v>280</v>
      </c>
      <c r="D118" s="598"/>
      <c r="E118" s="264"/>
      <c r="F118" s="266"/>
      <c r="G118" s="266"/>
      <c r="H118" s="360"/>
      <c r="I118" s="360"/>
      <c r="J118" s="360"/>
      <c r="K118" s="360"/>
      <c r="L118" s="360"/>
      <c r="M118" s="360"/>
      <c r="N118" s="360"/>
      <c r="O118" s="255"/>
      <c r="P118" s="281">
        <f>SUM(H118:O118)</f>
        <v>0</v>
      </c>
    </row>
    <row r="119" spans="2:16" ht="15" x14ac:dyDescent="0.25">
      <c r="B119" s="385"/>
      <c r="C119" s="598" t="s">
        <v>281</v>
      </c>
      <c r="D119" s="598"/>
      <c r="E119" s="264"/>
      <c r="F119" s="266"/>
      <c r="G119" s="266"/>
      <c r="H119" s="360"/>
      <c r="I119" s="360"/>
      <c r="J119" s="360"/>
      <c r="K119" s="360"/>
      <c r="L119" s="360"/>
      <c r="M119" s="360"/>
      <c r="N119" s="360"/>
      <c r="O119" s="255"/>
      <c r="P119" s="281">
        <f t="shared" ref="P119" si="2">SUM(H119:O119)</f>
        <v>0</v>
      </c>
    </row>
    <row r="120" spans="2:16" ht="15" x14ac:dyDescent="0.25">
      <c r="B120" s="385"/>
      <c r="C120" s="598" t="s">
        <v>282</v>
      </c>
      <c r="D120" s="598"/>
      <c r="E120" s="264"/>
      <c r="F120" s="266"/>
      <c r="G120" s="266"/>
      <c r="H120" s="360"/>
      <c r="I120" s="360"/>
      <c r="J120" s="360"/>
      <c r="K120" s="360"/>
      <c r="L120" s="360"/>
      <c r="M120" s="360"/>
      <c r="N120" s="360"/>
      <c r="O120" s="255"/>
      <c r="P120" s="281">
        <f>SUM(H120:O120)</f>
        <v>0</v>
      </c>
    </row>
    <row r="121" spans="2:16" ht="15" x14ac:dyDescent="0.25">
      <c r="B121" s="385"/>
      <c r="C121" s="598" t="s">
        <v>283</v>
      </c>
      <c r="D121" s="598"/>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ht="15" x14ac:dyDescent="0.25">
      <c r="B122" s="385"/>
      <c r="C122" s="598" t="s">
        <v>284</v>
      </c>
      <c r="D122" s="598"/>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3">
      <c r="B123" s="385"/>
      <c r="C123" s="598" t="s">
        <v>285</v>
      </c>
      <c r="D123" s="598"/>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3">
      <c r="B124" s="385"/>
      <c r="C124" s="598" t="s">
        <v>286</v>
      </c>
      <c r="D124" s="598"/>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3">
      <c r="B125" s="279"/>
      <c r="C125" s="383" t="s">
        <v>287</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3">
      <c r="B126" s="279"/>
      <c r="C126" s="383"/>
      <c r="D126" s="264"/>
      <c r="E126" s="264"/>
      <c r="F126" s="262"/>
      <c r="G126" s="262"/>
      <c r="H126" s="268"/>
      <c r="I126" s="268"/>
      <c r="J126" s="268"/>
      <c r="K126" s="268"/>
      <c r="L126" s="268"/>
      <c r="M126" s="268"/>
      <c r="N126" s="268"/>
      <c r="O126" s="264"/>
      <c r="P126" s="282"/>
    </row>
    <row r="127" spans="2:16" x14ac:dyDescent="0.3">
      <c r="B127" s="427"/>
      <c r="C127" s="598" t="s">
        <v>288</v>
      </c>
      <c r="D127" s="598"/>
      <c r="E127" s="419"/>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4"/>
    </row>
    <row r="128" spans="2:16" x14ac:dyDescent="0.3">
      <c r="B128" s="428"/>
      <c r="C128" s="610" t="s">
        <v>289</v>
      </c>
      <c r="D128" s="610"/>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09375" defaultRowHeight="14.4" outlineLevelRow="1" x14ac:dyDescent="0.3"/>
  <cols>
    <col min="1" max="1" width="6.5546875" style="68"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x14ac:dyDescent="0.3">
      <c r="B2" s="643" t="s">
        <v>291</v>
      </c>
      <c r="C2" s="643"/>
      <c r="D2" s="643"/>
      <c r="E2" s="643"/>
      <c r="F2" s="643"/>
      <c r="G2" s="643"/>
      <c r="H2" s="643"/>
      <c r="I2" s="643"/>
      <c r="J2" s="643"/>
      <c r="K2" s="643"/>
      <c r="L2" s="643"/>
      <c r="M2" s="643"/>
      <c r="N2" s="643"/>
      <c r="O2" s="643"/>
      <c r="P2" s="643"/>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334</v>
      </c>
      <c r="D9" s="447"/>
      <c r="E9" s="627" t="s">
        <v>361</v>
      </c>
      <c r="F9" s="627"/>
      <c r="G9" s="447"/>
      <c r="H9" s="447"/>
      <c r="I9" s="447"/>
      <c r="J9" s="447"/>
      <c r="K9" s="447"/>
      <c r="L9" s="447"/>
      <c r="M9" s="447"/>
      <c r="N9" s="447"/>
      <c r="O9" s="447"/>
      <c r="P9" s="447"/>
      <c r="R9" s="82"/>
    </row>
    <row r="10" spans="1:18" ht="18.75" customHeight="1" outlineLevel="1" x14ac:dyDescent="0.3">
      <c r="B10" s="447"/>
      <c r="C10" s="447"/>
      <c r="D10" s="447"/>
      <c r="E10" s="644" t="s">
        <v>335</v>
      </c>
      <c r="F10" s="644"/>
      <c r="G10" s="447"/>
      <c r="H10" s="447"/>
      <c r="I10" s="447"/>
      <c r="J10" s="447"/>
      <c r="K10" s="447"/>
      <c r="L10" s="447"/>
      <c r="M10" s="447"/>
      <c r="N10" s="447"/>
      <c r="O10" s="447"/>
      <c r="P10" s="447"/>
    </row>
    <row r="11" spans="1:18" ht="15" x14ac:dyDescent="0.25">
      <c r="A11" s="454"/>
      <c r="C11" s="451"/>
      <c r="D11" s="452"/>
      <c r="E11" s="452"/>
    </row>
    <row r="12" spans="1:18" ht="15" x14ac:dyDescent="0.25">
      <c r="A12" s="454"/>
      <c r="B12" s="450" t="s">
        <v>473</v>
      </c>
      <c r="C12" s="451"/>
      <c r="D12" s="452"/>
      <c r="E12" s="452"/>
    </row>
    <row r="13" spans="1:18" ht="41.4" x14ac:dyDescent="0.3">
      <c r="A13" s="454"/>
      <c r="B13" s="634" t="s">
        <v>58</v>
      </c>
      <c r="C13" s="636" t="s">
        <v>0</v>
      </c>
      <c r="D13" s="636" t="s">
        <v>44</v>
      </c>
      <c r="E13" s="636" t="s">
        <v>203</v>
      </c>
      <c r="F13" s="240" t="s">
        <v>200</v>
      </c>
      <c r="G13" s="240" t="s">
        <v>45</v>
      </c>
      <c r="H13" s="638" t="s">
        <v>59</v>
      </c>
      <c r="I13" s="638"/>
      <c r="J13" s="638"/>
      <c r="K13" s="638"/>
      <c r="L13" s="638"/>
      <c r="M13" s="638"/>
      <c r="N13" s="638"/>
      <c r="O13" s="638"/>
      <c r="P13" s="639"/>
    </row>
    <row r="14" spans="1:18" ht="55.2" x14ac:dyDescent="0.3">
      <c r="A14" s="454"/>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455"/>
      <c r="B16" s="628" t="s">
        <v>140</v>
      </c>
      <c r="C16" s="629"/>
      <c r="D16" s="629"/>
      <c r="E16" s="629"/>
      <c r="F16" s="629"/>
      <c r="G16" s="629"/>
      <c r="H16" s="629"/>
      <c r="I16" s="629"/>
      <c r="J16" s="629"/>
      <c r="K16" s="629"/>
      <c r="L16" s="629"/>
      <c r="M16" s="629"/>
      <c r="N16" s="629"/>
      <c r="O16" s="629"/>
      <c r="P16" s="630"/>
    </row>
    <row r="17" spans="1:16" ht="15" x14ac:dyDescent="0.25">
      <c r="A17" s="455"/>
      <c r="B17" s="433">
        <v>1</v>
      </c>
      <c r="C17" s="418" t="s">
        <v>141</v>
      </c>
      <c r="D17" s="255" t="s">
        <v>33</v>
      </c>
      <c r="E17" s="419"/>
      <c r="F17" s="300"/>
      <c r="G17" s="300"/>
      <c r="H17" s="430">
        <v>1</v>
      </c>
      <c r="I17" s="420"/>
      <c r="J17" s="420"/>
      <c r="K17" s="420"/>
      <c r="L17" s="420"/>
      <c r="M17" s="420"/>
      <c r="N17" s="420"/>
      <c r="O17" s="420"/>
      <c r="P17" s="434">
        <f>SUM(H17:O17)</f>
        <v>1</v>
      </c>
    </row>
    <row r="18" spans="1:16" ht="15" x14ac:dyDescent="0.2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ht="15" x14ac:dyDescent="0.25">
      <c r="A19" s="455"/>
      <c r="B19" s="433">
        <v>3</v>
      </c>
      <c r="C19" s="418" t="s">
        <v>143</v>
      </c>
      <c r="D19" s="255" t="s">
        <v>33</v>
      </c>
      <c r="E19" s="421"/>
      <c r="F19" s="300"/>
      <c r="G19" s="300"/>
      <c r="H19" s="430">
        <v>1</v>
      </c>
      <c r="I19" s="420"/>
      <c r="J19" s="420"/>
      <c r="K19" s="420"/>
      <c r="L19" s="420"/>
      <c r="M19" s="420"/>
      <c r="N19" s="420"/>
      <c r="O19" s="420"/>
      <c r="P19" s="434">
        <f t="shared" si="0"/>
        <v>1</v>
      </c>
    </row>
    <row r="20" spans="1:16" ht="15" x14ac:dyDescent="0.25">
      <c r="A20" s="455"/>
      <c r="B20" s="433">
        <v>4</v>
      </c>
      <c r="C20" s="418" t="s">
        <v>144</v>
      </c>
      <c r="D20" s="255" t="s">
        <v>33</v>
      </c>
      <c r="E20" s="421"/>
      <c r="F20" s="300"/>
      <c r="G20" s="300"/>
      <c r="H20" s="430">
        <v>1</v>
      </c>
      <c r="I20" s="420"/>
      <c r="J20" s="420"/>
      <c r="K20" s="420"/>
      <c r="L20" s="420"/>
      <c r="M20" s="420"/>
      <c r="N20" s="420"/>
      <c r="O20" s="420"/>
      <c r="P20" s="434">
        <f t="shared" si="0"/>
        <v>1</v>
      </c>
    </row>
    <row r="21" spans="1:16" ht="15" x14ac:dyDescent="0.25">
      <c r="A21" s="455"/>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146</v>
      </c>
      <c r="D22" s="255" t="s">
        <v>33</v>
      </c>
      <c r="E22" s="421"/>
      <c r="F22" s="300"/>
      <c r="G22" s="300"/>
      <c r="H22" s="430">
        <v>1</v>
      </c>
      <c r="I22" s="420"/>
      <c r="J22" s="420"/>
      <c r="K22" s="420"/>
      <c r="L22" s="420"/>
      <c r="M22" s="420"/>
      <c r="N22" s="420"/>
      <c r="O22" s="420"/>
      <c r="P22" s="434">
        <f t="shared" si="0"/>
        <v>1</v>
      </c>
    </row>
    <row r="23" spans="1:16" ht="15" x14ac:dyDescent="0.25">
      <c r="A23" s="455"/>
      <c r="B23" s="435" t="s">
        <v>292</v>
      </c>
      <c r="C23" s="418"/>
      <c r="D23" s="255" t="s">
        <v>251</v>
      </c>
      <c r="E23" s="421"/>
      <c r="F23" s="300"/>
      <c r="G23" s="300"/>
      <c r="H23" s="430"/>
      <c r="I23" s="420"/>
      <c r="J23" s="420"/>
      <c r="K23" s="420"/>
      <c r="L23" s="420"/>
      <c r="M23" s="420"/>
      <c r="N23" s="420"/>
      <c r="O23" s="420"/>
      <c r="P23" s="434">
        <f t="shared" si="0"/>
        <v>0</v>
      </c>
    </row>
    <row r="24" spans="1:16" ht="15" x14ac:dyDescent="0.25">
      <c r="A24" s="455"/>
      <c r="B24" s="433"/>
      <c r="C24" s="418"/>
      <c r="D24" s="255"/>
      <c r="E24" s="421"/>
      <c r="F24" s="300"/>
      <c r="G24" s="300"/>
      <c r="H24" s="430"/>
      <c r="I24" s="420"/>
      <c r="J24" s="420"/>
      <c r="K24" s="420"/>
      <c r="L24" s="420"/>
      <c r="M24" s="420"/>
      <c r="N24" s="420"/>
      <c r="O24" s="420"/>
      <c r="P24" s="434">
        <f t="shared" si="0"/>
        <v>0</v>
      </c>
    </row>
    <row r="25" spans="1:16" ht="15" x14ac:dyDescent="0.25">
      <c r="A25" s="455"/>
      <c r="B25" s="433"/>
      <c r="C25" s="418"/>
      <c r="D25" s="255"/>
      <c r="E25" s="421"/>
      <c r="F25" s="300"/>
      <c r="G25" s="300"/>
      <c r="H25" s="430"/>
      <c r="I25" s="420"/>
      <c r="J25" s="420"/>
      <c r="K25" s="420"/>
      <c r="L25" s="420"/>
      <c r="M25" s="420"/>
      <c r="N25" s="420"/>
      <c r="O25" s="420"/>
      <c r="P25" s="434">
        <f t="shared" si="0"/>
        <v>0</v>
      </c>
    </row>
    <row r="26" spans="1:16" ht="15"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28" t="s">
        <v>147</v>
      </c>
      <c r="C27" s="629"/>
      <c r="D27" s="629"/>
      <c r="E27" s="629"/>
      <c r="F27" s="629"/>
      <c r="G27" s="629"/>
      <c r="H27" s="629"/>
      <c r="I27" s="629"/>
      <c r="J27" s="629"/>
      <c r="K27" s="629"/>
      <c r="L27" s="629"/>
      <c r="M27" s="629"/>
      <c r="N27" s="629"/>
      <c r="O27" s="629"/>
      <c r="P27" s="630"/>
    </row>
    <row r="28" spans="1:16" ht="15" x14ac:dyDescent="0.2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152</v>
      </c>
      <c r="D32" s="255" t="s">
        <v>33</v>
      </c>
      <c r="E32" s="421">
        <v>3</v>
      </c>
      <c r="F32" s="300"/>
      <c r="G32" s="300"/>
      <c r="H32" s="420"/>
      <c r="I32" s="420"/>
      <c r="J32" s="430">
        <v>1</v>
      </c>
      <c r="K32" s="420"/>
      <c r="L32" s="420"/>
      <c r="M32" s="420"/>
      <c r="N32" s="420"/>
      <c r="O32" s="420"/>
      <c r="P32" s="434">
        <f t="shared" si="0"/>
        <v>1</v>
      </c>
    </row>
    <row r="33" spans="1:16" ht="15" x14ac:dyDescent="0.25">
      <c r="A33" s="455"/>
      <c r="B33" s="435" t="s">
        <v>292</v>
      </c>
      <c r="C33" s="418"/>
      <c r="D33" s="255" t="s">
        <v>251</v>
      </c>
      <c r="E33" s="421"/>
      <c r="F33" s="300"/>
      <c r="G33" s="300"/>
      <c r="H33" s="420"/>
      <c r="I33" s="420"/>
      <c r="J33" s="420"/>
      <c r="K33" s="420"/>
      <c r="L33" s="420"/>
      <c r="M33" s="420"/>
      <c r="N33" s="420"/>
      <c r="O33" s="420"/>
      <c r="P33" s="434">
        <f t="shared" si="0"/>
        <v>0</v>
      </c>
    </row>
    <row r="34" spans="1:16" ht="15" x14ac:dyDescent="0.25">
      <c r="A34" s="455"/>
      <c r="B34" s="433"/>
      <c r="C34" s="418"/>
      <c r="D34" s="255"/>
      <c r="E34" s="421"/>
      <c r="F34" s="300"/>
      <c r="G34" s="300"/>
      <c r="H34" s="420"/>
      <c r="I34" s="420"/>
      <c r="J34" s="420"/>
      <c r="K34" s="420"/>
      <c r="L34" s="420"/>
      <c r="M34" s="420"/>
      <c r="N34" s="420"/>
      <c r="O34" s="420"/>
      <c r="P34" s="434">
        <f t="shared" si="0"/>
        <v>0</v>
      </c>
    </row>
    <row r="35" spans="1:16" ht="15" x14ac:dyDescent="0.25">
      <c r="A35" s="455"/>
      <c r="B35" s="433"/>
      <c r="C35" s="418"/>
      <c r="D35" s="255"/>
      <c r="E35" s="421"/>
      <c r="F35" s="300"/>
      <c r="G35" s="300"/>
      <c r="H35" s="420"/>
      <c r="I35" s="420"/>
      <c r="J35" s="420"/>
      <c r="K35" s="420"/>
      <c r="L35" s="420"/>
      <c r="M35" s="420"/>
      <c r="N35" s="420"/>
      <c r="O35" s="420"/>
      <c r="P35" s="434">
        <f t="shared" si="0"/>
        <v>0</v>
      </c>
    </row>
    <row r="36" spans="1:16" ht="15"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28" t="s">
        <v>11</v>
      </c>
      <c r="C37" s="629"/>
      <c r="D37" s="629"/>
      <c r="E37" s="629"/>
      <c r="F37" s="629"/>
      <c r="G37" s="629"/>
      <c r="H37" s="629"/>
      <c r="I37" s="629"/>
      <c r="J37" s="629"/>
      <c r="K37" s="629"/>
      <c r="L37" s="629"/>
      <c r="M37" s="629"/>
      <c r="N37" s="629"/>
      <c r="O37" s="629"/>
      <c r="P37" s="630"/>
    </row>
    <row r="38" spans="1:16" ht="28.5" x14ac:dyDescent="0.2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3">
      <c r="A41" s="455"/>
      <c r="B41" s="435" t="s">
        <v>292</v>
      </c>
      <c r="C41" s="418"/>
      <c r="D41" s="255" t="s">
        <v>251</v>
      </c>
      <c r="E41" s="421"/>
      <c r="F41" s="300"/>
      <c r="G41" s="300"/>
      <c r="H41" s="420"/>
      <c r="I41" s="420"/>
      <c r="J41" s="420"/>
      <c r="K41" s="420"/>
      <c r="L41" s="420"/>
      <c r="M41" s="420"/>
      <c r="N41" s="420"/>
      <c r="O41" s="420"/>
      <c r="P41" s="434">
        <f t="shared" si="0"/>
        <v>0</v>
      </c>
    </row>
    <row r="42" spans="1:16" x14ac:dyDescent="0.3">
      <c r="A42" s="455"/>
      <c r="B42" s="433"/>
      <c r="C42" s="418"/>
      <c r="D42" s="255"/>
      <c r="E42" s="421"/>
      <c r="F42" s="300"/>
      <c r="G42" s="300"/>
      <c r="H42" s="420"/>
      <c r="I42" s="420"/>
      <c r="J42" s="420"/>
      <c r="K42" s="420"/>
      <c r="L42" s="420"/>
      <c r="M42" s="420"/>
      <c r="N42" s="420"/>
      <c r="O42" s="420"/>
      <c r="P42" s="434">
        <f t="shared" si="0"/>
        <v>0</v>
      </c>
    </row>
    <row r="43" spans="1:16" x14ac:dyDescent="0.3">
      <c r="A43" s="455"/>
      <c r="B43" s="433"/>
      <c r="C43" s="418"/>
      <c r="D43" s="255"/>
      <c r="E43" s="421"/>
      <c r="F43" s="300"/>
      <c r="G43" s="300"/>
      <c r="H43" s="420"/>
      <c r="I43" s="420"/>
      <c r="J43" s="420"/>
      <c r="K43" s="420"/>
      <c r="L43" s="420"/>
      <c r="M43" s="420"/>
      <c r="N43" s="420"/>
      <c r="O43" s="420"/>
      <c r="P43" s="434">
        <f t="shared" si="0"/>
        <v>0</v>
      </c>
    </row>
    <row r="44" spans="1:16" x14ac:dyDescent="0.3">
      <c r="A44" s="455"/>
      <c r="B44" s="433"/>
      <c r="C44" s="418"/>
      <c r="D44" s="255"/>
      <c r="E44" s="421"/>
      <c r="F44" s="300"/>
      <c r="G44" s="300"/>
      <c r="H44" s="420"/>
      <c r="I44" s="420"/>
      <c r="J44" s="420"/>
      <c r="K44" s="420"/>
      <c r="L44" s="420"/>
      <c r="M44" s="420"/>
      <c r="N44" s="420"/>
      <c r="O44" s="420"/>
      <c r="P44" s="434">
        <f t="shared" si="0"/>
        <v>0</v>
      </c>
    </row>
    <row r="45" spans="1:16" ht="24" customHeight="1" x14ac:dyDescent="0.3">
      <c r="A45" s="455"/>
      <c r="B45" s="628" t="s">
        <v>156</v>
      </c>
      <c r="C45" s="629"/>
      <c r="D45" s="629"/>
      <c r="E45" s="629"/>
      <c r="F45" s="629"/>
      <c r="G45" s="629"/>
      <c r="H45" s="629"/>
      <c r="I45" s="629"/>
      <c r="J45" s="629"/>
      <c r="K45" s="629"/>
      <c r="L45" s="629"/>
      <c r="M45" s="629"/>
      <c r="N45" s="629"/>
      <c r="O45" s="629"/>
      <c r="P45" s="630"/>
    </row>
    <row r="46" spans="1:16" x14ac:dyDescent="0.3">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3">
      <c r="A47" s="455"/>
      <c r="B47" s="435" t="s">
        <v>292</v>
      </c>
      <c r="C47" s="418"/>
      <c r="D47" s="255" t="s">
        <v>251</v>
      </c>
      <c r="E47" s="421"/>
      <c r="F47" s="300"/>
      <c r="G47" s="300"/>
      <c r="H47" s="430"/>
      <c r="I47" s="420"/>
      <c r="J47" s="420"/>
      <c r="K47" s="420"/>
      <c r="L47" s="420"/>
      <c r="M47" s="420"/>
      <c r="N47" s="420"/>
      <c r="O47" s="420"/>
      <c r="P47" s="434">
        <f t="shared" si="0"/>
        <v>0</v>
      </c>
    </row>
    <row r="48" spans="1:16" x14ac:dyDescent="0.3">
      <c r="A48" s="455"/>
      <c r="B48" s="433"/>
      <c r="C48" s="418"/>
      <c r="D48" s="255"/>
      <c r="E48" s="421"/>
      <c r="F48" s="300"/>
      <c r="G48" s="300"/>
      <c r="H48" s="430"/>
      <c r="I48" s="420"/>
      <c r="J48" s="420"/>
      <c r="K48" s="420"/>
      <c r="L48" s="420"/>
      <c r="M48" s="420"/>
      <c r="N48" s="420"/>
      <c r="O48" s="420"/>
      <c r="P48" s="434">
        <f t="shared" si="0"/>
        <v>0</v>
      </c>
    </row>
    <row r="49" spans="1:16" x14ac:dyDescent="0.3">
      <c r="A49" s="455"/>
      <c r="B49" s="433"/>
      <c r="C49" s="418"/>
      <c r="D49" s="255"/>
      <c r="E49" s="421"/>
      <c r="F49" s="300"/>
      <c r="G49" s="300"/>
      <c r="H49" s="430"/>
      <c r="I49" s="420"/>
      <c r="J49" s="420"/>
      <c r="K49" s="420"/>
      <c r="L49" s="420"/>
      <c r="M49" s="420"/>
      <c r="N49" s="420"/>
      <c r="O49" s="420"/>
      <c r="P49" s="434"/>
    </row>
    <row r="50" spans="1:16" x14ac:dyDescent="0.3">
      <c r="A50" s="455"/>
      <c r="B50" s="433"/>
      <c r="C50" s="418"/>
      <c r="D50" s="255"/>
      <c r="E50" s="421"/>
      <c r="F50" s="300"/>
      <c r="G50" s="300"/>
      <c r="H50" s="430"/>
      <c r="I50" s="420"/>
      <c r="J50" s="420"/>
      <c r="K50" s="420"/>
      <c r="L50" s="420"/>
      <c r="M50" s="420"/>
      <c r="N50" s="420"/>
      <c r="O50" s="420"/>
      <c r="P50" s="434">
        <f t="shared" si="0"/>
        <v>0</v>
      </c>
    </row>
    <row r="51" spans="1:16" ht="21" customHeight="1" x14ac:dyDescent="0.3">
      <c r="A51" s="454"/>
      <c r="B51" s="628" t="s">
        <v>158</v>
      </c>
      <c r="C51" s="629"/>
      <c r="D51" s="629"/>
      <c r="E51" s="629"/>
      <c r="F51" s="629"/>
      <c r="G51" s="629"/>
      <c r="H51" s="629"/>
      <c r="I51" s="629"/>
      <c r="J51" s="629"/>
      <c r="K51" s="629"/>
      <c r="L51" s="629"/>
      <c r="M51" s="629"/>
      <c r="N51" s="629"/>
      <c r="O51" s="629"/>
      <c r="P51" s="630"/>
    </row>
    <row r="52" spans="1:16" x14ac:dyDescent="0.3">
      <c r="A52" s="455"/>
      <c r="B52" s="433">
        <v>16</v>
      </c>
      <c r="C52" s="418" t="s">
        <v>159</v>
      </c>
      <c r="D52" s="255" t="s">
        <v>33</v>
      </c>
      <c r="E52" s="421"/>
      <c r="F52" s="300"/>
      <c r="G52" s="300"/>
      <c r="H52" s="420"/>
      <c r="I52" s="420"/>
      <c r="J52" s="420"/>
      <c r="K52" s="420"/>
      <c r="L52" s="420"/>
      <c r="M52" s="420"/>
      <c r="N52" s="420"/>
      <c r="O52" s="420"/>
      <c r="P52" s="434">
        <f t="shared" si="0"/>
        <v>0</v>
      </c>
    </row>
    <row r="53" spans="1:16" x14ac:dyDescent="0.3">
      <c r="A53" s="455"/>
      <c r="B53" s="433">
        <v>17</v>
      </c>
      <c r="C53" s="418" t="s">
        <v>160</v>
      </c>
      <c r="D53" s="255" t="s">
        <v>33</v>
      </c>
      <c r="E53" s="421"/>
      <c r="F53" s="300"/>
      <c r="G53" s="300"/>
      <c r="H53" s="420"/>
      <c r="I53" s="420"/>
      <c r="J53" s="420"/>
      <c r="K53" s="420"/>
      <c r="L53" s="420"/>
      <c r="M53" s="420"/>
      <c r="N53" s="420"/>
      <c r="O53" s="420"/>
      <c r="P53" s="434">
        <f t="shared" si="0"/>
        <v>0</v>
      </c>
    </row>
    <row r="54" spans="1:16" x14ac:dyDescent="0.3">
      <c r="A54" s="455"/>
      <c r="B54" s="433">
        <v>18</v>
      </c>
      <c r="C54" s="418" t="s">
        <v>161</v>
      </c>
      <c r="D54" s="255" t="s">
        <v>33</v>
      </c>
      <c r="E54" s="421"/>
      <c r="F54" s="300"/>
      <c r="G54" s="300"/>
      <c r="H54" s="420"/>
      <c r="I54" s="420"/>
      <c r="J54" s="420"/>
      <c r="K54" s="420"/>
      <c r="L54" s="420"/>
      <c r="M54" s="420"/>
      <c r="N54" s="420"/>
      <c r="O54" s="420"/>
      <c r="P54" s="434">
        <f t="shared" si="0"/>
        <v>0</v>
      </c>
    </row>
    <row r="55" spans="1:16" x14ac:dyDescent="0.3">
      <c r="A55" s="455"/>
      <c r="B55" s="433">
        <v>19</v>
      </c>
      <c r="C55" s="418" t="s">
        <v>162</v>
      </c>
      <c r="D55" s="255" t="s">
        <v>33</v>
      </c>
      <c r="E55" s="421"/>
      <c r="F55" s="300"/>
      <c r="G55" s="300"/>
      <c r="H55" s="420"/>
      <c r="I55" s="420"/>
      <c r="J55" s="420"/>
      <c r="K55" s="420"/>
      <c r="L55" s="420"/>
      <c r="M55" s="420"/>
      <c r="N55" s="420"/>
      <c r="O55" s="420"/>
      <c r="P55" s="434">
        <f t="shared" si="0"/>
        <v>0</v>
      </c>
    </row>
    <row r="56" spans="1:16" x14ac:dyDescent="0.3">
      <c r="A56" s="455"/>
      <c r="B56" s="435" t="s">
        <v>292</v>
      </c>
      <c r="C56" s="418"/>
      <c r="D56" s="255" t="s">
        <v>251</v>
      </c>
      <c r="E56" s="421"/>
      <c r="F56" s="300"/>
      <c r="G56" s="300"/>
      <c r="H56" s="420"/>
      <c r="I56" s="420"/>
      <c r="J56" s="420"/>
      <c r="K56" s="420"/>
      <c r="L56" s="420"/>
      <c r="M56" s="420"/>
      <c r="N56" s="420"/>
      <c r="O56" s="420"/>
      <c r="P56" s="434">
        <f t="shared" si="0"/>
        <v>0</v>
      </c>
    </row>
    <row r="57" spans="1:16" x14ac:dyDescent="0.3">
      <c r="A57" s="455"/>
      <c r="B57" s="435"/>
      <c r="C57" s="418"/>
      <c r="D57" s="255"/>
      <c r="E57" s="421"/>
      <c r="F57" s="300"/>
      <c r="G57" s="300"/>
      <c r="H57" s="420"/>
      <c r="I57" s="420"/>
      <c r="J57" s="420"/>
      <c r="K57" s="420"/>
      <c r="L57" s="420"/>
      <c r="M57" s="420"/>
      <c r="N57" s="420"/>
      <c r="O57" s="420"/>
      <c r="P57" s="434"/>
    </row>
    <row r="58" spans="1:16" x14ac:dyDescent="0.3">
      <c r="A58" s="455"/>
      <c r="B58" s="435"/>
      <c r="C58" s="418"/>
      <c r="D58" s="255"/>
      <c r="E58" s="421"/>
      <c r="F58" s="300"/>
      <c r="G58" s="300"/>
      <c r="H58" s="420"/>
      <c r="I58" s="420"/>
      <c r="J58" s="420"/>
      <c r="K58" s="420"/>
      <c r="L58" s="420"/>
      <c r="M58" s="420"/>
      <c r="N58" s="420"/>
      <c r="O58" s="420"/>
      <c r="P58" s="434"/>
    </row>
    <row r="59" spans="1:16" x14ac:dyDescent="0.3">
      <c r="A59" s="454"/>
      <c r="B59" s="436"/>
      <c r="C59" s="422"/>
      <c r="D59" s="423"/>
      <c r="E59" s="423"/>
      <c r="F59" s="300"/>
      <c r="G59" s="300"/>
      <c r="H59" s="424"/>
      <c r="I59" s="424"/>
      <c r="J59" s="424"/>
      <c r="K59" s="424"/>
      <c r="L59" s="424"/>
      <c r="M59" s="424"/>
      <c r="N59" s="424"/>
      <c r="O59" s="424"/>
      <c r="P59" s="434"/>
    </row>
    <row r="60" spans="1:16" ht="27" customHeight="1" x14ac:dyDescent="0.3">
      <c r="B60" s="615" t="s">
        <v>163</v>
      </c>
      <c r="C60" s="616"/>
      <c r="D60" s="616"/>
      <c r="E60" s="616"/>
      <c r="F60" s="616"/>
      <c r="G60" s="616"/>
      <c r="H60" s="616"/>
      <c r="I60" s="616"/>
      <c r="J60" s="616"/>
      <c r="K60" s="616"/>
      <c r="L60" s="616"/>
      <c r="M60" s="616"/>
      <c r="N60" s="616"/>
      <c r="O60" s="616"/>
      <c r="P60" s="617"/>
    </row>
    <row r="61" spans="1:16" ht="16.8" x14ac:dyDescent="0.3">
      <c r="B61" s="437"/>
      <c r="C61" s="418"/>
      <c r="D61" s="421"/>
      <c r="E61" s="421"/>
      <c r="F61" s="417"/>
      <c r="G61" s="417"/>
      <c r="H61" s="417"/>
      <c r="I61" s="417"/>
      <c r="J61" s="417"/>
      <c r="K61" s="417"/>
      <c r="L61" s="417"/>
      <c r="M61" s="417"/>
      <c r="N61" s="417"/>
      <c r="O61" s="417"/>
      <c r="P61" s="438"/>
    </row>
    <row r="62" spans="1:16" ht="25.5" customHeight="1" x14ac:dyDescent="0.3">
      <c r="A62" s="455"/>
      <c r="B62" s="631" t="s">
        <v>164</v>
      </c>
      <c r="C62" s="607"/>
      <c r="D62" s="607"/>
      <c r="E62" s="607"/>
      <c r="F62" s="607"/>
      <c r="G62" s="607"/>
      <c r="H62" s="607"/>
      <c r="I62" s="607"/>
      <c r="J62" s="607"/>
      <c r="K62" s="607"/>
      <c r="L62" s="607"/>
      <c r="M62" s="607"/>
      <c r="N62" s="607"/>
      <c r="O62" s="607"/>
      <c r="P62" s="632"/>
    </row>
    <row r="63" spans="1:16" x14ac:dyDescent="0.3">
      <c r="A63" s="455"/>
      <c r="B63" s="433">
        <v>21</v>
      </c>
      <c r="C63" s="418" t="s">
        <v>165</v>
      </c>
      <c r="D63" s="255" t="s">
        <v>33</v>
      </c>
      <c r="E63" s="421"/>
      <c r="F63" s="300"/>
      <c r="G63" s="300"/>
      <c r="H63" s="430">
        <v>1</v>
      </c>
      <c r="I63" s="420"/>
      <c r="J63" s="420"/>
      <c r="K63" s="420"/>
      <c r="L63" s="420"/>
      <c r="M63" s="420"/>
      <c r="N63" s="420"/>
      <c r="O63" s="420"/>
      <c r="P63" s="434">
        <f t="shared" si="0"/>
        <v>1</v>
      </c>
    </row>
    <row r="64" spans="1:16" x14ac:dyDescent="0.3">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3">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3">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3">
      <c r="A67" s="455"/>
      <c r="B67" s="435" t="s">
        <v>292</v>
      </c>
      <c r="C67" s="418"/>
      <c r="D67" s="255" t="s">
        <v>251</v>
      </c>
      <c r="E67" s="421"/>
      <c r="F67" s="300"/>
      <c r="G67" s="300"/>
      <c r="H67" s="430"/>
      <c r="I67" s="420"/>
      <c r="J67" s="420"/>
      <c r="K67" s="420"/>
      <c r="L67" s="420"/>
      <c r="M67" s="420"/>
      <c r="N67" s="420"/>
      <c r="O67" s="420"/>
      <c r="P67" s="434"/>
    </row>
    <row r="68" spans="1:16" x14ac:dyDescent="0.3">
      <c r="A68" s="455"/>
      <c r="B68" s="433"/>
      <c r="C68" s="418"/>
      <c r="D68" s="255"/>
      <c r="E68" s="421"/>
      <c r="F68" s="300"/>
      <c r="G68" s="300"/>
      <c r="H68" s="430"/>
      <c r="I68" s="420"/>
      <c r="J68" s="420"/>
      <c r="K68" s="420"/>
      <c r="L68" s="420"/>
      <c r="M68" s="420"/>
      <c r="N68" s="420"/>
      <c r="O68" s="420"/>
      <c r="P68" s="434"/>
    </row>
    <row r="69" spans="1:16" x14ac:dyDescent="0.3">
      <c r="A69" s="455"/>
      <c r="B69" s="433"/>
      <c r="C69" s="418"/>
      <c r="D69" s="255"/>
      <c r="E69" s="421"/>
      <c r="F69" s="300"/>
      <c r="G69" s="300"/>
      <c r="H69" s="430"/>
      <c r="I69" s="420"/>
      <c r="J69" s="420"/>
      <c r="K69" s="420"/>
      <c r="L69" s="420"/>
      <c r="M69" s="420"/>
      <c r="N69" s="420"/>
      <c r="O69" s="420"/>
      <c r="P69" s="434"/>
    </row>
    <row r="70" spans="1:16" x14ac:dyDescent="0.3">
      <c r="A70" s="455"/>
      <c r="B70" s="433"/>
      <c r="C70" s="418"/>
      <c r="D70" s="255"/>
      <c r="E70" s="421"/>
      <c r="F70" s="300"/>
      <c r="G70" s="300"/>
      <c r="H70" s="420"/>
      <c r="I70" s="420"/>
      <c r="J70" s="420"/>
      <c r="K70" s="420"/>
      <c r="L70" s="420"/>
      <c r="M70" s="420"/>
      <c r="N70" s="420"/>
      <c r="O70" s="420"/>
      <c r="P70" s="434">
        <f t="shared" si="0"/>
        <v>0</v>
      </c>
    </row>
    <row r="71" spans="1:16" ht="28.5" customHeight="1" x14ac:dyDescent="0.3">
      <c r="A71" s="455"/>
      <c r="B71" s="631" t="s">
        <v>169</v>
      </c>
      <c r="C71" s="607"/>
      <c r="D71" s="607"/>
      <c r="E71" s="607"/>
      <c r="F71" s="607"/>
      <c r="G71" s="607"/>
      <c r="H71" s="607"/>
      <c r="I71" s="607"/>
      <c r="J71" s="607"/>
      <c r="K71" s="607"/>
      <c r="L71" s="607"/>
      <c r="M71" s="607"/>
      <c r="N71" s="607"/>
      <c r="O71" s="607"/>
      <c r="P71" s="632"/>
    </row>
    <row r="72" spans="1:16" x14ac:dyDescent="0.3">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3">
      <c r="A73" s="455"/>
      <c r="B73" s="433">
        <v>26</v>
      </c>
      <c r="C73" s="418" t="s">
        <v>171</v>
      </c>
      <c r="D73" s="255" t="s">
        <v>33</v>
      </c>
      <c r="E73" s="421"/>
      <c r="F73" s="300"/>
      <c r="G73" s="300"/>
      <c r="H73" s="420"/>
      <c r="I73" s="430">
        <v>1</v>
      </c>
      <c r="J73" s="420"/>
      <c r="K73" s="420"/>
      <c r="L73" s="420"/>
      <c r="M73" s="420"/>
      <c r="N73" s="420"/>
      <c r="O73" s="420"/>
      <c r="P73" s="434">
        <f t="shared" si="0"/>
        <v>1</v>
      </c>
    </row>
    <row r="74" spans="1:16" ht="27.6" x14ac:dyDescent="0.3">
      <c r="A74" s="455"/>
      <c r="B74" s="433">
        <v>27</v>
      </c>
      <c r="C74" s="418" t="s">
        <v>172</v>
      </c>
      <c r="D74" s="255" t="s">
        <v>33</v>
      </c>
      <c r="E74" s="421"/>
      <c r="F74" s="300"/>
      <c r="G74" s="300"/>
      <c r="H74" s="420"/>
      <c r="I74" s="430">
        <v>0.8</v>
      </c>
      <c r="J74" s="430">
        <v>0.2</v>
      </c>
      <c r="K74" s="420"/>
      <c r="L74" s="420"/>
      <c r="M74" s="420"/>
      <c r="N74" s="420"/>
      <c r="O74" s="420"/>
      <c r="P74" s="434">
        <f t="shared" si="0"/>
        <v>1</v>
      </c>
    </row>
    <row r="75" spans="1:16" ht="27.6" x14ac:dyDescent="0.3">
      <c r="A75" s="455"/>
      <c r="B75" s="433">
        <v>28</v>
      </c>
      <c r="C75" s="418" t="s">
        <v>173</v>
      </c>
      <c r="D75" s="255" t="s">
        <v>33</v>
      </c>
      <c r="E75" s="421"/>
      <c r="F75" s="300"/>
      <c r="G75" s="300"/>
      <c r="H75" s="420"/>
      <c r="I75" s="420"/>
      <c r="J75" s="420"/>
      <c r="K75" s="420"/>
      <c r="L75" s="420"/>
      <c r="M75" s="420"/>
      <c r="N75" s="420"/>
      <c r="O75" s="420"/>
      <c r="P75" s="434">
        <f t="shared" si="0"/>
        <v>0</v>
      </c>
    </row>
    <row r="76" spans="1:16" ht="27.6" x14ac:dyDescent="0.3">
      <c r="A76" s="455"/>
      <c r="B76" s="433">
        <v>29</v>
      </c>
      <c r="C76" s="418" t="s">
        <v>174</v>
      </c>
      <c r="D76" s="255" t="s">
        <v>33</v>
      </c>
      <c r="E76" s="421"/>
      <c r="F76" s="300"/>
      <c r="G76" s="300"/>
      <c r="H76" s="420"/>
      <c r="I76" s="420"/>
      <c r="J76" s="420"/>
      <c r="K76" s="420"/>
      <c r="L76" s="420"/>
      <c r="M76" s="420"/>
      <c r="N76" s="420"/>
      <c r="O76" s="420"/>
      <c r="P76" s="434">
        <f t="shared" si="0"/>
        <v>0</v>
      </c>
    </row>
    <row r="77" spans="1:16" ht="27.6" x14ac:dyDescent="0.3">
      <c r="A77" s="455"/>
      <c r="B77" s="433">
        <v>30</v>
      </c>
      <c r="C77" s="418" t="s">
        <v>175</v>
      </c>
      <c r="D77" s="255" t="s">
        <v>33</v>
      </c>
      <c r="E77" s="421"/>
      <c r="F77" s="300"/>
      <c r="G77" s="300"/>
      <c r="H77" s="420"/>
      <c r="I77" s="420"/>
      <c r="J77" s="420"/>
      <c r="K77" s="420"/>
      <c r="L77" s="420"/>
      <c r="M77" s="420"/>
      <c r="N77" s="420"/>
      <c r="O77" s="420"/>
      <c r="P77" s="434">
        <f t="shared" si="0"/>
        <v>0</v>
      </c>
    </row>
    <row r="78" spans="1:16" ht="27.6" x14ac:dyDescent="0.3">
      <c r="A78" s="455"/>
      <c r="B78" s="433">
        <v>31</v>
      </c>
      <c r="C78" s="418" t="s">
        <v>176</v>
      </c>
      <c r="D78" s="255" t="s">
        <v>33</v>
      </c>
      <c r="E78" s="421"/>
      <c r="F78" s="300"/>
      <c r="G78" s="300"/>
      <c r="H78" s="420"/>
      <c r="I78" s="420"/>
      <c r="J78" s="420"/>
      <c r="K78" s="420"/>
      <c r="L78" s="420"/>
      <c r="M78" s="420"/>
      <c r="N78" s="420"/>
      <c r="O78" s="420"/>
      <c r="P78" s="434">
        <f t="shared" si="0"/>
        <v>0</v>
      </c>
    </row>
    <row r="79" spans="1:16" x14ac:dyDescent="0.3">
      <c r="A79" s="455"/>
      <c r="B79" s="433">
        <v>32</v>
      </c>
      <c r="C79" s="418" t="s">
        <v>177</v>
      </c>
      <c r="D79" s="255" t="s">
        <v>33</v>
      </c>
      <c r="E79" s="421"/>
      <c r="F79" s="300"/>
      <c r="G79" s="300"/>
      <c r="H79" s="420"/>
      <c r="I79" s="420"/>
      <c r="J79" s="420"/>
      <c r="K79" s="420"/>
      <c r="L79" s="420"/>
      <c r="M79" s="420"/>
      <c r="N79" s="420"/>
      <c r="O79" s="420"/>
      <c r="P79" s="434">
        <f t="shared" si="0"/>
        <v>0</v>
      </c>
    </row>
    <row r="80" spans="1:16" x14ac:dyDescent="0.3">
      <c r="A80" s="455"/>
      <c r="B80" s="435" t="s">
        <v>292</v>
      </c>
      <c r="C80" s="418"/>
      <c r="D80" s="255" t="s">
        <v>251</v>
      </c>
      <c r="E80" s="421"/>
      <c r="F80" s="300"/>
      <c r="G80" s="300"/>
      <c r="H80" s="420"/>
      <c r="I80" s="420"/>
      <c r="J80" s="420"/>
      <c r="K80" s="420"/>
      <c r="L80" s="420"/>
      <c r="M80" s="420"/>
      <c r="N80" s="420"/>
      <c r="O80" s="420"/>
      <c r="P80" s="434"/>
    </row>
    <row r="81" spans="1:16" x14ac:dyDescent="0.3">
      <c r="A81" s="455"/>
      <c r="B81" s="433"/>
      <c r="C81" s="418"/>
      <c r="D81" s="255"/>
      <c r="E81" s="421"/>
      <c r="F81" s="300"/>
      <c r="G81" s="300"/>
      <c r="H81" s="420"/>
      <c r="I81" s="420"/>
      <c r="J81" s="420"/>
      <c r="K81" s="420"/>
      <c r="L81" s="420"/>
      <c r="M81" s="420"/>
      <c r="N81" s="420"/>
      <c r="O81" s="420"/>
      <c r="P81" s="434"/>
    </row>
    <row r="82" spans="1:16" x14ac:dyDescent="0.3">
      <c r="A82" s="455"/>
      <c r="B82" s="433"/>
      <c r="C82" s="418"/>
      <c r="D82" s="255"/>
      <c r="E82" s="421"/>
      <c r="F82" s="300"/>
      <c r="G82" s="300"/>
      <c r="H82" s="420"/>
      <c r="I82" s="420"/>
      <c r="J82" s="420"/>
      <c r="K82" s="420"/>
      <c r="L82" s="420"/>
      <c r="M82" s="420"/>
      <c r="N82" s="420"/>
      <c r="O82" s="420"/>
      <c r="P82" s="434"/>
    </row>
    <row r="83" spans="1:16" x14ac:dyDescent="0.3">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3">
      <c r="A84" s="455"/>
      <c r="B84" s="631" t="s">
        <v>178</v>
      </c>
      <c r="C84" s="607"/>
      <c r="D84" s="607"/>
      <c r="E84" s="607"/>
      <c r="F84" s="607"/>
      <c r="G84" s="607"/>
      <c r="H84" s="607"/>
      <c r="I84" s="607"/>
      <c r="J84" s="607"/>
      <c r="K84" s="607"/>
      <c r="L84" s="607"/>
      <c r="M84" s="607"/>
      <c r="N84" s="607"/>
      <c r="O84" s="607"/>
      <c r="P84" s="632"/>
    </row>
    <row r="85" spans="1:16" x14ac:dyDescent="0.3">
      <c r="A85" s="455"/>
      <c r="B85" s="433">
        <v>33</v>
      </c>
      <c r="C85" s="418" t="s">
        <v>179</v>
      </c>
      <c r="D85" s="255" t="s">
        <v>33</v>
      </c>
      <c r="E85" s="421"/>
      <c r="F85" s="300"/>
      <c r="G85" s="300"/>
      <c r="H85" s="426"/>
      <c r="I85" s="426"/>
      <c r="J85" s="426"/>
      <c r="K85" s="426"/>
      <c r="L85" s="426"/>
      <c r="M85" s="426"/>
      <c r="N85" s="426"/>
      <c r="O85" s="426"/>
      <c r="P85" s="434">
        <f t="shared" si="1"/>
        <v>0</v>
      </c>
    </row>
    <row r="86" spans="1:16" x14ac:dyDescent="0.3">
      <c r="A86" s="455"/>
      <c r="B86" s="433">
        <v>34</v>
      </c>
      <c r="C86" s="418" t="s">
        <v>180</v>
      </c>
      <c r="D86" s="255" t="s">
        <v>33</v>
      </c>
      <c r="E86" s="421"/>
      <c r="F86" s="300"/>
      <c r="G86" s="300"/>
      <c r="H86" s="426"/>
      <c r="I86" s="426"/>
      <c r="J86" s="426"/>
      <c r="K86" s="426"/>
      <c r="L86" s="426"/>
      <c r="M86" s="426"/>
      <c r="N86" s="426"/>
      <c r="O86" s="426"/>
      <c r="P86" s="434">
        <f t="shared" si="1"/>
        <v>0</v>
      </c>
    </row>
    <row r="87" spans="1:16" x14ac:dyDescent="0.3">
      <c r="A87" s="455"/>
      <c r="B87" s="433">
        <v>35</v>
      </c>
      <c r="C87" s="418" t="s">
        <v>181</v>
      </c>
      <c r="D87" s="255" t="s">
        <v>33</v>
      </c>
      <c r="E87" s="421"/>
      <c r="F87" s="300"/>
      <c r="G87" s="300"/>
      <c r="H87" s="426"/>
      <c r="I87" s="426"/>
      <c r="J87" s="426"/>
      <c r="K87" s="426"/>
      <c r="L87" s="426"/>
      <c r="M87" s="426"/>
      <c r="N87" s="426"/>
      <c r="O87" s="426"/>
      <c r="P87" s="434">
        <f t="shared" si="1"/>
        <v>0</v>
      </c>
    </row>
    <row r="88" spans="1:16" x14ac:dyDescent="0.3">
      <c r="A88" s="455"/>
      <c r="B88" s="435" t="s">
        <v>292</v>
      </c>
      <c r="C88" s="418"/>
      <c r="D88" s="255" t="s">
        <v>251</v>
      </c>
      <c r="E88" s="421"/>
      <c r="F88" s="300"/>
      <c r="G88" s="300"/>
      <c r="H88" s="426"/>
      <c r="I88" s="426"/>
      <c r="J88" s="426"/>
      <c r="K88" s="426"/>
      <c r="L88" s="426"/>
      <c r="M88" s="426"/>
      <c r="N88" s="426"/>
      <c r="O88" s="426"/>
      <c r="P88" s="434"/>
    </row>
    <row r="89" spans="1:16" x14ac:dyDescent="0.3">
      <c r="A89" s="455"/>
      <c r="B89" s="433"/>
      <c r="C89" s="418"/>
      <c r="D89" s="255"/>
      <c r="E89" s="421"/>
      <c r="F89" s="300"/>
      <c r="G89" s="300"/>
      <c r="H89" s="426"/>
      <c r="I89" s="426"/>
      <c r="J89" s="426"/>
      <c r="K89" s="426"/>
      <c r="L89" s="426"/>
      <c r="M89" s="426"/>
      <c r="N89" s="426"/>
      <c r="O89" s="426"/>
      <c r="P89" s="434"/>
    </row>
    <row r="90" spans="1:16" x14ac:dyDescent="0.3">
      <c r="A90" s="455"/>
      <c r="B90" s="433"/>
      <c r="C90" s="418"/>
      <c r="D90" s="255"/>
      <c r="E90" s="421"/>
      <c r="F90" s="300"/>
      <c r="G90" s="300"/>
      <c r="H90" s="426"/>
      <c r="I90" s="426"/>
      <c r="J90" s="426"/>
      <c r="K90" s="426"/>
      <c r="L90" s="426"/>
      <c r="M90" s="426"/>
      <c r="N90" s="426"/>
      <c r="O90" s="426"/>
      <c r="P90" s="434"/>
    </row>
    <row r="91" spans="1:16" x14ac:dyDescent="0.3">
      <c r="A91" s="455"/>
      <c r="B91" s="433"/>
      <c r="C91" s="418"/>
      <c r="D91" s="255"/>
      <c r="E91" s="421"/>
      <c r="F91" s="300"/>
      <c r="G91" s="300"/>
      <c r="H91" s="426"/>
      <c r="I91" s="426"/>
      <c r="J91" s="426"/>
      <c r="K91" s="426"/>
      <c r="L91" s="426"/>
      <c r="M91" s="426"/>
      <c r="N91" s="426"/>
      <c r="O91" s="426"/>
      <c r="P91" s="434">
        <f t="shared" si="1"/>
        <v>0</v>
      </c>
    </row>
    <row r="92" spans="1:16" ht="24" customHeight="1" x14ac:dyDescent="0.3">
      <c r="A92" s="455"/>
      <c r="B92" s="631" t="s">
        <v>182</v>
      </c>
      <c r="C92" s="607"/>
      <c r="D92" s="607"/>
      <c r="E92" s="607"/>
      <c r="F92" s="607"/>
      <c r="G92" s="607"/>
      <c r="H92" s="607"/>
      <c r="I92" s="607"/>
      <c r="J92" s="607"/>
      <c r="K92" s="607"/>
      <c r="L92" s="607"/>
      <c r="M92" s="607"/>
      <c r="N92" s="607"/>
      <c r="O92" s="607"/>
      <c r="P92" s="632"/>
    </row>
    <row r="93" spans="1:16" ht="41.4" x14ac:dyDescent="0.3">
      <c r="A93" s="455"/>
      <c r="B93" s="433">
        <v>36</v>
      </c>
      <c r="C93" s="418" t="s">
        <v>183</v>
      </c>
      <c r="D93" s="255" t="s">
        <v>33</v>
      </c>
      <c r="E93" s="421"/>
      <c r="F93" s="300"/>
      <c r="G93" s="300"/>
      <c r="H93" s="426"/>
      <c r="I93" s="426"/>
      <c r="J93" s="426"/>
      <c r="K93" s="426"/>
      <c r="L93" s="426"/>
      <c r="M93" s="426"/>
      <c r="N93" s="426"/>
      <c r="O93" s="426"/>
      <c r="P93" s="434">
        <f t="shared" si="1"/>
        <v>0</v>
      </c>
    </row>
    <row r="94" spans="1:16" x14ac:dyDescent="0.3">
      <c r="A94" s="455"/>
      <c r="B94" s="433">
        <v>37</v>
      </c>
      <c r="C94" s="418" t="s">
        <v>184</v>
      </c>
      <c r="D94" s="255" t="s">
        <v>33</v>
      </c>
      <c r="E94" s="421"/>
      <c r="F94" s="300"/>
      <c r="G94" s="300"/>
      <c r="H94" s="426"/>
      <c r="I94" s="426"/>
      <c r="J94" s="426"/>
      <c r="K94" s="426"/>
      <c r="L94" s="426"/>
      <c r="M94" s="426"/>
      <c r="N94" s="426"/>
      <c r="O94" s="426"/>
      <c r="P94" s="434">
        <f t="shared" si="1"/>
        <v>0</v>
      </c>
    </row>
    <row r="95" spans="1:16" x14ac:dyDescent="0.3">
      <c r="A95" s="455"/>
      <c r="B95" s="433">
        <v>38</v>
      </c>
      <c r="C95" s="418" t="s">
        <v>185</v>
      </c>
      <c r="D95" s="255" t="s">
        <v>33</v>
      </c>
      <c r="E95" s="421"/>
      <c r="F95" s="300"/>
      <c r="G95" s="300"/>
      <c r="H95" s="426"/>
      <c r="I95" s="426"/>
      <c r="J95" s="426"/>
      <c r="K95" s="426"/>
      <c r="L95" s="426"/>
      <c r="M95" s="426"/>
      <c r="N95" s="426"/>
      <c r="O95" s="426"/>
      <c r="P95" s="434">
        <f t="shared" si="1"/>
        <v>0</v>
      </c>
    </row>
    <row r="96" spans="1:16" ht="27.6" x14ac:dyDescent="0.3">
      <c r="A96" s="455"/>
      <c r="B96" s="433">
        <v>39</v>
      </c>
      <c r="C96" s="418" t="s">
        <v>186</v>
      </c>
      <c r="D96" s="255" t="s">
        <v>33</v>
      </c>
      <c r="E96" s="421"/>
      <c r="F96" s="300"/>
      <c r="G96" s="300"/>
      <c r="H96" s="426"/>
      <c r="I96" s="426"/>
      <c r="J96" s="426"/>
      <c r="K96" s="426"/>
      <c r="L96" s="426"/>
      <c r="M96" s="426"/>
      <c r="N96" s="426"/>
      <c r="O96" s="426"/>
      <c r="P96" s="434">
        <f t="shared" si="1"/>
        <v>0</v>
      </c>
    </row>
    <row r="97" spans="1:16" ht="27.6" x14ac:dyDescent="0.3">
      <c r="A97" s="455"/>
      <c r="B97" s="433">
        <v>40</v>
      </c>
      <c r="C97" s="418" t="s">
        <v>187</v>
      </c>
      <c r="D97" s="255" t="s">
        <v>33</v>
      </c>
      <c r="E97" s="421"/>
      <c r="F97" s="300"/>
      <c r="G97" s="300"/>
      <c r="H97" s="426"/>
      <c r="I97" s="426"/>
      <c r="J97" s="426"/>
      <c r="K97" s="426"/>
      <c r="L97" s="426"/>
      <c r="M97" s="426"/>
      <c r="N97" s="426"/>
      <c r="O97" s="426"/>
      <c r="P97" s="434">
        <f t="shared" si="1"/>
        <v>0</v>
      </c>
    </row>
    <row r="98" spans="1:16" ht="27.6" x14ac:dyDescent="0.3">
      <c r="A98" s="455"/>
      <c r="B98" s="433">
        <v>41</v>
      </c>
      <c r="C98" s="418" t="s">
        <v>188</v>
      </c>
      <c r="D98" s="255" t="s">
        <v>33</v>
      </c>
      <c r="E98" s="421"/>
      <c r="F98" s="300"/>
      <c r="G98" s="300"/>
      <c r="H98" s="426"/>
      <c r="I98" s="426"/>
      <c r="J98" s="426"/>
      <c r="K98" s="426"/>
      <c r="L98" s="426"/>
      <c r="M98" s="426"/>
      <c r="N98" s="426"/>
      <c r="O98" s="426"/>
      <c r="P98" s="434">
        <f t="shared" si="1"/>
        <v>0</v>
      </c>
    </row>
    <row r="99" spans="1:16" ht="27.6" x14ac:dyDescent="0.3">
      <c r="A99" s="455"/>
      <c r="B99" s="433">
        <v>42</v>
      </c>
      <c r="C99" s="418" t="s">
        <v>189</v>
      </c>
      <c r="D99" s="255" t="s">
        <v>33</v>
      </c>
      <c r="E99" s="421"/>
      <c r="F99" s="300"/>
      <c r="G99" s="300"/>
      <c r="H99" s="426"/>
      <c r="I99" s="426"/>
      <c r="J99" s="426"/>
      <c r="K99" s="426"/>
      <c r="L99" s="426"/>
      <c r="M99" s="426"/>
      <c r="N99" s="426"/>
      <c r="O99" s="426"/>
      <c r="P99" s="434">
        <f t="shared" si="1"/>
        <v>0</v>
      </c>
    </row>
    <row r="100" spans="1:16" x14ac:dyDescent="0.3">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1.4" x14ac:dyDescent="0.3">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7.6" x14ac:dyDescent="0.3">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7.6" x14ac:dyDescent="0.3">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7.6" x14ac:dyDescent="0.3">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7.6" x14ac:dyDescent="0.3">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7.6" x14ac:dyDescent="0.3">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
      <c r="A107" s="455"/>
      <c r="B107" s="435" t="s">
        <v>292</v>
      </c>
      <c r="C107" s="418"/>
      <c r="D107" s="255" t="s">
        <v>251</v>
      </c>
      <c r="E107" s="421"/>
      <c r="F107" s="300"/>
      <c r="G107" s="300"/>
      <c r="H107" s="426"/>
      <c r="I107" s="426"/>
      <c r="J107" s="426"/>
      <c r="K107" s="426"/>
      <c r="L107" s="426"/>
      <c r="M107" s="426"/>
      <c r="N107" s="426"/>
      <c r="O107" s="426"/>
      <c r="P107" s="434"/>
    </row>
    <row r="108" spans="1:16" x14ac:dyDescent="0.3">
      <c r="A108" s="455"/>
      <c r="B108" s="433"/>
      <c r="C108" s="418"/>
      <c r="D108" s="255"/>
      <c r="E108" s="421"/>
      <c r="F108" s="300"/>
      <c r="G108" s="300"/>
      <c r="H108" s="426"/>
      <c r="I108" s="426"/>
      <c r="J108" s="426"/>
      <c r="K108" s="426"/>
      <c r="L108" s="426"/>
      <c r="M108" s="426"/>
      <c r="N108" s="426"/>
      <c r="O108" s="426"/>
      <c r="P108" s="434"/>
    </row>
    <row r="109" spans="1:16" x14ac:dyDescent="0.3">
      <c r="A109" s="455"/>
      <c r="B109" s="433"/>
      <c r="C109" s="418"/>
      <c r="D109" s="255"/>
      <c r="E109" s="421"/>
      <c r="F109" s="300"/>
      <c r="G109" s="300"/>
      <c r="H109" s="426"/>
      <c r="I109" s="426"/>
      <c r="J109" s="426"/>
      <c r="K109" s="426"/>
      <c r="L109" s="426"/>
      <c r="M109" s="426"/>
      <c r="N109" s="426"/>
      <c r="O109" s="426"/>
      <c r="P109" s="434"/>
    </row>
    <row r="110" spans="1:16" x14ac:dyDescent="0.3">
      <c r="A110" s="455"/>
      <c r="B110" s="433"/>
      <c r="C110" s="418"/>
      <c r="D110" s="255"/>
      <c r="E110" s="421"/>
      <c r="F110" s="300"/>
      <c r="G110" s="300"/>
      <c r="H110" s="426"/>
      <c r="I110" s="426"/>
      <c r="J110" s="426"/>
      <c r="K110" s="426"/>
      <c r="L110" s="426"/>
      <c r="M110" s="426"/>
      <c r="N110" s="426"/>
      <c r="O110" s="426"/>
      <c r="P110" s="434"/>
    </row>
    <row r="111" spans="1:16" x14ac:dyDescent="0.3">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3">
      <c r="B113" s="277"/>
      <c r="C113" s="596" t="s">
        <v>259</v>
      </c>
      <c r="D113" s="596"/>
      <c r="E113" s="271"/>
      <c r="F113" s="269"/>
      <c r="G113" s="269"/>
      <c r="H113" s="271"/>
      <c r="I113" s="271"/>
      <c r="J113" s="272">
        <f>J112-(E32*G32*J32)</f>
        <v>0</v>
      </c>
      <c r="K113" s="271">
        <f>K112-(E32*G32*K32)</f>
        <v>0</v>
      </c>
      <c r="L113" s="271"/>
      <c r="M113" s="271"/>
      <c r="N113" s="271"/>
      <c r="O113" s="271"/>
      <c r="P113" s="278"/>
    </row>
    <row r="114" spans="2:16" x14ac:dyDescent="0.3">
      <c r="B114" s="279"/>
      <c r="C114" s="597"/>
      <c r="D114" s="597"/>
      <c r="E114" s="264"/>
      <c r="F114" s="262"/>
      <c r="G114" s="262"/>
      <c r="H114" s="264"/>
      <c r="I114" s="264"/>
      <c r="J114" s="264"/>
      <c r="K114" s="264"/>
      <c r="L114" s="264"/>
      <c r="M114" s="264"/>
      <c r="N114" s="264"/>
      <c r="O114" s="264"/>
      <c r="P114" s="280"/>
    </row>
    <row r="115" spans="2:16" x14ac:dyDescent="0.3">
      <c r="B115" s="279"/>
      <c r="C115" s="263"/>
      <c r="D115" s="264"/>
      <c r="E115" s="264"/>
      <c r="F115" s="262"/>
      <c r="G115" s="262"/>
      <c r="H115" s="264"/>
      <c r="I115" s="264"/>
      <c r="J115" s="264"/>
      <c r="K115" s="264"/>
      <c r="L115" s="264"/>
      <c r="M115" s="264"/>
      <c r="N115" s="264"/>
      <c r="O115" s="264"/>
      <c r="P115" s="280"/>
    </row>
    <row r="116" spans="2:16" x14ac:dyDescent="0.3">
      <c r="B116" s="385"/>
      <c r="C116" s="598" t="s">
        <v>326</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3">
      <c r="B117" s="385"/>
      <c r="C117" s="598" t="s">
        <v>294</v>
      </c>
      <c r="D117" s="598"/>
      <c r="E117" s="264"/>
      <c r="F117" s="266"/>
      <c r="G117" s="266"/>
      <c r="H117" s="300"/>
      <c r="I117" s="300"/>
      <c r="J117" s="300"/>
      <c r="K117" s="300"/>
      <c r="L117" s="300"/>
      <c r="M117" s="300"/>
      <c r="N117" s="300"/>
      <c r="O117" s="255"/>
      <c r="P117" s="281">
        <f>SUM(H117:O117)</f>
        <v>0</v>
      </c>
    </row>
    <row r="118" spans="2:16" x14ac:dyDescent="0.3">
      <c r="B118" s="385"/>
      <c r="C118" s="598" t="s">
        <v>295</v>
      </c>
      <c r="D118" s="598"/>
      <c r="E118" s="264"/>
      <c r="F118" s="266"/>
      <c r="G118" s="266"/>
      <c r="H118" s="300"/>
      <c r="I118" s="300"/>
      <c r="J118" s="300"/>
      <c r="K118" s="300"/>
      <c r="L118" s="300"/>
      <c r="M118" s="300"/>
      <c r="N118" s="300"/>
      <c r="O118" s="255"/>
      <c r="P118" s="281">
        <f>SUM(H118:O118)</f>
        <v>0</v>
      </c>
    </row>
    <row r="119" spans="2:16" x14ac:dyDescent="0.3">
      <c r="B119" s="385"/>
      <c r="C119" s="598" t="s">
        <v>296</v>
      </c>
      <c r="D119" s="598"/>
      <c r="E119" s="264"/>
      <c r="F119" s="266"/>
      <c r="G119" s="266"/>
      <c r="H119" s="300"/>
      <c r="I119" s="300"/>
      <c r="J119" s="300"/>
      <c r="K119" s="300"/>
      <c r="L119" s="300"/>
      <c r="M119" s="300"/>
      <c r="N119" s="300"/>
      <c r="O119" s="255"/>
      <c r="P119" s="281">
        <f t="shared" ref="P119" si="2">SUM(H119:O119)</f>
        <v>0</v>
      </c>
    </row>
    <row r="120" spans="2:16" x14ac:dyDescent="0.3">
      <c r="B120" s="385"/>
      <c r="C120" s="598" t="s">
        <v>297</v>
      </c>
      <c r="D120" s="598"/>
      <c r="E120" s="264"/>
      <c r="F120" s="266"/>
      <c r="G120" s="266"/>
      <c r="H120" s="300"/>
      <c r="I120" s="300"/>
      <c r="J120" s="300"/>
      <c r="K120" s="300"/>
      <c r="L120" s="300"/>
      <c r="M120" s="300"/>
      <c r="N120" s="300"/>
      <c r="O120" s="255"/>
      <c r="P120" s="281">
        <f>SUM(H120:O120)</f>
        <v>0</v>
      </c>
    </row>
    <row r="121" spans="2:16" x14ac:dyDescent="0.3">
      <c r="B121" s="385"/>
      <c r="C121" s="598" t="s">
        <v>298</v>
      </c>
      <c r="D121" s="598"/>
      <c r="E121" s="264"/>
      <c r="F121" s="266"/>
      <c r="G121" s="266"/>
      <c r="H121" s="382" t="e">
        <f>'5.  2015 LRAM'!H131*H116</f>
        <v>#REF!</v>
      </c>
      <c r="I121" s="382" t="e">
        <f>'5.  2015 LRAM'!I131*I116</f>
        <v>#REF!</v>
      </c>
      <c r="J121" s="382" t="e">
        <f>'5.  2015 LRAM'!J131*J116</f>
        <v>#REF!</v>
      </c>
      <c r="K121" s="382" t="e">
        <f>'5.  2015 LRAM'!K131*K116</f>
        <v>#REF!</v>
      </c>
      <c r="L121" s="382" t="e">
        <f>'5.  2015 LRAM'!L131*L116</f>
        <v>#REF!</v>
      </c>
      <c r="M121" s="382" t="e">
        <f>'5.  2015 LRAM'!M131*M116</f>
        <v>#REF!</v>
      </c>
      <c r="N121" s="382" t="e">
        <f>'5.  2015 LRAM'!N131*N116</f>
        <v>#REF!</v>
      </c>
      <c r="O121" s="255"/>
      <c r="P121" s="281" t="e">
        <f t="shared" ref="P121:P122" si="3">SUM(H121:O121)</f>
        <v>#REF!</v>
      </c>
    </row>
    <row r="122" spans="2:16" x14ac:dyDescent="0.3">
      <c r="B122" s="385"/>
      <c r="C122" s="598" t="s">
        <v>299</v>
      </c>
      <c r="D122" s="598"/>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3">
      <c r="B123" s="385"/>
      <c r="C123" s="598" t="s">
        <v>300</v>
      </c>
      <c r="D123" s="598"/>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3">
      <c r="B124" s="385"/>
      <c r="C124" s="598" t="s">
        <v>301</v>
      </c>
      <c r="D124" s="598"/>
      <c r="E124" s="264"/>
      <c r="F124" s="266"/>
      <c r="G124" s="266"/>
      <c r="H124" s="382" t="e">
        <f>'5-d.  2018 LRAM'!H127*H116</f>
        <v>#DIV/0!</v>
      </c>
      <c r="I124" s="382" t="e">
        <f>'5-d.  2018 LRAM'!I127*I116</f>
        <v>#DIV/0!</v>
      </c>
      <c r="J124" s="382" t="e">
        <f>'5-d.  2018 LRAM'!J127*J116</f>
        <v>#DIV/0!</v>
      </c>
      <c r="K124" s="382" t="e">
        <f>'5-d.  2018 LRAM'!K127*K116</f>
        <v>#DIV/0!</v>
      </c>
      <c r="L124" s="382" t="e">
        <f>'5-d.  2018 LRAM'!L127*L116</f>
        <v>#REF!</v>
      </c>
      <c r="M124" s="382" t="e">
        <f>'5-d.  2018 LRAM'!M127*M116</f>
        <v>#REF!</v>
      </c>
      <c r="N124" s="382" t="e">
        <f>'5-d.  2018 LRAM'!N127*N116</f>
        <v>#REF!</v>
      </c>
      <c r="O124" s="255"/>
      <c r="P124" s="281" t="e">
        <f t="shared" ref="P124:P125" si="4">SUM(H124:O124)</f>
        <v>#DIV/0!</v>
      </c>
    </row>
    <row r="125" spans="2:16" x14ac:dyDescent="0.3">
      <c r="B125" s="385"/>
      <c r="C125" s="598" t="s">
        <v>302</v>
      </c>
      <c r="D125" s="598"/>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3">
      <c r="B126" s="279"/>
      <c r="C126" s="383" t="s">
        <v>293</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3">
      <c r="B127" s="279"/>
      <c r="C127" s="383"/>
      <c r="D127" s="264"/>
      <c r="E127" s="264"/>
      <c r="F127" s="262"/>
      <c r="G127" s="262"/>
      <c r="H127" s="268"/>
      <c r="I127" s="268"/>
      <c r="J127" s="268"/>
      <c r="K127" s="268"/>
      <c r="L127" s="268"/>
      <c r="M127" s="268"/>
      <c r="N127" s="268"/>
      <c r="O127" s="264"/>
      <c r="P127" s="282"/>
    </row>
    <row r="128" spans="2:16" x14ac:dyDescent="0.3">
      <c r="B128" s="428"/>
      <c r="C128" s="610" t="s">
        <v>303</v>
      </c>
      <c r="D128" s="610"/>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09375" defaultRowHeight="14.4" outlineLevelRow="1" x14ac:dyDescent="0.3"/>
  <cols>
    <col min="1" max="1" width="6.44140625" style="68"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x14ac:dyDescent="0.3">
      <c r="B2" s="643" t="s">
        <v>304</v>
      </c>
      <c r="C2" s="643"/>
      <c r="D2" s="643"/>
      <c r="E2" s="643"/>
      <c r="F2" s="643"/>
      <c r="G2" s="643"/>
      <c r="H2" s="643"/>
      <c r="I2" s="643"/>
      <c r="J2" s="643"/>
      <c r="K2" s="643"/>
      <c r="L2" s="643"/>
      <c r="M2" s="643"/>
      <c r="N2" s="643"/>
      <c r="O2" s="643"/>
      <c r="P2" s="643"/>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334</v>
      </c>
      <c r="D9" s="447"/>
      <c r="E9" s="238" t="s">
        <v>361</v>
      </c>
      <c r="F9" s="456"/>
      <c r="G9" s="447"/>
      <c r="H9" s="447"/>
      <c r="I9" s="447"/>
      <c r="J9" s="447"/>
      <c r="K9" s="447"/>
      <c r="L9" s="447"/>
      <c r="M9" s="447"/>
      <c r="N9" s="447"/>
      <c r="O9" s="447"/>
      <c r="P9" s="447"/>
      <c r="R9" s="82"/>
    </row>
    <row r="10" spans="1:18" ht="18.75" customHeight="1" outlineLevel="1" x14ac:dyDescent="0.3">
      <c r="B10" s="447"/>
      <c r="C10" s="447"/>
      <c r="D10" s="447"/>
      <c r="E10" s="644" t="s">
        <v>335</v>
      </c>
      <c r="F10" s="644"/>
      <c r="G10" s="447"/>
      <c r="H10" s="447"/>
      <c r="I10" s="447"/>
      <c r="J10" s="447"/>
      <c r="K10" s="447"/>
      <c r="L10" s="447"/>
      <c r="M10" s="447"/>
      <c r="N10" s="447"/>
      <c r="O10" s="447"/>
      <c r="P10" s="447"/>
    </row>
    <row r="11" spans="1:18" ht="15" x14ac:dyDescent="0.25">
      <c r="A11" s="454"/>
      <c r="C11" s="451"/>
      <c r="D11" s="452"/>
      <c r="E11" s="452"/>
    </row>
    <row r="12" spans="1:18" ht="18.75" x14ac:dyDescent="0.3">
      <c r="B12" s="450" t="s">
        <v>474</v>
      </c>
      <c r="C12" s="447"/>
      <c r="D12" s="447"/>
      <c r="E12" s="447"/>
      <c r="F12" s="447"/>
      <c r="G12" s="447"/>
      <c r="H12" s="447"/>
      <c r="I12" s="447"/>
      <c r="J12" s="447"/>
      <c r="K12" s="447"/>
      <c r="L12" s="447"/>
      <c r="M12" s="447"/>
      <c r="N12" s="447"/>
      <c r="O12" s="447"/>
      <c r="P12" s="447"/>
    </row>
    <row r="13" spans="1:18" ht="41.4" x14ac:dyDescent="0.3">
      <c r="B13" s="634" t="s">
        <v>58</v>
      </c>
      <c r="C13" s="636" t="s">
        <v>0</v>
      </c>
      <c r="D13" s="636" t="s">
        <v>44</v>
      </c>
      <c r="E13" s="636" t="s">
        <v>203</v>
      </c>
      <c r="F13" s="240" t="s">
        <v>200</v>
      </c>
      <c r="G13" s="240" t="s">
        <v>45</v>
      </c>
      <c r="H13" s="638" t="s">
        <v>59</v>
      </c>
      <c r="I13" s="638"/>
      <c r="J13" s="638"/>
      <c r="K13" s="638"/>
      <c r="L13" s="638"/>
      <c r="M13" s="638"/>
      <c r="N13" s="638"/>
      <c r="O13" s="638"/>
      <c r="P13" s="639"/>
    </row>
    <row r="14" spans="1:18" ht="55.2" x14ac:dyDescent="0.3">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455"/>
      <c r="B16" s="628" t="s">
        <v>140</v>
      </c>
      <c r="C16" s="629"/>
      <c r="D16" s="629"/>
      <c r="E16" s="629"/>
      <c r="F16" s="629"/>
      <c r="G16" s="629"/>
      <c r="H16" s="629"/>
      <c r="I16" s="629"/>
      <c r="J16" s="629"/>
      <c r="K16" s="629"/>
      <c r="L16" s="629"/>
      <c r="M16" s="629"/>
      <c r="N16" s="629"/>
      <c r="O16" s="629"/>
      <c r="P16" s="630"/>
    </row>
    <row r="17" spans="1:16" ht="15" x14ac:dyDescent="0.25">
      <c r="A17" s="455"/>
      <c r="B17" s="433">
        <v>1</v>
      </c>
      <c r="C17" s="418" t="s">
        <v>141</v>
      </c>
      <c r="D17" s="255" t="s">
        <v>33</v>
      </c>
      <c r="E17" s="419"/>
      <c r="F17" s="300"/>
      <c r="G17" s="300"/>
      <c r="H17" s="430">
        <v>1</v>
      </c>
      <c r="I17" s="420"/>
      <c r="J17" s="420"/>
      <c r="K17" s="420"/>
      <c r="L17" s="420"/>
      <c r="M17" s="420"/>
      <c r="N17" s="420"/>
      <c r="O17" s="420"/>
      <c r="P17" s="434">
        <f>SUM(H17:O17)</f>
        <v>1</v>
      </c>
    </row>
    <row r="18" spans="1:16" ht="15" x14ac:dyDescent="0.2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ht="15" x14ac:dyDescent="0.25">
      <c r="A19" s="455"/>
      <c r="B19" s="433">
        <v>3</v>
      </c>
      <c r="C19" s="418" t="s">
        <v>143</v>
      </c>
      <c r="D19" s="255" t="s">
        <v>33</v>
      </c>
      <c r="E19" s="421"/>
      <c r="F19" s="300"/>
      <c r="G19" s="300"/>
      <c r="H19" s="430">
        <v>1</v>
      </c>
      <c r="I19" s="420"/>
      <c r="J19" s="420"/>
      <c r="K19" s="420"/>
      <c r="L19" s="420"/>
      <c r="M19" s="420"/>
      <c r="N19" s="420"/>
      <c r="O19" s="420"/>
      <c r="P19" s="434">
        <f t="shared" si="0"/>
        <v>1</v>
      </c>
    </row>
    <row r="20" spans="1:16" ht="15" x14ac:dyDescent="0.25">
      <c r="A20" s="455"/>
      <c r="B20" s="433">
        <v>4</v>
      </c>
      <c r="C20" s="418" t="s">
        <v>144</v>
      </c>
      <c r="D20" s="255" t="s">
        <v>33</v>
      </c>
      <c r="E20" s="421"/>
      <c r="F20" s="300"/>
      <c r="G20" s="300"/>
      <c r="H20" s="430">
        <v>1</v>
      </c>
      <c r="I20" s="420"/>
      <c r="J20" s="420"/>
      <c r="K20" s="420"/>
      <c r="L20" s="420"/>
      <c r="M20" s="420"/>
      <c r="N20" s="420"/>
      <c r="O20" s="420"/>
      <c r="P20" s="434">
        <f t="shared" si="0"/>
        <v>1</v>
      </c>
    </row>
    <row r="21" spans="1:16" ht="15" x14ac:dyDescent="0.25">
      <c r="A21" s="455"/>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146</v>
      </c>
      <c r="D22" s="255" t="s">
        <v>33</v>
      </c>
      <c r="E22" s="421"/>
      <c r="F22" s="300"/>
      <c r="G22" s="300"/>
      <c r="H22" s="430">
        <v>1</v>
      </c>
      <c r="I22" s="420"/>
      <c r="J22" s="420"/>
      <c r="K22" s="420"/>
      <c r="L22" s="420"/>
      <c r="M22" s="420"/>
      <c r="N22" s="420"/>
      <c r="O22" s="420"/>
      <c r="P22" s="434">
        <f t="shared" si="0"/>
        <v>1</v>
      </c>
    </row>
    <row r="23" spans="1:16" ht="15" x14ac:dyDescent="0.25">
      <c r="A23" s="455"/>
      <c r="B23" s="435" t="s">
        <v>317</v>
      </c>
      <c r="C23" s="418"/>
      <c r="D23" s="255" t="s">
        <v>251</v>
      </c>
      <c r="E23" s="421"/>
      <c r="F23" s="300"/>
      <c r="G23" s="300"/>
      <c r="H23" s="430"/>
      <c r="I23" s="420"/>
      <c r="J23" s="420"/>
      <c r="K23" s="420"/>
      <c r="L23" s="420"/>
      <c r="M23" s="420"/>
      <c r="N23" s="420"/>
      <c r="O23" s="420"/>
      <c r="P23" s="434">
        <f t="shared" si="0"/>
        <v>0</v>
      </c>
    </row>
    <row r="24" spans="1:16" ht="15" x14ac:dyDescent="0.25">
      <c r="A24" s="455"/>
      <c r="B24" s="433"/>
      <c r="C24" s="418"/>
      <c r="D24" s="255"/>
      <c r="E24" s="421"/>
      <c r="F24" s="300"/>
      <c r="G24" s="300"/>
      <c r="H24" s="430"/>
      <c r="I24" s="420"/>
      <c r="J24" s="420"/>
      <c r="K24" s="420"/>
      <c r="L24" s="420"/>
      <c r="M24" s="420"/>
      <c r="N24" s="420"/>
      <c r="O24" s="420"/>
      <c r="P24" s="434">
        <f t="shared" si="0"/>
        <v>0</v>
      </c>
    </row>
    <row r="25" spans="1:16" ht="15" x14ac:dyDescent="0.25">
      <c r="A25" s="455"/>
      <c r="B25" s="433"/>
      <c r="C25" s="418"/>
      <c r="D25" s="255"/>
      <c r="E25" s="421"/>
      <c r="F25" s="300"/>
      <c r="G25" s="300"/>
      <c r="H25" s="430"/>
      <c r="I25" s="420"/>
      <c r="J25" s="420"/>
      <c r="K25" s="420"/>
      <c r="L25" s="420"/>
      <c r="M25" s="420"/>
      <c r="N25" s="420"/>
      <c r="O25" s="420"/>
      <c r="P25" s="434">
        <f t="shared" si="0"/>
        <v>0</v>
      </c>
    </row>
    <row r="26" spans="1:16" ht="15"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28" t="s">
        <v>147</v>
      </c>
      <c r="C27" s="629"/>
      <c r="D27" s="629"/>
      <c r="E27" s="629"/>
      <c r="F27" s="629"/>
      <c r="G27" s="629"/>
      <c r="H27" s="629"/>
      <c r="I27" s="629"/>
      <c r="J27" s="629"/>
      <c r="K27" s="629"/>
      <c r="L27" s="629"/>
      <c r="M27" s="629"/>
      <c r="N27" s="629"/>
      <c r="O27" s="629"/>
      <c r="P27" s="630"/>
    </row>
    <row r="28" spans="1:16" ht="15" x14ac:dyDescent="0.2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152</v>
      </c>
      <c r="D32" s="255" t="s">
        <v>33</v>
      </c>
      <c r="E32" s="421">
        <v>3</v>
      </c>
      <c r="F32" s="300"/>
      <c r="G32" s="300"/>
      <c r="H32" s="420"/>
      <c r="I32" s="420"/>
      <c r="J32" s="430">
        <v>1</v>
      </c>
      <c r="K32" s="420"/>
      <c r="L32" s="420"/>
      <c r="M32" s="420"/>
      <c r="N32" s="420"/>
      <c r="O32" s="420"/>
      <c r="P32" s="434">
        <f t="shared" si="0"/>
        <v>1</v>
      </c>
    </row>
    <row r="33" spans="1:16" ht="15" x14ac:dyDescent="0.25">
      <c r="A33" s="455"/>
      <c r="B33" s="435" t="s">
        <v>317</v>
      </c>
      <c r="C33" s="418"/>
      <c r="D33" s="255" t="s">
        <v>251</v>
      </c>
      <c r="E33" s="421"/>
      <c r="F33" s="300"/>
      <c r="G33" s="300"/>
      <c r="H33" s="420"/>
      <c r="I33" s="420"/>
      <c r="J33" s="420"/>
      <c r="K33" s="420"/>
      <c r="L33" s="420"/>
      <c r="M33" s="420"/>
      <c r="N33" s="420"/>
      <c r="O33" s="420"/>
      <c r="P33" s="434">
        <f t="shared" si="0"/>
        <v>0</v>
      </c>
    </row>
    <row r="34" spans="1:16" ht="15" x14ac:dyDescent="0.25">
      <c r="A34" s="455"/>
      <c r="B34" s="433"/>
      <c r="C34" s="418"/>
      <c r="D34" s="255"/>
      <c r="E34" s="421"/>
      <c r="F34" s="300"/>
      <c r="G34" s="300"/>
      <c r="H34" s="420"/>
      <c r="I34" s="420"/>
      <c r="J34" s="420"/>
      <c r="K34" s="420"/>
      <c r="L34" s="420"/>
      <c r="M34" s="420"/>
      <c r="N34" s="420"/>
      <c r="O34" s="420"/>
      <c r="P34" s="434">
        <f t="shared" si="0"/>
        <v>0</v>
      </c>
    </row>
    <row r="35" spans="1:16" ht="15" x14ac:dyDescent="0.25">
      <c r="A35" s="455"/>
      <c r="B35" s="433"/>
      <c r="C35" s="418"/>
      <c r="D35" s="255"/>
      <c r="E35" s="421"/>
      <c r="F35" s="300"/>
      <c r="G35" s="300"/>
      <c r="H35" s="420"/>
      <c r="I35" s="420"/>
      <c r="J35" s="420"/>
      <c r="K35" s="420"/>
      <c r="L35" s="420"/>
      <c r="M35" s="420"/>
      <c r="N35" s="420"/>
      <c r="O35" s="420"/>
      <c r="P35" s="434">
        <f t="shared" si="0"/>
        <v>0</v>
      </c>
    </row>
    <row r="36" spans="1:16" ht="15"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28" t="s">
        <v>11</v>
      </c>
      <c r="C37" s="629"/>
      <c r="D37" s="629"/>
      <c r="E37" s="629"/>
      <c r="F37" s="629"/>
      <c r="G37" s="629"/>
      <c r="H37" s="629"/>
      <c r="I37" s="629"/>
      <c r="J37" s="629"/>
      <c r="K37" s="629"/>
      <c r="L37" s="629"/>
      <c r="M37" s="629"/>
      <c r="N37" s="629"/>
      <c r="O37" s="629"/>
      <c r="P37" s="630"/>
    </row>
    <row r="38" spans="1:16" ht="28.5" x14ac:dyDescent="0.2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3">
      <c r="A41" s="455"/>
      <c r="B41" s="435" t="s">
        <v>317</v>
      </c>
      <c r="C41" s="418"/>
      <c r="D41" s="255" t="s">
        <v>251</v>
      </c>
      <c r="E41" s="421"/>
      <c r="F41" s="300"/>
      <c r="G41" s="300"/>
      <c r="H41" s="420"/>
      <c r="I41" s="420"/>
      <c r="J41" s="420"/>
      <c r="K41" s="420"/>
      <c r="L41" s="420"/>
      <c r="M41" s="420"/>
      <c r="N41" s="420"/>
      <c r="O41" s="420"/>
      <c r="P41" s="434">
        <f t="shared" si="0"/>
        <v>0</v>
      </c>
    </row>
    <row r="42" spans="1:16" x14ac:dyDescent="0.3">
      <c r="A42" s="455"/>
      <c r="B42" s="433"/>
      <c r="C42" s="418"/>
      <c r="D42" s="255"/>
      <c r="E42" s="421"/>
      <c r="F42" s="300"/>
      <c r="G42" s="300"/>
      <c r="H42" s="420"/>
      <c r="I42" s="420"/>
      <c r="J42" s="420"/>
      <c r="K42" s="420"/>
      <c r="L42" s="420"/>
      <c r="M42" s="420"/>
      <c r="N42" s="420"/>
      <c r="O42" s="420"/>
      <c r="P42" s="434">
        <f t="shared" si="0"/>
        <v>0</v>
      </c>
    </row>
    <row r="43" spans="1:16" x14ac:dyDescent="0.3">
      <c r="A43" s="455"/>
      <c r="B43" s="433"/>
      <c r="C43" s="418"/>
      <c r="D43" s="255"/>
      <c r="E43" s="421"/>
      <c r="F43" s="300"/>
      <c r="G43" s="300"/>
      <c r="H43" s="420"/>
      <c r="I43" s="420"/>
      <c r="J43" s="420"/>
      <c r="K43" s="420"/>
      <c r="L43" s="420"/>
      <c r="M43" s="420"/>
      <c r="N43" s="420"/>
      <c r="O43" s="420"/>
      <c r="P43" s="434">
        <f t="shared" si="0"/>
        <v>0</v>
      </c>
    </row>
    <row r="44" spans="1:16" x14ac:dyDescent="0.3">
      <c r="A44" s="455"/>
      <c r="B44" s="433"/>
      <c r="C44" s="418"/>
      <c r="D44" s="255"/>
      <c r="E44" s="421"/>
      <c r="F44" s="300"/>
      <c r="G44" s="300"/>
      <c r="H44" s="420"/>
      <c r="I44" s="420"/>
      <c r="J44" s="420"/>
      <c r="K44" s="420"/>
      <c r="L44" s="420"/>
      <c r="M44" s="420"/>
      <c r="N44" s="420"/>
      <c r="O44" s="420"/>
      <c r="P44" s="434">
        <f t="shared" si="0"/>
        <v>0</v>
      </c>
    </row>
    <row r="45" spans="1:16" ht="24" customHeight="1" x14ac:dyDescent="0.3">
      <c r="A45" s="455"/>
      <c r="B45" s="628" t="s">
        <v>156</v>
      </c>
      <c r="C45" s="629"/>
      <c r="D45" s="629"/>
      <c r="E45" s="629"/>
      <c r="F45" s="629"/>
      <c r="G45" s="629"/>
      <c r="H45" s="629"/>
      <c r="I45" s="629"/>
      <c r="J45" s="629"/>
      <c r="K45" s="629"/>
      <c r="L45" s="629"/>
      <c r="M45" s="629"/>
      <c r="N45" s="629"/>
      <c r="O45" s="629"/>
      <c r="P45" s="630"/>
    </row>
    <row r="46" spans="1:16" x14ac:dyDescent="0.3">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3">
      <c r="A47" s="455"/>
      <c r="B47" s="435" t="s">
        <v>317</v>
      </c>
      <c r="C47" s="418"/>
      <c r="D47" s="255" t="s">
        <v>251</v>
      </c>
      <c r="E47" s="421"/>
      <c r="F47" s="300"/>
      <c r="G47" s="300"/>
      <c r="H47" s="430"/>
      <c r="I47" s="420"/>
      <c r="J47" s="420"/>
      <c r="K47" s="420"/>
      <c r="L47" s="420"/>
      <c r="M47" s="420"/>
      <c r="N47" s="420"/>
      <c r="O47" s="420"/>
      <c r="P47" s="434">
        <f t="shared" si="0"/>
        <v>0</v>
      </c>
    </row>
    <row r="48" spans="1:16" x14ac:dyDescent="0.3">
      <c r="A48" s="455"/>
      <c r="B48" s="433"/>
      <c r="C48" s="418"/>
      <c r="D48" s="255"/>
      <c r="E48" s="421"/>
      <c r="F48" s="300"/>
      <c r="G48" s="300"/>
      <c r="H48" s="430"/>
      <c r="I48" s="420"/>
      <c r="J48" s="420"/>
      <c r="K48" s="420"/>
      <c r="L48" s="420"/>
      <c r="M48" s="420"/>
      <c r="N48" s="420"/>
      <c r="O48" s="420"/>
      <c r="P48" s="434">
        <f t="shared" si="0"/>
        <v>0</v>
      </c>
    </row>
    <row r="49" spans="1:16" x14ac:dyDescent="0.3">
      <c r="A49" s="455"/>
      <c r="B49" s="433"/>
      <c r="C49" s="418"/>
      <c r="D49" s="255"/>
      <c r="E49" s="421"/>
      <c r="F49" s="300"/>
      <c r="G49" s="300"/>
      <c r="H49" s="430"/>
      <c r="I49" s="420"/>
      <c r="J49" s="420"/>
      <c r="K49" s="420"/>
      <c r="L49" s="420"/>
      <c r="M49" s="420"/>
      <c r="N49" s="420"/>
      <c r="O49" s="420"/>
      <c r="P49" s="434"/>
    </row>
    <row r="50" spans="1:16" x14ac:dyDescent="0.3">
      <c r="A50" s="455"/>
      <c r="B50" s="433"/>
      <c r="C50" s="418"/>
      <c r="D50" s="255"/>
      <c r="E50" s="421"/>
      <c r="F50" s="300"/>
      <c r="G50" s="300"/>
      <c r="H50" s="430"/>
      <c r="I50" s="420"/>
      <c r="J50" s="420"/>
      <c r="K50" s="420"/>
      <c r="L50" s="420"/>
      <c r="M50" s="420"/>
      <c r="N50" s="420"/>
      <c r="O50" s="420"/>
      <c r="P50" s="434">
        <f t="shared" si="0"/>
        <v>0</v>
      </c>
    </row>
    <row r="51" spans="1:16" ht="21" customHeight="1" x14ac:dyDescent="0.3">
      <c r="A51" s="454"/>
      <c r="B51" s="628" t="s">
        <v>158</v>
      </c>
      <c r="C51" s="629"/>
      <c r="D51" s="629"/>
      <c r="E51" s="629"/>
      <c r="F51" s="629"/>
      <c r="G51" s="629"/>
      <c r="H51" s="629"/>
      <c r="I51" s="629"/>
      <c r="J51" s="629"/>
      <c r="K51" s="629"/>
      <c r="L51" s="629"/>
      <c r="M51" s="629"/>
      <c r="N51" s="629"/>
      <c r="O51" s="629"/>
      <c r="P51" s="630"/>
    </row>
    <row r="52" spans="1:16" x14ac:dyDescent="0.3">
      <c r="A52" s="455"/>
      <c r="B52" s="433">
        <v>16</v>
      </c>
      <c r="C52" s="418" t="s">
        <v>159</v>
      </c>
      <c r="D52" s="255" t="s">
        <v>33</v>
      </c>
      <c r="E52" s="421"/>
      <c r="F52" s="300"/>
      <c r="G52" s="300"/>
      <c r="H52" s="420"/>
      <c r="I52" s="420"/>
      <c r="J52" s="420"/>
      <c r="K52" s="420"/>
      <c r="L52" s="420"/>
      <c r="M52" s="420"/>
      <c r="N52" s="420"/>
      <c r="O52" s="420"/>
      <c r="P52" s="434">
        <f t="shared" si="0"/>
        <v>0</v>
      </c>
    </row>
    <row r="53" spans="1:16" x14ac:dyDescent="0.3">
      <c r="A53" s="455"/>
      <c r="B53" s="433">
        <v>17</v>
      </c>
      <c r="C53" s="418" t="s">
        <v>160</v>
      </c>
      <c r="D53" s="255" t="s">
        <v>33</v>
      </c>
      <c r="E53" s="421"/>
      <c r="F53" s="300"/>
      <c r="G53" s="300"/>
      <c r="H53" s="420"/>
      <c r="I53" s="420"/>
      <c r="J53" s="420"/>
      <c r="K53" s="420"/>
      <c r="L53" s="420"/>
      <c r="M53" s="420"/>
      <c r="N53" s="420"/>
      <c r="O53" s="420"/>
      <c r="P53" s="434">
        <f t="shared" si="0"/>
        <v>0</v>
      </c>
    </row>
    <row r="54" spans="1:16" x14ac:dyDescent="0.3">
      <c r="A54" s="455"/>
      <c r="B54" s="433">
        <v>18</v>
      </c>
      <c r="C54" s="418" t="s">
        <v>161</v>
      </c>
      <c r="D54" s="255" t="s">
        <v>33</v>
      </c>
      <c r="E54" s="421"/>
      <c r="F54" s="300"/>
      <c r="G54" s="300"/>
      <c r="H54" s="420"/>
      <c r="I54" s="420"/>
      <c r="J54" s="420"/>
      <c r="K54" s="420"/>
      <c r="L54" s="420"/>
      <c r="M54" s="420"/>
      <c r="N54" s="420"/>
      <c r="O54" s="420"/>
      <c r="P54" s="434">
        <f t="shared" si="0"/>
        <v>0</v>
      </c>
    </row>
    <row r="55" spans="1:16" x14ac:dyDescent="0.3">
      <c r="A55" s="455"/>
      <c r="B55" s="433">
        <v>19</v>
      </c>
      <c r="C55" s="418" t="s">
        <v>162</v>
      </c>
      <c r="D55" s="255" t="s">
        <v>33</v>
      </c>
      <c r="E55" s="421"/>
      <c r="F55" s="300"/>
      <c r="G55" s="300"/>
      <c r="H55" s="420"/>
      <c r="I55" s="420"/>
      <c r="J55" s="420"/>
      <c r="K55" s="420"/>
      <c r="L55" s="420"/>
      <c r="M55" s="420"/>
      <c r="N55" s="420"/>
      <c r="O55" s="420"/>
      <c r="P55" s="434">
        <f t="shared" si="0"/>
        <v>0</v>
      </c>
    </row>
    <row r="56" spans="1:16" x14ac:dyDescent="0.3">
      <c r="A56" s="455"/>
      <c r="B56" s="435" t="s">
        <v>317</v>
      </c>
      <c r="C56" s="418"/>
      <c r="D56" s="255" t="s">
        <v>251</v>
      </c>
      <c r="E56" s="421"/>
      <c r="F56" s="300"/>
      <c r="G56" s="300"/>
      <c r="H56" s="420"/>
      <c r="I56" s="420"/>
      <c r="J56" s="420"/>
      <c r="K56" s="420"/>
      <c r="L56" s="420"/>
      <c r="M56" s="420"/>
      <c r="N56" s="420"/>
      <c r="O56" s="420"/>
      <c r="P56" s="434">
        <f t="shared" si="0"/>
        <v>0</v>
      </c>
    </row>
    <row r="57" spans="1:16" x14ac:dyDescent="0.3">
      <c r="A57" s="455"/>
      <c r="B57" s="435"/>
      <c r="C57" s="418"/>
      <c r="D57" s="255"/>
      <c r="E57" s="421"/>
      <c r="F57" s="300"/>
      <c r="G57" s="300"/>
      <c r="H57" s="420"/>
      <c r="I57" s="420"/>
      <c r="J57" s="420"/>
      <c r="K57" s="420"/>
      <c r="L57" s="420"/>
      <c r="M57" s="420"/>
      <c r="N57" s="420"/>
      <c r="O57" s="420"/>
      <c r="P57" s="434"/>
    </row>
    <row r="58" spans="1:16" x14ac:dyDescent="0.3">
      <c r="A58" s="455"/>
      <c r="B58" s="435"/>
      <c r="C58" s="418"/>
      <c r="D58" s="255"/>
      <c r="E58" s="421"/>
      <c r="F58" s="300"/>
      <c r="G58" s="300"/>
      <c r="H58" s="420"/>
      <c r="I58" s="420"/>
      <c r="J58" s="420"/>
      <c r="K58" s="420"/>
      <c r="L58" s="420"/>
      <c r="M58" s="420"/>
      <c r="N58" s="420"/>
      <c r="O58" s="420"/>
      <c r="P58" s="434"/>
    </row>
    <row r="59" spans="1:16" x14ac:dyDescent="0.3">
      <c r="A59" s="454"/>
      <c r="B59" s="436"/>
      <c r="C59" s="422"/>
      <c r="D59" s="423"/>
      <c r="E59" s="423"/>
      <c r="F59" s="300"/>
      <c r="G59" s="300"/>
      <c r="H59" s="424"/>
      <c r="I59" s="424"/>
      <c r="J59" s="424"/>
      <c r="K59" s="424"/>
      <c r="L59" s="424"/>
      <c r="M59" s="424"/>
      <c r="N59" s="424"/>
      <c r="O59" s="424"/>
      <c r="P59" s="434"/>
    </row>
    <row r="60" spans="1:16" ht="27" customHeight="1" x14ac:dyDescent="0.3">
      <c r="B60" s="615" t="s">
        <v>163</v>
      </c>
      <c r="C60" s="616"/>
      <c r="D60" s="616"/>
      <c r="E60" s="616"/>
      <c r="F60" s="616"/>
      <c r="G60" s="616"/>
      <c r="H60" s="616"/>
      <c r="I60" s="616"/>
      <c r="J60" s="616"/>
      <c r="K60" s="616"/>
      <c r="L60" s="616"/>
      <c r="M60" s="616"/>
      <c r="N60" s="616"/>
      <c r="O60" s="616"/>
      <c r="P60" s="617"/>
    </row>
    <row r="61" spans="1:16" ht="16.8" x14ac:dyDescent="0.3">
      <c r="B61" s="437"/>
      <c r="C61" s="418"/>
      <c r="D61" s="421"/>
      <c r="E61" s="421"/>
      <c r="F61" s="417"/>
      <c r="G61" s="417"/>
      <c r="H61" s="417"/>
      <c r="I61" s="417"/>
      <c r="J61" s="417"/>
      <c r="K61" s="417"/>
      <c r="L61" s="417"/>
      <c r="M61" s="417"/>
      <c r="N61" s="417"/>
      <c r="O61" s="417"/>
      <c r="P61" s="438"/>
    </row>
    <row r="62" spans="1:16" ht="25.5" customHeight="1" x14ac:dyDescent="0.3">
      <c r="A62" s="455"/>
      <c r="B62" s="631" t="s">
        <v>164</v>
      </c>
      <c r="C62" s="607"/>
      <c r="D62" s="607"/>
      <c r="E62" s="607"/>
      <c r="F62" s="607"/>
      <c r="G62" s="607"/>
      <c r="H62" s="607"/>
      <c r="I62" s="607"/>
      <c r="J62" s="607"/>
      <c r="K62" s="607"/>
      <c r="L62" s="607"/>
      <c r="M62" s="607"/>
      <c r="N62" s="607"/>
      <c r="O62" s="607"/>
      <c r="P62" s="632"/>
    </row>
    <row r="63" spans="1:16" x14ac:dyDescent="0.3">
      <c r="A63" s="455"/>
      <c r="B63" s="433">
        <v>21</v>
      </c>
      <c r="C63" s="418" t="s">
        <v>165</v>
      </c>
      <c r="D63" s="255" t="s">
        <v>33</v>
      </c>
      <c r="E63" s="421"/>
      <c r="F63" s="300"/>
      <c r="G63" s="300"/>
      <c r="H63" s="430">
        <v>1</v>
      </c>
      <c r="I63" s="420"/>
      <c r="J63" s="420"/>
      <c r="K63" s="420"/>
      <c r="L63" s="420"/>
      <c r="M63" s="420"/>
      <c r="N63" s="420"/>
      <c r="O63" s="420"/>
      <c r="P63" s="434">
        <f t="shared" si="0"/>
        <v>1</v>
      </c>
    </row>
    <row r="64" spans="1:16" x14ac:dyDescent="0.3">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3">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3">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3">
      <c r="A67" s="455"/>
      <c r="B67" s="435" t="s">
        <v>317</v>
      </c>
      <c r="C67" s="418"/>
      <c r="D67" s="255" t="s">
        <v>251</v>
      </c>
      <c r="E67" s="421"/>
      <c r="F67" s="300"/>
      <c r="G67" s="300"/>
      <c r="H67" s="430"/>
      <c r="I67" s="420"/>
      <c r="J67" s="420"/>
      <c r="K67" s="420"/>
      <c r="L67" s="420"/>
      <c r="M67" s="420"/>
      <c r="N67" s="420"/>
      <c r="O67" s="420"/>
      <c r="P67" s="434"/>
    </row>
    <row r="68" spans="1:16" x14ac:dyDescent="0.3">
      <c r="A68" s="455"/>
      <c r="B68" s="433"/>
      <c r="C68" s="418"/>
      <c r="D68" s="255"/>
      <c r="E68" s="421"/>
      <c r="F68" s="300"/>
      <c r="G68" s="300"/>
      <c r="H68" s="430"/>
      <c r="I68" s="420"/>
      <c r="J68" s="420"/>
      <c r="K68" s="420"/>
      <c r="L68" s="420"/>
      <c r="M68" s="420"/>
      <c r="N68" s="420"/>
      <c r="O68" s="420"/>
      <c r="P68" s="434"/>
    </row>
    <row r="69" spans="1:16" x14ac:dyDescent="0.3">
      <c r="A69" s="455"/>
      <c r="B69" s="433"/>
      <c r="C69" s="418"/>
      <c r="D69" s="255"/>
      <c r="E69" s="421"/>
      <c r="F69" s="300"/>
      <c r="G69" s="300"/>
      <c r="H69" s="430"/>
      <c r="I69" s="420"/>
      <c r="J69" s="420"/>
      <c r="K69" s="420"/>
      <c r="L69" s="420"/>
      <c r="M69" s="420"/>
      <c r="N69" s="420"/>
      <c r="O69" s="420"/>
      <c r="P69" s="434"/>
    </row>
    <row r="70" spans="1:16" x14ac:dyDescent="0.3">
      <c r="A70" s="455"/>
      <c r="B70" s="433"/>
      <c r="C70" s="418"/>
      <c r="D70" s="255"/>
      <c r="E70" s="421"/>
      <c r="F70" s="300"/>
      <c r="G70" s="300"/>
      <c r="H70" s="420"/>
      <c r="I70" s="420"/>
      <c r="J70" s="420"/>
      <c r="K70" s="420"/>
      <c r="L70" s="420"/>
      <c r="M70" s="420"/>
      <c r="N70" s="420"/>
      <c r="O70" s="420"/>
      <c r="P70" s="434">
        <f t="shared" si="0"/>
        <v>0</v>
      </c>
    </row>
    <row r="71" spans="1:16" ht="28.5" customHeight="1" x14ac:dyDescent="0.3">
      <c r="A71" s="455"/>
      <c r="B71" s="631" t="s">
        <v>169</v>
      </c>
      <c r="C71" s="607"/>
      <c r="D71" s="607"/>
      <c r="E71" s="607"/>
      <c r="F71" s="607"/>
      <c r="G71" s="607"/>
      <c r="H71" s="607"/>
      <c r="I71" s="607"/>
      <c r="J71" s="607"/>
      <c r="K71" s="607"/>
      <c r="L71" s="607"/>
      <c r="M71" s="607"/>
      <c r="N71" s="607"/>
      <c r="O71" s="607"/>
      <c r="P71" s="632"/>
    </row>
    <row r="72" spans="1:16" x14ac:dyDescent="0.3">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3">
      <c r="A73" s="455"/>
      <c r="B73" s="433">
        <v>26</v>
      </c>
      <c r="C73" s="418" t="s">
        <v>171</v>
      </c>
      <c r="D73" s="255" t="s">
        <v>33</v>
      </c>
      <c r="E73" s="421"/>
      <c r="F73" s="300"/>
      <c r="G73" s="300"/>
      <c r="H73" s="420"/>
      <c r="I73" s="430">
        <v>1</v>
      </c>
      <c r="J73" s="420"/>
      <c r="K73" s="420"/>
      <c r="L73" s="420"/>
      <c r="M73" s="420"/>
      <c r="N73" s="420"/>
      <c r="O73" s="420"/>
      <c r="P73" s="434">
        <f t="shared" si="0"/>
        <v>1</v>
      </c>
    </row>
    <row r="74" spans="1:16" ht="27.6" x14ac:dyDescent="0.3">
      <c r="A74" s="455"/>
      <c r="B74" s="433">
        <v>27</v>
      </c>
      <c r="C74" s="418" t="s">
        <v>172</v>
      </c>
      <c r="D74" s="255" t="s">
        <v>33</v>
      </c>
      <c r="E74" s="421"/>
      <c r="F74" s="300"/>
      <c r="G74" s="300"/>
      <c r="H74" s="420"/>
      <c r="I74" s="430">
        <v>0.8</v>
      </c>
      <c r="J74" s="430">
        <v>0.2</v>
      </c>
      <c r="K74" s="420"/>
      <c r="L74" s="420"/>
      <c r="M74" s="420"/>
      <c r="N74" s="420"/>
      <c r="O74" s="420"/>
      <c r="P74" s="434">
        <f t="shared" si="0"/>
        <v>1</v>
      </c>
    </row>
    <row r="75" spans="1:16" ht="27.6" x14ac:dyDescent="0.3">
      <c r="A75" s="455"/>
      <c r="B75" s="433">
        <v>28</v>
      </c>
      <c r="C75" s="418" t="s">
        <v>173</v>
      </c>
      <c r="D75" s="255" t="s">
        <v>33</v>
      </c>
      <c r="E75" s="421"/>
      <c r="F75" s="300"/>
      <c r="G75" s="300"/>
      <c r="H75" s="420"/>
      <c r="I75" s="420"/>
      <c r="J75" s="420"/>
      <c r="K75" s="420"/>
      <c r="L75" s="420"/>
      <c r="M75" s="420"/>
      <c r="N75" s="420"/>
      <c r="O75" s="420"/>
      <c r="P75" s="434">
        <f t="shared" si="0"/>
        <v>0</v>
      </c>
    </row>
    <row r="76" spans="1:16" ht="27.6" x14ac:dyDescent="0.3">
      <c r="A76" s="455"/>
      <c r="B76" s="433">
        <v>29</v>
      </c>
      <c r="C76" s="418" t="s">
        <v>174</v>
      </c>
      <c r="D76" s="255" t="s">
        <v>33</v>
      </c>
      <c r="E76" s="421"/>
      <c r="F76" s="300"/>
      <c r="G76" s="300"/>
      <c r="H76" s="420"/>
      <c r="I76" s="420"/>
      <c r="J76" s="420"/>
      <c r="K76" s="420"/>
      <c r="L76" s="420"/>
      <c r="M76" s="420"/>
      <c r="N76" s="420"/>
      <c r="O76" s="420"/>
      <c r="P76" s="434">
        <f t="shared" si="0"/>
        <v>0</v>
      </c>
    </row>
    <row r="77" spans="1:16" ht="27.6" x14ac:dyDescent="0.3">
      <c r="A77" s="455"/>
      <c r="B77" s="433">
        <v>30</v>
      </c>
      <c r="C77" s="418" t="s">
        <v>175</v>
      </c>
      <c r="D77" s="255" t="s">
        <v>33</v>
      </c>
      <c r="E77" s="421"/>
      <c r="F77" s="300"/>
      <c r="G77" s="300"/>
      <c r="H77" s="420"/>
      <c r="I77" s="420"/>
      <c r="J77" s="420"/>
      <c r="K77" s="420"/>
      <c r="L77" s="420"/>
      <c r="M77" s="420"/>
      <c r="N77" s="420"/>
      <c r="O77" s="420"/>
      <c r="P77" s="434">
        <f t="shared" si="0"/>
        <v>0</v>
      </c>
    </row>
    <row r="78" spans="1:16" ht="27.6" x14ac:dyDescent="0.3">
      <c r="A78" s="455"/>
      <c r="B78" s="433">
        <v>31</v>
      </c>
      <c r="C78" s="418" t="s">
        <v>176</v>
      </c>
      <c r="D78" s="255" t="s">
        <v>33</v>
      </c>
      <c r="E78" s="421"/>
      <c r="F78" s="300"/>
      <c r="G78" s="300"/>
      <c r="H78" s="420"/>
      <c r="I78" s="420"/>
      <c r="J78" s="420"/>
      <c r="K78" s="420"/>
      <c r="L78" s="420"/>
      <c r="M78" s="420"/>
      <c r="N78" s="420"/>
      <c r="O78" s="420"/>
      <c r="P78" s="434">
        <f t="shared" si="0"/>
        <v>0</v>
      </c>
    </row>
    <row r="79" spans="1:16" x14ac:dyDescent="0.3">
      <c r="A79" s="455"/>
      <c r="B79" s="433">
        <v>32</v>
      </c>
      <c r="C79" s="418" t="s">
        <v>177</v>
      </c>
      <c r="D79" s="255" t="s">
        <v>33</v>
      </c>
      <c r="E79" s="421"/>
      <c r="F79" s="300"/>
      <c r="G79" s="300"/>
      <c r="H79" s="420"/>
      <c r="I79" s="420"/>
      <c r="J79" s="420"/>
      <c r="K79" s="420"/>
      <c r="L79" s="420"/>
      <c r="M79" s="420"/>
      <c r="N79" s="420"/>
      <c r="O79" s="420"/>
      <c r="P79" s="434">
        <f t="shared" si="0"/>
        <v>0</v>
      </c>
    </row>
    <row r="80" spans="1:16" x14ac:dyDescent="0.3">
      <c r="A80" s="455"/>
      <c r="B80" s="435" t="s">
        <v>317</v>
      </c>
      <c r="C80" s="418"/>
      <c r="D80" s="255" t="s">
        <v>251</v>
      </c>
      <c r="E80" s="421"/>
      <c r="F80" s="300"/>
      <c r="G80" s="300"/>
      <c r="H80" s="420"/>
      <c r="I80" s="420"/>
      <c r="J80" s="420"/>
      <c r="K80" s="420"/>
      <c r="L80" s="420"/>
      <c r="M80" s="420"/>
      <c r="N80" s="420"/>
      <c r="O80" s="420"/>
      <c r="P80" s="434"/>
    </row>
    <row r="81" spans="1:16" x14ac:dyDescent="0.3">
      <c r="A81" s="455"/>
      <c r="B81" s="433"/>
      <c r="C81" s="418"/>
      <c r="D81" s="255"/>
      <c r="E81" s="421"/>
      <c r="F81" s="300"/>
      <c r="G81" s="300"/>
      <c r="H81" s="420"/>
      <c r="I81" s="420"/>
      <c r="J81" s="420"/>
      <c r="K81" s="420"/>
      <c r="L81" s="420"/>
      <c r="M81" s="420"/>
      <c r="N81" s="420"/>
      <c r="O81" s="420"/>
      <c r="P81" s="434"/>
    </row>
    <row r="82" spans="1:16" x14ac:dyDescent="0.3">
      <c r="A82" s="455"/>
      <c r="B82" s="433"/>
      <c r="C82" s="418"/>
      <c r="D82" s="255"/>
      <c r="E82" s="421"/>
      <c r="F82" s="300"/>
      <c r="G82" s="300"/>
      <c r="H82" s="420"/>
      <c r="I82" s="420"/>
      <c r="J82" s="420"/>
      <c r="K82" s="420"/>
      <c r="L82" s="420"/>
      <c r="M82" s="420"/>
      <c r="N82" s="420"/>
      <c r="O82" s="420"/>
      <c r="P82" s="434"/>
    </row>
    <row r="83" spans="1:16" x14ac:dyDescent="0.3">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3">
      <c r="A84" s="455"/>
      <c r="B84" s="631" t="s">
        <v>178</v>
      </c>
      <c r="C84" s="607"/>
      <c r="D84" s="607"/>
      <c r="E84" s="607"/>
      <c r="F84" s="607"/>
      <c r="G84" s="607"/>
      <c r="H84" s="607"/>
      <c r="I84" s="607"/>
      <c r="J84" s="607"/>
      <c r="K84" s="607"/>
      <c r="L84" s="607"/>
      <c r="M84" s="607"/>
      <c r="N84" s="607"/>
      <c r="O84" s="607"/>
      <c r="P84" s="632"/>
    </row>
    <row r="85" spans="1:16" x14ac:dyDescent="0.3">
      <c r="A85" s="455"/>
      <c r="B85" s="433">
        <v>33</v>
      </c>
      <c r="C85" s="418" t="s">
        <v>179</v>
      </c>
      <c r="D85" s="255" t="s">
        <v>33</v>
      </c>
      <c r="E85" s="421"/>
      <c r="F85" s="300"/>
      <c r="G85" s="300"/>
      <c r="H85" s="426"/>
      <c r="I85" s="426"/>
      <c r="J85" s="426"/>
      <c r="K85" s="426"/>
      <c r="L85" s="426"/>
      <c r="M85" s="426"/>
      <c r="N85" s="426"/>
      <c r="O85" s="426"/>
      <c r="P85" s="434">
        <f t="shared" si="1"/>
        <v>0</v>
      </c>
    </row>
    <row r="86" spans="1:16" x14ac:dyDescent="0.3">
      <c r="A86" s="455"/>
      <c r="B86" s="433">
        <v>34</v>
      </c>
      <c r="C86" s="418" t="s">
        <v>180</v>
      </c>
      <c r="D86" s="255" t="s">
        <v>33</v>
      </c>
      <c r="E86" s="421"/>
      <c r="F86" s="300"/>
      <c r="G86" s="300"/>
      <c r="H86" s="426"/>
      <c r="I86" s="426"/>
      <c r="J86" s="426"/>
      <c r="K86" s="426"/>
      <c r="L86" s="426"/>
      <c r="M86" s="426"/>
      <c r="N86" s="426"/>
      <c r="O86" s="426"/>
      <c r="P86" s="434">
        <f t="shared" si="1"/>
        <v>0</v>
      </c>
    </row>
    <row r="87" spans="1:16" x14ac:dyDescent="0.3">
      <c r="A87" s="455"/>
      <c r="B87" s="433">
        <v>35</v>
      </c>
      <c r="C87" s="418" t="s">
        <v>181</v>
      </c>
      <c r="D87" s="255" t="s">
        <v>33</v>
      </c>
      <c r="E87" s="421"/>
      <c r="F87" s="300"/>
      <c r="G87" s="300"/>
      <c r="H87" s="426"/>
      <c r="I87" s="426"/>
      <c r="J87" s="426"/>
      <c r="K87" s="426"/>
      <c r="L87" s="426"/>
      <c r="M87" s="426"/>
      <c r="N87" s="426"/>
      <c r="O87" s="426"/>
      <c r="P87" s="434">
        <f t="shared" si="1"/>
        <v>0</v>
      </c>
    </row>
    <row r="88" spans="1:16" x14ac:dyDescent="0.3">
      <c r="A88" s="455"/>
      <c r="B88" s="435" t="s">
        <v>317</v>
      </c>
      <c r="C88" s="418"/>
      <c r="D88" s="255" t="s">
        <v>251</v>
      </c>
      <c r="E88" s="421"/>
      <c r="F88" s="300"/>
      <c r="G88" s="300"/>
      <c r="H88" s="426"/>
      <c r="I88" s="426"/>
      <c r="J88" s="426"/>
      <c r="K88" s="426"/>
      <c r="L88" s="426"/>
      <c r="M88" s="426"/>
      <c r="N88" s="426"/>
      <c r="O88" s="426"/>
      <c r="P88" s="434"/>
    </row>
    <row r="89" spans="1:16" x14ac:dyDescent="0.3">
      <c r="A89" s="455"/>
      <c r="B89" s="433"/>
      <c r="C89" s="418"/>
      <c r="D89" s="255"/>
      <c r="E89" s="421"/>
      <c r="F89" s="300"/>
      <c r="G89" s="300"/>
      <c r="H89" s="426"/>
      <c r="I89" s="426"/>
      <c r="J89" s="426"/>
      <c r="K89" s="426"/>
      <c r="L89" s="426"/>
      <c r="M89" s="426"/>
      <c r="N89" s="426"/>
      <c r="O89" s="426"/>
      <c r="P89" s="434"/>
    </row>
    <row r="90" spans="1:16" x14ac:dyDescent="0.3">
      <c r="A90" s="455"/>
      <c r="B90" s="433"/>
      <c r="C90" s="418"/>
      <c r="D90" s="255"/>
      <c r="E90" s="421"/>
      <c r="F90" s="300"/>
      <c r="G90" s="300"/>
      <c r="H90" s="426"/>
      <c r="I90" s="426"/>
      <c r="J90" s="426"/>
      <c r="K90" s="426"/>
      <c r="L90" s="426"/>
      <c r="M90" s="426"/>
      <c r="N90" s="426"/>
      <c r="O90" s="426"/>
      <c r="P90" s="434"/>
    </row>
    <row r="91" spans="1:16" x14ac:dyDescent="0.3">
      <c r="A91" s="455"/>
      <c r="B91" s="433"/>
      <c r="C91" s="418"/>
      <c r="D91" s="255"/>
      <c r="E91" s="421"/>
      <c r="F91" s="300"/>
      <c r="G91" s="300"/>
      <c r="H91" s="426"/>
      <c r="I91" s="426"/>
      <c r="J91" s="426"/>
      <c r="K91" s="426"/>
      <c r="L91" s="426"/>
      <c r="M91" s="426"/>
      <c r="N91" s="426"/>
      <c r="O91" s="426"/>
      <c r="P91" s="434">
        <f t="shared" si="1"/>
        <v>0</v>
      </c>
    </row>
    <row r="92" spans="1:16" ht="24" customHeight="1" x14ac:dyDescent="0.3">
      <c r="A92" s="455"/>
      <c r="B92" s="631" t="s">
        <v>182</v>
      </c>
      <c r="C92" s="607"/>
      <c r="D92" s="607"/>
      <c r="E92" s="607"/>
      <c r="F92" s="607"/>
      <c r="G92" s="607"/>
      <c r="H92" s="607"/>
      <c r="I92" s="607"/>
      <c r="J92" s="607"/>
      <c r="K92" s="607"/>
      <c r="L92" s="607"/>
      <c r="M92" s="607"/>
      <c r="N92" s="607"/>
      <c r="O92" s="607"/>
      <c r="P92" s="632"/>
    </row>
    <row r="93" spans="1:16" ht="41.4" x14ac:dyDescent="0.3">
      <c r="A93" s="455"/>
      <c r="B93" s="433">
        <v>36</v>
      </c>
      <c r="C93" s="418" t="s">
        <v>183</v>
      </c>
      <c r="D93" s="255" t="s">
        <v>33</v>
      </c>
      <c r="E93" s="421"/>
      <c r="F93" s="300"/>
      <c r="G93" s="300"/>
      <c r="H93" s="426"/>
      <c r="I93" s="426"/>
      <c r="J93" s="426"/>
      <c r="K93" s="426"/>
      <c r="L93" s="426"/>
      <c r="M93" s="426"/>
      <c r="N93" s="426"/>
      <c r="O93" s="426"/>
      <c r="P93" s="434">
        <f t="shared" si="1"/>
        <v>0</v>
      </c>
    </row>
    <row r="94" spans="1:16" x14ac:dyDescent="0.3">
      <c r="A94" s="455"/>
      <c r="B94" s="433">
        <v>37</v>
      </c>
      <c r="C94" s="418" t="s">
        <v>184</v>
      </c>
      <c r="D94" s="255" t="s">
        <v>33</v>
      </c>
      <c r="E94" s="421"/>
      <c r="F94" s="300"/>
      <c r="G94" s="300"/>
      <c r="H94" s="426"/>
      <c r="I94" s="426"/>
      <c r="J94" s="426"/>
      <c r="K94" s="426"/>
      <c r="L94" s="426"/>
      <c r="M94" s="426"/>
      <c r="N94" s="426"/>
      <c r="O94" s="426"/>
      <c r="P94" s="434">
        <f t="shared" si="1"/>
        <v>0</v>
      </c>
    </row>
    <row r="95" spans="1:16" x14ac:dyDescent="0.3">
      <c r="A95" s="455"/>
      <c r="B95" s="433">
        <v>38</v>
      </c>
      <c r="C95" s="418" t="s">
        <v>185</v>
      </c>
      <c r="D95" s="255" t="s">
        <v>33</v>
      </c>
      <c r="E95" s="421"/>
      <c r="F95" s="300"/>
      <c r="G95" s="300"/>
      <c r="H95" s="426"/>
      <c r="I95" s="426"/>
      <c r="J95" s="426"/>
      <c r="K95" s="426"/>
      <c r="L95" s="426"/>
      <c r="M95" s="426"/>
      <c r="N95" s="426"/>
      <c r="O95" s="426"/>
      <c r="P95" s="434">
        <f t="shared" si="1"/>
        <v>0</v>
      </c>
    </row>
    <row r="96" spans="1:16" ht="27.6" x14ac:dyDescent="0.3">
      <c r="A96" s="455"/>
      <c r="B96" s="433">
        <v>39</v>
      </c>
      <c r="C96" s="418" t="s">
        <v>186</v>
      </c>
      <c r="D96" s="255" t="s">
        <v>33</v>
      </c>
      <c r="E96" s="421"/>
      <c r="F96" s="300"/>
      <c r="G96" s="300"/>
      <c r="H96" s="426"/>
      <c r="I96" s="426"/>
      <c r="J96" s="426"/>
      <c r="K96" s="426"/>
      <c r="L96" s="426"/>
      <c r="M96" s="426"/>
      <c r="N96" s="426"/>
      <c r="O96" s="426"/>
      <c r="P96" s="434">
        <f t="shared" si="1"/>
        <v>0</v>
      </c>
    </row>
    <row r="97" spans="1:16" ht="27.6" x14ac:dyDescent="0.3">
      <c r="A97" s="455"/>
      <c r="B97" s="433">
        <v>40</v>
      </c>
      <c r="C97" s="418" t="s">
        <v>187</v>
      </c>
      <c r="D97" s="255" t="s">
        <v>33</v>
      </c>
      <c r="E97" s="421"/>
      <c r="F97" s="300"/>
      <c r="G97" s="300"/>
      <c r="H97" s="426"/>
      <c r="I97" s="426"/>
      <c r="J97" s="426"/>
      <c r="K97" s="426"/>
      <c r="L97" s="426"/>
      <c r="M97" s="426"/>
      <c r="N97" s="426"/>
      <c r="O97" s="426"/>
      <c r="P97" s="434">
        <f t="shared" si="1"/>
        <v>0</v>
      </c>
    </row>
    <row r="98" spans="1:16" ht="27.6" x14ac:dyDescent="0.3">
      <c r="A98" s="455"/>
      <c r="B98" s="433">
        <v>41</v>
      </c>
      <c r="C98" s="418" t="s">
        <v>188</v>
      </c>
      <c r="D98" s="255" t="s">
        <v>33</v>
      </c>
      <c r="E98" s="421"/>
      <c r="F98" s="300"/>
      <c r="G98" s="300"/>
      <c r="H98" s="426"/>
      <c r="I98" s="426"/>
      <c r="J98" s="426"/>
      <c r="K98" s="426"/>
      <c r="L98" s="426"/>
      <c r="M98" s="426"/>
      <c r="N98" s="426"/>
      <c r="O98" s="426"/>
      <c r="P98" s="434">
        <f t="shared" si="1"/>
        <v>0</v>
      </c>
    </row>
    <row r="99" spans="1:16" ht="27.6" x14ac:dyDescent="0.3">
      <c r="A99" s="455"/>
      <c r="B99" s="433">
        <v>42</v>
      </c>
      <c r="C99" s="418" t="s">
        <v>189</v>
      </c>
      <c r="D99" s="255" t="s">
        <v>33</v>
      </c>
      <c r="E99" s="421"/>
      <c r="F99" s="300"/>
      <c r="G99" s="300"/>
      <c r="H99" s="426"/>
      <c r="I99" s="426"/>
      <c r="J99" s="426"/>
      <c r="K99" s="426"/>
      <c r="L99" s="426"/>
      <c r="M99" s="426"/>
      <c r="N99" s="426"/>
      <c r="O99" s="426"/>
      <c r="P99" s="434">
        <f t="shared" si="1"/>
        <v>0</v>
      </c>
    </row>
    <row r="100" spans="1:16" x14ac:dyDescent="0.3">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1.4" x14ac:dyDescent="0.3">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7.6" x14ac:dyDescent="0.3">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7.6" x14ac:dyDescent="0.3">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7.6" x14ac:dyDescent="0.3">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7.6" x14ac:dyDescent="0.3">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7.6" x14ac:dyDescent="0.3">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
      <c r="A107" s="455"/>
      <c r="B107" s="435" t="s">
        <v>317</v>
      </c>
      <c r="C107" s="418"/>
      <c r="D107" s="255" t="s">
        <v>251</v>
      </c>
      <c r="E107" s="421"/>
      <c r="F107" s="300"/>
      <c r="G107" s="300"/>
      <c r="H107" s="426"/>
      <c r="I107" s="426"/>
      <c r="J107" s="426"/>
      <c r="K107" s="426"/>
      <c r="L107" s="426"/>
      <c r="M107" s="426"/>
      <c r="N107" s="426"/>
      <c r="O107" s="426"/>
      <c r="P107" s="434"/>
    </row>
    <row r="108" spans="1:16" x14ac:dyDescent="0.3">
      <c r="A108" s="455"/>
      <c r="B108" s="433"/>
      <c r="C108" s="418"/>
      <c r="D108" s="255"/>
      <c r="E108" s="421"/>
      <c r="F108" s="300"/>
      <c r="G108" s="300"/>
      <c r="H108" s="426"/>
      <c r="I108" s="426"/>
      <c r="J108" s="426"/>
      <c r="K108" s="426"/>
      <c r="L108" s="426"/>
      <c r="M108" s="426"/>
      <c r="N108" s="426"/>
      <c r="O108" s="426"/>
      <c r="P108" s="434"/>
    </row>
    <row r="109" spans="1:16" x14ac:dyDescent="0.3">
      <c r="A109" s="455"/>
      <c r="B109" s="433"/>
      <c r="C109" s="418"/>
      <c r="D109" s="255"/>
      <c r="E109" s="421"/>
      <c r="F109" s="300"/>
      <c r="G109" s="300"/>
      <c r="H109" s="426"/>
      <c r="I109" s="426"/>
      <c r="J109" s="426"/>
      <c r="K109" s="426"/>
      <c r="L109" s="426"/>
      <c r="M109" s="426"/>
      <c r="N109" s="426"/>
      <c r="O109" s="426"/>
      <c r="P109" s="434"/>
    </row>
    <row r="110" spans="1:16" x14ac:dyDescent="0.3">
      <c r="A110" s="455"/>
      <c r="B110" s="433"/>
      <c r="C110" s="418"/>
      <c r="D110" s="255"/>
      <c r="E110" s="421"/>
      <c r="F110" s="300"/>
      <c r="G110" s="300"/>
      <c r="H110" s="426"/>
      <c r="I110" s="426"/>
      <c r="J110" s="426"/>
      <c r="K110" s="426"/>
      <c r="L110" s="426"/>
      <c r="M110" s="426"/>
      <c r="N110" s="426"/>
      <c r="O110" s="426"/>
      <c r="P110" s="434"/>
    </row>
    <row r="111" spans="1:16" x14ac:dyDescent="0.3">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3">
      <c r="B113" s="277"/>
      <c r="C113" s="596" t="s">
        <v>259</v>
      </c>
      <c r="D113" s="596"/>
      <c r="E113" s="271"/>
      <c r="F113" s="269"/>
      <c r="G113" s="269"/>
      <c r="H113" s="271"/>
      <c r="I113" s="271"/>
      <c r="J113" s="272">
        <f>J112-(E32*G32*J32)</f>
        <v>0</v>
      </c>
      <c r="K113" s="271">
        <f>K112-(E32*G32*K32)</f>
        <v>0</v>
      </c>
      <c r="L113" s="271"/>
      <c r="M113" s="271"/>
      <c r="N113" s="271"/>
      <c r="O113" s="271"/>
      <c r="P113" s="278"/>
    </row>
    <row r="114" spans="2:16" x14ac:dyDescent="0.3">
      <c r="B114" s="279"/>
      <c r="C114" s="597"/>
      <c r="D114" s="597"/>
      <c r="E114" s="264"/>
      <c r="F114" s="262"/>
      <c r="G114" s="262"/>
      <c r="H114" s="264"/>
      <c r="I114" s="264"/>
      <c r="J114" s="264"/>
      <c r="K114" s="264"/>
      <c r="L114" s="264"/>
      <c r="M114" s="264"/>
      <c r="N114" s="264"/>
      <c r="O114" s="264"/>
      <c r="P114" s="280"/>
    </row>
    <row r="115" spans="2:16" x14ac:dyDescent="0.3">
      <c r="B115" s="279"/>
      <c r="C115" s="263"/>
      <c r="D115" s="264"/>
      <c r="E115" s="264"/>
      <c r="F115" s="262"/>
      <c r="G115" s="262"/>
      <c r="H115" s="264"/>
      <c r="I115" s="264"/>
      <c r="J115" s="264"/>
      <c r="K115" s="264"/>
      <c r="L115" s="264"/>
      <c r="M115" s="264"/>
      <c r="N115" s="264"/>
      <c r="O115" s="264"/>
      <c r="P115" s="280"/>
    </row>
    <row r="116" spans="2:16" x14ac:dyDescent="0.3">
      <c r="B116" s="385"/>
      <c r="C116" s="598" t="s">
        <v>327</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3">
      <c r="B117" s="385"/>
      <c r="C117" s="598" t="s">
        <v>306</v>
      </c>
      <c r="D117" s="598"/>
      <c r="E117" s="264"/>
      <c r="F117" s="266"/>
      <c r="G117" s="266"/>
      <c r="H117" s="408"/>
      <c r="I117" s="408"/>
      <c r="J117" s="408"/>
      <c r="K117" s="408"/>
      <c r="L117" s="408"/>
      <c r="M117" s="408"/>
      <c r="N117" s="408"/>
      <c r="O117" s="255"/>
      <c r="P117" s="281">
        <f>SUM(H117:O117)</f>
        <v>0</v>
      </c>
    </row>
    <row r="118" spans="2:16" x14ac:dyDescent="0.3">
      <c r="B118" s="385"/>
      <c r="C118" s="598" t="s">
        <v>307</v>
      </c>
      <c r="D118" s="598"/>
      <c r="E118" s="264"/>
      <c r="F118" s="266"/>
      <c r="G118" s="266"/>
      <c r="H118" s="408"/>
      <c r="I118" s="408"/>
      <c r="J118" s="408"/>
      <c r="K118" s="408"/>
      <c r="L118" s="408"/>
      <c r="M118" s="408"/>
      <c r="N118" s="408"/>
      <c r="O118" s="255"/>
      <c r="P118" s="281">
        <f>SUM(H118:O118)</f>
        <v>0</v>
      </c>
    </row>
    <row r="119" spans="2:16" x14ac:dyDescent="0.3">
      <c r="B119" s="385"/>
      <c r="C119" s="598" t="s">
        <v>308</v>
      </c>
      <c r="D119" s="598"/>
      <c r="E119" s="264"/>
      <c r="F119" s="266"/>
      <c r="G119" s="266"/>
      <c r="H119" s="408"/>
      <c r="I119" s="408"/>
      <c r="J119" s="408"/>
      <c r="K119" s="408"/>
      <c r="L119" s="408"/>
      <c r="M119" s="408"/>
      <c r="N119" s="408"/>
      <c r="O119" s="255"/>
      <c r="P119" s="281">
        <f t="shared" ref="P119" si="2">SUM(H119:O119)</f>
        <v>0</v>
      </c>
    </row>
    <row r="120" spans="2:16" x14ac:dyDescent="0.3">
      <c r="B120" s="385"/>
      <c r="C120" s="598" t="s">
        <v>309</v>
      </c>
      <c r="D120" s="598"/>
      <c r="E120" s="264"/>
      <c r="F120" s="266"/>
      <c r="G120" s="266"/>
      <c r="H120" s="408"/>
      <c r="I120" s="408"/>
      <c r="J120" s="408"/>
      <c r="K120" s="408"/>
      <c r="L120" s="408"/>
      <c r="M120" s="408"/>
      <c r="N120" s="408"/>
      <c r="O120" s="255"/>
      <c r="P120" s="281">
        <f>SUM(H120:O120)</f>
        <v>0</v>
      </c>
    </row>
    <row r="121" spans="2:16" x14ac:dyDescent="0.3">
      <c r="B121" s="385"/>
      <c r="C121" s="598" t="s">
        <v>310</v>
      </c>
      <c r="D121" s="598"/>
      <c r="E121" s="264"/>
      <c r="F121" s="266"/>
      <c r="G121" s="266"/>
      <c r="H121" s="382" t="e">
        <f>'5.  2015 LRAM'!H132*H116</f>
        <v>#REF!</v>
      </c>
      <c r="I121" s="382" t="e">
        <f>'5.  2015 LRAM'!I132*I116</f>
        <v>#REF!</v>
      </c>
      <c r="J121" s="382" t="e">
        <f>'5.  2015 LRAM'!J132*J116</f>
        <v>#REF!</v>
      </c>
      <c r="K121" s="382" t="e">
        <f>'5.  2015 LRAM'!K132*K116</f>
        <v>#REF!</v>
      </c>
      <c r="L121" s="382" t="e">
        <f>'5.  2015 LRAM'!L132*L116</f>
        <v>#REF!</v>
      </c>
      <c r="M121" s="382" t="e">
        <f>'5.  2015 LRAM'!M132*M116</f>
        <v>#REF!</v>
      </c>
      <c r="N121" s="382" t="e">
        <f>'5.  2015 LRAM'!N132*N116</f>
        <v>#REF!</v>
      </c>
      <c r="O121" s="255"/>
      <c r="P121" s="281" t="e">
        <f t="shared" ref="P121:P122" si="3">SUM(H121:O121)</f>
        <v>#REF!</v>
      </c>
    </row>
    <row r="122" spans="2:16" x14ac:dyDescent="0.3">
      <c r="B122" s="385"/>
      <c r="C122" s="598" t="s">
        <v>311</v>
      </c>
      <c r="D122" s="598"/>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3">
      <c r="B123" s="385"/>
      <c r="C123" s="598" t="s">
        <v>312</v>
      </c>
      <c r="D123" s="598"/>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3">
      <c r="B124" s="385"/>
      <c r="C124" s="598" t="s">
        <v>313</v>
      </c>
      <c r="D124" s="598"/>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3">
      <c r="B125" s="385"/>
      <c r="C125" s="598" t="s">
        <v>314</v>
      </c>
      <c r="D125" s="598"/>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3">
      <c r="B126" s="385"/>
      <c r="C126" s="598" t="s">
        <v>315</v>
      </c>
      <c r="D126" s="598"/>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3">
      <c r="B127" s="283"/>
      <c r="C127" s="457" t="s">
        <v>305</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3" activePane="bottomLeft" state="frozen"/>
      <selection pane="bottomLeft" activeCell="L32" sqref="L32"/>
    </sheetView>
  </sheetViews>
  <sheetFormatPr defaultColWidth="9.109375" defaultRowHeight="13.8" outlineLevelRow="1" x14ac:dyDescent="0.25"/>
  <cols>
    <col min="1" max="1" width="3.33203125" style="66" customWidth="1"/>
    <col min="2" max="2" width="4" style="66" customWidth="1"/>
    <col min="3" max="3" width="26.44140625" style="69" customWidth="1"/>
    <col min="4" max="4" width="15.109375" style="69" customWidth="1"/>
    <col min="5" max="5" width="10.88671875" style="66" customWidth="1"/>
    <col min="6" max="7" width="11.88671875" style="66" customWidth="1"/>
    <col min="8" max="8" width="10.6640625" style="66" customWidth="1"/>
    <col min="9" max="13" width="11.33203125" style="66" customWidth="1"/>
    <col min="14" max="14" width="4" style="66" customWidth="1"/>
    <col min="15" max="15" width="25.88671875" style="69" customWidth="1"/>
    <col min="16" max="16" width="10.88671875" style="66" customWidth="1"/>
    <col min="17" max="17" width="10.6640625" style="66" customWidth="1"/>
    <col min="18" max="18" width="11.109375" style="66" customWidth="1"/>
    <col min="19" max="19" width="11.33203125" style="66" customWidth="1"/>
    <col min="20" max="16384" width="9.109375" style="66"/>
  </cols>
  <sheetData>
    <row r="1" spans="1:25" ht="155.25" customHeight="1" x14ac:dyDescent="0.2">
      <c r="C1" s="66"/>
      <c r="D1" s="66"/>
    </row>
    <row r="2" spans="1:25" ht="29.25" customHeight="1" x14ac:dyDescent="0.3">
      <c r="B2" s="69"/>
      <c r="C2" s="571" t="s">
        <v>347</v>
      </c>
      <c r="D2" s="571"/>
      <c r="E2" s="571"/>
      <c r="F2" s="571"/>
      <c r="G2" s="571"/>
      <c r="H2" s="571"/>
      <c r="I2" s="571"/>
      <c r="J2" s="571"/>
      <c r="K2" s="571"/>
      <c r="L2" s="571"/>
      <c r="M2" s="571"/>
      <c r="N2" s="571"/>
      <c r="O2" s="571"/>
      <c r="P2" s="571"/>
      <c r="Q2" s="571"/>
      <c r="R2" s="571"/>
      <c r="S2" s="571"/>
      <c r="T2" s="571"/>
      <c r="U2" s="571"/>
    </row>
    <row r="3" spans="1:25" ht="8.25" customHeight="1" outlineLevel="1" x14ac:dyDescent="0.3">
      <c r="B3" s="69"/>
      <c r="C3" s="131"/>
      <c r="D3" s="131"/>
      <c r="E3" s="131"/>
      <c r="F3" s="131"/>
      <c r="G3" s="131"/>
      <c r="H3" s="131"/>
      <c r="I3" s="131"/>
      <c r="J3" s="516"/>
      <c r="K3" s="516"/>
      <c r="L3" s="516"/>
      <c r="M3" s="516"/>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397</v>
      </c>
      <c r="E5" s="70"/>
      <c r="F5" s="647" t="s">
        <v>494</v>
      </c>
      <c r="G5" s="647"/>
      <c r="H5" s="647"/>
      <c r="I5" s="647"/>
      <c r="J5" s="647"/>
      <c r="K5" s="647"/>
      <c r="L5" s="647"/>
      <c r="M5" s="647"/>
      <c r="N5" s="647"/>
      <c r="O5" s="647"/>
      <c r="P5" s="647"/>
      <c r="Q5" s="647"/>
      <c r="R5" s="647"/>
      <c r="S5" s="647"/>
    </row>
    <row r="6" spans="1:25" ht="14.25" customHeight="1" outlineLevel="1" x14ac:dyDescent="0.2">
      <c r="D6" s="392"/>
      <c r="E6" s="70"/>
      <c r="F6" s="173" t="s">
        <v>487</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ht="14.25" outlineLevel="1" x14ac:dyDescent="0.2">
      <c r="A8" s="129"/>
      <c r="D8" s="83"/>
      <c r="F8" s="169" t="s">
        <v>257</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334</v>
      </c>
      <c r="E10" s="63"/>
      <c r="F10" s="627" t="s">
        <v>361</v>
      </c>
      <c r="G10" s="627"/>
      <c r="H10" s="212"/>
      <c r="I10" s="169"/>
      <c r="J10" s="169"/>
      <c r="K10" s="169"/>
      <c r="L10" s="169"/>
      <c r="M10" s="169"/>
      <c r="N10" s="169"/>
      <c r="O10" s="169"/>
      <c r="P10" s="170"/>
      <c r="Q10" s="169"/>
      <c r="R10" s="169"/>
      <c r="U10" s="63"/>
    </row>
    <row r="11" spans="1:25" ht="16.5" customHeight="1" outlineLevel="1" x14ac:dyDescent="0.3">
      <c r="A11" s="129"/>
      <c r="D11" s="63"/>
      <c r="E11" s="63"/>
      <c r="F11" s="644" t="s">
        <v>335</v>
      </c>
      <c r="G11" s="644"/>
      <c r="H11" s="644"/>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482</v>
      </c>
    </row>
    <row r="15" spans="1:25" ht="11.25" customHeight="1" x14ac:dyDescent="0.2">
      <c r="A15" s="129"/>
    </row>
    <row r="16" spans="1:25" ht="15" customHeight="1" x14ac:dyDescent="0.2">
      <c r="A16" s="129"/>
      <c r="C16" s="241" t="s">
        <v>21</v>
      </c>
      <c r="D16" s="635" t="s">
        <v>358</v>
      </c>
      <c r="E16" s="637"/>
      <c r="F16" s="637"/>
      <c r="G16" s="637"/>
      <c r="H16" s="637"/>
      <c r="I16" s="637"/>
      <c r="J16" s="637"/>
      <c r="K16" s="637"/>
      <c r="L16" s="637"/>
      <c r="M16" s="637"/>
      <c r="O16" s="314" t="s">
        <v>21</v>
      </c>
      <c r="P16" s="645" t="s">
        <v>357</v>
      </c>
      <c r="Q16" s="646"/>
      <c r="R16" s="646"/>
      <c r="S16" s="646"/>
      <c r="T16" s="646"/>
      <c r="U16" s="646"/>
      <c r="V16" s="646"/>
      <c r="W16" s="646"/>
      <c r="X16" s="646"/>
      <c r="Y16" s="646"/>
    </row>
    <row r="17" spans="1:25" ht="15" customHeight="1" x14ac:dyDescent="0.2">
      <c r="A17" s="43"/>
      <c r="C17" s="241"/>
      <c r="D17" s="174">
        <v>2011</v>
      </c>
      <c r="E17" s="174">
        <v>2012</v>
      </c>
      <c r="F17" s="174">
        <v>2013</v>
      </c>
      <c r="G17" s="174">
        <v>2014</v>
      </c>
      <c r="H17" s="519">
        <v>2015</v>
      </c>
      <c r="I17" s="519">
        <v>2016</v>
      </c>
      <c r="J17" s="519">
        <v>2017</v>
      </c>
      <c r="K17" s="519">
        <v>2018</v>
      </c>
      <c r="L17" s="519">
        <v>2019</v>
      </c>
      <c r="M17" s="519">
        <v>2020</v>
      </c>
      <c r="O17" s="313"/>
      <c r="P17" s="174">
        <v>2011</v>
      </c>
      <c r="Q17" s="174">
        <v>2012</v>
      </c>
      <c r="R17" s="174">
        <v>2013</v>
      </c>
      <c r="S17" s="174">
        <v>2014</v>
      </c>
      <c r="T17" s="519">
        <v>2015</v>
      </c>
      <c r="U17" s="519">
        <v>2016</v>
      </c>
      <c r="V17" s="519">
        <v>2017</v>
      </c>
      <c r="W17" s="519">
        <v>2018</v>
      </c>
      <c r="X17" s="519">
        <v>2019</v>
      </c>
      <c r="Y17" s="519">
        <v>2020</v>
      </c>
    </row>
    <row r="18" spans="1:25" ht="15" customHeight="1" x14ac:dyDescent="0.2">
      <c r="A18" s="43"/>
      <c r="C18" s="154" t="s">
        <v>22</v>
      </c>
      <c r="D18" s="213">
        <v>0.97499999999999998</v>
      </c>
      <c r="E18" s="213">
        <v>0.97399999999999998</v>
      </c>
      <c r="F18" s="213">
        <v>0.97399999999999998</v>
      </c>
      <c r="G18" s="213">
        <v>0.94299999999999995</v>
      </c>
      <c r="H18" s="213"/>
      <c r="I18" s="213"/>
      <c r="J18" s="213"/>
      <c r="K18" s="213"/>
      <c r="L18" s="213"/>
      <c r="M18" s="213"/>
      <c r="O18" s="154" t="s">
        <v>22</v>
      </c>
      <c r="P18" s="213">
        <v>0.22900000000000001</v>
      </c>
      <c r="Q18" s="213">
        <v>0.214</v>
      </c>
      <c r="R18" s="213">
        <v>0.214</v>
      </c>
      <c r="S18" s="213">
        <v>0.20300000000000001</v>
      </c>
      <c r="T18" s="213"/>
      <c r="U18" s="213"/>
      <c r="V18" s="213"/>
      <c r="W18" s="213"/>
      <c r="X18" s="213"/>
      <c r="Y18" s="213"/>
    </row>
    <row r="19" spans="1:25" ht="14.25" x14ac:dyDescent="0.2">
      <c r="A19" s="43"/>
      <c r="C19" s="155" t="s">
        <v>31</v>
      </c>
      <c r="D19" s="156">
        <v>0.26900000000000002</v>
      </c>
      <c r="E19" s="213">
        <v>1.0569999999999999</v>
      </c>
      <c r="F19" s="213">
        <v>1.002</v>
      </c>
      <c r="G19" s="213">
        <v>0.97</v>
      </c>
      <c r="H19" s="213"/>
      <c r="I19" s="213"/>
      <c r="J19" s="213"/>
      <c r="K19" s="213"/>
      <c r="L19" s="213"/>
      <c r="M19" s="213"/>
      <c r="O19" s="155" t="s">
        <v>31</v>
      </c>
      <c r="P19" s="156">
        <v>3.3000000000000002E-2</v>
      </c>
      <c r="Q19" s="213">
        <v>0.28000000000000003</v>
      </c>
      <c r="R19" s="213">
        <v>0.246</v>
      </c>
      <c r="S19" s="213">
        <v>0.23599999999999999</v>
      </c>
      <c r="T19" s="213"/>
      <c r="U19" s="213"/>
      <c r="V19" s="213"/>
      <c r="W19" s="213"/>
      <c r="X19" s="213"/>
      <c r="Y19" s="213"/>
    </row>
    <row r="20" spans="1:25" ht="15" customHeight="1" x14ac:dyDescent="0.2">
      <c r="A20" s="43"/>
      <c r="C20" s="154" t="s">
        <v>201</v>
      </c>
      <c r="D20" s="156">
        <v>0</v>
      </c>
      <c r="E20" s="156">
        <v>0.01</v>
      </c>
      <c r="F20" s="213">
        <v>0.68899999999999995</v>
      </c>
      <c r="G20" s="213">
        <v>0.67700000000000005</v>
      </c>
      <c r="H20" s="213"/>
      <c r="I20" s="213"/>
      <c r="J20" s="213"/>
      <c r="K20" s="213"/>
      <c r="L20" s="213"/>
      <c r="M20" s="213"/>
      <c r="O20" s="154" t="s">
        <v>201</v>
      </c>
      <c r="P20" s="156">
        <v>0</v>
      </c>
      <c r="Q20" s="156">
        <v>3.0000000000000001E-3</v>
      </c>
      <c r="R20" s="213">
        <v>0.69199999999999995</v>
      </c>
      <c r="S20" s="213">
        <v>0.186</v>
      </c>
      <c r="T20" s="213"/>
      <c r="U20" s="213"/>
      <c r="V20" s="213"/>
      <c r="W20" s="213"/>
      <c r="X20" s="213"/>
      <c r="Y20" s="213"/>
    </row>
    <row r="21" spans="1:25" ht="15" customHeight="1" x14ac:dyDescent="0.2">
      <c r="A21" s="43"/>
      <c r="C21" s="154" t="s">
        <v>202</v>
      </c>
      <c r="D21" s="156">
        <v>0</v>
      </c>
      <c r="E21" s="156">
        <v>2.7E-2</v>
      </c>
      <c r="F21" s="156">
        <v>0.16900000000000001</v>
      </c>
      <c r="G21" s="213">
        <v>1.982</v>
      </c>
      <c r="H21" s="213"/>
      <c r="I21" s="213"/>
      <c r="J21" s="213"/>
      <c r="K21" s="213"/>
      <c r="L21" s="213"/>
      <c r="M21" s="213"/>
      <c r="O21" s="154" t="s">
        <v>202</v>
      </c>
      <c r="P21" s="156">
        <v>0</v>
      </c>
      <c r="Q21" s="156">
        <v>2E-3</v>
      </c>
      <c r="R21" s="156">
        <v>3.2000000000000001E-2</v>
      </c>
      <c r="S21" s="213">
        <v>1.03</v>
      </c>
      <c r="T21" s="213"/>
      <c r="U21" s="213"/>
      <c r="V21" s="213"/>
      <c r="W21" s="213"/>
      <c r="X21" s="213"/>
      <c r="Y21" s="213"/>
    </row>
    <row r="22" spans="1:25" ht="15" customHeight="1" x14ac:dyDescent="0.2">
      <c r="A22" s="43"/>
      <c r="C22" s="1"/>
      <c r="D22" s="1"/>
      <c r="E22" s="1"/>
      <c r="F22" s="1"/>
      <c r="G22" s="1"/>
      <c r="P22" s="69"/>
      <c r="Q22" s="69"/>
      <c r="R22" s="69"/>
      <c r="S22" s="69"/>
      <c r="W22" s="157"/>
    </row>
    <row r="23" spans="1:25" ht="15" customHeight="1" x14ac:dyDescent="0.2">
      <c r="A23" s="43"/>
      <c r="C23" s="241" t="s">
        <v>21</v>
      </c>
      <c r="D23" s="645" t="s">
        <v>43</v>
      </c>
      <c r="E23" s="646"/>
      <c r="F23" s="646"/>
      <c r="G23" s="646"/>
      <c r="H23" s="646"/>
      <c r="I23" s="646"/>
      <c r="J23" s="646"/>
      <c r="K23" s="646"/>
      <c r="L23" s="646"/>
      <c r="M23" s="646"/>
      <c r="O23" s="316" t="s">
        <v>21</v>
      </c>
      <c r="P23" s="635" t="s">
        <v>260</v>
      </c>
      <c r="Q23" s="637"/>
      <c r="R23" s="637"/>
      <c r="S23" s="637"/>
      <c r="T23" s="637"/>
      <c r="U23" s="637"/>
      <c r="V23" s="637"/>
      <c r="W23" s="637"/>
      <c r="X23" s="637"/>
      <c r="Y23" s="637"/>
    </row>
    <row r="24" spans="1:25" ht="15" customHeight="1" x14ac:dyDescent="0.25">
      <c r="A24" s="43"/>
      <c r="C24" s="241"/>
      <c r="D24" s="306">
        <v>2011</v>
      </c>
      <c r="E24" s="306">
        <v>2012</v>
      </c>
      <c r="F24" s="306">
        <v>2013</v>
      </c>
      <c r="G24" s="306">
        <v>2014</v>
      </c>
      <c r="H24" s="519">
        <v>2015</v>
      </c>
      <c r="I24" s="519">
        <v>2016</v>
      </c>
      <c r="J24" s="519">
        <v>2017</v>
      </c>
      <c r="K24" s="519">
        <v>2018</v>
      </c>
      <c r="L24" s="519">
        <v>2019</v>
      </c>
      <c r="M24" s="519">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0.99897435897435893</v>
      </c>
      <c r="F25" s="31">
        <f t="shared" si="0"/>
        <v>0.99897435897435893</v>
      </c>
      <c r="G25" s="31">
        <f t="shared" si="0"/>
        <v>0.9671794871794871</v>
      </c>
      <c r="H25" s="31">
        <f t="shared" si="0"/>
        <v>0</v>
      </c>
      <c r="I25" s="31">
        <f t="shared" si="0"/>
        <v>0</v>
      </c>
      <c r="J25" s="31">
        <f t="shared" si="0"/>
        <v>0</v>
      </c>
      <c r="K25" s="31">
        <f t="shared" ref="K25:M25" si="1">K18/$D$18</f>
        <v>0</v>
      </c>
      <c r="L25" s="31">
        <f t="shared" si="1"/>
        <v>0</v>
      </c>
      <c r="M25" s="31">
        <f t="shared" si="1"/>
        <v>0</v>
      </c>
      <c r="O25" s="524">
        <v>2011</v>
      </c>
      <c r="P25" s="525"/>
      <c r="Q25" s="527">
        <f>Q18/$P$18</f>
        <v>0.93449781659388642</v>
      </c>
      <c r="R25" s="527">
        <f>R18/$P$18</f>
        <v>0.93449781659388642</v>
      </c>
      <c r="S25" s="527">
        <f>S18/$P$18</f>
        <v>0.88646288209606994</v>
      </c>
      <c r="T25" s="527">
        <f t="shared" ref="T25:X25" si="2">T18/$P$18</f>
        <v>0</v>
      </c>
      <c r="U25" s="527">
        <f>U18/$P$18</f>
        <v>0</v>
      </c>
      <c r="V25" s="527">
        <f t="shared" si="2"/>
        <v>0</v>
      </c>
      <c r="W25" s="527">
        <f>W18/$P$18</f>
        <v>0</v>
      </c>
      <c r="X25" s="527">
        <f t="shared" si="2"/>
        <v>0</v>
      </c>
      <c r="Y25" s="527">
        <f>Y18/$P$18</f>
        <v>0</v>
      </c>
    </row>
    <row r="26" spans="1:25" ht="16.5" customHeight="1" x14ac:dyDescent="0.2">
      <c r="A26" s="43"/>
      <c r="C26" s="30">
        <v>2012</v>
      </c>
      <c r="D26" s="22"/>
      <c r="E26" s="22"/>
      <c r="F26" s="31">
        <f>F19/$E$19</f>
        <v>0.94796594134342482</v>
      </c>
      <c r="G26" s="31">
        <f>G19/$E$19</f>
        <v>0.91769157994323558</v>
      </c>
      <c r="H26" s="31">
        <f>H19/$E$19</f>
        <v>0</v>
      </c>
      <c r="I26" s="31">
        <f t="shared" ref="I26:J26" si="3">I19/$E$19</f>
        <v>0</v>
      </c>
      <c r="J26" s="31">
        <f t="shared" si="3"/>
        <v>0</v>
      </c>
      <c r="K26" s="31">
        <f>K19/$E$19</f>
        <v>0</v>
      </c>
      <c r="L26" s="31">
        <f>L19/$E$19</f>
        <v>0</v>
      </c>
      <c r="M26" s="31">
        <f>M19/$E$19</f>
        <v>0</v>
      </c>
      <c r="O26" s="524">
        <v>2012</v>
      </c>
      <c r="P26" s="525"/>
      <c r="Q26" s="528"/>
      <c r="R26" s="527">
        <f>R19/$Q$19</f>
        <v>0.87857142857142845</v>
      </c>
      <c r="S26" s="527">
        <f>S19/$Q$19</f>
        <v>0.84285714285714275</v>
      </c>
      <c r="T26" s="527">
        <f t="shared" ref="T26:X26" si="4">T19/$Q$19</f>
        <v>0</v>
      </c>
      <c r="U26" s="527">
        <f>U19/$Q$19</f>
        <v>0</v>
      </c>
      <c r="V26" s="527">
        <f t="shared" si="4"/>
        <v>0</v>
      </c>
      <c r="W26" s="527">
        <f>W19/$Q$19</f>
        <v>0</v>
      </c>
      <c r="X26" s="527">
        <f t="shared" si="4"/>
        <v>0</v>
      </c>
      <c r="Y26" s="527">
        <f>Y19/$Q$19</f>
        <v>0</v>
      </c>
    </row>
    <row r="27" spans="1:25" ht="16.5" customHeight="1" x14ac:dyDescent="0.2">
      <c r="A27" s="43"/>
      <c r="C27" s="524">
        <v>2013</v>
      </c>
      <c r="D27" s="525"/>
      <c r="E27" s="525"/>
      <c r="F27" s="526"/>
      <c r="G27" s="527">
        <f>G20/$F$20</f>
        <v>0.98258345428156768</v>
      </c>
      <c r="H27" s="527">
        <f>H20/$F$20</f>
        <v>0</v>
      </c>
      <c r="I27" s="527">
        <f t="shared" ref="I27:M27" si="5">I20/$F$20</f>
        <v>0</v>
      </c>
      <c r="J27" s="527">
        <f t="shared" si="5"/>
        <v>0</v>
      </c>
      <c r="K27" s="527">
        <f t="shared" si="5"/>
        <v>0</v>
      </c>
      <c r="L27" s="527">
        <f t="shared" si="5"/>
        <v>0</v>
      </c>
      <c r="M27" s="527">
        <f t="shared" si="5"/>
        <v>0</v>
      </c>
      <c r="O27" s="524">
        <v>2013</v>
      </c>
      <c r="P27" s="525"/>
      <c r="Q27" s="525"/>
      <c r="R27" s="526"/>
      <c r="S27" s="527">
        <f>S20/$R$20</f>
        <v>0.26878612716763006</v>
      </c>
      <c r="T27" s="527">
        <f t="shared" ref="T27:Y27" si="6">T20/$R$20</f>
        <v>0</v>
      </c>
      <c r="U27" s="527">
        <f t="shared" si="6"/>
        <v>0</v>
      </c>
      <c r="V27" s="527">
        <f t="shared" si="6"/>
        <v>0</v>
      </c>
      <c r="W27" s="527">
        <f t="shared" si="6"/>
        <v>0</v>
      </c>
      <c r="X27" s="527">
        <f t="shared" si="6"/>
        <v>0</v>
      </c>
      <c r="Y27" s="527">
        <f t="shared" si="6"/>
        <v>0</v>
      </c>
    </row>
    <row r="28" spans="1:25" ht="16.5" customHeight="1" x14ac:dyDescent="0.2">
      <c r="A28" s="43"/>
      <c r="C28" s="524">
        <v>2014</v>
      </c>
      <c r="D28" s="525"/>
      <c r="E28" s="525"/>
      <c r="F28" s="526"/>
      <c r="G28" s="527"/>
      <c r="H28" s="31">
        <f t="shared" ref="H28:M28" si="7">H21/$G$21</f>
        <v>0</v>
      </c>
      <c r="I28" s="31">
        <f t="shared" si="7"/>
        <v>0</v>
      </c>
      <c r="J28" s="31">
        <f t="shared" si="7"/>
        <v>0</v>
      </c>
      <c r="K28" s="31">
        <f t="shared" si="7"/>
        <v>0</v>
      </c>
      <c r="L28" s="31">
        <f t="shared" si="7"/>
        <v>0</v>
      </c>
      <c r="M28" s="31">
        <f t="shared" si="7"/>
        <v>0</v>
      </c>
      <c r="O28" s="524">
        <v>2014</v>
      </c>
      <c r="P28" s="525"/>
      <c r="Q28" s="525"/>
      <c r="R28" s="526"/>
      <c r="S28" s="527"/>
      <c r="T28" s="530">
        <f>T21/$S$21</f>
        <v>0</v>
      </c>
      <c r="U28" s="530">
        <f t="shared" ref="U28:X28" si="8">U21/$S$21</f>
        <v>0</v>
      </c>
      <c r="V28" s="530">
        <f t="shared" si="8"/>
        <v>0</v>
      </c>
      <c r="W28" s="530">
        <f t="shared" si="8"/>
        <v>0</v>
      </c>
      <c r="X28" s="530">
        <f t="shared" si="8"/>
        <v>0</v>
      </c>
      <c r="Y28" s="530">
        <f>Y21/$S$21</f>
        <v>0</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7.399999999999999" x14ac:dyDescent="0.25">
      <c r="C33" s="650" t="s">
        <v>21</v>
      </c>
      <c r="D33" s="634" t="s">
        <v>358</v>
      </c>
      <c r="E33" s="636"/>
      <c r="F33" s="636"/>
      <c r="G33" s="636"/>
      <c r="H33" s="636"/>
      <c r="I33" s="649"/>
      <c r="J33" s="153"/>
      <c r="K33" s="153"/>
      <c r="L33" s="153"/>
      <c r="M33" s="153"/>
      <c r="N33" s="158"/>
      <c r="O33" s="652" t="s">
        <v>21</v>
      </c>
      <c r="P33" s="653" t="s">
        <v>357</v>
      </c>
      <c r="Q33" s="654"/>
      <c r="R33" s="654"/>
      <c r="S33" s="654"/>
      <c r="T33" s="654"/>
      <c r="U33" s="654"/>
      <c r="V33" s="655"/>
      <c r="W33" s="158"/>
    </row>
    <row r="34" spans="1:24" ht="14.25" customHeight="1" x14ac:dyDescent="0.25">
      <c r="C34" s="651"/>
      <c r="D34" s="174">
        <v>2015</v>
      </c>
      <c r="E34" s="174">
        <v>2016</v>
      </c>
      <c r="F34" s="174">
        <v>2017</v>
      </c>
      <c r="G34" s="174">
        <v>2018</v>
      </c>
      <c r="H34" s="176">
        <v>2019</v>
      </c>
      <c r="I34" s="174">
        <v>2020</v>
      </c>
      <c r="J34" s="153"/>
      <c r="K34" s="153"/>
      <c r="L34" s="153"/>
      <c r="M34" s="153"/>
      <c r="N34" s="159"/>
      <c r="O34" s="652"/>
      <c r="P34" s="175"/>
      <c r="Q34" s="175">
        <v>2015</v>
      </c>
      <c r="R34" s="175">
        <v>2016</v>
      </c>
      <c r="S34" s="175">
        <v>2017</v>
      </c>
      <c r="T34" s="175">
        <v>2018</v>
      </c>
      <c r="U34" s="175">
        <v>2019</v>
      </c>
      <c r="V34" s="175">
        <v>2020</v>
      </c>
      <c r="W34" s="160"/>
    </row>
    <row r="35" spans="1:24" ht="21.75" customHeight="1" x14ac:dyDescent="0.2">
      <c r="C35" s="161" t="s">
        <v>213</v>
      </c>
      <c r="D35" s="214">
        <v>1</v>
      </c>
      <c r="E35" s="215">
        <v>0.9774331001344797</v>
      </c>
      <c r="F35" s="215">
        <v>0.97072596945672296</v>
      </c>
      <c r="G35" s="215">
        <v>0.9701930486672331</v>
      </c>
      <c r="H35" s="215">
        <v>0.92544746168142611</v>
      </c>
      <c r="I35" s="215">
        <v>0.91882517989708878</v>
      </c>
      <c r="J35" s="153"/>
      <c r="K35" s="153"/>
      <c r="L35" s="153"/>
      <c r="M35" s="153"/>
      <c r="N35" s="162"/>
      <c r="O35" s="161" t="s">
        <v>213</v>
      </c>
      <c r="P35" s="163"/>
      <c r="Q35" s="216">
        <v>1</v>
      </c>
      <c r="R35" s="216">
        <v>0.9570815450643777</v>
      </c>
      <c r="S35" s="216">
        <v>0.9570815450643777</v>
      </c>
      <c r="T35" s="216">
        <v>0.88841201716738194</v>
      </c>
      <c r="U35" s="216">
        <v>0.87982832618025753</v>
      </c>
      <c r="V35" s="216">
        <v>0.85836909871244638</v>
      </c>
      <c r="W35" s="164"/>
    </row>
    <row r="36" spans="1:24" ht="21.75" customHeight="1" x14ac:dyDescent="0.2">
      <c r="C36" s="161" t="s">
        <v>214</v>
      </c>
      <c r="D36" s="165"/>
      <c r="E36" s="215"/>
      <c r="F36" s="215"/>
      <c r="G36" s="215"/>
      <c r="H36" s="215"/>
      <c r="I36" s="215"/>
      <c r="J36" s="153"/>
      <c r="K36" s="153"/>
      <c r="L36" s="153"/>
      <c r="M36" s="153"/>
      <c r="N36" s="162"/>
      <c r="O36" s="161" t="s">
        <v>214</v>
      </c>
      <c r="P36" s="163"/>
      <c r="Q36" s="166"/>
      <c r="R36" s="216"/>
      <c r="S36" s="216"/>
      <c r="T36" s="216"/>
      <c r="U36" s="216"/>
      <c r="V36" s="216"/>
      <c r="W36" s="164"/>
    </row>
    <row r="37" spans="1:24" ht="21.75" customHeight="1" x14ac:dyDescent="0.25">
      <c r="C37" s="161" t="s">
        <v>215</v>
      </c>
      <c r="D37" s="165"/>
      <c r="E37" s="165"/>
      <c r="F37" s="215"/>
      <c r="G37" s="215"/>
      <c r="H37" s="215"/>
      <c r="I37" s="215"/>
      <c r="J37" s="153"/>
      <c r="K37" s="153"/>
      <c r="L37" s="153"/>
      <c r="M37" s="153"/>
      <c r="N37" s="162"/>
      <c r="O37" s="161" t="s">
        <v>215</v>
      </c>
      <c r="P37" s="163"/>
      <c r="Q37" s="166"/>
      <c r="R37" s="166"/>
      <c r="S37" s="216"/>
      <c r="T37" s="216"/>
      <c r="U37" s="216"/>
      <c r="V37" s="216"/>
      <c r="W37" s="164"/>
    </row>
    <row r="38" spans="1:24" ht="24" customHeight="1" x14ac:dyDescent="0.25">
      <c r="C38" s="161" t="s">
        <v>216</v>
      </c>
      <c r="D38" s="165"/>
      <c r="E38" s="165"/>
      <c r="F38" s="165"/>
      <c r="G38" s="215"/>
      <c r="H38" s="215"/>
      <c r="I38" s="215"/>
      <c r="J38" s="153"/>
      <c r="K38" s="153"/>
      <c r="L38" s="153"/>
      <c r="M38" s="153"/>
      <c r="N38" s="162"/>
      <c r="O38" s="161" t="s">
        <v>216</v>
      </c>
      <c r="P38" s="163"/>
      <c r="Q38" s="166"/>
      <c r="R38" s="166"/>
      <c r="S38" s="166"/>
      <c r="T38" s="216"/>
      <c r="U38" s="216"/>
      <c r="V38" s="216"/>
      <c r="W38" s="164"/>
    </row>
    <row r="39" spans="1:24" ht="24" customHeight="1" x14ac:dyDescent="0.25">
      <c r="C39" s="161" t="s">
        <v>217</v>
      </c>
      <c r="D39" s="165"/>
      <c r="E39" s="165"/>
      <c r="F39" s="165"/>
      <c r="G39" s="165"/>
      <c r="H39" s="215"/>
      <c r="I39" s="215"/>
      <c r="J39" s="153"/>
      <c r="K39" s="153"/>
      <c r="L39" s="153"/>
      <c r="M39" s="153"/>
      <c r="N39" s="162"/>
      <c r="O39" s="161" t="s">
        <v>217</v>
      </c>
      <c r="P39" s="163"/>
      <c r="Q39" s="166"/>
      <c r="R39" s="166"/>
      <c r="S39" s="166"/>
      <c r="T39" s="166"/>
      <c r="U39" s="216"/>
      <c r="V39" s="216"/>
      <c r="W39" s="164"/>
    </row>
    <row r="40" spans="1:24" ht="24" customHeight="1" x14ac:dyDescent="0.25">
      <c r="C40" s="161" t="s">
        <v>218</v>
      </c>
      <c r="D40" s="165"/>
      <c r="E40" s="165"/>
      <c r="F40" s="165"/>
      <c r="G40" s="165"/>
      <c r="H40" s="165"/>
      <c r="I40" s="215"/>
      <c r="J40" s="153"/>
      <c r="K40" s="153"/>
      <c r="L40" s="153"/>
      <c r="M40" s="153"/>
      <c r="N40" s="162"/>
      <c r="O40" s="161" t="s">
        <v>218</v>
      </c>
      <c r="P40" s="163"/>
      <c r="Q40" s="166"/>
      <c r="R40" s="166"/>
      <c r="S40" s="166"/>
      <c r="T40" s="166"/>
      <c r="U40" s="166"/>
      <c r="V40" s="216"/>
      <c r="W40" s="164"/>
    </row>
    <row r="41" spans="1:24" ht="9.75" customHeight="1" x14ac:dyDescent="0.25">
      <c r="D41" s="83"/>
      <c r="E41" s="83"/>
      <c r="F41" s="83"/>
      <c r="G41" s="83"/>
      <c r="H41" s="83"/>
      <c r="I41" s="83"/>
      <c r="J41" s="153"/>
      <c r="K41" s="153"/>
      <c r="L41" s="153"/>
      <c r="M41" s="153"/>
      <c r="N41" s="83"/>
    </row>
    <row r="42" spans="1:24" ht="14.25" customHeight="1" x14ac:dyDescent="0.25">
      <c r="C42" s="650" t="s">
        <v>21</v>
      </c>
      <c r="D42" s="656" t="s">
        <v>43</v>
      </c>
      <c r="E42" s="657"/>
      <c r="F42" s="657"/>
      <c r="G42" s="657"/>
      <c r="H42" s="657"/>
      <c r="I42" s="658"/>
      <c r="J42" s="153"/>
      <c r="K42" s="153"/>
      <c r="L42" s="153"/>
      <c r="M42" s="153"/>
      <c r="O42" s="652" t="s">
        <v>21</v>
      </c>
      <c r="P42" s="645" t="s">
        <v>260</v>
      </c>
      <c r="Q42" s="646"/>
      <c r="R42" s="646"/>
      <c r="S42" s="646"/>
      <c r="T42" s="646"/>
      <c r="U42" s="646"/>
      <c r="V42" s="646"/>
      <c r="W42" s="160"/>
    </row>
    <row r="43" spans="1:24" ht="14.25" customHeight="1" x14ac:dyDescent="0.25">
      <c r="A43" s="648"/>
      <c r="C43" s="651"/>
      <c r="D43" s="175">
        <v>2015</v>
      </c>
      <c r="E43" s="175">
        <v>2016</v>
      </c>
      <c r="F43" s="175">
        <v>2017</v>
      </c>
      <c r="G43" s="175">
        <v>2018</v>
      </c>
      <c r="H43" s="175">
        <v>2019</v>
      </c>
      <c r="I43" s="175">
        <v>2020</v>
      </c>
      <c r="J43" s="153"/>
      <c r="K43" s="153"/>
      <c r="L43" s="153"/>
      <c r="M43" s="153"/>
      <c r="O43" s="652"/>
      <c r="P43" s="175"/>
      <c r="Q43" s="175">
        <v>2015</v>
      </c>
      <c r="R43" s="175">
        <v>2016</v>
      </c>
      <c r="S43" s="175">
        <v>2017</v>
      </c>
      <c r="T43" s="175">
        <v>2018</v>
      </c>
      <c r="U43" s="175">
        <v>2019</v>
      </c>
      <c r="V43" s="177">
        <v>2020</v>
      </c>
      <c r="W43" s="160"/>
      <c r="X43" s="13"/>
    </row>
    <row r="44" spans="1:24" ht="21" customHeight="1" x14ac:dyDescent="0.25">
      <c r="A44" s="648"/>
      <c r="C44" s="161" t="s">
        <v>213</v>
      </c>
      <c r="D44" s="115"/>
      <c r="E44" s="509">
        <f>E35/$D$35</f>
        <v>0.9774331001344797</v>
      </c>
      <c r="F44" s="509">
        <f>F35/$D$35</f>
        <v>0.97072596945672296</v>
      </c>
      <c r="G44" s="509">
        <f>G35/$D$35</f>
        <v>0.9701930486672331</v>
      </c>
      <c r="H44" s="509">
        <f>H35/$D$35</f>
        <v>0.92544746168142611</v>
      </c>
      <c r="I44" s="509">
        <f>I35/$D$35</f>
        <v>0.91882517989708878</v>
      </c>
      <c r="J44" s="153"/>
      <c r="K44" s="153"/>
      <c r="L44" s="153"/>
      <c r="M44" s="153"/>
      <c r="N44" s="167"/>
      <c r="O44" s="161" t="s">
        <v>213</v>
      </c>
      <c r="P44" s="163"/>
      <c r="Q44" s="115"/>
      <c r="R44" s="509">
        <f>R35/$Q$35</f>
        <v>0.9570815450643777</v>
      </c>
      <c r="S44" s="509">
        <f>S35/$Q$35</f>
        <v>0.9570815450643777</v>
      </c>
      <c r="T44" s="509">
        <f>T35/$Q$35</f>
        <v>0.88841201716738194</v>
      </c>
      <c r="U44" s="509">
        <f>U35/$Q$35</f>
        <v>0.87982832618025753</v>
      </c>
      <c r="V44" s="509">
        <f>V35/$Q$35</f>
        <v>0.85836909871244638</v>
      </c>
      <c r="W44" s="168"/>
      <c r="X44" s="13"/>
    </row>
    <row r="45" spans="1:24" ht="21" customHeight="1" x14ac:dyDescent="0.25">
      <c r="A45" s="648"/>
      <c r="C45" s="161" t="s">
        <v>214</v>
      </c>
      <c r="D45" s="115"/>
      <c r="E45" s="509"/>
      <c r="F45" s="509" t="e">
        <f>F36/$E$36</f>
        <v>#DIV/0!</v>
      </c>
      <c r="G45" s="509" t="e">
        <f>G36/$E$36</f>
        <v>#DIV/0!</v>
      </c>
      <c r="H45" s="509" t="e">
        <f>H36/$E$36</f>
        <v>#DIV/0!</v>
      </c>
      <c r="I45" s="509" t="e">
        <f>I36/$E$36</f>
        <v>#DIV/0!</v>
      </c>
      <c r="J45" s="153"/>
      <c r="K45" s="153"/>
      <c r="L45" s="153"/>
      <c r="M45" s="153"/>
      <c r="O45" s="161" t="s">
        <v>214</v>
      </c>
      <c r="P45" s="163"/>
      <c r="Q45" s="115"/>
      <c r="R45" s="509"/>
      <c r="S45" s="509" t="e">
        <f>S36/$R$36</f>
        <v>#DIV/0!</v>
      </c>
      <c r="T45" s="509" t="e">
        <f>T36/$R$36</f>
        <v>#DIV/0!</v>
      </c>
      <c r="U45" s="509" t="e">
        <f>U36/$R$36</f>
        <v>#DIV/0!</v>
      </c>
      <c r="V45" s="509" t="e">
        <f>V36/$R$36</f>
        <v>#DIV/0!</v>
      </c>
      <c r="W45" s="160"/>
      <c r="X45" s="13"/>
    </row>
    <row r="46" spans="1:24" ht="21" customHeight="1" x14ac:dyDescent="0.25">
      <c r="A46" s="648"/>
      <c r="C46" s="161" t="s">
        <v>215</v>
      </c>
      <c r="D46" s="115"/>
      <c r="E46" s="509"/>
      <c r="F46" s="509"/>
      <c r="G46" s="509" t="e">
        <f>G37/$F$37</f>
        <v>#DIV/0!</v>
      </c>
      <c r="H46" s="509" t="e">
        <f>H37/$F$37</f>
        <v>#DIV/0!</v>
      </c>
      <c r="I46" s="509" t="e">
        <f>I37/$F$37</f>
        <v>#DIV/0!</v>
      </c>
      <c r="J46" s="523"/>
      <c r="K46" s="523"/>
      <c r="L46" s="523"/>
      <c r="M46" s="523"/>
      <c r="O46" s="161" t="s">
        <v>215</v>
      </c>
      <c r="P46" s="163"/>
      <c r="Q46" s="115"/>
      <c r="R46" s="509"/>
      <c r="S46" s="509"/>
      <c r="T46" s="509" t="e">
        <f>T37/$S$37</f>
        <v>#DIV/0!</v>
      </c>
      <c r="U46" s="509" t="e">
        <f>U37/$S$37</f>
        <v>#DIV/0!</v>
      </c>
      <c r="V46" s="509" t="e">
        <f>V37/$S$37</f>
        <v>#DIV/0!</v>
      </c>
      <c r="W46" s="168"/>
      <c r="X46" s="13"/>
    </row>
    <row r="47" spans="1:24" ht="21" customHeight="1" x14ac:dyDescent="0.25">
      <c r="C47" s="161" t="s">
        <v>216</v>
      </c>
      <c r="D47" s="115"/>
      <c r="E47" s="509"/>
      <c r="F47" s="509"/>
      <c r="G47" s="509"/>
      <c r="H47" s="509" t="e">
        <f>H38/$G$38</f>
        <v>#DIV/0!</v>
      </c>
      <c r="I47" s="509" t="e">
        <f>I38/$G$38</f>
        <v>#DIV/0!</v>
      </c>
      <c r="J47" s="523"/>
      <c r="K47" s="523"/>
      <c r="L47" s="523"/>
      <c r="M47" s="523"/>
      <c r="O47" s="161" t="s">
        <v>216</v>
      </c>
      <c r="P47" s="163"/>
      <c r="Q47" s="115"/>
      <c r="R47" s="509"/>
      <c r="S47" s="509"/>
      <c r="T47" s="509"/>
      <c r="U47" s="509" t="e">
        <f>U38/$T$38</f>
        <v>#DIV/0!</v>
      </c>
      <c r="V47" s="509" t="e">
        <f>V38/$T$38</f>
        <v>#DIV/0!</v>
      </c>
      <c r="W47" s="160"/>
    </row>
    <row r="48" spans="1:24" ht="21" customHeight="1" x14ac:dyDescent="0.25">
      <c r="C48" s="161" t="s">
        <v>217</v>
      </c>
      <c r="D48" s="115"/>
      <c r="E48" s="509"/>
      <c r="F48" s="509"/>
      <c r="G48" s="509"/>
      <c r="H48" s="509"/>
      <c r="I48" s="509" t="e">
        <f>I39/H39</f>
        <v>#DIV/0!</v>
      </c>
      <c r="J48" s="523"/>
      <c r="K48" s="523"/>
      <c r="L48" s="523"/>
      <c r="M48" s="523"/>
      <c r="O48" s="161" t="s">
        <v>217</v>
      </c>
      <c r="P48" s="163"/>
      <c r="Q48" s="115"/>
      <c r="R48" s="509"/>
      <c r="S48" s="509"/>
      <c r="T48" s="509"/>
      <c r="U48" s="509"/>
      <c r="V48" s="509" t="e">
        <f>V39/U39</f>
        <v>#DIV/0!</v>
      </c>
      <c r="W48" s="160"/>
    </row>
    <row r="51" spans="3:4" x14ac:dyDescent="0.25">
      <c r="C51" s="66"/>
      <c r="D51" s="66"/>
    </row>
    <row r="52" spans="3:4" x14ac:dyDescent="0.25">
      <c r="C52" s="66"/>
      <c r="D52" s="66"/>
    </row>
    <row r="53" spans="3:4" x14ac:dyDescent="0.25">
      <c r="C53" s="66"/>
      <c r="D53" s="66"/>
    </row>
    <row r="54" spans="3:4" x14ac:dyDescent="0.25">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76" activePane="bottomLeft" state="frozen"/>
      <selection pane="bottomLeft" activeCell="Q75" sqref="Q75"/>
    </sheetView>
  </sheetViews>
  <sheetFormatPr defaultColWidth="9.109375" defaultRowHeight="14.4" outlineLevelRow="1" x14ac:dyDescent="0.3"/>
  <cols>
    <col min="1" max="1" width="4.554687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5546875" style="47" customWidth="1"/>
    <col min="9" max="9" width="12" style="26" customWidth="1"/>
    <col min="10" max="10" width="11.5546875" style="26" customWidth="1"/>
    <col min="11" max="11" width="12.5546875" style="26" customWidth="1"/>
    <col min="12" max="12" width="11.5546875" style="26" customWidth="1"/>
    <col min="13" max="14" width="9.109375" style="26"/>
    <col min="15" max="15" width="12" style="26" customWidth="1"/>
    <col min="16" max="16" width="9.109375" style="26"/>
    <col min="17" max="17" width="9.77734375" style="26" bestFit="1" customWidth="1"/>
    <col min="18" max="18" width="4.109375" style="26" customWidth="1"/>
    <col min="19" max="16384" width="9.109375" style="26"/>
  </cols>
  <sheetData>
    <row r="1" spans="1:21" ht="153" customHeight="1" x14ac:dyDescent="0.25">
      <c r="E1" s="2"/>
      <c r="G1" s="2"/>
      <c r="I1" s="2"/>
      <c r="J1" s="2"/>
      <c r="K1" s="2"/>
      <c r="L1" s="2"/>
      <c r="M1" s="2"/>
      <c r="N1" s="2"/>
      <c r="O1" s="2"/>
      <c r="P1" s="2"/>
      <c r="Q1" s="2"/>
      <c r="R1" s="2"/>
      <c r="S1" s="2"/>
      <c r="T1" s="2"/>
      <c r="U1" s="2"/>
    </row>
    <row r="3" spans="1:21" ht="20.25" x14ac:dyDescent="0.25">
      <c r="A3" s="2"/>
      <c r="B3" s="659" t="s">
        <v>205</v>
      </c>
      <c r="C3" s="659"/>
      <c r="D3" s="659"/>
      <c r="E3" s="659"/>
      <c r="F3" s="659"/>
      <c r="G3" s="659"/>
      <c r="H3" s="659"/>
      <c r="I3" s="659"/>
      <c r="J3" s="659"/>
      <c r="K3" s="659"/>
      <c r="L3" s="659"/>
      <c r="M3" s="659"/>
      <c r="N3" s="659"/>
      <c r="O3" s="659"/>
      <c r="P3" s="659"/>
      <c r="Q3" s="659"/>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outlineLevel="1" x14ac:dyDescent="0.3">
      <c r="A5" s="65"/>
      <c r="B5" s="202"/>
      <c r="C5" s="373" t="s">
        <v>397</v>
      </c>
      <c r="D5" s="376" t="s">
        <v>493</v>
      </c>
      <c r="E5" s="399"/>
      <c r="F5" s="399"/>
      <c r="G5" s="399"/>
      <c r="H5" s="399"/>
      <c r="I5" s="400"/>
      <c r="J5" s="400"/>
      <c r="K5" s="400"/>
      <c r="L5" s="400"/>
      <c r="M5" s="400"/>
      <c r="N5" s="399"/>
      <c r="O5" s="399"/>
      <c r="P5" s="47"/>
      <c r="Q5" s="47"/>
    </row>
    <row r="6" spans="1:21" s="23" customFormat="1" ht="18.75" customHeight="1" outlineLevel="1" x14ac:dyDescent="0.3">
      <c r="B6" s="202"/>
      <c r="C6" s="395"/>
      <c r="D6" s="376" t="s">
        <v>354</v>
      </c>
      <c r="E6" s="395"/>
      <c r="F6" s="395"/>
      <c r="G6" s="395"/>
      <c r="H6" s="395"/>
      <c r="I6" s="400"/>
      <c r="J6" s="400"/>
      <c r="K6" s="400"/>
      <c r="L6" s="400"/>
      <c r="M6" s="400"/>
      <c r="N6" s="395"/>
      <c r="O6" s="395"/>
      <c r="P6" s="47"/>
      <c r="Q6" s="47"/>
    </row>
    <row r="7" spans="1:21" s="23" customFormat="1" ht="49.5" customHeight="1" outlineLevel="1" x14ac:dyDescent="0.3">
      <c r="B7" s="202"/>
      <c r="C7" s="395"/>
      <c r="D7" s="642" t="s">
        <v>371</v>
      </c>
      <c r="E7" s="642"/>
      <c r="F7" s="642"/>
      <c r="G7" s="642"/>
      <c r="H7" s="642"/>
      <c r="I7" s="642"/>
      <c r="J7" s="642"/>
      <c r="K7" s="642"/>
      <c r="L7" s="642"/>
      <c r="M7" s="642"/>
      <c r="N7" s="642"/>
      <c r="O7" s="642"/>
      <c r="P7" s="642"/>
      <c r="Q7" s="642"/>
    </row>
    <row r="8" spans="1:21" s="23" customFormat="1" ht="12"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334</v>
      </c>
      <c r="D9" s="219" t="s">
        <v>361</v>
      </c>
      <c r="E9" s="219"/>
      <c r="F9" s="219"/>
      <c r="G9" s="218"/>
      <c r="H9" s="395"/>
      <c r="I9" s="190"/>
      <c r="J9" s="190"/>
      <c r="K9" s="190"/>
      <c r="L9" s="190"/>
      <c r="M9" s="190"/>
      <c r="N9" s="218"/>
      <c r="O9" s="218"/>
      <c r="Q9" s="82"/>
    </row>
    <row r="10" spans="1:21" s="23" customFormat="1" ht="18.75" customHeight="1" outlineLevel="1" x14ac:dyDescent="0.3">
      <c r="B10" s="202"/>
      <c r="C10" s="242"/>
      <c r="D10" s="317" t="s">
        <v>335</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60" t="s">
        <v>485</v>
      </c>
      <c r="C13" s="660"/>
      <c r="D13" s="310"/>
      <c r="E13" s="311" t="s">
        <v>486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362</v>
      </c>
      <c r="D15" s="193"/>
      <c r="E15" s="180" t="s">
        <v>85</v>
      </c>
      <c r="F15" s="180" t="s">
        <v>370</v>
      </c>
      <c r="G15" s="180" t="s">
        <v>86</v>
      </c>
      <c r="H15" s="180" t="s">
        <v>87</v>
      </c>
      <c r="I15" s="180" t="str">
        <f>'1.  LRAMVA Summary'!C21</f>
        <v>Residential</v>
      </c>
      <c r="J15" s="180" t="str">
        <f>'1.  LRAMVA Summary'!D21</f>
        <v>General Service &lt; 50 kW</v>
      </c>
      <c r="K15" s="180" t="str">
        <f>'1.  LRAMVA Summary'!E21</f>
        <v>General Service 50 to 2999 kW</v>
      </c>
      <c r="L15" s="180" t="str">
        <f>'1.  LRAMVA Summary'!F21</f>
        <v>General Service 3000 to 4999 kW</v>
      </c>
      <c r="M15" s="180" t="str">
        <f>'1.  LRAMVA Summary'!G21</f>
        <v>Unmetered Scattered Load</v>
      </c>
      <c r="N15" s="180" t="str">
        <f>'1.  LRAMVA Summary'!H21</f>
        <v>Sentinel Lighting</v>
      </c>
      <c r="O15" s="180" t="str">
        <f>'1.  LRAMVA Summary'!I21</f>
        <v xml:space="preserve">Street Lighting </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8">
        <f t="shared" si="0"/>
        <v>1.225E-3</v>
      </c>
      <c r="I17" s="185">
        <f>SUM('1.  LRAMVA Summary'!C$22:C$23)*(MONTH($E17)-1)/12*$H17</f>
        <v>0.21284698614375003</v>
      </c>
      <c r="J17" s="185">
        <f>SUM('1.  LRAMVA Summary'!D$22:D$23)*(MONTH($E17)-1)/12*$H17</f>
        <v>0.67915115450291663</v>
      </c>
      <c r="K17" s="185">
        <f>SUM('1.  LRAMVA Summary'!E$22:E$23)*(MONTH($E17)-1)/12*$H17</f>
        <v>3.834004902704375E-2</v>
      </c>
      <c r="L17" s="185">
        <f>SUM('1.  LRAMVA Summary'!F$22:F$23)*(MONTH($E17)-1)/12*$H17</f>
        <v>8.6357994511249993E-4</v>
      </c>
      <c r="M17" s="185">
        <f>SUM('1.  LRAMVA Summary'!G$22:G$23)*(MONTH($E17)-1)/12*$H17</f>
        <v>0</v>
      </c>
      <c r="N17" s="185">
        <f>SUM('1.  LRAMVA Summary'!H$22:H$23)*(MONTH($E17)-1)/12*$H17</f>
        <v>0</v>
      </c>
      <c r="O17" s="185">
        <f>SUM('1.  LRAMVA Summary'!I$22:I$23)*(MONTH($E17)-1)/12*$H17</f>
        <v>0</v>
      </c>
      <c r="P17" s="184"/>
      <c r="Q17" s="184">
        <f>SUM(I17:P17)</f>
        <v>0.93120176961882295</v>
      </c>
    </row>
    <row r="18" spans="2:17" s="3" customFormat="1" ht="12.75" x14ac:dyDescent="0.2">
      <c r="B18" s="181" t="s">
        <v>69</v>
      </c>
      <c r="C18" s="181">
        <v>1.47E-2</v>
      </c>
      <c r="D18" s="194"/>
      <c r="E18" s="182">
        <v>40603</v>
      </c>
      <c r="F18" s="228">
        <v>2011</v>
      </c>
      <c r="G18" s="183" t="s">
        <v>88</v>
      </c>
      <c r="H18" s="478">
        <f t="shared" si="0"/>
        <v>1.225E-3</v>
      </c>
      <c r="I18" s="185">
        <f>SUM('1.  LRAMVA Summary'!C$22:C$23)*(MONTH($E18)-1)/12*$H18</f>
        <v>0.42569397228750006</v>
      </c>
      <c r="J18" s="185">
        <f>SUM('1.  LRAMVA Summary'!D$22:D$23)*(MONTH($E18)-1)/12*$H18</f>
        <v>1.3583023090058333</v>
      </c>
      <c r="K18" s="185">
        <f>SUM('1.  LRAMVA Summary'!E$22:E$23)*(MONTH($E18)-1)/12*$H18</f>
        <v>7.66800980540875E-2</v>
      </c>
      <c r="L18" s="185">
        <f>SUM('1.  LRAMVA Summary'!F$22:F$23)*(MONTH($E18)-1)/12*$H18</f>
        <v>1.7271598902249999E-3</v>
      </c>
      <c r="M18" s="185">
        <f>SUM('1.  LRAMVA Summary'!G$22:G$23)*(MONTH($E18)-1)/12*$H18</f>
        <v>0</v>
      </c>
      <c r="N18" s="185">
        <f>SUM('1.  LRAMVA Summary'!H$22:H$23)*(MONTH($E18)-1)/12*$H18</f>
        <v>0</v>
      </c>
      <c r="O18" s="185">
        <f>SUM('1.  LRAMVA Summary'!I$22:I$23)*(MONTH($E18)-1)/12*$H18</f>
        <v>0</v>
      </c>
      <c r="P18" s="184"/>
      <c r="Q18" s="184">
        <f t="shared" ref="Q18:Q27" si="1">SUM(I18:P18)</f>
        <v>1.8624035392376459</v>
      </c>
    </row>
    <row r="19" spans="2:17" s="3" customFormat="1" ht="12.75" x14ac:dyDescent="0.2">
      <c r="B19" s="181" t="s">
        <v>70</v>
      </c>
      <c r="C19" s="181">
        <v>1.47E-2</v>
      </c>
      <c r="D19" s="194"/>
      <c r="E19" s="186">
        <v>40634</v>
      </c>
      <c r="F19" s="228">
        <v>2011</v>
      </c>
      <c r="G19" s="187" t="s">
        <v>89</v>
      </c>
      <c r="H19" s="478">
        <f>C$17/12</f>
        <v>1.225E-3</v>
      </c>
      <c r="I19" s="188">
        <f>SUM('1.  LRAMVA Summary'!C$22:C$23)*(MONTH($E19)-1)/12*$H19</f>
        <v>0.63854095843125014</v>
      </c>
      <c r="J19" s="188">
        <f>SUM('1.  LRAMVA Summary'!D$22:D$23)*(MONTH($E19)-1)/12*$H19</f>
        <v>2.0374534635087502</v>
      </c>
      <c r="K19" s="188">
        <f>SUM('1.  LRAMVA Summary'!E$22:E$23)*(MONTH($E19)-1)/12*$H19</f>
        <v>0.11502014708113126</v>
      </c>
      <c r="L19" s="188">
        <f>SUM('1.  LRAMVA Summary'!F$22:F$23)*(MONTH($E19)-1)/12*$H19</f>
        <v>2.5907398353375E-3</v>
      </c>
      <c r="M19" s="188">
        <f>SUM('1.  LRAMVA Summary'!G$22:G$23)*(MONTH($E19)-1)/12*$H19</f>
        <v>0</v>
      </c>
      <c r="N19" s="188">
        <f>SUM('1.  LRAMVA Summary'!H$22:H$23)*(MONTH($E19)-1)/12*$H19</f>
        <v>0</v>
      </c>
      <c r="O19" s="188">
        <f>SUM('1.  LRAMVA Summary'!I$22:I$23)*(MONTH($E19)-1)/12*$H19</f>
        <v>0</v>
      </c>
      <c r="P19" s="189"/>
      <c r="Q19" s="189">
        <f t="shared" si="1"/>
        <v>2.7936053088564692</v>
      </c>
    </row>
    <row r="20" spans="2:17" s="3" customFormat="1" ht="12.75" x14ac:dyDescent="0.2">
      <c r="B20" s="181" t="s">
        <v>71</v>
      </c>
      <c r="C20" s="181">
        <v>1.47E-2</v>
      </c>
      <c r="D20" s="194"/>
      <c r="E20" s="186">
        <v>40664</v>
      </c>
      <c r="F20" s="228">
        <v>2011</v>
      </c>
      <c r="G20" s="187" t="s">
        <v>89</v>
      </c>
      <c r="H20" s="478">
        <f t="shared" ref="H20:H21" si="2">C$17/12</f>
        <v>1.225E-3</v>
      </c>
      <c r="I20" s="188">
        <f>SUM('1.  LRAMVA Summary'!C$22:C$23)*(MONTH($E20)-1)/12*$H20</f>
        <v>0.85138794457500011</v>
      </c>
      <c r="J20" s="188">
        <f>SUM('1.  LRAMVA Summary'!D$22:D$23)*(MONTH($E20)-1)/12*$H20</f>
        <v>2.7166046180116665</v>
      </c>
      <c r="K20" s="188">
        <f>SUM('1.  LRAMVA Summary'!E$22:E$23)*(MONTH($E20)-1)/12*$H20</f>
        <v>0.153360196108175</v>
      </c>
      <c r="L20" s="188">
        <f>SUM('1.  LRAMVA Summary'!F$22:F$23)*(MONTH($E20)-1)/12*$H20</f>
        <v>3.4543197804499997E-3</v>
      </c>
      <c r="M20" s="188">
        <f>SUM('1.  LRAMVA Summary'!G$22:G$23)*(MONTH($E20)-1)/12*$H20</f>
        <v>0</v>
      </c>
      <c r="N20" s="188">
        <f>SUM('1.  LRAMVA Summary'!H$22:H$23)*(MONTH($E20)-1)/12*$H20</f>
        <v>0</v>
      </c>
      <c r="O20" s="188">
        <f>SUM('1.  LRAMVA Summary'!I$22:I$23)*(MONTH($E20)-1)/12*$H20</f>
        <v>0</v>
      </c>
      <c r="P20" s="189"/>
      <c r="Q20" s="189">
        <f t="shared" si="1"/>
        <v>3.7248070784752918</v>
      </c>
    </row>
    <row r="21" spans="2:17" s="3" customFormat="1" ht="12.75" x14ac:dyDescent="0.2">
      <c r="B21" s="181" t="s">
        <v>72</v>
      </c>
      <c r="C21" s="181">
        <v>1.47E-2</v>
      </c>
      <c r="D21" s="194"/>
      <c r="E21" s="186">
        <v>40695</v>
      </c>
      <c r="F21" s="228">
        <v>2011</v>
      </c>
      <c r="G21" s="187" t="s">
        <v>89</v>
      </c>
      <c r="H21" s="478">
        <f t="shared" si="2"/>
        <v>1.225E-3</v>
      </c>
      <c r="I21" s="188">
        <f>SUM('1.  LRAMVA Summary'!C$22:C$23)*(MONTH($E21)-1)/12*$H21</f>
        <v>1.0642349307187502</v>
      </c>
      <c r="J21" s="188">
        <f>SUM('1.  LRAMVA Summary'!D$22:D$23)*(MONTH($E21)-1)/12*$H21</f>
        <v>3.3957557725145837</v>
      </c>
      <c r="K21" s="188">
        <f>SUM('1.  LRAMVA Summary'!E$22:E$23)*(MONTH($E21)-1)/12*$H21</f>
        <v>0.19170024513521872</v>
      </c>
      <c r="L21" s="188">
        <f>SUM('1.  LRAMVA Summary'!F$22:F$23)*(MONTH($E21)-1)/12*$H21</f>
        <v>4.317899725562499E-3</v>
      </c>
      <c r="M21" s="188">
        <f>SUM('1.  LRAMVA Summary'!G$22:G$23)*(MONTH($E21)-1)/12*$H21</f>
        <v>0</v>
      </c>
      <c r="N21" s="188">
        <f>SUM('1.  LRAMVA Summary'!H$22:H$23)*(MONTH($E21)-1)/12*$H21</f>
        <v>0</v>
      </c>
      <c r="O21" s="188">
        <f>SUM('1.  LRAMVA Summary'!I$22:I$23)*(MONTH($E21)-1)/12*$H21</f>
        <v>0</v>
      </c>
      <c r="P21" s="189"/>
      <c r="Q21" s="189">
        <f t="shared" si="1"/>
        <v>4.6560088480941157</v>
      </c>
    </row>
    <row r="22" spans="2:17" s="3" customFormat="1" ht="12.75" x14ac:dyDescent="0.2">
      <c r="B22" s="181" t="s">
        <v>73</v>
      </c>
      <c r="C22" s="181">
        <v>1.47E-2</v>
      </c>
      <c r="D22" s="194"/>
      <c r="E22" s="186">
        <v>40725</v>
      </c>
      <c r="F22" s="228">
        <v>2011</v>
      </c>
      <c r="G22" s="187" t="s">
        <v>91</v>
      </c>
      <c r="H22" s="478">
        <f>C$18/12</f>
        <v>1.225E-3</v>
      </c>
      <c r="I22" s="188">
        <f>SUM('1.  LRAMVA Summary'!C$22:C$23)*(MONTH($E22)-1)/12*$H22</f>
        <v>1.2770819168625003</v>
      </c>
      <c r="J22" s="188">
        <f>SUM('1.  LRAMVA Summary'!D$22:D$23)*(MONTH($E22)-1)/12*$H22</f>
        <v>4.0749069270175005</v>
      </c>
      <c r="K22" s="188">
        <f>SUM('1.  LRAMVA Summary'!E$22:E$23)*(MONTH($E22)-1)/12*$H22</f>
        <v>0.23004029416226252</v>
      </c>
      <c r="L22" s="188">
        <f>SUM('1.  LRAMVA Summary'!F$22:F$23)*(MONTH($E22)-1)/12*$H22</f>
        <v>5.181479670675E-3</v>
      </c>
      <c r="M22" s="188">
        <f>SUM('1.  LRAMVA Summary'!G$22:G$23)*(MONTH($E22)-1)/12*$H22</f>
        <v>0</v>
      </c>
      <c r="N22" s="188">
        <f>SUM('1.  LRAMVA Summary'!H$22:H$23)*(MONTH($E22)-1)/12*$H22</f>
        <v>0</v>
      </c>
      <c r="O22" s="188">
        <f>SUM('1.  LRAMVA Summary'!I$22:I$23)*(MONTH($E22)-1)/12*$H22</f>
        <v>0</v>
      </c>
      <c r="P22" s="189"/>
      <c r="Q22" s="189">
        <f t="shared" si="1"/>
        <v>5.5872106177129384</v>
      </c>
    </row>
    <row r="23" spans="2:17" s="3" customFormat="1" ht="12.75" x14ac:dyDescent="0.2">
      <c r="B23" s="181" t="s">
        <v>74</v>
      </c>
      <c r="C23" s="181">
        <v>1.47E-2</v>
      </c>
      <c r="D23" s="194"/>
      <c r="E23" s="186">
        <v>40756</v>
      </c>
      <c r="F23" s="228">
        <v>2011</v>
      </c>
      <c r="G23" s="187" t="s">
        <v>91</v>
      </c>
      <c r="H23" s="478">
        <f t="shared" ref="H23:H24" si="3">C$18/12</f>
        <v>1.225E-3</v>
      </c>
      <c r="I23" s="188">
        <f>SUM('1.  LRAMVA Summary'!C$22:C$23)*(MONTH($E23)-1)/12*$H23</f>
        <v>1.4899289030062501</v>
      </c>
      <c r="J23" s="188">
        <f>SUM('1.  LRAMVA Summary'!D$22:D$23)*(MONTH($E23)-1)/12*$H23</f>
        <v>4.7540580815204168</v>
      </c>
      <c r="K23" s="188">
        <f>SUM('1.  LRAMVA Summary'!E$22:E$23)*(MONTH($E23)-1)/12*$H23</f>
        <v>0.26838034318930626</v>
      </c>
      <c r="L23" s="188">
        <f>SUM('1.  LRAMVA Summary'!F$22:F$23)*(MONTH($E23)-1)/12*$H23</f>
        <v>6.0450596157874993E-3</v>
      </c>
      <c r="M23" s="188">
        <f>SUM('1.  LRAMVA Summary'!G$22:G$23)*(MONTH($E23)-1)/12*$H23</f>
        <v>0</v>
      </c>
      <c r="N23" s="188">
        <f>SUM('1.  LRAMVA Summary'!H$22:H$23)*(MONTH($E23)-1)/12*$H23</f>
        <v>0</v>
      </c>
      <c r="O23" s="188">
        <f>SUM('1.  LRAMVA Summary'!I$22:I$23)*(MONTH($E23)-1)/12*$H23</f>
        <v>0</v>
      </c>
      <c r="P23" s="189"/>
      <c r="Q23" s="189">
        <f t="shared" si="1"/>
        <v>6.5184123873317601</v>
      </c>
    </row>
    <row r="24" spans="2:17" s="3" customFormat="1" ht="12.75" x14ac:dyDescent="0.2">
      <c r="B24" s="181" t="s">
        <v>75</v>
      </c>
      <c r="C24" s="181">
        <v>1.47E-2</v>
      </c>
      <c r="D24" s="194"/>
      <c r="E24" s="186">
        <v>40787</v>
      </c>
      <c r="F24" s="228">
        <v>2011</v>
      </c>
      <c r="G24" s="187" t="s">
        <v>91</v>
      </c>
      <c r="H24" s="478">
        <f t="shared" si="3"/>
        <v>1.225E-3</v>
      </c>
      <c r="I24" s="188">
        <f>SUM('1.  LRAMVA Summary'!C$22:C$23)*(MONTH($E24)-1)/12*$H24</f>
        <v>1.7027758891500002</v>
      </c>
      <c r="J24" s="188">
        <f>SUM('1.  LRAMVA Summary'!D$22:D$23)*(MONTH($E24)-1)/12*$H24</f>
        <v>5.4332092360233331</v>
      </c>
      <c r="K24" s="188">
        <f>SUM('1.  LRAMVA Summary'!E$22:E$23)*(MONTH($E24)-1)/12*$H24</f>
        <v>0.30672039221635</v>
      </c>
      <c r="L24" s="188">
        <f>SUM('1.  LRAMVA Summary'!F$22:F$23)*(MONTH($E24)-1)/12*$H24</f>
        <v>6.9086395608999995E-3</v>
      </c>
      <c r="M24" s="188">
        <f>SUM('1.  LRAMVA Summary'!G$22:G$23)*(MONTH($E24)-1)/12*$H24</f>
        <v>0</v>
      </c>
      <c r="N24" s="188">
        <f>SUM('1.  LRAMVA Summary'!H$22:H$23)*(MONTH($E24)-1)/12*$H24</f>
        <v>0</v>
      </c>
      <c r="O24" s="188">
        <f>SUM('1.  LRAMVA Summary'!I$22:I$23)*(MONTH($E24)-1)/12*$H24</f>
        <v>0</v>
      </c>
      <c r="P24" s="189"/>
      <c r="Q24" s="189">
        <f t="shared" si="1"/>
        <v>7.4496141569505836</v>
      </c>
    </row>
    <row r="25" spans="2:17" s="3" customFormat="1" ht="12.75" x14ac:dyDescent="0.2">
      <c r="B25" s="181" t="s">
        <v>76</v>
      </c>
      <c r="C25" s="181">
        <v>1.47E-2</v>
      </c>
      <c r="D25" s="194"/>
      <c r="E25" s="186">
        <v>40817</v>
      </c>
      <c r="F25" s="228">
        <v>2011</v>
      </c>
      <c r="G25" s="187" t="s">
        <v>92</v>
      </c>
      <c r="H25" s="478">
        <f>C$19/12</f>
        <v>1.225E-3</v>
      </c>
      <c r="I25" s="188">
        <f>SUM('1.  LRAMVA Summary'!C$22:C$23)*(MONTH($E25)-1)/12*$H25</f>
        <v>1.9156228752937501</v>
      </c>
      <c r="J25" s="188">
        <f>SUM('1.  LRAMVA Summary'!D$22:D$23)*(MONTH($E25)-1)/12*$H25</f>
        <v>6.1123603905262502</v>
      </c>
      <c r="K25" s="188">
        <f>SUM('1.  LRAMVA Summary'!E$22:E$23)*(MONTH($E25)-1)/12*$H25</f>
        <v>0.34506044124339369</v>
      </c>
      <c r="L25" s="188">
        <f>SUM('1.  LRAMVA Summary'!F$22:F$23)*(MONTH($E25)-1)/12*$H25</f>
        <v>7.7722195060124996E-3</v>
      </c>
      <c r="M25" s="188">
        <f>SUM('1.  LRAMVA Summary'!G$22:G$23)*(MONTH($E25)-1)/12*$H25</f>
        <v>0</v>
      </c>
      <c r="N25" s="188">
        <f>SUM('1.  LRAMVA Summary'!H$22:H$23)*(MONTH($E25)-1)/12*$H25</f>
        <v>0</v>
      </c>
      <c r="O25" s="188">
        <f>SUM('1.  LRAMVA Summary'!I$22:I$23)*(MONTH($E25)-1)/12*$H25</f>
        <v>0</v>
      </c>
      <c r="P25" s="189"/>
      <c r="Q25" s="189">
        <f t="shared" si="1"/>
        <v>8.3808159265694062</v>
      </c>
    </row>
    <row r="26" spans="2:17" s="3" customFormat="1" ht="12.75" x14ac:dyDescent="0.2">
      <c r="B26" s="181" t="s">
        <v>77</v>
      </c>
      <c r="C26" s="181">
        <v>1.47E-2</v>
      </c>
      <c r="D26" s="194"/>
      <c r="E26" s="186">
        <v>40848</v>
      </c>
      <c r="F26" s="228">
        <v>2011</v>
      </c>
      <c r="G26" s="187" t="s">
        <v>92</v>
      </c>
      <c r="H26" s="478">
        <f t="shared" ref="H26:H27" si="4">C$19/12</f>
        <v>1.225E-3</v>
      </c>
      <c r="I26" s="188">
        <f>SUM('1.  LRAMVA Summary'!C$22:C$23)*(MONTH($E26)-1)/12*$H26</f>
        <v>2.1284698614375004</v>
      </c>
      <c r="J26" s="188">
        <f>SUM('1.  LRAMVA Summary'!D$22:D$23)*(MONTH($E26)-1)/12*$H26</f>
        <v>6.7915115450291674</v>
      </c>
      <c r="K26" s="188">
        <f>SUM('1.  LRAMVA Summary'!E$22:E$23)*(MONTH($E26)-1)/12*$H26</f>
        <v>0.38340049027043743</v>
      </c>
      <c r="L26" s="188">
        <f>SUM('1.  LRAMVA Summary'!F$22:F$23)*(MONTH($E26)-1)/12*$H26</f>
        <v>8.635799451124998E-3</v>
      </c>
      <c r="M26" s="188">
        <f>SUM('1.  LRAMVA Summary'!G$22:G$23)*(MONTH($E26)-1)/12*$H26</f>
        <v>0</v>
      </c>
      <c r="N26" s="188">
        <f>SUM('1.  LRAMVA Summary'!H$22:H$23)*(MONTH($E26)-1)/12*$H26</f>
        <v>0</v>
      </c>
      <c r="O26" s="188">
        <f>SUM('1.  LRAMVA Summary'!I$22:I$23)*(MONTH($E26)-1)/12*$H26</f>
        <v>0</v>
      </c>
      <c r="P26" s="189"/>
      <c r="Q26" s="189">
        <f t="shared" si="1"/>
        <v>9.3120176961882315</v>
      </c>
    </row>
    <row r="27" spans="2:17" s="3" customFormat="1" ht="12.75" x14ac:dyDescent="0.2">
      <c r="B27" s="181" t="s">
        <v>78</v>
      </c>
      <c r="C27" s="181">
        <v>1.47E-2</v>
      </c>
      <c r="D27" s="194"/>
      <c r="E27" s="186">
        <v>40878</v>
      </c>
      <c r="F27" s="228">
        <v>2011</v>
      </c>
      <c r="G27" s="187" t="s">
        <v>92</v>
      </c>
      <c r="H27" s="478">
        <f t="shared" si="4"/>
        <v>1.225E-3</v>
      </c>
      <c r="I27" s="188">
        <f>SUM('1.  LRAMVA Summary'!C$22:C$23)*(MONTH($E27)-1)/12*$H27</f>
        <v>2.3413168475812505</v>
      </c>
      <c r="J27" s="188">
        <f>SUM('1.  LRAMVA Summary'!D$22:D$23)*(MONTH($E27)-1)/12*$H27</f>
        <v>7.4706626995320846</v>
      </c>
      <c r="K27" s="188">
        <f>SUM('1.  LRAMVA Summary'!E$22:E$23)*(MONTH($E27)-1)/12*$H27</f>
        <v>0.42174053929748123</v>
      </c>
      <c r="L27" s="188">
        <f>SUM('1.  LRAMVA Summary'!F$22:F$23)*(MONTH($E27)-1)/12*$H27</f>
        <v>9.4993793962374999E-3</v>
      </c>
      <c r="M27" s="188">
        <f>SUM('1.  LRAMVA Summary'!G$22:G$23)*(MONTH($E27)-1)/12*$H27</f>
        <v>0</v>
      </c>
      <c r="N27" s="188">
        <f>SUM('1.  LRAMVA Summary'!H$22:H$23)*(MONTH($E27)-1)/12*$H27</f>
        <v>0</v>
      </c>
      <c r="O27" s="188">
        <f>SUM('1.  LRAMVA Summary'!I$22:I$23)*(MONTH($E27)-1)/12*$H27</f>
        <v>0</v>
      </c>
      <c r="P27" s="189"/>
      <c r="Q27" s="189">
        <f t="shared" si="1"/>
        <v>10.243219465807053</v>
      </c>
    </row>
    <row r="28" spans="2:17" s="3" customFormat="1" ht="13.5" thickBot="1" x14ac:dyDescent="0.25">
      <c r="B28" s="181" t="s">
        <v>79</v>
      </c>
      <c r="C28" s="181">
        <v>1.47E-2</v>
      </c>
      <c r="D28" s="194"/>
      <c r="E28" s="198" t="s">
        <v>378</v>
      </c>
      <c r="F28" s="198"/>
      <c r="G28" s="199"/>
      <c r="H28" s="479"/>
      <c r="I28" s="200">
        <f>SUM(I16:I27)</f>
        <v>14.047901085487501</v>
      </c>
      <c r="J28" s="200">
        <f t="shared" ref="J28:P28" si="5">SUM(J16:J27)</f>
        <v>44.823976197192501</v>
      </c>
      <c r="K28" s="200">
        <f t="shared" si="5"/>
        <v>2.5304432357848872</v>
      </c>
      <c r="L28" s="200">
        <f t="shared" si="5"/>
        <v>5.6996276377424993E-2</v>
      </c>
      <c r="M28" s="200">
        <f t="shared" si="5"/>
        <v>0</v>
      </c>
      <c r="N28" s="200">
        <f t="shared" si="5"/>
        <v>0</v>
      </c>
      <c r="O28" s="200">
        <f t="shared" si="5"/>
        <v>0</v>
      </c>
      <c r="P28" s="200">
        <f t="shared" si="5"/>
        <v>0</v>
      </c>
      <c r="Q28" s="200">
        <f>SUM(Q16:Q27)</f>
        <v>61.459316794842316</v>
      </c>
    </row>
    <row r="29" spans="2:17" s="3" customFormat="1" ht="13.5" thickTop="1" x14ac:dyDescent="0.2">
      <c r="B29" s="181" t="s">
        <v>80</v>
      </c>
      <c r="C29" s="181">
        <v>1.47E-2</v>
      </c>
      <c r="D29" s="194"/>
      <c r="E29" s="229" t="s">
        <v>90</v>
      </c>
      <c r="F29" s="229"/>
      <c r="G29" s="230"/>
      <c r="H29" s="480"/>
      <c r="I29" s="231"/>
      <c r="J29" s="231"/>
      <c r="K29" s="231"/>
      <c r="L29" s="231"/>
      <c r="M29" s="231"/>
      <c r="N29" s="231"/>
      <c r="O29" s="231"/>
      <c r="P29" s="231"/>
      <c r="Q29" s="232"/>
    </row>
    <row r="30" spans="2:17" s="3" customFormat="1" ht="12.75" x14ac:dyDescent="0.2">
      <c r="B30" s="181" t="s">
        <v>81</v>
      </c>
      <c r="C30" s="181">
        <v>1.47E-2</v>
      </c>
      <c r="D30" s="194"/>
      <c r="E30" s="195" t="s">
        <v>385</v>
      </c>
      <c r="F30" s="195"/>
      <c r="G30" s="196"/>
      <c r="H30" s="481"/>
      <c r="I30" s="197">
        <f>I28+I29</f>
        <v>14.047901085487501</v>
      </c>
      <c r="J30" s="197">
        <f t="shared" ref="J30:M30" si="6">J28+J29</f>
        <v>44.823976197192501</v>
      </c>
      <c r="K30" s="197">
        <f t="shared" si="6"/>
        <v>2.5304432357848872</v>
      </c>
      <c r="L30" s="197">
        <f t="shared" si="6"/>
        <v>5.6996276377424993E-2</v>
      </c>
      <c r="M30" s="197">
        <f t="shared" si="6"/>
        <v>0</v>
      </c>
      <c r="N30" s="197">
        <f>N28+N29</f>
        <v>0</v>
      </c>
      <c r="O30" s="197">
        <f>O28+O29</f>
        <v>0</v>
      </c>
      <c r="P30" s="197"/>
      <c r="Q30" s="197">
        <f>Q28+Q29</f>
        <v>61.459316794842316</v>
      </c>
    </row>
    <row r="31" spans="2:17" s="3" customFormat="1" ht="12.75" x14ac:dyDescent="0.2">
      <c r="B31" s="181" t="s">
        <v>82</v>
      </c>
      <c r="C31" s="181">
        <v>1.47E-2</v>
      </c>
      <c r="D31" s="194"/>
      <c r="E31" s="186">
        <v>40909</v>
      </c>
      <c r="F31" s="186" t="s">
        <v>365</v>
      </c>
      <c r="G31" s="187" t="s">
        <v>88</v>
      </c>
      <c r="H31" s="482">
        <f t="shared" ref="H31:H33" si="7">C$20/12</f>
        <v>1.225E-3</v>
      </c>
      <c r="I31" s="188">
        <f>(SUM('1.  LRAMVA Summary'!C$22:C$24)+SUM('1.  LRAMVA Summary'!C$25:C$26)*(MONTH($E31)-1)/12)*$H31</f>
        <v>2.5541638337250006</v>
      </c>
      <c r="J31" s="188">
        <f>(SUM('1.  LRAMVA Summary'!D$22:D$24)+SUM('1.  LRAMVA Summary'!D$25:D$26)*(MONTH($E31)-1)/12)*$H31</f>
        <v>8.1498138540350009</v>
      </c>
      <c r="K31" s="188">
        <f>(SUM('1.  LRAMVA Summary'!E$22:E$24)+SUM('1.  LRAMVA Summary'!E$25:E$26)*(MONTH($E31)-1)/12)*$H31</f>
        <v>0.46008058832452497</v>
      </c>
      <c r="L31" s="188">
        <f>(SUM('1.  LRAMVA Summary'!F$22:F$24)+SUM('1.  LRAMVA Summary'!F$25:F$26)*(MONTH($E31)-1)/12)*$H31</f>
        <v>1.036295934135E-2</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11.174421235425877</v>
      </c>
    </row>
    <row r="32" spans="2:17" s="3" customFormat="1" ht="12.75" x14ac:dyDescent="0.2">
      <c r="B32" s="181" t="s">
        <v>83</v>
      </c>
      <c r="C32" s="181">
        <v>1.47E-2</v>
      </c>
      <c r="D32" s="194"/>
      <c r="E32" s="186">
        <v>40940</v>
      </c>
      <c r="F32" s="186" t="s">
        <v>365</v>
      </c>
      <c r="G32" s="187" t="s">
        <v>88</v>
      </c>
      <c r="H32" s="482">
        <f t="shared" si="7"/>
        <v>1.225E-3</v>
      </c>
      <c r="I32" s="188">
        <f>(SUM('1.  LRAMVA Summary'!C$22:C$24)+SUM('1.  LRAMVA Summary'!C$25:C$26)*(MONTH($E32)-1)/12)*$H32</f>
        <v>2.9317988482995569</v>
      </c>
      <c r="J32" s="188">
        <f>(SUM('1.  LRAMVA Summary'!D$22:D$24)+SUM('1.  LRAMVA Summary'!D$25:D$26)*(MONTH($E32)-1)/12)*$H32</f>
        <v>9.8094783031171868</v>
      </c>
      <c r="K32" s="188">
        <f>(SUM('1.  LRAMVA Summary'!E$22:E$24)+SUM('1.  LRAMVA Summary'!E$25:E$26)*(MONTH($E32)-1)/12)*$H32</f>
        <v>0.59462890151656456</v>
      </c>
      <c r="L32" s="188">
        <f>(SUM('1.  LRAMVA Summary'!F$22:F$24)+SUM('1.  LRAMVA Summary'!F$25:F$26)*(MONTH($E32)-1)/12)*$H32</f>
        <v>1.1172201976892017E-2</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13.347078254910201</v>
      </c>
    </row>
    <row r="33" spans="2:17" s="3" customFormat="1" ht="12.75" x14ac:dyDescent="0.2">
      <c r="B33" s="181" t="s">
        <v>84</v>
      </c>
      <c r="C33" s="181">
        <v>1.0999999999999999E-2</v>
      </c>
      <c r="D33" s="194"/>
      <c r="E33" s="186">
        <v>40969</v>
      </c>
      <c r="F33" s="186" t="s">
        <v>365</v>
      </c>
      <c r="G33" s="187" t="s">
        <v>88</v>
      </c>
      <c r="H33" s="482">
        <f t="shared" si="7"/>
        <v>1.225E-3</v>
      </c>
      <c r="I33" s="188">
        <f>(SUM('1.  LRAMVA Summary'!C$22:C$24)+SUM('1.  LRAMVA Summary'!C$25:C$26)*(MONTH($E33)-1)/12)*$H33</f>
        <v>3.3094338628741142</v>
      </c>
      <c r="J33" s="188">
        <f>(SUM('1.  LRAMVA Summary'!D$22:D$24)+SUM('1.  LRAMVA Summary'!D$25:D$26)*(MONTH($E33)-1)/12)*$H33</f>
        <v>11.469142752199375</v>
      </c>
      <c r="K33" s="188">
        <f>(SUM('1.  LRAMVA Summary'!E$22:E$24)+SUM('1.  LRAMVA Summary'!E$25:E$26)*(MONTH($E33)-1)/12)*$H33</f>
        <v>0.72917721470860408</v>
      </c>
      <c r="L33" s="188">
        <f>(SUM('1.  LRAMVA Summary'!F$22:F$24)+SUM('1.  LRAMVA Summary'!F$25:F$26)*(MONTH($E33)-1)/12)*$H33</f>
        <v>1.1981444612434033E-2</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15.519735274394527</v>
      </c>
    </row>
    <row r="34" spans="2:17" s="3" customFormat="1" ht="12.75" x14ac:dyDescent="0.2">
      <c r="B34" s="181" t="s">
        <v>363</v>
      </c>
      <c r="C34" s="181">
        <v>1.0999999999999999E-2</v>
      </c>
      <c r="D34" s="194"/>
      <c r="E34" s="186">
        <v>41000</v>
      </c>
      <c r="F34" s="186" t="s">
        <v>365</v>
      </c>
      <c r="G34" s="187" t="s">
        <v>89</v>
      </c>
      <c r="H34" s="483">
        <f>C$21/12</f>
        <v>1.225E-3</v>
      </c>
      <c r="I34" s="188">
        <f>(SUM('1.  LRAMVA Summary'!C$22:C$24)+SUM('1.  LRAMVA Summary'!C$25:C$26)*(MONTH($E34)-1)/12)*$H34</f>
        <v>3.6870688774486706</v>
      </c>
      <c r="J34" s="188">
        <f>(SUM('1.  LRAMVA Summary'!D$22:D$24)+SUM('1.  LRAMVA Summary'!D$25:D$26)*(MONTH($E34)-1)/12)*$H34</f>
        <v>13.128807201281564</v>
      </c>
      <c r="K34" s="188">
        <f>(SUM('1.  LRAMVA Summary'!E$22:E$24)+SUM('1.  LRAMVA Summary'!E$25:E$26)*(MONTH($E34)-1)/12)*$H34</f>
        <v>0.86372552790064361</v>
      </c>
      <c r="L34" s="188">
        <f>(SUM('1.  LRAMVA Summary'!F$22:F$24)+SUM('1.  LRAMVA Summary'!F$25:F$26)*(MONTH($E34)-1)/12)*$H34</f>
        <v>1.279068724797605E-2</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17.692392293878854</v>
      </c>
    </row>
    <row r="35" spans="2:17" s="3" customFormat="1" ht="12.75" x14ac:dyDescent="0.2">
      <c r="B35" s="181" t="s">
        <v>364</v>
      </c>
      <c r="C35" s="181">
        <v>1.0999999999999999E-2</v>
      </c>
      <c r="D35" s="194"/>
      <c r="E35" s="186">
        <v>41030</v>
      </c>
      <c r="F35" s="186" t="s">
        <v>365</v>
      </c>
      <c r="G35" s="187" t="s">
        <v>89</v>
      </c>
      <c r="H35" s="482">
        <f>C$21/12</f>
        <v>1.225E-3</v>
      </c>
      <c r="I35" s="188">
        <f>(SUM('1.  LRAMVA Summary'!C$22:C$24)+SUM('1.  LRAMVA Summary'!C$25:C$26)*(MONTH($E35)-1)/12)*$H35</f>
        <v>4.0647038920232275</v>
      </c>
      <c r="J35" s="188">
        <f>(SUM('1.  LRAMVA Summary'!D$22:D$24)+SUM('1.  LRAMVA Summary'!D$25:D$26)*(MONTH($E35)-1)/12)*$H35</f>
        <v>14.78847165036375</v>
      </c>
      <c r="K35" s="188">
        <f>(SUM('1.  LRAMVA Summary'!E$22:E$24)+SUM('1.  LRAMVA Summary'!E$25:E$26)*(MONTH($E35)-1)/12)*$H35</f>
        <v>0.99827384109268325</v>
      </c>
      <c r="L35" s="188">
        <f>(SUM('1.  LRAMVA Summary'!F$22:F$24)+SUM('1.  LRAMVA Summary'!F$25:F$26)*(MONTH($E35)-1)/12)*$H35</f>
        <v>1.3599929883518066E-2</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19.86504931336318</v>
      </c>
    </row>
    <row r="36" spans="2:17" s="3" customFormat="1" ht="12.75" x14ac:dyDescent="0.2">
      <c r="B36" s="181" t="s">
        <v>117</v>
      </c>
      <c r="C36" s="181">
        <v>1.0999999999999999E-2</v>
      </c>
      <c r="D36" s="194"/>
      <c r="E36" s="186">
        <v>41061</v>
      </c>
      <c r="F36" s="186" t="s">
        <v>365</v>
      </c>
      <c r="G36" s="187" t="s">
        <v>89</v>
      </c>
      <c r="H36" s="482">
        <f>C$21/12</f>
        <v>1.225E-3</v>
      </c>
      <c r="I36" s="188">
        <f>(SUM('1.  LRAMVA Summary'!C$22:C$24)+SUM('1.  LRAMVA Summary'!C$25:C$26)*(MONTH($E36)-1)/12)*$H36</f>
        <v>4.4423389065977847</v>
      </c>
      <c r="J36" s="188">
        <f>(SUM('1.  LRAMVA Summary'!D$22:D$24)+SUM('1.  LRAMVA Summary'!D$25:D$26)*(MONTH($E36)-1)/12)*$H36</f>
        <v>16.448136099445939</v>
      </c>
      <c r="K36" s="188">
        <f>(SUM('1.  LRAMVA Summary'!E$22:E$24)+SUM('1.  LRAMVA Summary'!E$25:E$26)*(MONTH($E36)-1)/12)*$H36</f>
        <v>1.132822154284723</v>
      </c>
      <c r="L36" s="188">
        <f>(SUM('1.  LRAMVA Summary'!F$22:F$24)+SUM('1.  LRAMVA Summary'!F$25:F$26)*(MONTH($E36)-1)/12)*$H36</f>
        <v>1.4409172519060083E-2</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22.037706332847506</v>
      </c>
    </row>
    <row r="37" spans="2:17" s="3" customFormat="1" ht="12.75" x14ac:dyDescent="0.2">
      <c r="B37" s="181" t="s">
        <v>118</v>
      </c>
      <c r="C37" s="181">
        <v>1.0999999999999999E-2</v>
      </c>
      <c r="D37" s="194"/>
      <c r="E37" s="186">
        <v>41091</v>
      </c>
      <c r="F37" s="186" t="s">
        <v>365</v>
      </c>
      <c r="G37" s="187" t="s">
        <v>91</v>
      </c>
      <c r="H37" s="483">
        <f>C$22/12</f>
        <v>1.225E-3</v>
      </c>
      <c r="I37" s="188">
        <f>(SUM('1.  LRAMVA Summary'!C$22:C$24)+SUM('1.  LRAMVA Summary'!C$25:C$26)*(MONTH($E37)-1)/12)*$H37</f>
        <v>4.8199739211723411</v>
      </c>
      <c r="J37" s="188">
        <f>(SUM('1.  LRAMVA Summary'!D$22:D$24)+SUM('1.  LRAMVA Summary'!D$25:D$26)*(MONTH($E37)-1)/12)*$H37</f>
        <v>18.107800548528125</v>
      </c>
      <c r="K37" s="188">
        <f>(SUM('1.  LRAMVA Summary'!E$22:E$24)+SUM('1.  LRAMVA Summary'!E$25:E$26)*(MONTH($E37)-1)/12)*$H37</f>
        <v>1.2673704674767623</v>
      </c>
      <c r="L37" s="188">
        <f>(SUM('1.  LRAMVA Summary'!F$22:F$24)+SUM('1.  LRAMVA Summary'!F$25:F$26)*(MONTH($E37)-1)/12)*$H37</f>
        <v>1.5218415154602099E-2</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24.210363352331832</v>
      </c>
    </row>
    <row r="38" spans="2:17" s="3" customFormat="1" ht="12.75" x14ac:dyDescent="0.2">
      <c r="B38" s="181" t="s">
        <v>119</v>
      </c>
      <c r="C38" s="181">
        <v>1.0999999999999999E-2</v>
      </c>
      <c r="D38" s="194"/>
      <c r="E38" s="186">
        <v>41122</v>
      </c>
      <c r="F38" s="186" t="s">
        <v>365</v>
      </c>
      <c r="G38" s="187" t="s">
        <v>91</v>
      </c>
      <c r="H38" s="482">
        <f>C$22/12</f>
        <v>1.225E-3</v>
      </c>
      <c r="I38" s="188">
        <f>(SUM('1.  LRAMVA Summary'!C$22:C$24)+SUM('1.  LRAMVA Summary'!C$25:C$26)*(MONTH($E38)-1)/12)*$H38</f>
        <v>5.1976089357468984</v>
      </c>
      <c r="J38" s="188">
        <f>(SUM('1.  LRAMVA Summary'!D$22:D$24)+SUM('1.  LRAMVA Summary'!D$25:D$26)*(MONTH($E38)-1)/12)*$H38</f>
        <v>19.767464997610315</v>
      </c>
      <c r="K38" s="188">
        <f>(SUM('1.  LRAMVA Summary'!E$22:E$24)+SUM('1.  LRAMVA Summary'!E$25:E$26)*(MONTH($E38)-1)/12)*$H38</f>
        <v>1.4019187806688018</v>
      </c>
      <c r="L38" s="188">
        <f>(SUM('1.  LRAMVA Summary'!F$22:F$24)+SUM('1.  LRAMVA Summary'!F$25:F$26)*(MONTH($E38)-1)/12)*$H38</f>
        <v>1.6027657790144118E-2</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26.383020371816158</v>
      </c>
    </row>
    <row r="39" spans="2:17" s="3" customFormat="1" ht="12.75" x14ac:dyDescent="0.2">
      <c r="B39" s="181" t="s">
        <v>120</v>
      </c>
      <c r="C39" s="226">
        <v>1.0999999999999999E-2</v>
      </c>
      <c r="D39" s="194"/>
      <c r="E39" s="186">
        <v>41153</v>
      </c>
      <c r="F39" s="186" t="s">
        <v>365</v>
      </c>
      <c r="G39" s="187" t="s">
        <v>91</v>
      </c>
      <c r="H39" s="482">
        <f>C$22/12</f>
        <v>1.225E-3</v>
      </c>
      <c r="I39" s="188">
        <f>(SUM('1.  LRAMVA Summary'!C$22:C$24)+SUM('1.  LRAMVA Summary'!C$25:C$26)*(MONTH($E39)-1)/12)*$H39</f>
        <v>5.5752439503214548</v>
      </c>
      <c r="J39" s="188">
        <f>(SUM('1.  LRAMVA Summary'!D$22:D$24)+SUM('1.  LRAMVA Summary'!D$25:D$26)*(MONTH($E39)-1)/12)*$H39</f>
        <v>21.427129446692497</v>
      </c>
      <c r="K39" s="188">
        <f>(SUM('1.  LRAMVA Summary'!E$22:E$24)+SUM('1.  LRAMVA Summary'!E$25:E$26)*(MONTH($E39)-1)/12)*$H39</f>
        <v>1.5364670938608413</v>
      </c>
      <c r="L39" s="188">
        <f>(SUM('1.  LRAMVA Summary'!F$22:F$24)+SUM('1.  LRAMVA Summary'!F$25:F$26)*(MONTH($E39)-1)/12)*$H39</f>
        <v>1.6836900425686134E-2</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28.555677391300481</v>
      </c>
    </row>
    <row r="40" spans="2:17" s="3" customFormat="1" ht="12.75" x14ac:dyDescent="0.2">
      <c r="B40" s="181" t="s">
        <v>121</v>
      </c>
      <c r="C40" s="226">
        <v>1.0999999999999999E-2</v>
      </c>
      <c r="D40" s="194"/>
      <c r="E40" s="186">
        <v>41183</v>
      </c>
      <c r="F40" s="186" t="s">
        <v>365</v>
      </c>
      <c r="G40" s="187" t="s">
        <v>92</v>
      </c>
      <c r="H40" s="483">
        <f>C$23/12</f>
        <v>1.225E-3</v>
      </c>
      <c r="I40" s="188">
        <f>(SUM('1.  LRAMVA Summary'!C$22:C$24)+SUM('1.  LRAMVA Summary'!C$25:C$26)*(MONTH($E40)-1)/12)*$H40</f>
        <v>5.9528789648960112</v>
      </c>
      <c r="J40" s="188">
        <f>(SUM('1.  LRAMVA Summary'!D$22:D$24)+SUM('1.  LRAMVA Summary'!D$25:D$26)*(MONTH($E40)-1)/12)*$H40</f>
        <v>23.08679389577469</v>
      </c>
      <c r="K40" s="188">
        <f>(SUM('1.  LRAMVA Summary'!E$22:E$24)+SUM('1.  LRAMVA Summary'!E$25:E$26)*(MONTH($E40)-1)/12)*$H40</f>
        <v>1.6710154070528809</v>
      </c>
      <c r="L40" s="188">
        <f>(SUM('1.  LRAMVA Summary'!F$22:F$24)+SUM('1.  LRAMVA Summary'!F$25:F$26)*(MONTH($E40)-1)/12)*$H40</f>
        <v>1.7646143061228151E-2</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30.728334410784811</v>
      </c>
    </row>
    <row r="41" spans="2:17" s="3" customFormat="1" ht="12.75" x14ac:dyDescent="0.2">
      <c r="B41" s="181" t="s">
        <v>122</v>
      </c>
      <c r="C41" s="226">
        <v>1.0999999999999999E-2</v>
      </c>
      <c r="D41" s="194"/>
      <c r="E41" s="186">
        <v>41214</v>
      </c>
      <c r="F41" s="186" t="s">
        <v>365</v>
      </c>
      <c r="G41" s="187" t="s">
        <v>92</v>
      </c>
      <c r="H41" s="482">
        <f>C$23/12</f>
        <v>1.225E-3</v>
      </c>
      <c r="I41" s="188">
        <f>(SUM('1.  LRAMVA Summary'!C$22:C$24)+SUM('1.  LRAMVA Summary'!C$25:C$26)*(MONTH($E41)-1)/12)*$H41</f>
        <v>6.3305139794705676</v>
      </c>
      <c r="J41" s="188">
        <f>(SUM('1.  LRAMVA Summary'!D$22:D$24)+SUM('1.  LRAMVA Summary'!D$25:D$26)*(MONTH($E41)-1)/12)*$H41</f>
        <v>24.746458344856876</v>
      </c>
      <c r="K41" s="188">
        <f>(SUM('1.  LRAMVA Summary'!E$22:E$24)+SUM('1.  LRAMVA Summary'!E$25:E$26)*(MONTH($E41)-1)/12)*$H41</f>
        <v>1.8055637202449208</v>
      </c>
      <c r="L41" s="188">
        <f>(SUM('1.  LRAMVA Summary'!F$22:F$24)+SUM('1.  LRAMVA Summary'!F$25:F$26)*(MONTH($E41)-1)/12)*$H41</f>
        <v>1.8455385696770167E-2</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32.90099143026913</v>
      </c>
    </row>
    <row r="42" spans="2:17" s="3" customFormat="1" ht="12.75" x14ac:dyDescent="0.2">
      <c r="B42" s="181" t="s">
        <v>123</v>
      </c>
      <c r="C42" s="226">
        <v>1.0999999999999999E-2</v>
      </c>
      <c r="D42" s="194"/>
      <c r="E42" s="186">
        <v>41244</v>
      </c>
      <c r="F42" s="186" t="s">
        <v>365</v>
      </c>
      <c r="G42" s="187" t="s">
        <v>92</v>
      </c>
      <c r="H42" s="482">
        <f>C$23/12</f>
        <v>1.225E-3</v>
      </c>
      <c r="I42" s="188">
        <f>(SUM('1.  LRAMVA Summary'!C$22:C$24)+SUM('1.  LRAMVA Summary'!C$25:C$26)*(MONTH($E42)-1)/12)*$H42</f>
        <v>6.708148994045124</v>
      </c>
      <c r="J42" s="188">
        <f>(SUM('1.  LRAMVA Summary'!D$22:D$24)+SUM('1.  LRAMVA Summary'!D$25:D$26)*(MONTH($E42)-1)/12)*$H42</f>
        <v>26.406122793939069</v>
      </c>
      <c r="K42" s="188">
        <f>(SUM('1.  LRAMVA Summary'!E$22:E$24)+SUM('1.  LRAMVA Summary'!E$25:E$26)*(MONTH($E42)-1)/12)*$H42</f>
        <v>1.9401120334369604</v>
      </c>
      <c r="L42" s="188">
        <f>(SUM('1.  LRAMVA Summary'!F$22:F$24)+SUM('1.  LRAMVA Summary'!F$25:F$26)*(MONTH($E42)-1)/12)*$H42</f>
        <v>1.9264628332312184E-2</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35.07364844975347</v>
      </c>
    </row>
    <row r="43" spans="2:17" s="3" customFormat="1" ht="13.5" thickBot="1" x14ac:dyDescent="0.25">
      <c r="B43" s="181" t="s">
        <v>124</v>
      </c>
      <c r="C43" s="226">
        <v>1.0999999999999999E-2</v>
      </c>
      <c r="D43" s="194"/>
      <c r="E43" s="198" t="s">
        <v>379</v>
      </c>
      <c r="F43" s="198"/>
      <c r="G43" s="199"/>
      <c r="H43" s="484"/>
      <c r="I43" s="200">
        <f>SUM(I30:I42)</f>
        <v>69.621778052108255</v>
      </c>
      <c r="J43" s="200">
        <f t="shared" ref="J43:P43" si="9">SUM(J30:J42)</f>
        <v>252.1595960850369</v>
      </c>
      <c r="K43" s="200">
        <f t="shared" si="9"/>
        <v>16.9315989663538</v>
      </c>
      <c r="L43" s="200">
        <f t="shared" si="9"/>
        <v>0.23476180241939806</v>
      </c>
      <c r="M43" s="200">
        <f t="shared" si="9"/>
        <v>0</v>
      </c>
      <c r="N43" s="200">
        <f t="shared" si="9"/>
        <v>0</v>
      </c>
      <c r="O43" s="200">
        <f t="shared" si="9"/>
        <v>0</v>
      </c>
      <c r="P43" s="200">
        <f t="shared" si="9"/>
        <v>0</v>
      </c>
      <c r="Q43" s="200">
        <f>SUM(Q30:Q42)</f>
        <v>338.94773490591837</v>
      </c>
    </row>
    <row r="44" spans="2:17" s="3" customFormat="1" ht="13.5" thickTop="1" x14ac:dyDescent="0.2">
      <c r="B44" s="181" t="s">
        <v>125</v>
      </c>
      <c r="C44" s="226"/>
      <c r="D44" s="194"/>
      <c r="E44" s="229" t="s">
        <v>90</v>
      </c>
      <c r="F44" s="229"/>
      <c r="G44" s="230"/>
      <c r="H44" s="480"/>
      <c r="I44" s="231"/>
      <c r="J44" s="231"/>
      <c r="K44" s="231"/>
      <c r="L44" s="231"/>
      <c r="M44" s="231"/>
      <c r="N44" s="231"/>
      <c r="O44" s="231"/>
      <c r="P44" s="231"/>
      <c r="Q44" s="232"/>
    </row>
    <row r="45" spans="2:17" s="3" customFormat="1" ht="12.75" x14ac:dyDescent="0.2">
      <c r="B45" s="181" t="s">
        <v>126</v>
      </c>
      <c r="C45" s="226"/>
      <c r="D45" s="194"/>
      <c r="E45" s="195" t="s">
        <v>386</v>
      </c>
      <c r="F45" s="195"/>
      <c r="G45" s="196"/>
      <c r="H45" s="481"/>
      <c r="I45" s="197">
        <f t="shared" ref="I45:P45" si="10">I43+I44</f>
        <v>69.621778052108255</v>
      </c>
      <c r="J45" s="197">
        <f t="shared" si="10"/>
        <v>252.1595960850369</v>
      </c>
      <c r="K45" s="197">
        <f t="shared" si="10"/>
        <v>16.9315989663538</v>
      </c>
      <c r="L45" s="197">
        <f t="shared" si="10"/>
        <v>0.23476180241939806</v>
      </c>
      <c r="M45" s="197">
        <f t="shared" si="10"/>
        <v>0</v>
      </c>
      <c r="N45" s="197">
        <f t="shared" si="10"/>
        <v>0</v>
      </c>
      <c r="O45" s="197">
        <f t="shared" si="10"/>
        <v>0</v>
      </c>
      <c r="P45" s="197">
        <f t="shared" si="10"/>
        <v>0</v>
      </c>
      <c r="Q45" s="197">
        <f>Q43+Q44</f>
        <v>338.94773490591837</v>
      </c>
    </row>
    <row r="46" spans="2:17" s="3" customFormat="1" ht="12.75" x14ac:dyDescent="0.2">
      <c r="B46" s="181" t="s">
        <v>127</v>
      </c>
      <c r="C46" s="226"/>
      <c r="D46" s="194"/>
      <c r="E46" s="186">
        <v>41275</v>
      </c>
      <c r="F46" s="186" t="s">
        <v>366</v>
      </c>
      <c r="G46" s="187" t="s">
        <v>88</v>
      </c>
      <c r="H46" s="483">
        <f>C$24/12</f>
        <v>1.225E-3</v>
      </c>
      <c r="I46" s="188">
        <f>(SUM('1.  LRAMVA Summary'!C$22:C$27)+SUM('1.  LRAMVA Summary'!C$28:C$29)*(MONTH($E46)-1)/12)*$H46</f>
        <v>7.0857840086196822</v>
      </c>
      <c r="J46" s="188">
        <f>(SUM('1.  LRAMVA Summary'!D$22:D$27)+SUM('1.  LRAMVA Summary'!D$28:D$29)*(MONTH($E46)-1)/12)*$H46</f>
        <v>28.065787243021251</v>
      </c>
      <c r="K46" s="188">
        <f>(SUM('1.  LRAMVA Summary'!E$22:E$27)+SUM('1.  LRAMVA Summary'!E$28:E$29)*(MONTH($E46)-1)/12)*$H46</f>
        <v>2.0746603466289999</v>
      </c>
      <c r="L46" s="188">
        <f>(SUM('1.  LRAMVA Summary'!F$22:F$27)+SUM('1.  LRAMVA Summary'!F$28:F$29)*(MONTH($E46)-1)/12)*$H46</f>
        <v>2.00738709678542E-2</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37.24630546923779</v>
      </c>
    </row>
    <row r="47" spans="2:17" s="3" customFormat="1" ht="12.75" x14ac:dyDescent="0.2">
      <c r="B47" s="181" t="s">
        <v>128</v>
      </c>
      <c r="C47" s="226"/>
      <c r="D47" s="194"/>
      <c r="E47" s="186">
        <v>41306</v>
      </c>
      <c r="F47" s="186" t="s">
        <v>366</v>
      </c>
      <c r="G47" s="187" t="s">
        <v>88</v>
      </c>
      <c r="H47" s="482">
        <f t="shared" ref="H47:H48" si="12">C$24/12</f>
        <v>1.225E-3</v>
      </c>
      <c r="I47" s="188">
        <f>(SUM('1.  LRAMVA Summary'!C$22:C$27)+SUM('1.  LRAMVA Summary'!C$28:C$29)*(MONTH($E47)-1)/12)*$H47</f>
        <v>6.6593247733827914</v>
      </c>
      <c r="J47" s="188">
        <f>(SUM('1.  LRAMVA Summary'!D$22:D$27)+SUM('1.  LRAMVA Summary'!D$28:D$29)*(MONTH($E47)-1)/12)*$H47</f>
        <v>29.690318236511388</v>
      </c>
      <c r="K47" s="188">
        <f>(SUM('1.  LRAMVA Summary'!E$22:E$27)+SUM('1.  LRAMVA Summary'!E$28:E$29)*(MONTH($E47)-1)/12)*$H47</f>
        <v>1.6816564312379199</v>
      </c>
      <c r="L47" s="188">
        <f>(SUM('1.  LRAMVA Summary'!F$22:F$27)+SUM('1.  LRAMVA Summary'!F$28:F$29)*(MONTH($E47)-1)/12)*$H47</f>
        <v>-0.1353941869772686</v>
      </c>
      <c r="M47" s="188">
        <f>(SUM('1.  LRAMVA Summary'!G$22:G$27)+SUM('1.  LRAMVA Summary'!G$28:G$29)*(MONTH($E47)-1)/12)*$H47</f>
        <v>-1.6654715192738485E-2</v>
      </c>
      <c r="N47" s="188">
        <f>(SUM('1.  LRAMVA Summary'!H$22:H$27)+SUM('1.  LRAMVA Summary'!H$28:H$29)*(MONTH($E47)-1)/12)*$H47</f>
        <v>-1.9584635512867044E-3</v>
      </c>
      <c r="O47" s="188">
        <f>(SUM('1.  LRAMVA Summary'!I$22:I$27)+SUM('1.  LRAMVA Summary'!I$28:I$29)*(MONTH($E47)-1)/12)*$H47</f>
        <v>-7.6148873565483485E-2</v>
      </c>
      <c r="P47" s="189"/>
      <c r="Q47" s="189">
        <f t="shared" si="11"/>
        <v>37.801143201845321</v>
      </c>
    </row>
    <row r="48" spans="2:17" s="3" customFormat="1" ht="12.75" x14ac:dyDescent="0.2">
      <c r="B48" s="181" t="s">
        <v>129</v>
      </c>
      <c r="C48" s="226"/>
      <c r="D48" s="194"/>
      <c r="E48" s="186">
        <v>41334</v>
      </c>
      <c r="F48" s="186" t="s">
        <v>366</v>
      </c>
      <c r="G48" s="187" t="s">
        <v>88</v>
      </c>
      <c r="H48" s="482">
        <f t="shared" si="12"/>
        <v>1.225E-3</v>
      </c>
      <c r="I48" s="188">
        <f>(SUM('1.  LRAMVA Summary'!C$22:C$27)+SUM('1.  LRAMVA Summary'!C$28:C$29)*(MONTH($E48)-1)/12)*$H48</f>
        <v>6.2328655381458997</v>
      </c>
      <c r="J48" s="188">
        <f>(SUM('1.  LRAMVA Summary'!D$22:D$27)+SUM('1.  LRAMVA Summary'!D$28:D$29)*(MONTH($E48)-1)/12)*$H48</f>
        <v>31.314849230001528</v>
      </c>
      <c r="K48" s="188">
        <f>(SUM('1.  LRAMVA Summary'!E$22:E$27)+SUM('1.  LRAMVA Summary'!E$28:E$29)*(MONTH($E48)-1)/12)*$H48</f>
        <v>1.28865251584684</v>
      </c>
      <c r="L48" s="188">
        <f>(SUM('1.  LRAMVA Summary'!F$22:F$27)+SUM('1.  LRAMVA Summary'!F$28:F$29)*(MONTH($E48)-1)/12)*$H48</f>
        <v>-0.29086224492239143</v>
      </c>
      <c r="M48" s="188">
        <f>(SUM('1.  LRAMVA Summary'!G$22:G$27)+SUM('1.  LRAMVA Summary'!G$28:G$29)*(MONTH($E48)-1)/12)*$H48</f>
        <v>-3.3309430385476971E-2</v>
      </c>
      <c r="N48" s="188">
        <f>(SUM('1.  LRAMVA Summary'!H$22:H$27)+SUM('1.  LRAMVA Summary'!H$28:H$29)*(MONTH($E48)-1)/12)*$H48</f>
        <v>-3.9169271025734087E-3</v>
      </c>
      <c r="O48" s="188">
        <f>(SUM('1.  LRAMVA Summary'!I$22:I$27)+SUM('1.  LRAMVA Summary'!I$28:I$29)*(MONTH($E48)-1)/12)*$H48</f>
        <v>-0.15229774713096697</v>
      </c>
      <c r="P48" s="189"/>
      <c r="Q48" s="189">
        <f t="shared" si="11"/>
        <v>38.355980934452859</v>
      </c>
    </row>
    <row r="49" spans="1:21" s="3" customFormat="1" ht="12.75" x14ac:dyDescent="0.2">
      <c r="B49" s="181" t="s">
        <v>130</v>
      </c>
      <c r="C49" s="226"/>
      <c r="D49" s="194"/>
      <c r="E49" s="186">
        <v>41365</v>
      </c>
      <c r="F49" s="186" t="s">
        <v>366</v>
      </c>
      <c r="G49" s="187" t="s">
        <v>89</v>
      </c>
      <c r="H49" s="483">
        <f>C$25/12</f>
        <v>1.225E-3</v>
      </c>
      <c r="I49" s="188">
        <f>(SUM('1.  LRAMVA Summary'!C$22:C$27)+SUM('1.  LRAMVA Summary'!C$28:C$29)*(MONTH($E49)-1)/12)*$H49</f>
        <v>5.8064063029090089</v>
      </c>
      <c r="J49" s="188">
        <f>(SUM('1.  LRAMVA Summary'!D$22:D$27)+SUM('1.  LRAMVA Summary'!D$28:D$29)*(MONTH($E49)-1)/12)*$H49</f>
        <v>32.939380223491661</v>
      </c>
      <c r="K49" s="188">
        <f>(SUM('1.  LRAMVA Summary'!E$22:E$27)+SUM('1.  LRAMVA Summary'!E$28:E$29)*(MONTH($E49)-1)/12)*$H49</f>
        <v>0.89564860045575978</v>
      </c>
      <c r="L49" s="188">
        <f>(SUM('1.  LRAMVA Summary'!F$22:F$27)+SUM('1.  LRAMVA Summary'!F$28:F$29)*(MONTH($E49)-1)/12)*$H49</f>
        <v>-0.44633030286751424</v>
      </c>
      <c r="M49" s="188">
        <f>(SUM('1.  LRAMVA Summary'!G$22:G$27)+SUM('1.  LRAMVA Summary'!G$28:G$29)*(MONTH($E49)-1)/12)*$H49</f>
        <v>-4.9964145578215456E-2</v>
      </c>
      <c r="N49" s="188">
        <f>(SUM('1.  LRAMVA Summary'!H$22:H$27)+SUM('1.  LRAMVA Summary'!H$28:H$29)*(MONTH($E49)-1)/12)*$H49</f>
        <v>-5.8753906538601131E-3</v>
      </c>
      <c r="O49" s="188">
        <f>(SUM('1.  LRAMVA Summary'!I$22:I$27)+SUM('1.  LRAMVA Summary'!I$28:I$29)*(MONTH($E49)-1)/12)*$H49</f>
        <v>-0.22844662069645044</v>
      </c>
      <c r="P49" s="189"/>
      <c r="Q49" s="189">
        <f t="shared" si="11"/>
        <v>38.910818667060383</v>
      </c>
    </row>
    <row r="50" spans="1:21" s="3" customFormat="1" ht="12.75" x14ac:dyDescent="0.2">
      <c r="B50" s="181" t="s">
        <v>131</v>
      </c>
      <c r="C50" s="226"/>
      <c r="D50" s="194"/>
      <c r="E50" s="186">
        <v>41395</v>
      </c>
      <c r="F50" s="186" t="s">
        <v>366</v>
      </c>
      <c r="G50" s="187" t="s">
        <v>89</v>
      </c>
      <c r="H50" s="482">
        <f t="shared" ref="H50:H51" si="13">C$25/12</f>
        <v>1.225E-3</v>
      </c>
      <c r="I50" s="188">
        <f>(SUM('1.  LRAMVA Summary'!C$22:C$27)+SUM('1.  LRAMVA Summary'!C$28:C$29)*(MONTH($E50)-1)/12)*$H50</f>
        <v>5.3799470676721164</v>
      </c>
      <c r="J50" s="188">
        <f>(SUM('1.  LRAMVA Summary'!D$22:D$27)+SUM('1.  LRAMVA Summary'!D$28:D$29)*(MONTH($E50)-1)/12)*$H50</f>
        <v>34.563911216981801</v>
      </c>
      <c r="K50" s="188">
        <f>(SUM('1.  LRAMVA Summary'!E$22:E$27)+SUM('1.  LRAMVA Summary'!E$28:E$29)*(MONTH($E50)-1)/12)*$H50</f>
        <v>0.50264468506467974</v>
      </c>
      <c r="L50" s="188">
        <f>(SUM('1.  LRAMVA Summary'!F$22:F$27)+SUM('1.  LRAMVA Summary'!F$28:F$29)*(MONTH($E50)-1)/12)*$H50</f>
        <v>-0.60179836081263693</v>
      </c>
      <c r="M50" s="188">
        <f>(SUM('1.  LRAMVA Summary'!G$22:G$27)+SUM('1.  LRAMVA Summary'!G$28:G$29)*(MONTH($E50)-1)/12)*$H50</f>
        <v>-6.6618860770953942E-2</v>
      </c>
      <c r="N50" s="188">
        <f>(SUM('1.  LRAMVA Summary'!H$22:H$27)+SUM('1.  LRAMVA Summary'!H$28:H$29)*(MONTH($E50)-1)/12)*$H50</f>
        <v>-7.8338542051468174E-3</v>
      </c>
      <c r="O50" s="188">
        <f>(SUM('1.  LRAMVA Summary'!I$22:I$27)+SUM('1.  LRAMVA Summary'!I$28:I$29)*(MONTH($E50)-1)/12)*$H50</f>
        <v>-0.30459549426193394</v>
      </c>
      <c r="P50" s="189"/>
      <c r="Q50" s="189">
        <f t="shared" si="11"/>
        <v>39.465656399667928</v>
      </c>
    </row>
    <row r="51" spans="1:21" s="3" customFormat="1" ht="12.75" x14ac:dyDescent="0.2">
      <c r="B51" s="181" t="s">
        <v>132</v>
      </c>
      <c r="C51" s="226"/>
      <c r="D51" s="194"/>
      <c r="E51" s="186">
        <v>41426</v>
      </c>
      <c r="F51" s="186" t="s">
        <v>366</v>
      </c>
      <c r="G51" s="187" t="s">
        <v>89</v>
      </c>
      <c r="H51" s="482">
        <f t="shared" si="13"/>
        <v>1.225E-3</v>
      </c>
      <c r="I51" s="188">
        <f>(SUM('1.  LRAMVA Summary'!C$22:C$27)+SUM('1.  LRAMVA Summary'!C$28:C$29)*(MONTH($E51)-1)/12)*$H51</f>
        <v>4.9534878324352256</v>
      </c>
      <c r="J51" s="188">
        <f>(SUM('1.  LRAMVA Summary'!D$22:D$27)+SUM('1.  LRAMVA Summary'!D$28:D$29)*(MONTH($E51)-1)/12)*$H51</f>
        <v>36.188442210471941</v>
      </c>
      <c r="K51" s="188">
        <f>(SUM('1.  LRAMVA Summary'!E$22:E$27)+SUM('1.  LRAMVA Summary'!E$28:E$29)*(MONTH($E51)-1)/12)*$H51</f>
        <v>0.10964076967359941</v>
      </c>
      <c r="L51" s="188">
        <f>(SUM('1.  LRAMVA Summary'!F$22:F$27)+SUM('1.  LRAMVA Summary'!F$28:F$29)*(MONTH($E51)-1)/12)*$H51</f>
        <v>-0.75726641875775991</v>
      </c>
      <c r="M51" s="188">
        <f>(SUM('1.  LRAMVA Summary'!G$22:G$27)+SUM('1.  LRAMVA Summary'!G$28:G$29)*(MONTH($E51)-1)/12)*$H51</f>
        <v>-8.327357596369242E-2</v>
      </c>
      <c r="N51" s="188">
        <f>(SUM('1.  LRAMVA Summary'!H$22:H$27)+SUM('1.  LRAMVA Summary'!H$28:H$29)*(MONTH($E51)-1)/12)*$H51</f>
        <v>-9.7923177564335218E-3</v>
      </c>
      <c r="O51" s="188">
        <f>(SUM('1.  LRAMVA Summary'!I$22:I$27)+SUM('1.  LRAMVA Summary'!I$28:I$29)*(MONTH($E51)-1)/12)*$H51</f>
        <v>-0.38074436782741744</v>
      </c>
      <c r="P51" s="189"/>
      <c r="Q51" s="189">
        <f t="shared" si="11"/>
        <v>40.020494132275452</v>
      </c>
    </row>
    <row r="52" spans="1:21" s="3" customFormat="1" ht="12.75" x14ac:dyDescent="0.2">
      <c r="B52" s="181" t="s">
        <v>133</v>
      </c>
      <c r="C52" s="226"/>
      <c r="D52" s="194"/>
      <c r="E52" s="186">
        <v>41456</v>
      </c>
      <c r="F52" s="186" t="s">
        <v>366</v>
      </c>
      <c r="G52" s="187" t="s">
        <v>91</v>
      </c>
      <c r="H52" s="483">
        <f>C$26/12</f>
        <v>1.225E-3</v>
      </c>
      <c r="I52" s="188">
        <f>(SUM('1.  LRAMVA Summary'!C$22:C$27)+SUM('1.  LRAMVA Summary'!C$28:C$29)*(MONTH($E52)-1)/12)*$H52</f>
        <v>4.5270285971983348</v>
      </c>
      <c r="J52" s="188">
        <f>(SUM('1.  LRAMVA Summary'!D$22:D$27)+SUM('1.  LRAMVA Summary'!D$28:D$29)*(MONTH($E52)-1)/12)*$H52</f>
        <v>37.812973203962081</v>
      </c>
      <c r="K52" s="188">
        <f>(SUM('1.  LRAMVA Summary'!E$22:E$27)+SUM('1.  LRAMVA Summary'!E$28:E$29)*(MONTH($E52)-1)/12)*$H52</f>
        <v>-0.28336314571748034</v>
      </c>
      <c r="L52" s="188">
        <f>(SUM('1.  LRAMVA Summary'!F$22:F$27)+SUM('1.  LRAMVA Summary'!F$28:F$29)*(MONTH($E52)-1)/12)*$H52</f>
        <v>-0.91273447670288255</v>
      </c>
      <c r="M52" s="188">
        <f>(SUM('1.  LRAMVA Summary'!G$22:G$27)+SUM('1.  LRAMVA Summary'!G$28:G$29)*(MONTH($E52)-1)/12)*$H52</f>
        <v>-9.9928291156430912E-2</v>
      </c>
      <c r="N52" s="188">
        <f>(SUM('1.  LRAMVA Summary'!H$22:H$27)+SUM('1.  LRAMVA Summary'!H$28:H$29)*(MONTH($E52)-1)/12)*$H52</f>
        <v>-1.1750781307720226E-2</v>
      </c>
      <c r="O52" s="188">
        <f>(SUM('1.  LRAMVA Summary'!I$22:I$27)+SUM('1.  LRAMVA Summary'!I$28:I$29)*(MONTH($E52)-1)/12)*$H52</f>
        <v>-0.45689324139290088</v>
      </c>
      <c r="P52" s="189"/>
      <c r="Q52" s="189">
        <f t="shared" si="11"/>
        <v>40.575331864883005</v>
      </c>
    </row>
    <row r="53" spans="1:21" s="3" customFormat="1" ht="12.75" x14ac:dyDescent="0.2">
      <c r="B53" s="181" t="s">
        <v>135</v>
      </c>
      <c r="C53" s="226"/>
      <c r="D53" s="194"/>
      <c r="E53" s="186">
        <v>41487</v>
      </c>
      <c r="F53" s="186" t="s">
        <v>366</v>
      </c>
      <c r="G53" s="187" t="s">
        <v>91</v>
      </c>
      <c r="H53" s="482">
        <f t="shared" ref="H53:H54" si="14">C$26/12</f>
        <v>1.225E-3</v>
      </c>
      <c r="I53" s="188">
        <f>(SUM('1.  LRAMVA Summary'!C$22:C$27)+SUM('1.  LRAMVA Summary'!C$28:C$29)*(MONTH($E53)-1)/12)*$H53</f>
        <v>4.1005693619614432</v>
      </c>
      <c r="J53" s="188">
        <f>(SUM('1.  LRAMVA Summary'!D$22:D$27)+SUM('1.  LRAMVA Summary'!D$28:D$29)*(MONTH($E53)-1)/12)*$H53</f>
        <v>39.437504197452213</v>
      </c>
      <c r="K53" s="188">
        <f>(SUM('1.  LRAMVA Summary'!E$22:E$27)+SUM('1.  LRAMVA Summary'!E$28:E$29)*(MONTH($E53)-1)/12)*$H53</f>
        <v>-0.6763670611085606</v>
      </c>
      <c r="L53" s="188">
        <f>(SUM('1.  LRAMVA Summary'!F$22:F$27)+SUM('1.  LRAMVA Summary'!F$28:F$29)*(MONTH($E53)-1)/12)*$H53</f>
        <v>-1.0682025346480053</v>
      </c>
      <c r="M53" s="188">
        <f>(SUM('1.  LRAMVA Summary'!G$22:G$27)+SUM('1.  LRAMVA Summary'!G$28:G$29)*(MONTH($E53)-1)/12)*$H53</f>
        <v>-0.1165830063491694</v>
      </c>
      <c r="N53" s="188">
        <f>(SUM('1.  LRAMVA Summary'!H$22:H$27)+SUM('1.  LRAMVA Summary'!H$28:H$29)*(MONTH($E53)-1)/12)*$H53</f>
        <v>-1.3709244859006932E-2</v>
      </c>
      <c r="O53" s="188">
        <f>(SUM('1.  LRAMVA Summary'!I$22:I$27)+SUM('1.  LRAMVA Summary'!I$28:I$29)*(MONTH($E53)-1)/12)*$H53</f>
        <v>-0.53304211495838438</v>
      </c>
      <c r="P53" s="189"/>
      <c r="Q53" s="189">
        <f t="shared" si="11"/>
        <v>41.130169597490529</v>
      </c>
    </row>
    <row r="54" spans="1:21" s="3" customFormat="1" ht="12.75" x14ac:dyDescent="0.2">
      <c r="B54" s="181" t="s">
        <v>134</v>
      </c>
      <c r="C54" s="226"/>
      <c r="D54" s="194"/>
      <c r="E54" s="186">
        <v>41518</v>
      </c>
      <c r="F54" s="186" t="s">
        <v>366</v>
      </c>
      <c r="G54" s="187" t="s">
        <v>91</v>
      </c>
      <c r="H54" s="482">
        <f t="shared" si="14"/>
        <v>1.225E-3</v>
      </c>
      <c r="I54" s="188">
        <f>(SUM('1.  LRAMVA Summary'!C$22:C$27)+SUM('1.  LRAMVA Summary'!C$28:C$29)*(MONTH($E54)-1)/12)*$H54</f>
        <v>3.674110126724552</v>
      </c>
      <c r="J54" s="188">
        <f>(SUM('1.  LRAMVA Summary'!D$22:D$27)+SUM('1.  LRAMVA Summary'!D$28:D$29)*(MONTH($E54)-1)/12)*$H54</f>
        <v>41.062035190942353</v>
      </c>
      <c r="K54" s="188">
        <f>(SUM('1.  LRAMVA Summary'!E$22:E$27)+SUM('1.  LRAMVA Summary'!E$28:E$29)*(MONTH($E54)-1)/12)*$H54</f>
        <v>-1.0693709764996406</v>
      </c>
      <c r="L54" s="188">
        <f>(SUM('1.  LRAMVA Summary'!F$22:F$27)+SUM('1.  LRAMVA Summary'!F$28:F$29)*(MONTH($E54)-1)/12)*$H54</f>
        <v>-1.2236705925931282</v>
      </c>
      <c r="M54" s="188">
        <f>(SUM('1.  LRAMVA Summary'!G$22:G$27)+SUM('1.  LRAMVA Summary'!G$28:G$29)*(MONTH($E54)-1)/12)*$H54</f>
        <v>-0.13323772154190788</v>
      </c>
      <c r="N54" s="188">
        <f>(SUM('1.  LRAMVA Summary'!H$22:H$27)+SUM('1.  LRAMVA Summary'!H$28:H$29)*(MONTH($E54)-1)/12)*$H54</f>
        <v>-1.5667708410293635E-2</v>
      </c>
      <c r="O54" s="188">
        <f>(SUM('1.  LRAMVA Summary'!I$22:I$27)+SUM('1.  LRAMVA Summary'!I$28:I$29)*(MONTH($E54)-1)/12)*$H54</f>
        <v>-0.60919098852386788</v>
      </c>
      <c r="P54" s="189"/>
      <c r="Q54" s="189">
        <f t="shared" si="11"/>
        <v>41.68500733009806</v>
      </c>
    </row>
    <row r="55" spans="1:21" s="3" customFormat="1" ht="12.75" x14ac:dyDescent="0.2">
      <c r="B55" s="223" t="s">
        <v>136</v>
      </c>
      <c r="C55" s="227"/>
      <c r="D55" s="194"/>
      <c r="E55" s="186">
        <v>41548</v>
      </c>
      <c r="F55" s="186" t="s">
        <v>366</v>
      </c>
      <c r="G55" s="187" t="s">
        <v>92</v>
      </c>
      <c r="H55" s="483">
        <f>C$27/12</f>
        <v>1.225E-3</v>
      </c>
      <c r="I55" s="188">
        <f>(SUM('1.  LRAMVA Summary'!C$22:C$27)+SUM('1.  LRAMVA Summary'!C$28:C$29)*(MONTH($E55)-1)/12)*$H55</f>
        <v>3.2476508914876612</v>
      </c>
      <c r="J55" s="188">
        <f>(SUM('1.  LRAMVA Summary'!D$22:D$27)+SUM('1.  LRAMVA Summary'!D$28:D$29)*(MONTH($E55)-1)/12)*$H55</f>
        <v>42.686566184432493</v>
      </c>
      <c r="K55" s="188">
        <f>(SUM('1.  LRAMVA Summary'!E$22:E$27)+SUM('1.  LRAMVA Summary'!E$28:E$29)*(MONTH($E55)-1)/12)*$H55</f>
        <v>-1.4623748918907211</v>
      </c>
      <c r="L55" s="188">
        <f>(SUM('1.  LRAMVA Summary'!F$22:F$27)+SUM('1.  LRAMVA Summary'!F$28:F$29)*(MONTH($E55)-1)/12)*$H55</f>
        <v>-1.379138650538251</v>
      </c>
      <c r="M55" s="188">
        <f>(SUM('1.  LRAMVA Summary'!G$22:G$27)+SUM('1.  LRAMVA Summary'!G$28:G$29)*(MONTH($E55)-1)/12)*$H55</f>
        <v>-0.14989243673464636</v>
      </c>
      <c r="N55" s="188">
        <f>(SUM('1.  LRAMVA Summary'!H$22:H$27)+SUM('1.  LRAMVA Summary'!H$28:H$29)*(MONTH($E55)-1)/12)*$H55</f>
        <v>-1.7626171961580339E-2</v>
      </c>
      <c r="O55" s="188">
        <f>(SUM('1.  LRAMVA Summary'!I$22:I$27)+SUM('1.  LRAMVA Summary'!I$28:I$29)*(MONTH($E55)-1)/12)*$H55</f>
        <v>-0.68533986208935138</v>
      </c>
      <c r="P55" s="189"/>
      <c r="Q55" s="189">
        <f t="shared" si="11"/>
        <v>42.239845062705605</v>
      </c>
    </row>
    <row r="56" spans="1:21" s="3" customFormat="1" ht="12.75" x14ac:dyDescent="0.2">
      <c r="D56" s="194"/>
      <c r="E56" s="186">
        <v>41579</v>
      </c>
      <c r="F56" s="186" t="s">
        <v>366</v>
      </c>
      <c r="G56" s="187" t="s">
        <v>92</v>
      </c>
      <c r="H56" s="482">
        <f t="shared" ref="H56:H57" si="15">C$27/12</f>
        <v>1.225E-3</v>
      </c>
      <c r="I56" s="188">
        <f>(SUM('1.  LRAMVA Summary'!C$22:C$27)+SUM('1.  LRAMVA Summary'!C$28:C$29)*(MONTH($E56)-1)/12)*$H56</f>
        <v>2.82119165625077</v>
      </c>
      <c r="J56" s="188">
        <f>(SUM('1.  LRAMVA Summary'!D$22:D$27)+SUM('1.  LRAMVA Summary'!D$28:D$29)*(MONTH($E56)-1)/12)*$H56</f>
        <v>44.311097177922626</v>
      </c>
      <c r="K56" s="188">
        <f>(SUM('1.  LRAMVA Summary'!E$22:E$27)+SUM('1.  LRAMVA Summary'!E$28:E$29)*(MONTH($E56)-1)/12)*$H56</f>
        <v>-1.8553788072818012</v>
      </c>
      <c r="L56" s="188">
        <f>(SUM('1.  LRAMVA Summary'!F$22:F$27)+SUM('1.  LRAMVA Summary'!F$28:F$29)*(MONTH($E56)-1)/12)*$H56</f>
        <v>-1.5346067084833739</v>
      </c>
      <c r="M56" s="188">
        <f>(SUM('1.  LRAMVA Summary'!G$22:G$27)+SUM('1.  LRAMVA Summary'!G$28:G$29)*(MONTH($E56)-1)/12)*$H56</f>
        <v>-0.16654715192738484</v>
      </c>
      <c r="N56" s="188">
        <f>(SUM('1.  LRAMVA Summary'!H$22:H$27)+SUM('1.  LRAMVA Summary'!H$28:H$29)*(MONTH($E56)-1)/12)*$H56</f>
        <v>-1.9584635512867044E-2</v>
      </c>
      <c r="O56" s="188">
        <f>(SUM('1.  LRAMVA Summary'!I$22:I$27)+SUM('1.  LRAMVA Summary'!I$28:I$29)*(MONTH($E56)-1)/12)*$H56</f>
        <v>-0.76148873565483488</v>
      </c>
      <c r="P56" s="189"/>
      <c r="Q56" s="189">
        <f t="shared" si="11"/>
        <v>42.794682795313136</v>
      </c>
    </row>
    <row r="57" spans="1:21" s="3" customFormat="1" ht="14.25" x14ac:dyDescent="0.2">
      <c r="B57" s="233" t="s">
        <v>369</v>
      </c>
      <c r="C57" s="4"/>
      <c r="D57" s="194"/>
      <c r="E57" s="186">
        <v>41609</v>
      </c>
      <c r="F57" s="186" t="s">
        <v>366</v>
      </c>
      <c r="G57" s="187" t="s">
        <v>92</v>
      </c>
      <c r="H57" s="482">
        <f t="shared" si="15"/>
        <v>1.225E-3</v>
      </c>
      <c r="I57" s="188">
        <f>(SUM('1.  LRAMVA Summary'!C$22:C$27)+SUM('1.  LRAMVA Summary'!C$28:C$29)*(MONTH($E57)-1)/12)*$H57</f>
        <v>2.3947324210138787</v>
      </c>
      <c r="J57" s="188">
        <f>(SUM('1.  LRAMVA Summary'!D$22:D$27)+SUM('1.  LRAMVA Summary'!D$28:D$29)*(MONTH($E57)-1)/12)*$H57</f>
        <v>45.935628171412759</v>
      </c>
      <c r="K57" s="188">
        <f>(SUM('1.  LRAMVA Summary'!E$22:E$27)+SUM('1.  LRAMVA Summary'!E$28:E$29)*(MONTH($E57)-1)/12)*$H57</f>
        <v>-2.248382722672881</v>
      </c>
      <c r="L57" s="188">
        <f>(SUM('1.  LRAMVA Summary'!F$22:F$27)+SUM('1.  LRAMVA Summary'!F$28:F$29)*(MONTH($E57)-1)/12)*$H57</f>
        <v>-1.6900747664284967</v>
      </c>
      <c r="M57" s="188">
        <f>(SUM('1.  LRAMVA Summary'!G$22:G$27)+SUM('1.  LRAMVA Summary'!G$28:G$29)*(MONTH($E57)-1)/12)*$H57</f>
        <v>-0.18320186712012332</v>
      </c>
      <c r="N57" s="188">
        <f>(SUM('1.  LRAMVA Summary'!H$22:H$27)+SUM('1.  LRAMVA Summary'!H$28:H$29)*(MONTH($E57)-1)/12)*$H57</f>
        <v>-2.1543099064153751E-2</v>
      </c>
      <c r="O57" s="188">
        <f>(SUM('1.  LRAMVA Summary'!I$22:I$27)+SUM('1.  LRAMVA Summary'!I$28:I$29)*(MONTH($E57)-1)/12)*$H57</f>
        <v>-0.83763760922031838</v>
      </c>
      <c r="P57" s="189"/>
      <c r="Q57" s="189">
        <f t="shared" si="11"/>
        <v>43.349520527920667</v>
      </c>
    </row>
    <row r="58" spans="1:21" s="3" customFormat="1" ht="13.5" thickBot="1" x14ac:dyDescent="0.25">
      <c r="B58" s="4"/>
      <c r="C58" s="4"/>
      <c r="D58" s="194"/>
      <c r="E58" s="198" t="s">
        <v>380</v>
      </c>
      <c r="F58" s="198"/>
      <c r="G58" s="199"/>
      <c r="H58" s="479"/>
      <c r="I58" s="200">
        <f>SUM(I45:I57)</f>
        <v>126.50487662990966</v>
      </c>
      <c r="J58" s="200">
        <f t="shared" ref="J58:P58" si="16">SUM(J45:J57)</f>
        <v>696.16808857164096</v>
      </c>
      <c r="K58" s="200">
        <f t="shared" si="16"/>
        <v>15.889264710090513</v>
      </c>
      <c r="L58" s="200">
        <f t="shared" si="16"/>
        <v>-9.7852435703444574</v>
      </c>
      <c r="M58" s="200">
        <f t="shared" si="16"/>
        <v>-1.0992112027207401</v>
      </c>
      <c r="N58" s="200">
        <f t="shared" si="16"/>
        <v>-0.12925859438492249</v>
      </c>
      <c r="O58" s="200">
        <f t="shared" si="16"/>
        <v>-5.0258256553219107</v>
      </c>
      <c r="P58" s="200">
        <f t="shared" si="16"/>
        <v>0</v>
      </c>
      <c r="Q58" s="200">
        <f>SUM(Q45:Q57)</f>
        <v>822.52269088886908</v>
      </c>
    </row>
    <row r="59" spans="1:21" s="3" customFormat="1" ht="13.5" thickTop="1" x14ac:dyDescent="0.2">
      <c r="D59" s="194"/>
      <c r="E59" s="229" t="s">
        <v>90</v>
      </c>
      <c r="F59" s="229"/>
      <c r="G59" s="230"/>
      <c r="H59" s="480"/>
      <c r="I59" s="231"/>
      <c r="J59" s="231"/>
      <c r="K59" s="231"/>
      <c r="L59" s="231"/>
      <c r="M59" s="231"/>
      <c r="N59" s="231"/>
      <c r="O59" s="231"/>
      <c r="P59" s="231"/>
      <c r="Q59" s="232"/>
    </row>
    <row r="60" spans="1:21" s="3" customFormat="1" ht="12.75" x14ac:dyDescent="0.2">
      <c r="D60" s="194"/>
      <c r="E60" s="195" t="s">
        <v>387</v>
      </c>
      <c r="F60" s="195"/>
      <c r="G60" s="196"/>
      <c r="H60" s="481"/>
      <c r="I60" s="197">
        <f t="shared" ref="I60:Q60" si="17">I58+I59</f>
        <v>126.50487662990966</v>
      </c>
      <c r="J60" s="197">
        <f t="shared" si="17"/>
        <v>696.16808857164096</v>
      </c>
      <c r="K60" s="197">
        <f t="shared" si="17"/>
        <v>15.889264710090513</v>
      </c>
      <c r="L60" s="197">
        <f t="shared" si="17"/>
        <v>-9.7852435703444574</v>
      </c>
      <c r="M60" s="197">
        <f t="shared" si="17"/>
        <v>-1.0992112027207401</v>
      </c>
      <c r="N60" s="197">
        <f t="shared" si="17"/>
        <v>-0.12925859438492249</v>
      </c>
      <c r="O60" s="197">
        <f t="shared" si="17"/>
        <v>-5.0258256553219107</v>
      </c>
      <c r="P60" s="197">
        <f t="shared" si="17"/>
        <v>0</v>
      </c>
      <c r="Q60" s="197">
        <f t="shared" si="17"/>
        <v>822.52269088886908</v>
      </c>
    </row>
    <row r="61" spans="1:21" s="3" customFormat="1" ht="12.75" x14ac:dyDescent="0.2">
      <c r="D61" s="194"/>
      <c r="E61" s="186">
        <v>41640</v>
      </c>
      <c r="F61" s="186" t="s">
        <v>367</v>
      </c>
      <c r="G61" s="187" t="s">
        <v>88</v>
      </c>
      <c r="H61" s="483">
        <f>C$28/12</f>
        <v>1.225E-3</v>
      </c>
      <c r="I61" s="188">
        <f>(SUM('1.  LRAMVA Summary'!C$22:C$30)+SUM('1.  LRAMVA Summary'!C$31:C$32)*(MONTH($E61)-1)/12)*$H61</f>
        <v>1.9682731857769873</v>
      </c>
      <c r="J61" s="188">
        <f>(SUM('1.  LRAMVA Summary'!D$22:D$30)+SUM('1.  LRAMVA Summary'!D$31:D$32)*(MONTH($E61)-1)/12)*$H61</f>
        <v>47.560159164902899</v>
      </c>
      <c r="K61" s="188">
        <f>(SUM('1.  LRAMVA Summary'!E$22:E$30)+SUM('1.  LRAMVA Summary'!E$31:E$32)*(MONTH($E61)-1)/12)*$H61</f>
        <v>-2.6413866380639619</v>
      </c>
      <c r="L61" s="188">
        <f>(SUM('1.  LRAMVA Summary'!F$22:F$30)+SUM('1.  LRAMVA Summary'!F$31:F$32)*(MONTH($E61)-1)/12)*$H61</f>
        <v>-1.8455428243736194</v>
      </c>
      <c r="M61" s="188">
        <f>(SUM('1.  LRAMVA Summary'!G$22:G$30)+SUM('1.  LRAMVA Summary'!G$31:G$32)*(MONTH($E61)-1)/12)*$H61</f>
        <v>-0.19985658231286182</v>
      </c>
      <c r="N61" s="188">
        <f>(SUM('1.  LRAMVA Summary'!H$22:H$30)+SUM('1.  LRAMVA Summary'!H$31:H$32)*(MONTH($E61)-1)/12)*$H61</f>
        <v>-2.3501562615440452E-2</v>
      </c>
      <c r="O61" s="188">
        <f>(SUM('1.  LRAMVA Summary'!I$22:I$30)+SUM('1.  LRAMVA Summary'!I$31:I$32)*(MONTH($E61)-1)/12)*$H61</f>
        <v>-0.91378648278580177</v>
      </c>
      <c r="P61" s="189"/>
      <c r="Q61" s="189">
        <f t="shared" ref="Q61:Q72" si="18">SUM(I61:P61)</f>
        <v>43.904358260528198</v>
      </c>
    </row>
    <row r="62" spans="1:21" s="3" customFormat="1" ht="12.75" x14ac:dyDescent="0.2">
      <c r="A62" s="14"/>
      <c r="E62" s="186">
        <v>41671</v>
      </c>
      <c r="F62" s="186" t="s">
        <v>367</v>
      </c>
      <c r="G62" s="187" t="s">
        <v>88</v>
      </c>
      <c r="H62" s="482">
        <f t="shared" ref="H62:H63" si="19">C$28/12</f>
        <v>1.225E-3</v>
      </c>
      <c r="I62" s="188">
        <f>(SUM('1.  LRAMVA Summary'!C$22:C$30)+SUM('1.  LRAMVA Summary'!C$31:C$32)*(MONTH($E62)-1)/12)*$H62</f>
        <v>1.8950655427762164</v>
      </c>
      <c r="J62" s="188">
        <f>(SUM('1.  LRAMVA Summary'!D$22:D$30)+SUM('1.  LRAMVA Summary'!D$31:D$32)*(MONTH($E62)-1)/12)*$H62</f>
        <v>51.972307850050306</v>
      </c>
      <c r="K62" s="188">
        <f>(SUM('1.  LRAMVA Summary'!E$22:E$30)+SUM('1.  LRAMVA Summary'!E$31:E$32)*(MONTH($E62)-1)/12)*$H62</f>
        <v>-3.2387219675248553</v>
      </c>
      <c r="L62" s="188">
        <f>(SUM('1.  LRAMVA Summary'!F$22:F$30)+SUM('1.  LRAMVA Summary'!F$31:F$32)*(MONTH($E62)-1)/12)*$H62</f>
        <v>-2.0109178966350205</v>
      </c>
      <c r="M62" s="188">
        <f>(SUM('1.  LRAMVA Summary'!G$22:G$30)+SUM('1.  LRAMVA Summary'!G$31:G$32)*(MONTH($E62)-1)/12)*$H62</f>
        <v>-0.20986550294076842</v>
      </c>
      <c r="N62" s="188">
        <f>(SUM('1.  LRAMVA Summary'!H$22:H$30)+SUM('1.  LRAMVA Summary'!H$31:H$32)*(MONTH($E62)-1)/12)*$H62</f>
        <v>-2.5479061035336183E-2</v>
      </c>
      <c r="O62" s="188">
        <f>(SUM('1.  LRAMVA Summary'!I$22:I$30)+SUM('1.  LRAMVA Summary'!I$31:I$32)*(MONTH($E62)-1)/12)*$H62</f>
        <v>-0.95847349510666946</v>
      </c>
      <c r="P62" s="189"/>
      <c r="Q62" s="189">
        <f t="shared" si="18"/>
        <v>47.423915469583882</v>
      </c>
    </row>
    <row r="63" spans="1:21" ht="15" x14ac:dyDescent="0.25">
      <c r="A63" s="2"/>
      <c r="C63" s="2"/>
      <c r="E63" s="186">
        <v>41699</v>
      </c>
      <c r="F63" s="186" t="s">
        <v>367</v>
      </c>
      <c r="G63" s="187" t="s">
        <v>88</v>
      </c>
      <c r="H63" s="482">
        <f t="shared" si="19"/>
        <v>1.225E-3</v>
      </c>
      <c r="I63" s="188">
        <f>(SUM('1.  LRAMVA Summary'!C$22:C$30)+SUM('1.  LRAMVA Summary'!C$31:C$32)*(MONTH($E63)-1)/12)*$H63</f>
        <v>1.8218578997754451</v>
      </c>
      <c r="J63" s="188">
        <f>(SUM('1.  LRAMVA Summary'!D$22:D$30)+SUM('1.  LRAMVA Summary'!D$31:D$32)*(MONTH($E63)-1)/12)*$H63</f>
        <v>56.384456535197721</v>
      </c>
      <c r="K63" s="188">
        <f>(SUM('1.  LRAMVA Summary'!E$22:E$30)+SUM('1.  LRAMVA Summary'!E$31:E$32)*(MONTH($E63)-1)/12)*$H63</f>
        <v>-3.8360572969857487</v>
      </c>
      <c r="L63" s="188">
        <f>(SUM('1.  LRAMVA Summary'!F$22:F$30)+SUM('1.  LRAMVA Summary'!F$31:F$32)*(MONTH($E63)-1)/12)*$H63</f>
        <v>-2.1762929688964219</v>
      </c>
      <c r="M63" s="188">
        <f>(SUM('1.  LRAMVA Summary'!G$22:G$30)+SUM('1.  LRAMVA Summary'!G$31:G$32)*(MONTH($E63)-1)/12)*$H63</f>
        <v>-0.21987442356867504</v>
      </c>
      <c r="N63" s="188">
        <f>(SUM('1.  LRAMVA Summary'!H$22:H$30)+SUM('1.  LRAMVA Summary'!H$31:H$32)*(MONTH($E63)-1)/12)*$H63</f>
        <v>-2.745655945523191E-2</v>
      </c>
      <c r="O63" s="188">
        <f>(SUM('1.  LRAMVA Summary'!I$22:I$30)+SUM('1.  LRAMVA Summary'!I$31:I$32)*(MONTH($E63)-1)/12)*$H63</f>
        <v>-1.0031605074275369</v>
      </c>
      <c r="P63" s="189"/>
      <c r="Q63" s="189">
        <f t="shared" si="18"/>
        <v>50.943472678639552</v>
      </c>
      <c r="R63" s="2"/>
      <c r="S63" s="2"/>
      <c r="T63" s="2"/>
      <c r="U63" s="2"/>
    </row>
    <row r="64" spans="1:21" ht="15" x14ac:dyDescent="0.25">
      <c r="A64" s="2"/>
      <c r="C64" s="2"/>
      <c r="E64" s="186">
        <v>41730</v>
      </c>
      <c r="F64" s="186" t="s">
        <v>367</v>
      </c>
      <c r="G64" s="187" t="s">
        <v>89</v>
      </c>
      <c r="H64" s="483">
        <f>C$29/12</f>
        <v>1.225E-3</v>
      </c>
      <c r="I64" s="188">
        <f>(SUM('1.  LRAMVA Summary'!C$22:C$30)+SUM('1.  LRAMVA Summary'!C$31:C$32)*(MONTH($E64)-1)/12)*$H64</f>
        <v>1.748650256774674</v>
      </c>
      <c r="J64" s="188">
        <f>(SUM('1.  LRAMVA Summary'!D$22:D$30)+SUM('1.  LRAMVA Summary'!D$31:D$32)*(MONTH($E64)-1)/12)*$H64</f>
        <v>60.796605220345135</v>
      </c>
      <c r="K64" s="188">
        <f>(SUM('1.  LRAMVA Summary'!E$22:E$30)+SUM('1.  LRAMVA Summary'!E$31:E$32)*(MONTH($E64)-1)/12)*$H64</f>
        <v>-4.4333926264466417</v>
      </c>
      <c r="L64" s="188">
        <f>(SUM('1.  LRAMVA Summary'!F$22:F$30)+SUM('1.  LRAMVA Summary'!F$31:F$32)*(MONTH($E64)-1)/12)*$H64</f>
        <v>-2.3416680411578232</v>
      </c>
      <c r="M64" s="188">
        <f>(SUM('1.  LRAMVA Summary'!G$22:G$30)+SUM('1.  LRAMVA Summary'!G$31:G$32)*(MONTH($E64)-1)/12)*$H64</f>
        <v>-0.22988334419658163</v>
      </c>
      <c r="N64" s="188">
        <f>(SUM('1.  LRAMVA Summary'!H$22:H$30)+SUM('1.  LRAMVA Summary'!H$31:H$32)*(MONTH($E64)-1)/12)*$H64</f>
        <v>-2.943405787512764E-2</v>
      </c>
      <c r="O64" s="188">
        <f>(SUM('1.  LRAMVA Summary'!I$22:I$30)+SUM('1.  LRAMVA Summary'!I$31:I$32)*(MONTH($E64)-1)/12)*$H64</f>
        <v>-1.0478475197484047</v>
      </c>
      <c r="P64" s="189"/>
      <c r="Q64" s="189">
        <f t="shared" si="18"/>
        <v>54.463029887695235</v>
      </c>
      <c r="R64" s="2"/>
      <c r="S64" s="2"/>
      <c r="T64" s="2"/>
      <c r="U64" s="2"/>
    </row>
    <row r="65" spans="1:21" ht="15" x14ac:dyDescent="0.25">
      <c r="A65" s="2"/>
      <c r="C65" s="2"/>
      <c r="E65" s="186">
        <v>41760</v>
      </c>
      <c r="F65" s="186" t="s">
        <v>367</v>
      </c>
      <c r="G65" s="187" t="s">
        <v>89</v>
      </c>
      <c r="H65" s="482">
        <f t="shared" ref="H65:H66" si="20">C$29/12</f>
        <v>1.225E-3</v>
      </c>
      <c r="I65" s="188">
        <f>(SUM('1.  LRAMVA Summary'!C$22:C$30)+SUM('1.  LRAMVA Summary'!C$31:C$32)*(MONTH($E65)-1)/12)*$H65</f>
        <v>1.6754426137739031</v>
      </c>
      <c r="J65" s="188">
        <f>(SUM('1.  LRAMVA Summary'!D$22:D$30)+SUM('1.  LRAMVA Summary'!D$31:D$32)*(MONTH($E65)-1)/12)*$H65</f>
        <v>65.208753905492543</v>
      </c>
      <c r="K65" s="188">
        <f>(SUM('1.  LRAMVA Summary'!E$22:E$30)+SUM('1.  LRAMVA Summary'!E$31:E$32)*(MONTH($E65)-1)/12)*$H65</f>
        <v>-5.030727955907536</v>
      </c>
      <c r="L65" s="188">
        <f>(SUM('1.  LRAMVA Summary'!F$22:F$30)+SUM('1.  LRAMVA Summary'!F$31:F$32)*(MONTH($E65)-1)/12)*$H65</f>
        <v>-2.5070431134192241</v>
      </c>
      <c r="M65" s="188">
        <f>(SUM('1.  LRAMVA Summary'!G$22:G$30)+SUM('1.  LRAMVA Summary'!G$31:G$32)*(MONTH($E65)-1)/12)*$H65</f>
        <v>-0.23989226482448825</v>
      </c>
      <c r="N65" s="188">
        <f>(SUM('1.  LRAMVA Summary'!H$22:H$30)+SUM('1.  LRAMVA Summary'!H$31:H$32)*(MONTH($E65)-1)/12)*$H65</f>
        <v>-3.1411556295023367E-2</v>
      </c>
      <c r="O65" s="188">
        <f>(SUM('1.  LRAMVA Summary'!I$22:I$30)+SUM('1.  LRAMVA Summary'!I$31:I$32)*(MONTH($E65)-1)/12)*$H65</f>
        <v>-1.0925345320692723</v>
      </c>
      <c r="P65" s="189"/>
      <c r="Q65" s="189">
        <f t="shared" si="18"/>
        <v>57.982587096750905</v>
      </c>
      <c r="R65" s="2"/>
      <c r="S65" s="2"/>
      <c r="T65" s="2"/>
      <c r="U65" s="2"/>
    </row>
    <row r="66" spans="1:21" s="3" customFormat="1" ht="12.75" x14ac:dyDescent="0.2">
      <c r="B66" s="56"/>
      <c r="E66" s="186">
        <v>41791</v>
      </c>
      <c r="F66" s="186" t="s">
        <v>367</v>
      </c>
      <c r="G66" s="187" t="s">
        <v>89</v>
      </c>
      <c r="H66" s="482">
        <f t="shared" si="20"/>
        <v>1.225E-3</v>
      </c>
      <c r="I66" s="188">
        <f>(SUM('1.  LRAMVA Summary'!C$22:C$30)+SUM('1.  LRAMVA Summary'!C$31:C$32)*(MONTH($E66)-1)/12)*$H66</f>
        <v>1.6022349707731318</v>
      </c>
      <c r="J66" s="188">
        <f>(SUM('1.  LRAMVA Summary'!D$22:D$30)+SUM('1.  LRAMVA Summary'!D$31:D$32)*(MONTH($E66)-1)/12)*$H66</f>
        <v>69.620902590639957</v>
      </c>
      <c r="K66" s="188">
        <f>(SUM('1.  LRAMVA Summary'!E$22:E$30)+SUM('1.  LRAMVA Summary'!E$31:E$32)*(MONTH($E66)-1)/12)*$H66</f>
        <v>-5.6280632853684294</v>
      </c>
      <c r="L66" s="188">
        <f>(SUM('1.  LRAMVA Summary'!F$22:F$30)+SUM('1.  LRAMVA Summary'!F$31:F$32)*(MONTH($E66)-1)/12)*$H66</f>
        <v>-2.6724181856806255</v>
      </c>
      <c r="M66" s="188">
        <f>(SUM('1.  LRAMVA Summary'!G$22:G$30)+SUM('1.  LRAMVA Summary'!G$31:G$32)*(MONTH($E66)-1)/12)*$H66</f>
        <v>-0.24990118545239484</v>
      </c>
      <c r="N66" s="188">
        <f>(SUM('1.  LRAMVA Summary'!H$22:H$30)+SUM('1.  LRAMVA Summary'!H$31:H$32)*(MONTH($E66)-1)/12)*$H66</f>
        <v>-3.3389054714919097E-2</v>
      </c>
      <c r="O66" s="188">
        <f>(SUM('1.  LRAMVA Summary'!I$22:I$30)+SUM('1.  LRAMVA Summary'!I$31:I$32)*(MONTH($E66)-1)/12)*$H66</f>
        <v>-1.1372215443901399</v>
      </c>
      <c r="P66" s="189"/>
      <c r="Q66" s="189">
        <f t="shared" si="18"/>
        <v>61.502144305806581</v>
      </c>
    </row>
    <row r="67" spans="1:21" s="3" customFormat="1" ht="12.75" x14ac:dyDescent="0.2">
      <c r="B67" s="56"/>
      <c r="E67" s="186">
        <v>41821</v>
      </c>
      <c r="F67" s="186" t="s">
        <v>367</v>
      </c>
      <c r="G67" s="187" t="s">
        <v>91</v>
      </c>
      <c r="H67" s="483">
        <f>C$30/12</f>
        <v>1.225E-3</v>
      </c>
      <c r="I67" s="188">
        <f>(SUM('1.  LRAMVA Summary'!C$22:C$30)+SUM('1.  LRAMVA Summary'!C$31:C$32)*(MONTH($E67)-1)/12)*$H67</f>
        <v>1.5290273277723609</v>
      </c>
      <c r="J67" s="188">
        <f>(SUM('1.  LRAMVA Summary'!D$22:D$30)+SUM('1.  LRAMVA Summary'!D$31:D$32)*(MONTH($E67)-1)/12)*$H67</f>
        <v>74.033051275787372</v>
      </c>
      <c r="K67" s="188">
        <f>(SUM('1.  LRAMVA Summary'!E$22:E$30)+SUM('1.  LRAMVA Summary'!E$31:E$32)*(MONTH($E67)-1)/12)*$H67</f>
        <v>-6.2253986148293228</v>
      </c>
      <c r="L67" s="188">
        <f>(SUM('1.  LRAMVA Summary'!F$22:F$30)+SUM('1.  LRAMVA Summary'!F$31:F$32)*(MONTH($E67)-1)/12)*$H67</f>
        <v>-2.8377932579420273</v>
      </c>
      <c r="M67" s="188">
        <f>(SUM('1.  LRAMVA Summary'!G$22:G$30)+SUM('1.  LRAMVA Summary'!G$31:G$32)*(MONTH($E67)-1)/12)*$H67</f>
        <v>-0.25991010608030146</v>
      </c>
      <c r="N67" s="188">
        <f>(SUM('1.  LRAMVA Summary'!H$22:H$30)+SUM('1.  LRAMVA Summary'!H$31:H$32)*(MONTH($E67)-1)/12)*$H67</f>
        <v>-3.5366553134814828E-2</v>
      </c>
      <c r="O67" s="188">
        <f>(SUM('1.  LRAMVA Summary'!I$22:I$30)+SUM('1.  LRAMVA Summary'!I$31:I$32)*(MONTH($E67)-1)/12)*$H67</f>
        <v>-1.1819085567110075</v>
      </c>
      <c r="P67" s="189"/>
      <c r="Q67" s="189">
        <f t="shared" si="18"/>
        <v>65.021701514862258</v>
      </c>
    </row>
    <row r="68" spans="1:21" s="3" customFormat="1" ht="12.75" x14ac:dyDescent="0.2">
      <c r="B68" s="56"/>
      <c r="E68" s="186">
        <v>41852</v>
      </c>
      <c r="F68" s="186" t="s">
        <v>367</v>
      </c>
      <c r="G68" s="187" t="s">
        <v>91</v>
      </c>
      <c r="H68" s="482">
        <f t="shared" ref="H68:H69" si="21">C$30/12</f>
        <v>1.225E-3</v>
      </c>
      <c r="I68" s="188">
        <f>(SUM('1.  LRAMVA Summary'!C$22:C$30)+SUM('1.  LRAMVA Summary'!C$31:C$32)*(MONTH($E68)-1)/12)*$H68</f>
        <v>1.4558196847715899</v>
      </c>
      <c r="J68" s="188">
        <f>(SUM('1.  LRAMVA Summary'!D$22:D$30)+SUM('1.  LRAMVA Summary'!D$31:D$32)*(MONTH($E68)-1)/12)*$H68</f>
        <v>78.445199960934772</v>
      </c>
      <c r="K68" s="188">
        <f>(SUM('1.  LRAMVA Summary'!E$22:E$30)+SUM('1.  LRAMVA Summary'!E$31:E$32)*(MONTH($E68)-1)/12)*$H68</f>
        <v>-6.8227339442902171</v>
      </c>
      <c r="L68" s="188">
        <f>(SUM('1.  LRAMVA Summary'!F$22:F$30)+SUM('1.  LRAMVA Summary'!F$31:F$32)*(MONTH($E68)-1)/12)*$H68</f>
        <v>-3.0031683302034282</v>
      </c>
      <c r="M68" s="188">
        <f>(SUM('1.  LRAMVA Summary'!G$22:G$30)+SUM('1.  LRAMVA Summary'!G$31:G$32)*(MONTH($E68)-1)/12)*$H68</f>
        <v>-0.26991902670820805</v>
      </c>
      <c r="N68" s="188">
        <f>(SUM('1.  LRAMVA Summary'!H$22:H$30)+SUM('1.  LRAMVA Summary'!H$31:H$32)*(MONTH($E68)-1)/12)*$H68</f>
        <v>-3.7344051554710551E-2</v>
      </c>
      <c r="O68" s="188">
        <f>(SUM('1.  LRAMVA Summary'!I$22:I$30)+SUM('1.  LRAMVA Summary'!I$31:I$32)*(MONTH($E68)-1)/12)*$H68</f>
        <v>-1.2265955690318751</v>
      </c>
      <c r="P68" s="189"/>
      <c r="Q68" s="189">
        <f t="shared" si="18"/>
        <v>68.54125872391792</v>
      </c>
    </row>
    <row r="69" spans="1:21" s="3" customFormat="1" ht="12.75" x14ac:dyDescent="0.2">
      <c r="B69" s="56"/>
      <c r="E69" s="186">
        <v>41883</v>
      </c>
      <c r="F69" s="186" t="s">
        <v>367</v>
      </c>
      <c r="G69" s="187" t="s">
        <v>91</v>
      </c>
      <c r="H69" s="482">
        <f t="shared" si="21"/>
        <v>1.225E-3</v>
      </c>
      <c r="I69" s="188">
        <f>(SUM('1.  LRAMVA Summary'!C$22:C$30)+SUM('1.  LRAMVA Summary'!C$31:C$32)*(MONTH($E69)-1)/12)*$H69</f>
        <v>1.3826120417708188</v>
      </c>
      <c r="J69" s="188">
        <f>(SUM('1.  LRAMVA Summary'!D$22:D$30)+SUM('1.  LRAMVA Summary'!D$31:D$32)*(MONTH($E69)-1)/12)*$H69</f>
        <v>82.857348646082187</v>
      </c>
      <c r="K69" s="188">
        <f>(SUM('1.  LRAMVA Summary'!E$22:E$30)+SUM('1.  LRAMVA Summary'!E$31:E$32)*(MONTH($E69)-1)/12)*$H69</f>
        <v>-7.4200692737511105</v>
      </c>
      <c r="L69" s="188">
        <f>(SUM('1.  LRAMVA Summary'!F$22:F$30)+SUM('1.  LRAMVA Summary'!F$31:F$32)*(MONTH($E69)-1)/12)*$H69</f>
        <v>-3.1685434024648296</v>
      </c>
      <c r="M69" s="188">
        <f>(SUM('1.  LRAMVA Summary'!G$22:G$30)+SUM('1.  LRAMVA Summary'!G$31:G$32)*(MONTH($E69)-1)/12)*$H69</f>
        <v>-0.27992794733611465</v>
      </c>
      <c r="N69" s="188">
        <f>(SUM('1.  LRAMVA Summary'!H$22:H$30)+SUM('1.  LRAMVA Summary'!H$31:H$32)*(MONTH($E69)-1)/12)*$H69</f>
        <v>-3.9321549974606289E-2</v>
      </c>
      <c r="O69" s="188">
        <f>(SUM('1.  LRAMVA Summary'!I$22:I$30)+SUM('1.  LRAMVA Summary'!I$31:I$32)*(MONTH($E69)-1)/12)*$H69</f>
        <v>-1.2712825813527429</v>
      </c>
      <c r="P69" s="189"/>
      <c r="Q69" s="189">
        <f t="shared" si="18"/>
        <v>72.060815932973597</v>
      </c>
    </row>
    <row r="70" spans="1:21" s="3" customFormat="1" ht="12.75" x14ac:dyDescent="0.2">
      <c r="B70" s="56"/>
      <c r="E70" s="186">
        <v>41913</v>
      </c>
      <c r="F70" s="186" t="s">
        <v>367</v>
      </c>
      <c r="G70" s="187" t="s">
        <v>92</v>
      </c>
      <c r="H70" s="483">
        <f>C$31/12</f>
        <v>1.225E-3</v>
      </c>
      <c r="I70" s="188">
        <f>(SUM('1.  LRAMVA Summary'!C$22:C$30)+SUM('1.  LRAMVA Summary'!C$31:C$32)*(MONTH($E70)-1)/12)*$H70</f>
        <v>1.3094043987700477</v>
      </c>
      <c r="J70" s="188">
        <f>(SUM('1.  LRAMVA Summary'!D$22:D$30)+SUM('1.  LRAMVA Summary'!D$31:D$32)*(MONTH($E70)-1)/12)*$H70</f>
        <v>87.269497331229601</v>
      </c>
      <c r="K70" s="188">
        <f>(SUM('1.  LRAMVA Summary'!E$22:E$30)+SUM('1.  LRAMVA Summary'!E$31:E$32)*(MONTH($E70)-1)/12)*$H70</f>
        <v>-8.0174046032120039</v>
      </c>
      <c r="L70" s="188">
        <f>(SUM('1.  LRAMVA Summary'!F$22:F$30)+SUM('1.  LRAMVA Summary'!F$31:F$32)*(MONTH($E70)-1)/12)*$H70</f>
        <v>-3.3339184747262309</v>
      </c>
      <c r="M70" s="188">
        <f>(SUM('1.  LRAMVA Summary'!G$22:G$30)+SUM('1.  LRAMVA Summary'!G$31:G$32)*(MONTH($E70)-1)/12)*$H70</f>
        <v>-0.28993686796402124</v>
      </c>
      <c r="N70" s="188">
        <f>(SUM('1.  LRAMVA Summary'!H$22:H$30)+SUM('1.  LRAMVA Summary'!H$31:H$32)*(MONTH($E70)-1)/12)*$H70</f>
        <v>-4.1299048394502012E-2</v>
      </c>
      <c r="O70" s="188">
        <f>(SUM('1.  LRAMVA Summary'!I$22:I$30)+SUM('1.  LRAMVA Summary'!I$31:I$32)*(MONTH($E70)-1)/12)*$H70</f>
        <v>-1.3159695936736104</v>
      </c>
      <c r="P70" s="189"/>
      <c r="Q70" s="189">
        <f t="shared" si="18"/>
        <v>75.580373142029273</v>
      </c>
    </row>
    <row r="71" spans="1:21" s="3" customFormat="1" ht="12.75" x14ac:dyDescent="0.2">
      <c r="B71" s="56"/>
      <c r="E71" s="186">
        <v>41944</v>
      </c>
      <c r="F71" s="186" t="s">
        <v>367</v>
      </c>
      <c r="G71" s="187" t="s">
        <v>92</v>
      </c>
      <c r="H71" s="482">
        <f t="shared" ref="H71:H72" si="22">C$31/12</f>
        <v>1.225E-3</v>
      </c>
      <c r="I71" s="188">
        <f>(SUM('1.  LRAMVA Summary'!C$22:C$30)+SUM('1.  LRAMVA Summary'!C$31:C$32)*(MONTH($E71)-1)/12)*$H71</f>
        <v>1.2361967557692766</v>
      </c>
      <c r="J71" s="188">
        <f>(SUM('1.  LRAMVA Summary'!D$22:D$30)+SUM('1.  LRAMVA Summary'!D$31:D$32)*(MONTH($E71)-1)/12)*$H71</f>
        <v>91.681646016377016</v>
      </c>
      <c r="K71" s="188">
        <f>(SUM('1.  LRAMVA Summary'!E$22:E$30)+SUM('1.  LRAMVA Summary'!E$31:E$32)*(MONTH($E71)-1)/12)*$H71</f>
        <v>-8.6147399326728973</v>
      </c>
      <c r="L71" s="188">
        <f>(SUM('1.  LRAMVA Summary'!F$22:F$30)+SUM('1.  LRAMVA Summary'!F$31:F$32)*(MONTH($E71)-1)/12)*$H71</f>
        <v>-3.4992935469876318</v>
      </c>
      <c r="M71" s="188">
        <f>(SUM('1.  LRAMVA Summary'!G$22:G$30)+SUM('1.  LRAMVA Summary'!G$31:G$32)*(MONTH($E71)-1)/12)*$H71</f>
        <v>-0.29994578859192789</v>
      </c>
      <c r="N71" s="188">
        <f>(SUM('1.  LRAMVA Summary'!H$22:H$30)+SUM('1.  LRAMVA Summary'!H$31:H$32)*(MONTH($E71)-1)/12)*$H71</f>
        <v>-4.3276546814397743E-2</v>
      </c>
      <c r="O71" s="188">
        <f>(SUM('1.  LRAMVA Summary'!I$22:I$30)+SUM('1.  LRAMVA Summary'!I$31:I$32)*(MONTH($E71)-1)/12)*$H71</f>
        <v>-1.360656605994478</v>
      </c>
      <c r="P71" s="189"/>
      <c r="Q71" s="189">
        <f t="shared" si="18"/>
        <v>79.09993035108495</v>
      </c>
    </row>
    <row r="72" spans="1:21" s="3" customFormat="1" ht="12.75" x14ac:dyDescent="0.2">
      <c r="B72" s="56"/>
      <c r="E72" s="186">
        <v>41974</v>
      </c>
      <c r="F72" s="186" t="s">
        <v>367</v>
      </c>
      <c r="G72" s="187" t="s">
        <v>92</v>
      </c>
      <c r="H72" s="482">
        <f t="shared" si="22"/>
        <v>1.225E-3</v>
      </c>
      <c r="I72" s="188">
        <f>(SUM('1.  LRAMVA Summary'!C$22:C$30)+SUM('1.  LRAMVA Summary'!C$31:C$32)*(MONTH($E72)-1)/12)*$H72</f>
        <v>1.1629891127685057</v>
      </c>
      <c r="J72" s="188">
        <f>(SUM('1.  LRAMVA Summary'!D$22:D$30)+SUM('1.  LRAMVA Summary'!D$31:D$32)*(MONTH($E72)-1)/12)*$H72</f>
        <v>96.09379470152443</v>
      </c>
      <c r="K72" s="188">
        <f>(SUM('1.  LRAMVA Summary'!E$22:E$30)+SUM('1.  LRAMVA Summary'!E$31:E$32)*(MONTH($E72)-1)/12)*$H72</f>
        <v>-9.2120752621337907</v>
      </c>
      <c r="L72" s="188">
        <f>(SUM('1.  LRAMVA Summary'!F$22:F$30)+SUM('1.  LRAMVA Summary'!F$31:F$32)*(MONTH($E72)-1)/12)*$H72</f>
        <v>-3.6646686192490332</v>
      </c>
      <c r="M72" s="188">
        <f>(SUM('1.  LRAMVA Summary'!G$22:G$30)+SUM('1.  LRAMVA Summary'!G$31:G$32)*(MONTH($E72)-1)/12)*$H72</f>
        <v>-0.30995470921983448</v>
      </c>
      <c r="N72" s="188">
        <f>(SUM('1.  LRAMVA Summary'!H$22:H$30)+SUM('1.  LRAMVA Summary'!H$31:H$32)*(MONTH($E72)-1)/12)*$H72</f>
        <v>-4.5254045234293473E-2</v>
      </c>
      <c r="O72" s="188">
        <f>(SUM('1.  LRAMVA Summary'!I$22:I$30)+SUM('1.  LRAMVA Summary'!I$31:I$32)*(MONTH($E72)-1)/12)*$H72</f>
        <v>-1.4053436183153456</v>
      </c>
      <c r="P72" s="189"/>
      <c r="Q72" s="189">
        <f t="shared" si="18"/>
        <v>82.619487560140641</v>
      </c>
    </row>
    <row r="73" spans="1:21" s="3" customFormat="1" ht="13.5" thickBot="1" x14ac:dyDescent="0.25">
      <c r="B73" s="56"/>
      <c r="E73" s="198" t="s">
        <v>393</v>
      </c>
      <c r="F73" s="198"/>
      <c r="G73" s="199"/>
      <c r="H73" s="479"/>
      <c r="I73" s="200">
        <f>SUM(I60:I72)</f>
        <v>145.29245042118262</v>
      </c>
      <c r="J73" s="200">
        <f t="shared" ref="J73" si="23">SUM(J60:J72)</f>
        <v>1558.0918117702051</v>
      </c>
      <c r="K73" s="200">
        <f t="shared" ref="K73" si="24">SUM(K60:K72)</f>
        <v>-55.231506691096001</v>
      </c>
      <c r="L73" s="200">
        <f t="shared" ref="L73" si="25">SUM(L60:L72)</f>
        <v>-42.846512232080379</v>
      </c>
      <c r="M73" s="200">
        <f t="shared" ref="M73" si="26">SUM(M60:M72)</f>
        <v>-4.1580789519169175</v>
      </c>
      <c r="N73" s="200">
        <f t="shared" ref="N73" si="27">SUM(N60:N72)</f>
        <v>-0.54179224148332605</v>
      </c>
      <c r="O73" s="200">
        <f t="shared" ref="O73" si="28">SUM(O60:O72)</f>
        <v>-18.940606261928796</v>
      </c>
      <c r="P73" s="200">
        <f t="shared" ref="P73" si="29">SUM(P60:P72)</f>
        <v>0</v>
      </c>
      <c r="Q73" s="200">
        <f>SUM(Q60:Q72)</f>
        <v>1581.6657658128822</v>
      </c>
    </row>
    <row r="74" spans="1:21" s="3" customFormat="1" ht="13.5" thickTop="1" x14ac:dyDescent="0.2">
      <c r="B74" s="56"/>
      <c r="E74" s="229" t="s">
        <v>90</v>
      </c>
      <c r="F74" s="229"/>
      <c r="G74" s="230"/>
      <c r="H74" s="480"/>
      <c r="I74" s="231">
        <v>-155.9</v>
      </c>
      <c r="J74" s="231">
        <v>-2536.4899999999998</v>
      </c>
      <c r="K74" s="231">
        <v>150.72</v>
      </c>
      <c r="L74" s="231">
        <v>80.03</v>
      </c>
      <c r="M74" s="231">
        <v>7.27</v>
      </c>
      <c r="N74" s="231">
        <v>1</v>
      </c>
      <c r="O74" s="231">
        <v>33.06</v>
      </c>
      <c r="P74" s="231"/>
      <c r="Q74" s="232">
        <f>SUM(I74:P74)</f>
        <v>-2420.31</v>
      </c>
    </row>
    <row r="75" spans="1:21" s="3" customFormat="1" ht="12.75" x14ac:dyDescent="0.2">
      <c r="B75" s="56"/>
      <c r="E75" s="195" t="s">
        <v>388</v>
      </c>
      <c r="F75" s="195"/>
      <c r="G75" s="196"/>
      <c r="H75" s="481"/>
      <c r="I75" s="197">
        <f t="shared" ref="I75:Q75" si="30">I73+I74</f>
        <v>-10.607549578817384</v>
      </c>
      <c r="J75" s="197">
        <f t="shared" si="30"/>
        <v>-978.39818822979464</v>
      </c>
      <c r="K75" s="197">
        <f t="shared" si="30"/>
        <v>95.488493308903998</v>
      </c>
      <c r="L75" s="197">
        <f t="shared" si="30"/>
        <v>37.183487767919623</v>
      </c>
      <c r="M75" s="197">
        <f t="shared" si="30"/>
        <v>3.1119210480830821</v>
      </c>
      <c r="N75" s="197">
        <f t="shared" si="30"/>
        <v>0.45820775851667395</v>
      </c>
      <c r="O75" s="197">
        <f t="shared" si="30"/>
        <v>14.119393738071206</v>
      </c>
      <c r="P75" s="197">
        <f t="shared" si="30"/>
        <v>0</v>
      </c>
      <c r="Q75" s="197">
        <f t="shared" si="30"/>
        <v>-838.64423418711772</v>
      </c>
    </row>
    <row r="76" spans="1:21" s="3" customFormat="1" ht="12.75" x14ac:dyDescent="0.2">
      <c r="B76" s="56"/>
      <c r="E76" s="186">
        <v>42005</v>
      </c>
      <c r="F76" s="186" t="s">
        <v>368</v>
      </c>
      <c r="G76" s="187" t="s">
        <v>88</v>
      </c>
      <c r="H76" s="482">
        <f>C$32/12</f>
        <v>1.225E-3</v>
      </c>
      <c r="I76" s="188">
        <f>(SUM('1.  LRAMVA Summary'!C$22:C$33)+SUM('1.  LRAMVA Summary'!C$34:C$35)*(MONTH($E76)-1)/12)*$H76</f>
        <v>9.2197677337935606E-6</v>
      </c>
      <c r="J76" s="188">
        <f>(SUM('1.  LRAMVA Summary'!D$22:D$33)+SUM('1.  LRAMVA Summary'!D$34:D$35)*(MONTH($E76)-1)/12)*$H76</f>
        <v>-2.3633281751244792E-6</v>
      </c>
      <c r="K76" s="188">
        <f>(SUM('1.  LRAMVA Summary'!E$22:E$33)+SUM('1.  LRAMVA Summary'!E$34:E$35)*(MONTH($E76)-1)/12)*$H76</f>
        <v>-2.5915946832355986E-6</v>
      </c>
      <c r="L76" s="188">
        <f>(SUM('1.  LRAMVA Summary'!F$22:F$33)+SUM('1.  LRAMVA Summary'!F$34:F$35)*(MONTH($E76)-1)/12)*$H76</f>
        <v>-7.6915104347676782E-6</v>
      </c>
      <c r="M76" s="188">
        <f>(SUM('1.  LRAMVA Summary'!G$22:G$33)+SUM('1.  LRAMVA Summary'!G$34:G$35)*(MONTH($E76)-1)/12)*$H76</f>
        <v>6.3701522588871737E-6</v>
      </c>
      <c r="N76" s="188">
        <f>(SUM('1.  LRAMVA Summary'!H$22:H$33)+SUM('1.  LRAMVA Summary'!H$34:H$35)*(MONTH($E76)-1)/12)*$H76</f>
        <v>-7.7936541892047009E-6</v>
      </c>
      <c r="O76" s="188">
        <f>(SUM('1.  LRAMVA Summary'!I$22:I$33)+SUM('1.  LRAMVA Summary'!I$34:I$35)*(MONTH($E76)-1)/12)*$H76</f>
        <v>1.8693637868295809E-6</v>
      </c>
      <c r="P76" s="189"/>
      <c r="Q76" s="189">
        <f>SUM(I76:P76)</f>
        <v>-2.9808037028221416E-6</v>
      </c>
    </row>
    <row r="77" spans="1:21" s="15" customFormat="1" ht="12.75" x14ac:dyDescent="0.2">
      <c r="B77" s="220"/>
      <c r="E77" s="186">
        <v>42036</v>
      </c>
      <c r="F77" s="186" t="s">
        <v>368</v>
      </c>
      <c r="G77" s="187" t="s">
        <v>88</v>
      </c>
      <c r="H77" s="482">
        <v>1.225E-3</v>
      </c>
      <c r="I77" s="188">
        <f>(SUM('1.  LRAMVA Summary'!C$22:C$33)+SUM('1.  LRAMVA Summary'!C$34:C$35)*(MONTH($E77)-1)/12)*$H77</f>
        <v>-0.30306624178602526</v>
      </c>
      <c r="J77" s="188">
        <f>(SUM('1.  LRAMVA Summary'!D$22:D$33)+SUM('1.  LRAMVA Summary'!D$34:D$35)*(MONTH($E77)-1)/12)*$H77</f>
        <v>3.8600282100464282E-2</v>
      </c>
      <c r="K77" s="188">
        <f>(SUM('1.  LRAMVA Summary'!E$22:E$33)+SUM('1.  LRAMVA Summary'!E$34:E$35)*(MONTH($E77)-1)/12)*$H77</f>
        <v>0.17703383983138599</v>
      </c>
      <c r="L77" s="188">
        <f>(SUM('1.  LRAMVA Summary'!F$22:F$33)+SUM('1.  LRAMVA Summary'!F$34:F$35)*(MONTH($E77)-1)/12)*$H77</f>
        <v>-0.11637192467796456</v>
      </c>
      <c r="M77" s="188">
        <f>(SUM('1.  LRAMVA Summary'!G$22:G$33)+SUM('1.  LRAMVA Summary'!G$34:G$35)*(MONTH($E77)-1)/12)*$H77</f>
        <v>6.3701522588871737E-6</v>
      </c>
      <c r="N77" s="188">
        <f>(SUM('1.  LRAMVA Summary'!H$22:H$33)+SUM('1.  LRAMVA Summary'!H$34:H$35)*(MONTH($E77)-1)/12)*$H77</f>
        <v>-1.3919982417802607E-3</v>
      </c>
      <c r="O77" s="188">
        <f>(SUM('1.  LRAMVA Summary'!I$22:I$33)+SUM('1.  LRAMVA Summary'!I$34:I$35)*(MONTH($E77)-1)/12)*$H77</f>
        <v>8.8096023955050798E-2</v>
      </c>
      <c r="P77" s="189"/>
      <c r="Q77" s="189">
        <f>SUM(I77:P77)</f>
        <v>-0.11709364866661014</v>
      </c>
    </row>
    <row r="78" spans="1:21" s="3" customFormat="1" ht="12.75" x14ac:dyDescent="0.2">
      <c r="B78" s="56"/>
      <c r="E78" s="186">
        <v>42064</v>
      </c>
      <c r="F78" s="186" t="s">
        <v>368</v>
      </c>
      <c r="G78" s="187" t="s">
        <v>88</v>
      </c>
      <c r="H78" s="482">
        <v>1.225E-3</v>
      </c>
      <c r="I78" s="188">
        <f>(SUM('1.  LRAMVA Summary'!C$22:C$33)+SUM('1.  LRAMVA Summary'!C$34:C$35)*(MONTH($E78)-1)/12)*$H78</f>
        <v>-0.60614170333978423</v>
      </c>
      <c r="J78" s="188">
        <f>(SUM('1.  LRAMVA Summary'!D$22:D$33)+SUM('1.  LRAMVA Summary'!D$34:D$35)*(MONTH($E78)-1)/12)*$H78</f>
        <v>7.7202927529103696E-2</v>
      </c>
      <c r="K78" s="188">
        <f>(SUM('1.  LRAMVA Summary'!E$22:E$33)+SUM('1.  LRAMVA Summary'!E$34:E$35)*(MONTH($E78)-1)/12)*$H78</f>
        <v>0.35407027125745522</v>
      </c>
      <c r="L78" s="188">
        <f>(SUM('1.  LRAMVA Summary'!F$22:F$33)+SUM('1.  LRAMVA Summary'!F$34:F$35)*(MONTH($E78)-1)/12)*$H78</f>
        <v>-0.23273615784549434</v>
      </c>
      <c r="M78" s="188">
        <f>(SUM('1.  LRAMVA Summary'!G$22:G$33)+SUM('1.  LRAMVA Summary'!G$34:G$35)*(MONTH($E78)-1)/12)*$H78</f>
        <v>6.3701522588871737E-6</v>
      </c>
      <c r="N78" s="188">
        <f>(SUM('1.  LRAMVA Summary'!H$22:H$33)+SUM('1.  LRAMVA Summary'!H$34:H$35)*(MONTH($E78)-1)/12)*$H78</f>
        <v>-2.7762028293713166E-3</v>
      </c>
      <c r="O78" s="188">
        <f>(SUM('1.  LRAMVA Summary'!I$22:I$33)+SUM('1.  LRAMVA Summary'!I$34:I$35)*(MONTH($E78)-1)/12)*$H78</f>
        <v>0.17619017854631475</v>
      </c>
      <c r="P78" s="189"/>
      <c r="Q78" s="189">
        <f>SUM(I78:P78)</f>
        <v>-0.23418431652951727</v>
      </c>
    </row>
    <row r="79" spans="1:21" s="3" customFormat="1" ht="12.75" x14ac:dyDescent="0.2">
      <c r="B79" s="56"/>
      <c r="E79" s="186">
        <v>42095</v>
      </c>
      <c r="F79" s="186" t="s">
        <v>368</v>
      </c>
      <c r="G79" s="187" t="s">
        <v>89</v>
      </c>
      <c r="H79" s="482">
        <f>C$33/12</f>
        <v>9.1666666666666665E-4</v>
      </c>
      <c r="I79" s="188">
        <f>(SUM('1.  LRAMVA Summary'!C$22:C$33)+SUM('1.  LRAMVA Summary'!C$34:C$35)*(MONTH($E79)-1)/12)*$H79</f>
        <v>-0.68036658597476019</v>
      </c>
      <c r="J79" s="188">
        <f>(SUM('1.  LRAMVA Summary'!D$22:D$33)+SUM('1.  LRAMVA Summary'!D$34:D$35)*(MONTH($E79)-1)/12)*$H79</f>
        <v>8.6657231464977821E-2</v>
      </c>
      <c r="K79" s="188">
        <f>(SUM('1.  LRAMVA Summary'!E$22:E$33)+SUM('1.  LRAMVA Summary'!E$34:E$35)*(MONTH($E79)-1)/12)*$H79</f>
        <v>0.39742678432100464</v>
      </c>
      <c r="L79" s="188">
        <f>(SUM('1.  LRAMVA Summary'!F$22:F$33)+SUM('1.  LRAMVA Summary'!F$34:F$35)*(MONTH($E79)-1)/12)*$H79</f>
        <v>-0.26123158511178673</v>
      </c>
      <c r="M79" s="188">
        <f>(SUM('1.  LRAMVA Summary'!G$22:G$33)+SUM('1.  LRAMVA Summary'!G$34:G$35)*(MONTH($E79)-1)/12)*$H79</f>
        <v>4.7667806018883615E-6</v>
      </c>
      <c r="N79" s="188">
        <f>(SUM('1.  LRAMVA Summary'!H$22:H$33)+SUM('1.  LRAMVA Summary'!H$34:H$35)*(MONTH($E79)-1)/12)*$H79</f>
        <v>-3.1132300399038162E-3</v>
      </c>
      <c r="O79" s="188">
        <f>(SUM('1.  LRAMVA Summary'!I$22:I$33)+SUM('1.  LRAMVA Summary'!I$34:I$35)*(MONTH($E79)-1)/12)*$H79</f>
        <v>0.19776378670158956</v>
      </c>
      <c r="P79" s="189"/>
      <c r="Q79" s="189">
        <f>SUM(I79:P79)</f>
        <v>-0.2628588318582768</v>
      </c>
    </row>
    <row r="80" spans="1:21" s="3" customFormat="1" ht="12.75" x14ac:dyDescent="0.2">
      <c r="B80" s="56"/>
      <c r="E80" s="186">
        <v>42125</v>
      </c>
      <c r="F80" s="186" t="s">
        <v>368</v>
      </c>
      <c r="G80" s="187" t="s">
        <v>89</v>
      </c>
      <c r="H80" s="482">
        <v>9.1666666666666665E-4</v>
      </c>
      <c r="I80" s="188">
        <f>(SUM('1.  LRAMVA Summary'!C$22:C$33)+SUM('1.  LRAMVA Summary'!C$34:C$35)*(MONTH($E80)-1)/12)*$H80</f>
        <v>-0.9071577476816548</v>
      </c>
      <c r="J80" s="188">
        <f>(SUM('1.  LRAMVA Summary'!D$22:D$33)+SUM('1.  LRAMVA Summary'!D$34:D$35)*(MONTH($E80)-1)/12)*$H80</f>
        <v>0.11554356477892569</v>
      </c>
      <c r="K80" s="188">
        <f>(SUM('1.  LRAMVA Summary'!E$22:E$33)+SUM('1.  LRAMVA Summary'!E$34:E$35)*(MONTH($E80)-1)/12)*$H80</f>
        <v>0.52990302552418578</v>
      </c>
      <c r="L80" s="188">
        <f>(SUM('1.  LRAMVA Summary'!F$22:F$33)+SUM('1.  LRAMVA Summary'!F$34:F$35)*(MONTH($E80)-1)/12)*$H80</f>
        <v>-0.34830686163170704</v>
      </c>
      <c r="M80" s="188">
        <f>(SUM('1.  LRAMVA Summary'!G$22:G$33)+SUM('1.  LRAMVA Summary'!G$34:G$35)*(MONTH($E80)-1)/12)*$H80</f>
        <v>4.7667806018883615E-6</v>
      </c>
      <c r="N80" s="188">
        <f>(SUM('1.  LRAMVA Summary'!H$22:H$33)+SUM('1.  LRAMVA Summary'!H$34:H$35)*(MONTH($E80)-1)/12)*$H80</f>
        <v>-4.1490293911624291E-3</v>
      </c>
      <c r="O80" s="188">
        <f>(SUM('1.  LRAMVA Summary'!I$22:I$33)+SUM('1.  LRAMVA Summary'!I$34:I$35)*(MONTH($E80)-1)/12)*$H80</f>
        <v>0.263684582654236</v>
      </c>
      <c r="P80" s="189"/>
      <c r="Q80" s="189">
        <f t="shared" ref="Q80:Q87" si="31">SUM(I80:P80)</f>
        <v>-0.35047769896657499</v>
      </c>
    </row>
    <row r="81" spans="2:17" s="3" customFormat="1" ht="12.75" x14ac:dyDescent="0.2">
      <c r="B81" s="56"/>
      <c r="E81" s="186">
        <v>42156</v>
      </c>
      <c r="F81" s="186" t="s">
        <v>368</v>
      </c>
      <c r="G81" s="187" t="s">
        <v>89</v>
      </c>
      <c r="H81" s="482">
        <v>9.1666666666666665E-4</v>
      </c>
      <c r="I81" s="188">
        <f>(SUM('1.  LRAMVA Summary'!C$22:C$33)+SUM('1.  LRAMVA Summary'!C$34:C$35)*(MONTH($E81)-1)/12)*$H81</f>
        <v>-1.1339489093885493</v>
      </c>
      <c r="J81" s="188">
        <f>(SUM('1.  LRAMVA Summary'!D$22:D$33)+SUM('1.  LRAMVA Summary'!D$34:D$35)*(MONTH($E81)-1)/12)*$H81</f>
        <v>0.14442989809287354</v>
      </c>
      <c r="K81" s="188">
        <f>(SUM('1.  LRAMVA Summary'!E$22:E$33)+SUM('1.  LRAMVA Summary'!E$34:E$35)*(MONTH($E81)-1)/12)*$H81</f>
        <v>0.66237926672736669</v>
      </c>
      <c r="L81" s="188">
        <f>(SUM('1.  LRAMVA Summary'!F$22:F$33)+SUM('1.  LRAMVA Summary'!F$34:F$35)*(MONTH($E81)-1)/12)*$H81</f>
        <v>-0.43538213815162724</v>
      </c>
      <c r="M81" s="188">
        <f>(SUM('1.  LRAMVA Summary'!G$22:G$33)+SUM('1.  LRAMVA Summary'!G$34:G$35)*(MONTH($E81)-1)/12)*$H81</f>
        <v>4.7667806018883615E-6</v>
      </c>
      <c r="N81" s="188">
        <f>(SUM('1.  LRAMVA Summary'!H$22:H$33)+SUM('1.  LRAMVA Summary'!H$34:H$35)*(MONTH($E81)-1)/12)*$H81</f>
        <v>-5.1848287424210429E-3</v>
      </c>
      <c r="O81" s="188">
        <f>(SUM('1.  LRAMVA Summary'!I$22:I$33)+SUM('1.  LRAMVA Summary'!I$34:I$35)*(MONTH($E81)-1)/12)*$H81</f>
        <v>0.32960537860688249</v>
      </c>
      <c r="P81" s="189"/>
      <c r="Q81" s="189">
        <f t="shared" si="31"/>
        <v>-0.43809656607487285</v>
      </c>
    </row>
    <row r="82" spans="2:17" s="3" customFormat="1" ht="12.75" x14ac:dyDescent="0.2">
      <c r="B82" s="56"/>
      <c r="E82" s="186">
        <v>42186</v>
      </c>
      <c r="F82" s="186" t="s">
        <v>368</v>
      </c>
      <c r="G82" s="187" t="s">
        <v>91</v>
      </c>
      <c r="H82" s="482">
        <f>$C$34/12</f>
        <v>9.1666666666666665E-4</v>
      </c>
      <c r="I82" s="188">
        <f>(SUM('1.  LRAMVA Summary'!C$22:C$33)+SUM('1.  LRAMVA Summary'!C$34:C$35)*(MONTH($E82)-1)/12)*$H82</f>
        <v>-1.3607400710954436</v>
      </c>
      <c r="J82" s="188">
        <f>(SUM('1.  LRAMVA Summary'!D$22:D$33)+SUM('1.  LRAMVA Summary'!D$34:D$35)*(MONTH($E82)-1)/12)*$H82</f>
        <v>0.1733162314068214</v>
      </c>
      <c r="K82" s="188">
        <f>(SUM('1.  LRAMVA Summary'!E$22:E$33)+SUM('1.  LRAMVA Summary'!E$34:E$35)*(MONTH($E82)-1)/12)*$H82</f>
        <v>0.79485550793054782</v>
      </c>
      <c r="L82" s="188">
        <f>(SUM('1.  LRAMVA Summary'!F$22:F$33)+SUM('1.  LRAMVA Summary'!F$34:F$35)*(MONTH($E82)-1)/12)*$H82</f>
        <v>-0.52245741467154749</v>
      </c>
      <c r="M82" s="188">
        <f>(SUM('1.  LRAMVA Summary'!G$22:G$33)+SUM('1.  LRAMVA Summary'!G$34:G$35)*(MONTH($E82)-1)/12)*$H82</f>
        <v>4.7667806018883615E-6</v>
      </c>
      <c r="N82" s="188">
        <f>(SUM('1.  LRAMVA Summary'!H$22:H$33)+SUM('1.  LRAMVA Summary'!H$34:H$35)*(MONTH($E82)-1)/12)*$H82</f>
        <v>-6.2206280936796567E-3</v>
      </c>
      <c r="O82" s="188">
        <f>(SUM('1.  LRAMVA Summary'!I$22:I$33)+SUM('1.  LRAMVA Summary'!I$34:I$35)*(MONTH($E82)-1)/12)*$H82</f>
        <v>0.3955261745595291</v>
      </c>
      <c r="P82" s="189"/>
      <c r="Q82" s="189">
        <f t="shared" si="31"/>
        <v>-0.52571543318317038</v>
      </c>
    </row>
    <row r="83" spans="2:17" s="3" customFormat="1" ht="12.75" x14ac:dyDescent="0.2">
      <c r="B83" s="56"/>
      <c r="E83" s="186">
        <v>42217</v>
      </c>
      <c r="F83" s="186" t="s">
        <v>368</v>
      </c>
      <c r="G83" s="187" t="s">
        <v>91</v>
      </c>
      <c r="H83" s="482">
        <f t="shared" ref="H83:H84" si="32">$C$34/12</f>
        <v>9.1666666666666665E-4</v>
      </c>
      <c r="I83" s="188">
        <f>(SUM('1.  LRAMVA Summary'!C$22:C$33)+SUM('1.  LRAMVA Summary'!C$34:C$35)*(MONTH($E83)-1)/12)*$H83</f>
        <v>-1.5875312328023381</v>
      </c>
      <c r="J83" s="188">
        <f>(SUM('1.  LRAMVA Summary'!D$22:D$33)+SUM('1.  LRAMVA Summary'!D$34:D$35)*(MONTH($E83)-1)/12)*$H83</f>
        <v>0.20220256472076922</v>
      </c>
      <c r="K83" s="188">
        <f>(SUM('1.  LRAMVA Summary'!E$22:E$33)+SUM('1.  LRAMVA Summary'!E$34:E$35)*(MONTH($E83)-1)/12)*$H83</f>
        <v>0.92733174913372884</v>
      </c>
      <c r="L83" s="188">
        <f>(SUM('1.  LRAMVA Summary'!F$22:F$33)+SUM('1.  LRAMVA Summary'!F$34:F$35)*(MONTH($E83)-1)/12)*$H83</f>
        <v>-0.6095326911914678</v>
      </c>
      <c r="M83" s="188">
        <f>(SUM('1.  LRAMVA Summary'!G$22:G$33)+SUM('1.  LRAMVA Summary'!G$34:G$35)*(MONTH($E83)-1)/12)*$H83</f>
        <v>4.7667806018883615E-6</v>
      </c>
      <c r="N83" s="188">
        <f>(SUM('1.  LRAMVA Summary'!H$22:H$33)+SUM('1.  LRAMVA Summary'!H$34:H$35)*(MONTH($E83)-1)/12)*$H83</f>
        <v>-7.2564274449382696E-3</v>
      </c>
      <c r="O83" s="188">
        <f>(SUM('1.  LRAMVA Summary'!I$22:I$33)+SUM('1.  LRAMVA Summary'!I$34:I$35)*(MONTH($E83)-1)/12)*$H83</f>
        <v>0.46144697051217559</v>
      </c>
      <c r="P83" s="189"/>
      <c r="Q83" s="189">
        <f t="shared" si="31"/>
        <v>-0.61333430029146885</v>
      </c>
    </row>
    <row r="84" spans="2:17" s="3" customFormat="1" ht="12.75" x14ac:dyDescent="0.2">
      <c r="B84" s="56"/>
      <c r="E84" s="186">
        <v>42248</v>
      </c>
      <c r="F84" s="186" t="s">
        <v>368</v>
      </c>
      <c r="G84" s="187" t="s">
        <v>91</v>
      </c>
      <c r="H84" s="482">
        <f t="shared" si="32"/>
        <v>9.1666666666666665E-4</v>
      </c>
      <c r="I84" s="188">
        <f>(SUM('1.  LRAMVA Summary'!C$22:C$33)+SUM('1.  LRAMVA Summary'!C$34:C$35)*(MONTH($E84)-1)/12)*$H84</f>
        <v>-1.8143223945092328</v>
      </c>
      <c r="J84" s="188">
        <f>(SUM('1.  LRAMVA Summary'!D$22:D$33)+SUM('1.  LRAMVA Summary'!D$34:D$35)*(MONTH($E84)-1)/12)*$H84</f>
        <v>0.23108889803471711</v>
      </c>
      <c r="K84" s="188">
        <f>(SUM('1.  LRAMVA Summary'!E$22:E$33)+SUM('1.  LRAMVA Summary'!E$34:E$35)*(MONTH($E84)-1)/12)*$H84</f>
        <v>1.05980799033691</v>
      </c>
      <c r="L84" s="188">
        <f>(SUM('1.  LRAMVA Summary'!F$22:F$33)+SUM('1.  LRAMVA Summary'!F$34:F$35)*(MONTH($E84)-1)/12)*$H84</f>
        <v>-0.696607967711388</v>
      </c>
      <c r="M84" s="188">
        <f>(SUM('1.  LRAMVA Summary'!G$22:G$33)+SUM('1.  LRAMVA Summary'!G$34:G$35)*(MONTH($E84)-1)/12)*$H84</f>
        <v>4.7667806018883615E-6</v>
      </c>
      <c r="N84" s="188">
        <f>(SUM('1.  LRAMVA Summary'!H$22:H$33)+SUM('1.  LRAMVA Summary'!H$34:H$35)*(MONTH($E84)-1)/12)*$H84</f>
        <v>-8.2922267961968825E-3</v>
      </c>
      <c r="O84" s="188">
        <f>(SUM('1.  LRAMVA Summary'!I$22:I$33)+SUM('1.  LRAMVA Summary'!I$34:I$35)*(MONTH($E84)-1)/12)*$H84</f>
        <v>0.52736776646482209</v>
      </c>
      <c r="P84" s="189"/>
      <c r="Q84" s="189">
        <f t="shared" si="31"/>
        <v>-0.70095316739976676</v>
      </c>
    </row>
    <row r="85" spans="2:17" s="3" customFormat="1" ht="12.75" x14ac:dyDescent="0.2">
      <c r="B85" s="56"/>
      <c r="E85" s="186">
        <v>42278</v>
      </c>
      <c r="F85" s="186" t="s">
        <v>368</v>
      </c>
      <c r="G85" s="187" t="s">
        <v>92</v>
      </c>
      <c r="H85" s="482">
        <f>$C$35/12</f>
        <v>9.1666666666666665E-4</v>
      </c>
      <c r="I85" s="188">
        <f>(SUM('1.  LRAMVA Summary'!C$22:C$33)+SUM('1.  LRAMVA Summary'!C$34:C$35)*(MONTH($E85)-1)/12)*$H85</f>
        <v>-2.0411135562161276</v>
      </c>
      <c r="J85" s="188">
        <f>(SUM('1.  LRAMVA Summary'!D$22:D$33)+SUM('1.  LRAMVA Summary'!D$34:D$35)*(MONTH($E85)-1)/12)*$H85</f>
        <v>0.25997523134866496</v>
      </c>
      <c r="K85" s="188">
        <f>(SUM('1.  LRAMVA Summary'!E$22:E$33)+SUM('1.  LRAMVA Summary'!E$34:E$35)*(MONTH($E85)-1)/12)*$H85</f>
        <v>1.192284231540091</v>
      </c>
      <c r="L85" s="188">
        <f>(SUM('1.  LRAMVA Summary'!F$22:F$33)+SUM('1.  LRAMVA Summary'!F$34:F$35)*(MONTH($E85)-1)/12)*$H85</f>
        <v>-0.7836832442313082</v>
      </c>
      <c r="M85" s="188">
        <f>(SUM('1.  LRAMVA Summary'!G$22:G$33)+SUM('1.  LRAMVA Summary'!G$34:G$35)*(MONTH($E85)-1)/12)*$H85</f>
        <v>4.7667806018883615E-6</v>
      </c>
      <c r="N85" s="188">
        <f>(SUM('1.  LRAMVA Summary'!H$22:H$33)+SUM('1.  LRAMVA Summary'!H$34:H$35)*(MONTH($E85)-1)/12)*$H85</f>
        <v>-9.3280261474554954E-3</v>
      </c>
      <c r="O85" s="188">
        <f>(SUM('1.  LRAMVA Summary'!I$22:I$33)+SUM('1.  LRAMVA Summary'!I$34:I$35)*(MONTH($E85)-1)/12)*$H85</f>
        <v>0.59328856241746852</v>
      </c>
      <c r="P85" s="189"/>
      <c r="Q85" s="189">
        <f t="shared" si="31"/>
        <v>-0.78857203450806501</v>
      </c>
    </row>
    <row r="86" spans="2:17" s="3" customFormat="1" ht="12.75" x14ac:dyDescent="0.2">
      <c r="B86" s="56"/>
      <c r="E86" s="186">
        <v>42309</v>
      </c>
      <c r="F86" s="186" t="s">
        <v>368</v>
      </c>
      <c r="G86" s="187" t="s">
        <v>92</v>
      </c>
      <c r="H86" s="482">
        <f t="shared" ref="H86:H87" si="33">$C$35/12</f>
        <v>9.1666666666666665E-4</v>
      </c>
      <c r="I86" s="188">
        <f>(SUM('1.  LRAMVA Summary'!C$22:C$33)+SUM('1.  LRAMVA Summary'!C$34:C$35)*(MONTH($E86)-1)/12)*$H86</f>
        <v>-2.2679047179230221</v>
      </c>
      <c r="J86" s="188">
        <f>(SUM('1.  LRAMVA Summary'!D$22:D$33)+SUM('1.  LRAMVA Summary'!D$34:D$35)*(MONTH($E86)-1)/12)*$H86</f>
        <v>0.28886156466261281</v>
      </c>
      <c r="K86" s="188">
        <f>(SUM('1.  LRAMVA Summary'!E$22:E$33)+SUM('1.  LRAMVA Summary'!E$34:E$35)*(MONTH($E86)-1)/12)*$H86</f>
        <v>1.324760472743272</v>
      </c>
      <c r="L86" s="188">
        <f>(SUM('1.  LRAMVA Summary'!F$22:F$33)+SUM('1.  LRAMVA Summary'!F$34:F$35)*(MONTH($E86)-1)/12)*$H86</f>
        <v>-0.87075852075122839</v>
      </c>
      <c r="M86" s="188">
        <f>(SUM('1.  LRAMVA Summary'!G$22:G$33)+SUM('1.  LRAMVA Summary'!G$34:G$35)*(MONTH($E86)-1)/12)*$H86</f>
        <v>4.7667806018883615E-6</v>
      </c>
      <c r="N86" s="188">
        <f>(SUM('1.  LRAMVA Summary'!H$22:H$33)+SUM('1.  LRAMVA Summary'!H$34:H$35)*(MONTH($E86)-1)/12)*$H86</f>
        <v>-1.036382549871411E-2</v>
      </c>
      <c r="O86" s="188">
        <f>(SUM('1.  LRAMVA Summary'!I$22:I$33)+SUM('1.  LRAMVA Summary'!I$34:I$35)*(MONTH($E86)-1)/12)*$H86</f>
        <v>0.65920935837011496</v>
      </c>
      <c r="P86" s="189"/>
      <c r="Q86" s="189">
        <f t="shared" si="31"/>
        <v>-0.87619090161636282</v>
      </c>
    </row>
    <row r="87" spans="2:17" s="3" customFormat="1" ht="12.75" x14ac:dyDescent="0.2">
      <c r="B87" s="56"/>
      <c r="E87" s="186">
        <v>42339</v>
      </c>
      <c r="F87" s="186" t="s">
        <v>368</v>
      </c>
      <c r="G87" s="187" t="s">
        <v>92</v>
      </c>
      <c r="H87" s="482">
        <f t="shared" si="33"/>
        <v>9.1666666666666665E-4</v>
      </c>
      <c r="I87" s="188">
        <f>(SUM('1.  LRAMVA Summary'!C$22:C$33)+SUM('1.  LRAMVA Summary'!C$34:C$35)*(MONTH($E87)-1)/12)*$H87</f>
        <v>-2.4946958796299166</v>
      </c>
      <c r="J87" s="188">
        <f>(SUM('1.  LRAMVA Summary'!D$22:D$33)+SUM('1.  LRAMVA Summary'!D$34:D$35)*(MONTH($E87)-1)/12)*$H87</f>
        <v>0.31774789797656067</v>
      </c>
      <c r="K87" s="188">
        <f>(SUM('1.  LRAMVA Summary'!E$22:E$33)+SUM('1.  LRAMVA Summary'!E$34:E$35)*(MONTH($E87)-1)/12)*$H87</f>
        <v>1.457236713946453</v>
      </c>
      <c r="L87" s="188">
        <f>(SUM('1.  LRAMVA Summary'!F$22:F$33)+SUM('1.  LRAMVA Summary'!F$34:F$35)*(MONTH($E87)-1)/12)*$H87</f>
        <v>-0.95783379727114859</v>
      </c>
      <c r="M87" s="188">
        <f>(SUM('1.  LRAMVA Summary'!G$22:G$33)+SUM('1.  LRAMVA Summary'!G$34:G$35)*(MONTH($E87)-1)/12)*$H87</f>
        <v>4.7667806018883615E-6</v>
      </c>
      <c r="N87" s="188">
        <f>(SUM('1.  LRAMVA Summary'!H$22:H$33)+SUM('1.  LRAMVA Summary'!H$34:H$35)*(MONTH($E87)-1)/12)*$H87</f>
        <v>-1.1399624849972723E-2</v>
      </c>
      <c r="O87" s="188">
        <f>(SUM('1.  LRAMVA Summary'!I$22:I$33)+SUM('1.  LRAMVA Summary'!I$34:I$35)*(MONTH($E87)-1)/12)*$H87</f>
        <v>0.72513015432276162</v>
      </c>
      <c r="P87" s="189"/>
      <c r="Q87" s="189">
        <f t="shared" si="31"/>
        <v>-0.96380976872466106</v>
      </c>
    </row>
    <row r="88" spans="2:17" s="3" customFormat="1" ht="13.5" thickBot="1" x14ac:dyDescent="0.25">
      <c r="B88" s="56"/>
      <c r="E88" s="198" t="s">
        <v>394</v>
      </c>
      <c r="F88" s="198"/>
      <c r="G88" s="199"/>
      <c r="H88" s="479"/>
      <c r="I88" s="200">
        <f>SUM(I75:I87)</f>
        <v>-25.804529399396507</v>
      </c>
      <c r="J88" s="200">
        <f>SUM(J75:J87)</f>
        <v>-976.46256430100618</v>
      </c>
      <c r="K88" s="200">
        <f t="shared" ref="K88:P88" si="34">SUM(K75:K87)</f>
        <v>104.36558057060172</v>
      </c>
      <c r="L88" s="200">
        <f t="shared" si="34"/>
        <v>31.348577773162525</v>
      </c>
      <c r="M88" s="200">
        <f t="shared" si="34"/>
        <v>3.1119830595652753</v>
      </c>
      <c r="N88" s="200">
        <f t="shared" si="34"/>
        <v>0.38872391678688878</v>
      </c>
      <c r="O88" s="200">
        <f t="shared" si="34"/>
        <v>18.536704544545941</v>
      </c>
      <c r="P88" s="200">
        <f t="shared" si="34"/>
        <v>0</v>
      </c>
      <c r="Q88" s="200">
        <f>SUM(Q75:Q87)</f>
        <v>-844.51552383574085</v>
      </c>
    </row>
    <row r="89" spans="2:17" s="3" customFormat="1" ht="13.5" thickTop="1" x14ac:dyDescent="0.2">
      <c r="B89" s="56"/>
      <c r="E89" s="229" t="s">
        <v>90</v>
      </c>
      <c r="F89" s="229"/>
      <c r="G89" s="230"/>
      <c r="H89" s="480"/>
      <c r="I89" s="231"/>
      <c r="J89" s="231"/>
      <c r="K89" s="231"/>
      <c r="L89" s="231"/>
      <c r="M89" s="231"/>
      <c r="N89" s="231"/>
      <c r="O89" s="231"/>
      <c r="P89" s="231"/>
      <c r="Q89" s="232"/>
    </row>
    <row r="90" spans="2:17" s="3" customFormat="1" ht="12.75" hidden="1" x14ac:dyDescent="0.2">
      <c r="B90" s="56"/>
      <c r="E90" s="195" t="s">
        <v>389</v>
      </c>
      <c r="F90" s="195"/>
      <c r="G90" s="196"/>
      <c r="H90" s="481"/>
      <c r="I90" s="197">
        <f>I88+I89</f>
        <v>-25.804529399396507</v>
      </c>
      <c r="J90" s="197">
        <f t="shared" ref="J90" si="35">J88+J89</f>
        <v>-976.46256430100618</v>
      </c>
      <c r="K90" s="197">
        <f t="shared" ref="K90" si="36">K88+K89</f>
        <v>104.36558057060172</v>
      </c>
      <c r="L90" s="197">
        <f t="shared" ref="L90" si="37">L88+L89</f>
        <v>31.348577773162525</v>
      </c>
      <c r="M90" s="197">
        <f t="shared" ref="M90" si="38">M88+M89</f>
        <v>3.1119830595652753</v>
      </c>
      <c r="N90" s="197">
        <f t="shared" ref="N90" si="39">N88+N89</f>
        <v>0.38872391678688878</v>
      </c>
      <c r="O90" s="197">
        <f t="shared" ref="O90" si="40">O88+O89</f>
        <v>18.536704544545941</v>
      </c>
      <c r="P90" s="197">
        <f t="shared" ref="P90" si="41">P88+P89</f>
        <v>0</v>
      </c>
      <c r="Q90" s="197">
        <f t="shared" ref="Q90" si="42">Q88+Q89</f>
        <v>-844.51552383574085</v>
      </c>
    </row>
    <row r="91" spans="2:17" s="3" customFormat="1" ht="12.75" hidden="1" x14ac:dyDescent="0.2">
      <c r="B91" s="56"/>
      <c r="E91" s="186">
        <v>42370</v>
      </c>
      <c r="F91" s="186" t="s">
        <v>373</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373</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373</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373</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373</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373</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373</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373</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373</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373</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373</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373</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395</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80"/>
      <c r="I104" s="231"/>
      <c r="J104" s="231"/>
      <c r="K104" s="231"/>
      <c r="L104" s="231"/>
      <c r="M104" s="231"/>
      <c r="N104" s="231"/>
      <c r="O104" s="231"/>
      <c r="P104" s="231"/>
      <c r="Q104" s="232"/>
    </row>
    <row r="105" spans="2:17" s="3" customFormat="1" ht="12.75" hidden="1" x14ac:dyDescent="0.2">
      <c r="B105" s="56"/>
      <c r="E105" s="195" t="s">
        <v>390</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374</v>
      </c>
      <c r="G106" s="187" t="s">
        <v>88</v>
      </c>
      <c r="H106" s="485">
        <f>$C$40/12</f>
        <v>9.1666666666666665E-4</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374</v>
      </c>
      <c r="G107" s="187" t="s">
        <v>88</v>
      </c>
      <c r="H107" s="485">
        <f t="shared" ref="H107:H108" si="57">$C$40/12</f>
        <v>9.1666666666666665E-4</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374</v>
      </c>
      <c r="G108" s="187" t="s">
        <v>88</v>
      </c>
      <c r="H108" s="485">
        <f t="shared" si="57"/>
        <v>9.1666666666666665E-4</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374</v>
      </c>
      <c r="G109" s="187" t="s">
        <v>89</v>
      </c>
      <c r="H109" s="485">
        <f>$C$41/12</f>
        <v>9.1666666666666665E-4</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374</v>
      </c>
      <c r="G110" s="187" t="s">
        <v>89</v>
      </c>
      <c r="H110" s="485">
        <f t="shared" ref="H110:H111" si="59">$C$41/12</f>
        <v>9.1666666666666665E-4</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374</v>
      </c>
      <c r="G111" s="187" t="s">
        <v>89</v>
      </c>
      <c r="H111" s="485">
        <f t="shared" si="59"/>
        <v>9.1666666666666665E-4</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374</v>
      </c>
      <c r="G112" s="187" t="s">
        <v>91</v>
      </c>
      <c r="H112" s="485">
        <f>$C$42/12</f>
        <v>9.1666666666666665E-4</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374</v>
      </c>
      <c r="G113" s="187" t="s">
        <v>91</v>
      </c>
      <c r="H113" s="485">
        <f t="shared" ref="H113:H114" si="60">$C$42/12</f>
        <v>9.1666666666666665E-4</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374</v>
      </c>
      <c r="G114" s="187" t="s">
        <v>91</v>
      </c>
      <c r="H114" s="485">
        <f t="shared" si="60"/>
        <v>9.1666666666666665E-4</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374</v>
      </c>
      <c r="G115" s="187" t="s">
        <v>92</v>
      </c>
      <c r="H115" s="485">
        <f>$C$43/12</f>
        <v>9.1666666666666665E-4</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374</v>
      </c>
      <c r="G116" s="187" t="s">
        <v>92</v>
      </c>
      <c r="H116" s="485">
        <f t="shared" ref="H116:H117" si="61">$C$43/12</f>
        <v>9.1666666666666665E-4</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374</v>
      </c>
      <c r="G117" s="187" t="s">
        <v>92</v>
      </c>
      <c r="H117" s="485">
        <f t="shared" si="61"/>
        <v>9.1666666666666665E-4</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381</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80"/>
      <c r="I119" s="231"/>
      <c r="J119" s="231"/>
      <c r="K119" s="231"/>
      <c r="L119" s="231"/>
      <c r="M119" s="231"/>
      <c r="N119" s="231"/>
      <c r="O119" s="231"/>
      <c r="P119" s="231"/>
      <c r="Q119" s="232"/>
    </row>
    <row r="120" spans="2:17" s="3" customFormat="1" ht="12.75" hidden="1" x14ac:dyDescent="0.2">
      <c r="B120" s="56"/>
      <c r="E120" s="195" t="s">
        <v>391</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375</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375</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375</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375</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375</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375</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375</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375</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375</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375</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375</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375</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382</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80"/>
      <c r="I134" s="231"/>
      <c r="J134" s="231"/>
      <c r="K134" s="231"/>
      <c r="L134" s="231"/>
      <c r="M134" s="231"/>
      <c r="N134" s="231"/>
      <c r="O134" s="231"/>
      <c r="P134" s="231"/>
      <c r="Q134" s="232"/>
    </row>
    <row r="135" spans="2:17" s="3" customFormat="1" ht="12.75" hidden="1" x14ac:dyDescent="0.2">
      <c r="B135" s="56"/>
      <c r="E135" s="195" t="s">
        <v>392</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376</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376</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376</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376</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376</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376</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t="15" hidden="1" x14ac:dyDescent="0.25">
      <c r="E142" s="186">
        <v>43647</v>
      </c>
      <c r="F142" s="186" t="s">
        <v>376</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t="15" hidden="1" x14ac:dyDescent="0.25">
      <c r="E143" s="186">
        <v>43678</v>
      </c>
      <c r="F143" s="186" t="s">
        <v>376</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t="15" hidden="1" x14ac:dyDescent="0.25">
      <c r="E144" s="186">
        <v>43709</v>
      </c>
      <c r="F144" s="186" t="s">
        <v>376</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t="15" hidden="1" x14ac:dyDescent="0.25">
      <c r="E145" s="186">
        <v>43739</v>
      </c>
      <c r="F145" s="186" t="s">
        <v>376</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t="15" hidden="1" x14ac:dyDescent="0.25">
      <c r="E146" s="186">
        <v>43770</v>
      </c>
      <c r="F146" s="186" t="s">
        <v>376</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t="15" hidden="1" x14ac:dyDescent="0.25">
      <c r="E147" s="186">
        <v>43800</v>
      </c>
      <c r="F147" s="186" t="s">
        <v>376</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383</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80"/>
      <c r="I149" s="231"/>
      <c r="J149" s="231"/>
      <c r="K149" s="231"/>
      <c r="L149" s="231"/>
      <c r="M149" s="231"/>
      <c r="N149" s="231"/>
      <c r="O149" s="231"/>
      <c r="P149" s="231"/>
      <c r="Q149" s="232"/>
    </row>
    <row r="150" spans="5:17" ht="15" hidden="1" x14ac:dyDescent="0.25">
      <c r="E150" s="195" t="s">
        <v>396</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t="15" hidden="1" x14ac:dyDescent="0.25">
      <c r="E151" s="186">
        <v>43831</v>
      </c>
      <c r="F151" s="186" t="s">
        <v>377</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t="15" hidden="1" x14ac:dyDescent="0.25">
      <c r="E152" s="186">
        <v>43862</v>
      </c>
      <c r="F152" s="186" t="s">
        <v>377</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t="15" hidden="1" x14ac:dyDescent="0.25">
      <c r="E153" s="186">
        <v>43891</v>
      </c>
      <c r="F153" s="186" t="s">
        <v>377</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t="15" hidden="1" x14ac:dyDescent="0.25">
      <c r="E154" s="186">
        <v>43922</v>
      </c>
      <c r="F154" s="186" t="s">
        <v>377</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t="15" hidden="1" x14ac:dyDescent="0.25">
      <c r="E155" s="186">
        <v>43952</v>
      </c>
      <c r="F155" s="186" t="s">
        <v>377</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t="15" hidden="1" x14ac:dyDescent="0.25">
      <c r="E156" s="186">
        <v>43983</v>
      </c>
      <c r="F156" s="186" t="s">
        <v>377</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t="15" hidden="1" x14ac:dyDescent="0.25">
      <c r="E157" s="186">
        <v>44013</v>
      </c>
      <c r="F157" s="186" t="s">
        <v>377</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t="15" hidden="1" x14ac:dyDescent="0.25">
      <c r="E158" s="186">
        <v>44044</v>
      </c>
      <c r="F158" s="186" t="s">
        <v>377</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t="15" hidden="1" x14ac:dyDescent="0.25">
      <c r="E159" s="186">
        <v>44075</v>
      </c>
      <c r="F159" s="186" t="s">
        <v>377</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t="15" hidden="1" x14ac:dyDescent="0.25">
      <c r="E160" s="186">
        <v>44105</v>
      </c>
      <c r="F160" s="186" t="s">
        <v>377</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t="15" hidden="1" x14ac:dyDescent="0.25">
      <c r="E161" s="186">
        <v>44136</v>
      </c>
      <c r="F161" s="186" t="s">
        <v>377</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t="15" hidden="1" x14ac:dyDescent="0.25">
      <c r="E162" s="186">
        <v>44166</v>
      </c>
      <c r="F162" s="186" t="s">
        <v>377</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384</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7" zoomScale="90" zoomScaleNormal="90" workbookViewId="0">
      <selection activeCell="P4" sqref="P4"/>
    </sheetView>
  </sheetViews>
  <sheetFormatPr defaultColWidth="9.109375" defaultRowHeight="14.4" x14ac:dyDescent="0.3"/>
  <cols>
    <col min="1" max="1" width="9.109375" style="26"/>
    <col min="2" max="2" width="20.44140625" style="24" customWidth="1"/>
    <col min="3" max="3" width="17" style="26" customWidth="1"/>
    <col min="4" max="4" width="13.44140625" style="26" customWidth="1"/>
    <col min="5" max="5" width="16.88671875" style="26" customWidth="1"/>
    <col min="6" max="7" width="9.109375" style="26"/>
    <col min="8" max="8" width="16.88671875" style="25" customWidth="1"/>
    <col min="9" max="16384" width="9.109375" style="26"/>
  </cols>
  <sheetData>
    <row r="1" spans="2:11" ht="146.25" customHeight="1" x14ac:dyDescent="0.25"/>
    <row r="3" spans="2:11" x14ac:dyDescent="0.3">
      <c r="B3" s="551" t="s">
        <v>502</v>
      </c>
      <c r="C3" s="552"/>
      <c r="D3" s="552"/>
      <c r="E3" s="552"/>
      <c r="F3" s="552"/>
      <c r="G3" s="552"/>
      <c r="H3" s="552"/>
      <c r="I3" s="552"/>
      <c r="J3" s="552"/>
      <c r="K3" s="553"/>
    </row>
    <row r="4" spans="2:11" ht="15" customHeight="1" x14ac:dyDescent="0.3">
      <c r="B4" s="554"/>
      <c r="C4" s="555"/>
      <c r="D4" s="555"/>
      <c r="E4" s="555"/>
      <c r="F4" s="555"/>
      <c r="G4" s="555"/>
      <c r="H4" s="555"/>
      <c r="I4" s="555"/>
      <c r="J4" s="555"/>
      <c r="K4" s="556"/>
    </row>
    <row r="5" spans="2:11" ht="15" customHeight="1" x14ac:dyDescent="0.3">
      <c r="B5" s="554"/>
      <c r="C5" s="555"/>
      <c r="D5" s="555"/>
      <c r="E5" s="555"/>
      <c r="F5" s="555"/>
      <c r="G5" s="555"/>
      <c r="H5" s="555"/>
      <c r="I5" s="555"/>
      <c r="J5" s="555"/>
      <c r="K5" s="556"/>
    </row>
    <row r="6" spans="2:11" ht="66.75" customHeight="1" x14ac:dyDescent="0.3">
      <c r="B6" s="554"/>
      <c r="C6" s="555"/>
      <c r="D6" s="555"/>
      <c r="E6" s="555"/>
      <c r="F6" s="555"/>
      <c r="G6" s="555"/>
      <c r="H6" s="555"/>
      <c r="I6" s="555"/>
      <c r="J6" s="555"/>
      <c r="K6" s="556"/>
    </row>
    <row r="7" spans="2:11" x14ac:dyDescent="0.3">
      <c r="B7" s="557"/>
      <c r="C7" s="558"/>
      <c r="D7" s="558"/>
      <c r="E7" s="558"/>
      <c r="F7" s="558"/>
      <c r="G7" s="558"/>
      <c r="H7" s="558"/>
      <c r="I7" s="558"/>
      <c r="J7" s="558"/>
      <c r="K7" s="559"/>
    </row>
    <row r="9" spans="2:11" s="460" customFormat="1" ht="18.75" x14ac:dyDescent="0.3">
      <c r="B9" s="462"/>
      <c r="C9" s="461" t="s">
        <v>439</v>
      </c>
      <c r="H9" s="463"/>
      <c r="I9" s="461" t="s">
        <v>440</v>
      </c>
    </row>
    <row r="11" spans="2:11" x14ac:dyDescent="0.3">
      <c r="B11" s="83" t="s">
        <v>449</v>
      </c>
      <c r="C11" s="474" t="s">
        <v>456</v>
      </c>
      <c r="D11" s="475"/>
      <c r="E11" s="476"/>
      <c r="F11" s="477" t="s">
        <v>448</v>
      </c>
      <c r="G11" s="66"/>
      <c r="H11" s="560" t="s">
        <v>442</v>
      </c>
      <c r="I11" s="474" t="s">
        <v>441</v>
      </c>
      <c r="J11" s="475"/>
      <c r="K11" s="476"/>
    </row>
    <row r="12" spans="2:11" x14ac:dyDescent="0.3">
      <c r="B12" s="83" t="s">
        <v>488</v>
      </c>
      <c r="C12" s="427" t="s">
        <v>457</v>
      </c>
      <c r="D12" s="160"/>
      <c r="E12" s="354"/>
      <c r="F12" s="477" t="s">
        <v>448</v>
      </c>
      <c r="G12" s="66"/>
      <c r="H12" s="560"/>
      <c r="I12" s="427" t="s">
        <v>443</v>
      </c>
      <c r="J12" s="160"/>
      <c r="K12" s="354"/>
    </row>
    <row r="13" spans="2:11" x14ac:dyDescent="0.3">
      <c r="B13" s="83" t="s">
        <v>450</v>
      </c>
      <c r="C13" s="428" t="s">
        <v>444</v>
      </c>
      <c r="D13" s="334"/>
      <c r="E13" s="404"/>
      <c r="F13" s="477" t="s">
        <v>448</v>
      </c>
      <c r="G13" s="66"/>
      <c r="H13" s="560"/>
      <c r="I13" s="428" t="s">
        <v>445</v>
      </c>
      <c r="J13" s="334"/>
      <c r="K13" s="404"/>
    </row>
    <row r="14" spans="2:11" ht="15" x14ac:dyDescent="0.25">
      <c r="B14" s="83"/>
      <c r="C14" s="66"/>
      <c r="D14" s="66"/>
      <c r="E14" s="66"/>
      <c r="F14" s="66"/>
      <c r="G14" s="66"/>
      <c r="H14" s="472"/>
      <c r="I14" s="66"/>
      <c r="J14" s="66"/>
      <c r="K14" s="66"/>
    </row>
    <row r="15" spans="2:11" ht="15" customHeight="1" x14ac:dyDescent="0.3">
      <c r="B15" s="561" t="s">
        <v>488</v>
      </c>
      <c r="C15" s="474"/>
      <c r="D15" s="475"/>
      <c r="E15" s="476"/>
      <c r="F15" s="66"/>
      <c r="G15" s="66"/>
      <c r="H15" s="560" t="s">
        <v>490</v>
      </c>
      <c r="I15" s="562" t="s">
        <v>451</v>
      </c>
      <c r="J15" s="563"/>
      <c r="K15" s="564"/>
    </row>
    <row r="16" spans="2:11" x14ac:dyDescent="0.3">
      <c r="B16" s="561"/>
      <c r="C16" s="427" t="s">
        <v>458</v>
      </c>
      <c r="D16" s="160"/>
      <c r="E16" s="354"/>
      <c r="F16" s="66"/>
      <c r="G16" s="66"/>
      <c r="H16" s="560"/>
      <c r="I16" s="565"/>
      <c r="J16" s="566"/>
      <c r="K16" s="567"/>
    </row>
    <row r="17" spans="2:11" x14ac:dyDescent="0.3">
      <c r="B17" s="561"/>
      <c r="C17" s="427" t="s">
        <v>446</v>
      </c>
      <c r="D17" s="160"/>
      <c r="E17" s="354"/>
      <c r="F17" s="66"/>
      <c r="G17" s="66"/>
      <c r="H17" s="560"/>
      <c r="I17" s="565"/>
      <c r="J17" s="566"/>
      <c r="K17" s="567"/>
    </row>
    <row r="18" spans="2:11" x14ac:dyDescent="0.3">
      <c r="B18" s="561"/>
      <c r="C18" s="427" t="s">
        <v>459</v>
      </c>
      <c r="D18" s="160"/>
      <c r="E18" s="354"/>
      <c r="F18" s="66"/>
      <c r="G18" s="66"/>
      <c r="H18" s="560"/>
      <c r="I18" s="565"/>
      <c r="J18" s="566"/>
      <c r="K18" s="567"/>
    </row>
    <row r="19" spans="2:11" x14ac:dyDescent="0.3">
      <c r="B19" s="561"/>
      <c r="C19" s="427" t="s">
        <v>446</v>
      </c>
      <c r="D19" s="160"/>
      <c r="E19" s="354"/>
      <c r="F19" s="66"/>
      <c r="G19" s="66"/>
      <c r="H19" s="560"/>
      <c r="I19" s="565"/>
      <c r="J19" s="566"/>
      <c r="K19" s="567"/>
    </row>
    <row r="20" spans="2:11" x14ac:dyDescent="0.3">
      <c r="B20" s="561"/>
      <c r="C20" s="427" t="s">
        <v>447</v>
      </c>
      <c r="D20" s="160"/>
      <c r="E20" s="354"/>
      <c r="F20" s="66"/>
      <c r="G20" s="66"/>
      <c r="H20" s="560"/>
      <c r="I20" s="565"/>
      <c r="J20" s="566"/>
      <c r="K20" s="567"/>
    </row>
    <row r="21" spans="2:11" x14ac:dyDescent="0.3">
      <c r="B21" s="83"/>
      <c r="C21" s="428"/>
      <c r="D21" s="334"/>
      <c r="E21" s="404"/>
      <c r="F21" s="66"/>
      <c r="G21" s="66"/>
      <c r="H21" s="560"/>
      <c r="I21" s="565"/>
      <c r="J21" s="566"/>
      <c r="K21" s="567"/>
    </row>
    <row r="22" spans="2:11" x14ac:dyDescent="0.3">
      <c r="B22" s="83"/>
      <c r="C22" s="66"/>
      <c r="D22" s="66"/>
      <c r="E22" s="66"/>
      <c r="F22" s="66"/>
      <c r="G22" s="66"/>
      <c r="H22" s="560"/>
      <c r="I22" s="565"/>
      <c r="J22" s="566"/>
      <c r="K22" s="567"/>
    </row>
    <row r="23" spans="2:11" x14ac:dyDescent="0.3">
      <c r="B23" s="83" t="s">
        <v>468</v>
      </c>
      <c r="C23" s="474" t="s">
        <v>452</v>
      </c>
      <c r="D23" s="475"/>
      <c r="E23" s="476"/>
      <c r="F23" s="66"/>
      <c r="G23" s="66"/>
      <c r="H23" s="560"/>
      <c r="I23" s="565"/>
      <c r="J23" s="566"/>
      <c r="K23" s="567"/>
    </row>
    <row r="24" spans="2:11" x14ac:dyDescent="0.3">
      <c r="B24" s="83"/>
      <c r="C24" s="427" t="s">
        <v>446</v>
      </c>
      <c r="D24" s="160"/>
      <c r="E24" s="354"/>
      <c r="F24" s="66"/>
      <c r="G24" s="66"/>
      <c r="H24" s="560"/>
      <c r="I24" s="565"/>
      <c r="J24" s="566"/>
      <c r="K24" s="567"/>
    </row>
    <row r="25" spans="2:11" x14ac:dyDescent="0.3">
      <c r="B25" s="83" t="s">
        <v>488</v>
      </c>
      <c r="C25" s="427" t="s">
        <v>453</v>
      </c>
      <c r="D25" s="160"/>
      <c r="E25" s="354"/>
      <c r="F25" s="66"/>
      <c r="G25" s="66"/>
      <c r="H25" s="560"/>
      <c r="I25" s="565"/>
      <c r="J25" s="566"/>
      <c r="K25" s="567"/>
    </row>
    <row r="26" spans="2:11" x14ac:dyDescent="0.3">
      <c r="B26" s="83"/>
      <c r="C26" s="428"/>
      <c r="D26" s="334"/>
      <c r="E26" s="404"/>
      <c r="F26" s="66"/>
      <c r="G26" s="66"/>
      <c r="H26" s="560"/>
      <c r="I26" s="565"/>
      <c r="J26" s="566"/>
      <c r="K26" s="567"/>
    </row>
    <row r="27" spans="2:11" x14ac:dyDescent="0.3">
      <c r="B27" s="83"/>
      <c r="C27" s="66"/>
      <c r="D27" s="66"/>
      <c r="E27" s="66"/>
      <c r="F27" s="66"/>
      <c r="G27" s="66"/>
      <c r="H27" s="560"/>
      <c r="I27" s="568"/>
      <c r="J27" s="569"/>
      <c r="K27" s="570"/>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topLeftCell="B1" zoomScale="90" zoomScaleNormal="90" workbookViewId="0">
      <pane ySplit="3" topLeftCell="A27" activePane="bottomLeft" state="frozen"/>
      <selection pane="bottomLeft" activeCell="I35" sqref="I35"/>
    </sheetView>
  </sheetViews>
  <sheetFormatPr defaultColWidth="9.109375" defaultRowHeight="15.6" outlineLevelRow="1" x14ac:dyDescent="0.3"/>
  <cols>
    <col min="1" max="1" width="7" style="23" customWidth="1"/>
    <col min="2" max="2" width="27.33203125" style="23" customWidth="1"/>
    <col min="3" max="3" width="29" style="23" customWidth="1"/>
    <col min="4" max="4" width="19.88671875" style="45" customWidth="1"/>
    <col min="5" max="5" width="23" style="23" customWidth="1"/>
    <col min="6" max="6" width="31.109375" style="23" customWidth="1"/>
    <col min="7" max="7" width="22.88671875" style="23" customWidth="1"/>
    <col min="8" max="8" width="20.88671875" style="23" customWidth="1"/>
    <col min="9" max="9" width="16.44140625" style="23" customWidth="1"/>
    <col min="10" max="10" width="14.44140625" style="23" customWidth="1"/>
    <col min="11" max="11" width="15.5546875" style="23" customWidth="1"/>
    <col min="12" max="12" width="10.6640625" style="23" customWidth="1"/>
    <col min="13" max="13" width="13.6640625" style="17" customWidth="1"/>
    <col min="14" max="14" width="6.33203125" style="17" customWidth="1"/>
    <col min="15" max="15" width="3.109375" style="23" customWidth="1"/>
    <col min="16" max="16" width="15.33203125" style="23" customWidth="1"/>
    <col min="17" max="16384" width="9.109375" style="23"/>
  </cols>
  <sheetData>
    <row r="1" spans="2:15" ht="144" customHeight="1" x14ac:dyDescent="0.25"/>
    <row r="3" spans="2:15" ht="30.75" customHeight="1" x14ac:dyDescent="0.3">
      <c r="B3" s="571" t="s">
        <v>333</v>
      </c>
      <c r="C3" s="571"/>
      <c r="D3" s="571"/>
      <c r="E3" s="571"/>
      <c r="F3" s="571"/>
      <c r="G3" s="571"/>
      <c r="H3" s="571"/>
      <c r="I3" s="571"/>
      <c r="J3" s="571"/>
      <c r="K3" s="571"/>
    </row>
    <row r="4" spans="2:15" ht="13.5" customHeight="1" x14ac:dyDescent="0.3">
      <c r="B4" s="235"/>
      <c r="C4" s="235"/>
      <c r="D4" s="235"/>
      <c r="E4" s="235"/>
      <c r="F4" s="235"/>
      <c r="G4" s="235"/>
      <c r="H4" s="235"/>
      <c r="I4" s="235"/>
      <c r="J4" s="235"/>
      <c r="K4" s="235"/>
    </row>
    <row r="5" spans="2:15" ht="18" customHeight="1" outlineLevel="1" x14ac:dyDescent="0.25">
      <c r="B5" s="573" t="s">
        <v>501</v>
      </c>
      <c r="C5" s="573"/>
      <c r="D5" s="573"/>
      <c r="E5" s="573"/>
      <c r="F5" s="573"/>
      <c r="G5" s="573"/>
      <c r="H5" s="573"/>
      <c r="I5" s="573"/>
      <c r="J5" s="573"/>
      <c r="K5" s="573"/>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ht="15.75" outlineLevel="1" thickBot="1" x14ac:dyDescent="0.3">
      <c r="C8" s="366" t="s">
        <v>209</v>
      </c>
      <c r="D8" s="533" t="s">
        <v>513</v>
      </c>
      <c r="J8" s="4"/>
      <c r="K8" s="4"/>
    </row>
    <row r="9" spans="2:15" ht="15.75" customHeight="1" outlineLevel="1" thickBot="1" x14ac:dyDescent="0.3">
      <c r="C9" s="465" t="s">
        <v>206</v>
      </c>
      <c r="D9" s="416"/>
      <c r="F9" s="574" t="s">
        <v>399</v>
      </c>
      <c r="G9" s="575"/>
      <c r="H9" s="510"/>
      <c r="M9" s="23"/>
      <c r="O9" s="17"/>
    </row>
    <row r="10" spans="2:15" ht="15.75" outlineLevel="1" thickBot="1" x14ac:dyDescent="0.3">
      <c r="C10" s="366" t="s">
        <v>207</v>
      </c>
      <c r="D10" s="416"/>
      <c r="F10" s="365" t="s">
        <v>437</v>
      </c>
      <c r="G10" s="365"/>
      <c r="H10" s="534">
        <v>2013</v>
      </c>
      <c r="M10" s="23"/>
      <c r="O10" s="17"/>
    </row>
    <row r="11" spans="2:15" ht="15" customHeight="1" outlineLevel="1" thickBot="1" x14ac:dyDescent="0.3">
      <c r="C11" s="465" t="s">
        <v>208</v>
      </c>
      <c r="D11" s="416"/>
      <c r="F11" s="574" t="s">
        <v>398</v>
      </c>
      <c r="G11" s="575"/>
      <c r="H11" s="416" t="s">
        <v>514</v>
      </c>
      <c r="M11" s="23"/>
      <c r="O11" s="17"/>
    </row>
    <row r="12" spans="2:15" ht="15.75" outlineLevel="1" thickBot="1" x14ac:dyDescent="0.3">
      <c r="C12" s="366" t="s">
        <v>210</v>
      </c>
      <c r="D12" s="416"/>
      <c r="F12" s="86"/>
      <c r="G12" s="86"/>
      <c r="K12" s="4"/>
      <c r="L12" s="4"/>
      <c r="M12" s="23"/>
      <c r="O12" s="17"/>
    </row>
    <row r="13" spans="2:15" ht="15.75" outlineLevel="1" thickBot="1" x14ac:dyDescent="0.3">
      <c r="C13" s="17"/>
      <c r="D13" s="23"/>
      <c r="F13" s="367"/>
      <c r="G13" s="367"/>
      <c r="H13" s="81"/>
      <c r="K13" s="4"/>
      <c r="L13" s="4"/>
      <c r="M13" s="23"/>
      <c r="O13" s="17"/>
    </row>
    <row r="14" spans="2:15" ht="15" outlineLevel="1" thickBot="1" x14ac:dyDescent="0.35">
      <c r="C14" s="572" t="s">
        <v>334</v>
      </c>
      <c r="D14" s="203" t="s">
        <v>361</v>
      </c>
      <c r="F14" s="371" t="s">
        <v>407</v>
      </c>
      <c r="G14" s="371"/>
      <c r="H14" s="532">
        <f>K38</f>
        <v>-1991.5285811080539</v>
      </c>
      <c r="M14" s="23"/>
      <c r="O14" s="17"/>
    </row>
    <row r="15" spans="2:15" ht="15" outlineLevel="1" thickBot="1" x14ac:dyDescent="0.35">
      <c r="C15" s="572"/>
      <c r="D15" s="85" t="s">
        <v>335</v>
      </c>
      <c r="F15" s="576" t="s">
        <v>461</v>
      </c>
      <c r="G15" s="577"/>
      <c r="H15" s="515">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343</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503</v>
      </c>
      <c r="E21" s="95" t="s">
        <v>504</v>
      </c>
      <c r="F21" s="95" t="s">
        <v>505</v>
      </c>
      <c r="G21" s="95" t="s">
        <v>42</v>
      </c>
      <c r="H21" s="95" t="s">
        <v>40</v>
      </c>
      <c r="I21" s="95" t="s">
        <v>500</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SUM(C22:I22)</f>
        <v>0</v>
      </c>
      <c r="N22" s="53"/>
    </row>
    <row r="23" spans="1:15" s="17" customFormat="1" ht="15" x14ac:dyDescent="0.25">
      <c r="B23" s="98" t="s">
        <v>198</v>
      </c>
      <c r="C23" s="88">
        <f>'4.  2011-14 LRAM'!H74</f>
        <v>2085.0317010000003</v>
      </c>
      <c r="D23" s="88">
        <f>'4.  2011-14 LRAM'!I74</f>
        <v>6652.9092686000004</v>
      </c>
      <c r="E23" s="88">
        <f>'4.  2011-14 LRAM'!J74</f>
        <v>375.57599046899998</v>
      </c>
      <c r="F23" s="88">
        <f>'4.  2011-14 LRAM'!K74</f>
        <v>8.4595586459999996</v>
      </c>
      <c r="G23" s="88">
        <f>'4.  2011-14 LRAM'!L74</f>
        <v>0</v>
      </c>
      <c r="H23" s="88">
        <f>'4.  2011-14 LRAM'!M74</f>
        <v>0</v>
      </c>
      <c r="I23" s="88">
        <f>'4.  2011-14 LRAM'!N74</f>
        <v>0</v>
      </c>
      <c r="J23" s="88"/>
      <c r="K23" s="99">
        <f t="shared" ref="K23:K32" si="0">SUM(C23:I23)</f>
        <v>9121.9765187150006</v>
      </c>
      <c r="N23" s="53"/>
      <c r="O23" s="28"/>
    </row>
    <row r="24" spans="1:15" s="17" customFormat="1" ht="15" x14ac:dyDescent="0.25">
      <c r="B24" s="234" t="s">
        <v>90</v>
      </c>
      <c r="C24" s="243"/>
      <c r="D24" s="243"/>
      <c r="E24" s="243"/>
      <c r="F24" s="243"/>
      <c r="G24" s="243"/>
      <c r="H24" s="243"/>
      <c r="I24" s="243"/>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199</v>
      </c>
      <c r="C26" s="88">
        <f>'4.  2011-14 LRAM'!H154</f>
        <v>3699.2817754242301</v>
      </c>
      <c r="D26" s="88">
        <f>'4.  2011-14 LRAM'!I154</f>
        <v>16257.937460396941</v>
      </c>
      <c r="E26" s="88">
        <f>'4.  2011-14 LRAM'!J154</f>
        <v>1318.0242924934489</v>
      </c>
      <c r="F26" s="88">
        <f>'4.  2011-14 LRAM'!K154</f>
        <v>7.9272747971462874</v>
      </c>
      <c r="G26" s="88">
        <f>'4.  2011-14 LRAM'!L154</f>
        <v>0</v>
      </c>
      <c r="H26" s="88">
        <f>'4.  2011-14 LRAM'!M154</f>
        <v>0</v>
      </c>
      <c r="I26" s="88">
        <f>'4.  2011-14 LRAM'!N154</f>
        <v>0</v>
      </c>
      <c r="J26" s="88"/>
      <c r="K26" s="99">
        <f t="shared" si="0"/>
        <v>21283.170803111767</v>
      </c>
      <c r="N26" s="53"/>
    </row>
    <row r="27" spans="1:15" s="17" customFormat="1" ht="15" x14ac:dyDescent="0.25">
      <c r="B27" s="234" t="s">
        <v>90</v>
      </c>
      <c r="C27" s="243"/>
      <c r="D27" s="243"/>
      <c r="E27" s="243"/>
      <c r="F27" s="243"/>
      <c r="G27" s="243"/>
      <c r="H27" s="243"/>
      <c r="I27" s="243"/>
      <c r="J27" s="243"/>
      <c r="K27" s="244"/>
      <c r="N27" s="53"/>
    </row>
    <row r="28" spans="1:15" ht="15" x14ac:dyDescent="0.25">
      <c r="B28" s="97" t="s">
        <v>51</v>
      </c>
      <c r="C28" s="87">
        <f>-'2.  CDM Allocation'!C135</f>
        <v>-9606.1205018476212</v>
      </c>
      <c r="D28" s="87">
        <f>-'2.  CDM Allocation'!D135</f>
        <v>-5445.1560599993354</v>
      </c>
      <c r="E28" s="87">
        <f>-'2.  CDM Allocation'!E135</f>
        <v>-7903.0005905303642</v>
      </c>
      <c r="F28" s="87">
        <f>-'2.  CDM Allocation'!F135</f>
        <v>-1531.3615920062862</v>
      </c>
      <c r="G28" s="87">
        <f>-'2.  CDM Allocation'!G135</f>
        <v>-163.14823045947904</v>
      </c>
      <c r="H28" s="87">
        <f>-'2.  CDM Allocation'!H135</f>
        <v>-19.184949073828943</v>
      </c>
      <c r="I28" s="87">
        <f>-'2.  CDM Allocation'!I135</f>
        <v>-745.94814921289947</v>
      </c>
      <c r="J28" s="87"/>
      <c r="K28" s="110">
        <f>SUM(C28:I28)</f>
        <v>-25413.920073129811</v>
      </c>
      <c r="N28" s="53"/>
    </row>
    <row r="29" spans="1:15" s="17" customFormat="1" ht="15" x14ac:dyDescent="0.25">
      <c r="B29" s="98" t="s">
        <v>52</v>
      </c>
      <c r="C29" s="88">
        <f>'4.  2011-14 LRAM'!H235</f>
        <v>5428.5606464658294</v>
      </c>
      <c r="D29" s="88">
        <f>'4.  2011-14 LRAM'!I235</f>
        <v>21358.929057453744</v>
      </c>
      <c r="E29" s="88">
        <f>'4.  2011-14 LRAM'!J235</f>
        <v>4053.1663173116203</v>
      </c>
      <c r="F29" s="88">
        <f>'4.  2011-14 LRAM'!K235</f>
        <v>8.4091876458995607</v>
      </c>
      <c r="G29" s="88">
        <f>'4.  2011-14 LRAM'!L235</f>
        <v>0</v>
      </c>
      <c r="H29" s="88">
        <f>'4.  2011-14 LRAM'!M235</f>
        <v>0</v>
      </c>
      <c r="I29" s="88">
        <f>'4.  2011-14 LRAM'!N235</f>
        <v>0</v>
      </c>
      <c r="J29" s="88"/>
      <c r="K29" s="99">
        <f t="shared" si="0"/>
        <v>30849.065208877095</v>
      </c>
      <c r="N29" s="53"/>
    </row>
    <row r="30" spans="1:15" s="17" customFormat="1" ht="15" x14ac:dyDescent="0.25">
      <c r="B30" s="234" t="s">
        <v>90</v>
      </c>
      <c r="C30" s="243"/>
      <c r="D30" s="243"/>
      <c r="E30" s="243"/>
      <c r="F30" s="243"/>
      <c r="G30" s="243"/>
      <c r="H30" s="243"/>
      <c r="I30" s="243"/>
      <c r="J30" s="243"/>
      <c r="K30" s="244"/>
      <c r="N30" s="53"/>
    </row>
    <row r="31" spans="1:15" ht="15" x14ac:dyDescent="0.25">
      <c r="B31" s="97" t="s">
        <v>53</v>
      </c>
      <c r="C31" s="87">
        <f>-'2.  CDM Allocation'!C136</f>
        <v>-10131.82858901341</v>
      </c>
      <c r="D31" s="87">
        <f>-'2.  CDM Allocation'!D136</f>
        <v>-5844.3610497353575</v>
      </c>
      <c r="E31" s="87">
        <f>-'2.  CDM Allocation'!E136</f>
        <v>-8697.5186748057258</v>
      </c>
      <c r="F31" s="87">
        <f>-'2.  CDM Allocation'!F136</f>
        <v>-1628.4835607779187</v>
      </c>
      <c r="G31" s="87">
        <f>-'2.  CDM Allocation'!G136</f>
        <v>-98.046569416227982</v>
      </c>
      <c r="H31" s="87">
        <f>-'2.  CDM Allocation'!H136</f>
        <v>-19.37141309285612</v>
      </c>
      <c r="I31" s="87">
        <f>-'2.  CDM Allocation'!I136</f>
        <v>-437.75032477584597</v>
      </c>
      <c r="J31" s="87"/>
      <c r="K31" s="110">
        <f t="shared" si="0"/>
        <v>-26857.360181617343</v>
      </c>
      <c r="N31" s="53"/>
    </row>
    <row r="32" spans="1:15" s="17" customFormat="1" ht="15" x14ac:dyDescent="0.25">
      <c r="B32" s="98" t="s">
        <v>54</v>
      </c>
      <c r="C32" s="88">
        <f>'4.  2011-14 LRAM'!H317</f>
        <v>9414.6924943119793</v>
      </c>
      <c r="D32" s="88">
        <f>'4.  2011-14 LRAM'!I317</f>
        <v>49065.409394036527</v>
      </c>
      <c r="E32" s="88">
        <f>'4.  2011-14 LRAM'!J317</f>
        <v>2846.0705494745239</v>
      </c>
      <c r="F32" s="88">
        <f>'4.  2011-14 LRAM'!K317</f>
        <v>8.4828529111310065</v>
      </c>
      <c r="G32" s="88">
        <f>'4.  2011-14 LRAM'!L317</f>
        <v>0</v>
      </c>
      <c r="H32" s="88">
        <f>'4.  2011-14 LRAM'!M317</f>
        <v>0</v>
      </c>
      <c r="I32" s="88">
        <f>'4.  2011-14 LRAM'!N317</f>
        <v>0</v>
      </c>
      <c r="J32" s="88"/>
      <c r="K32" s="99">
        <f t="shared" si="0"/>
        <v>61334.655290734168</v>
      </c>
      <c r="N32" s="53"/>
    </row>
    <row r="33" spans="2:14" s="17" customFormat="1" ht="15" x14ac:dyDescent="0.25">
      <c r="B33" s="234" t="s">
        <v>90</v>
      </c>
      <c r="C33" s="243">
        <f>10131.83-9414.69+4177.56-3699.28-2085.03</f>
        <v>-889.61000000000058</v>
      </c>
      <c r="D33" s="243">
        <f>5844.36-49065.41-6652.91-16257.94-15913.77</f>
        <v>-82045.670000000013</v>
      </c>
      <c r="E33" s="243">
        <f>8697.52-2846.07-375.58-1318.02+3849.83</f>
        <v>8007.68</v>
      </c>
      <c r="F33" s="243">
        <f>1628.48-8.48-8.46-7.93+1522.95</f>
        <v>3126.56</v>
      </c>
      <c r="G33" s="243">
        <f>163.15+98.05</f>
        <v>261.2</v>
      </c>
      <c r="H33" s="243">
        <f>19.18+19.37</f>
        <v>38.549999999999997</v>
      </c>
      <c r="I33" s="243">
        <f>745.95+437.75</f>
        <v>1183.7</v>
      </c>
      <c r="J33" s="243"/>
      <c r="K33" s="244">
        <f>SUM(C33:J33)</f>
        <v>-70317.590000000011</v>
      </c>
      <c r="N33" s="53"/>
    </row>
    <row r="34" spans="2:14" ht="14.4" x14ac:dyDescent="0.3">
      <c r="B34" s="97" t="s">
        <v>137</v>
      </c>
      <c r="C34" s="87">
        <f>-'2.  CDM Allocation'!C137</f>
        <v>-7097.7768138599522</v>
      </c>
      <c r="D34" s="87">
        <f>-'2.  CDM Allocation'!D137</f>
        <v>-4088.5695619507433</v>
      </c>
      <c r="E34" s="87">
        <f>-'2.  CDM Allocation'!E137</f>
        <v>-6087.9900337038098</v>
      </c>
      <c r="F34" s="87">
        <f>-'2.  CDM Allocation'!F137</f>
        <v>-1139.8945289880469</v>
      </c>
      <c r="G34" s="87">
        <f>-'2.  CDM Allocation'!G137</f>
        <v>0</v>
      </c>
      <c r="H34" s="87">
        <f>-'2.  CDM Allocation'!H137</f>
        <v>-13.559555143749121</v>
      </c>
      <c r="I34" s="87">
        <f>-'2.  CDM Allocation'!I137</f>
        <v>-306.41393757695931</v>
      </c>
      <c r="J34" s="89"/>
      <c r="K34" s="111">
        <f>SUM(C34:I34)</f>
        <v>-18734.204431223261</v>
      </c>
      <c r="N34" s="53"/>
    </row>
    <row r="35" spans="2:14" s="17" customFormat="1" ht="15" x14ac:dyDescent="0.25">
      <c r="B35" s="98" t="s">
        <v>138</v>
      </c>
      <c r="C35" s="90">
        <f>'5.  2015 LRAM'!H126</f>
        <v>4128.8743333333332</v>
      </c>
      <c r="D35" s="90">
        <f>'5.  2015 LRAM'!I126</f>
        <v>4466.7179253333334</v>
      </c>
      <c r="E35" s="90">
        <f>'5.  2015 LRAM'!J126</f>
        <v>7822.2244639999981</v>
      </c>
      <c r="F35" s="90">
        <f>'5.  2015 LRAM'!K126</f>
        <v>0</v>
      </c>
      <c r="G35" s="90">
        <f>'5.  2015 LRAM'!L126</f>
        <v>0</v>
      </c>
      <c r="H35" s="90">
        <f>'5.  2015 LRAM'!M126</f>
        <v>0</v>
      </c>
      <c r="I35" s="90">
        <f>'5.  2015 LRAM'!N126</f>
        <v>1169.3770845934228</v>
      </c>
      <c r="J35" s="90"/>
      <c r="K35" s="99">
        <f>SUM(C35:I35)</f>
        <v>17587.19380726009</v>
      </c>
      <c r="N35" s="53"/>
    </row>
    <row r="36" spans="2:14" s="17" customFormat="1" ht="15" x14ac:dyDescent="0.25">
      <c r="B36" s="234" t="s">
        <v>90</v>
      </c>
      <c r="C36" s="243"/>
      <c r="D36" s="243"/>
      <c r="E36" s="243"/>
      <c r="F36" s="243"/>
      <c r="G36" s="243"/>
      <c r="H36" s="243"/>
      <c r="I36" s="243"/>
      <c r="J36" s="243"/>
      <c r="K36" s="244"/>
      <c r="N36" s="53"/>
    </row>
    <row r="37" spans="2:14" s="17" customFormat="1" ht="21.75" customHeight="1" x14ac:dyDescent="0.25">
      <c r="B37" s="487" t="s">
        <v>66</v>
      </c>
      <c r="C37" s="488">
        <f>'7.  Carrying Charges'!I88</f>
        <v>-25.804529399396507</v>
      </c>
      <c r="D37" s="488">
        <f>'7.  Carrying Charges'!J88</f>
        <v>-976.46256430100618</v>
      </c>
      <c r="E37" s="488">
        <f>'7.  Carrying Charges'!K88</f>
        <v>104.36558057060172</v>
      </c>
      <c r="F37" s="488">
        <f>'7.  Carrying Charges'!L88</f>
        <v>31.348577773162525</v>
      </c>
      <c r="G37" s="488">
        <f>'7.  Carrying Charges'!M88</f>
        <v>3.1119830595652753</v>
      </c>
      <c r="H37" s="488">
        <f>'7.  Carrying Charges'!N88</f>
        <v>0.38872391678688878</v>
      </c>
      <c r="I37" s="488">
        <f>'7.  Carrying Charges'!O88</f>
        <v>18.536704544545941</v>
      </c>
      <c r="J37" s="489"/>
      <c r="K37" s="490">
        <f>SUM(C37:I37)</f>
        <v>-844.51552383574017</v>
      </c>
      <c r="L37" s="23"/>
      <c r="M37" s="23"/>
    </row>
    <row r="38" spans="2:14" ht="24" customHeight="1" x14ac:dyDescent="0.25">
      <c r="B38" s="248" t="s">
        <v>290</v>
      </c>
      <c r="C38" s="486">
        <f>SUM(C22:C37)</f>
        <v>-2994.6994835850082</v>
      </c>
      <c r="D38" s="486">
        <f t="shared" ref="D38:F38" si="1">SUM(D22:D37)</f>
        <v>-598.31613016590597</v>
      </c>
      <c r="E38" s="486">
        <f t="shared" si="1"/>
        <v>1838.5978952792934</v>
      </c>
      <c r="F38" s="486">
        <f t="shared" si="1"/>
        <v>-1108.5522299989127</v>
      </c>
      <c r="G38" s="486">
        <f>SUM(G22:G37)</f>
        <v>3.1171831838582444</v>
      </c>
      <c r="H38" s="486">
        <f>SUM(H22:H37)</f>
        <v>-13.177193393647297</v>
      </c>
      <c r="I38" s="486">
        <f>SUM(I22:I37)</f>
        <v>881.50137757226389</v>
      </c>
      <c r="J38" s="486"/>
      <c r="K38" s="531">
        <f>SUM(K22:K37)</f>
        <v>-1991.5285811080539</v>
      </c>
    </row>
    <row r="39" spans="2:14" ht="15.75" x14ac:dyDescent="0.25">
      <c r="B39" s="45"/>
      <c r="D39" s="23"/>
      <c r="K39" s="28"/>
    </row>
    <row r="40" spans="2:14" ht="15.75" x14ac:dyDescent="0.25">
      <c r="B40" s="45"/>
      <c r="D40" s="23"/>
      <c r="K40" s="17"/>
    </row>
    <row r="41" spans="2:14" ht="15.75" x14ac:dyDescent="0.25">
      <c r="B41" s="45"/>
      <c r="D41" s="23"/>
      <c r="K41" s="17"/>
    </row>
    <row r="42" spans="2:14" ht="15.75"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44" activePane="bottomLeft" state="frozen"/>
      <selection pane="bottomLeft" activeCell="G54" sqref="G54"/>
    </sheetView>
  </sheetViews>
  <sheetFormatPr defaultColWidth="9.109375" defaultRowHeight="14.4" outlineLevelRow="1" x14ac:dyDescent="0.3"/>
  <cols>
    <col min="1" max="1" width="9.886718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5546875" style="26" customWidth="1"/>
    <col min="8" max="8" width="19.109375" style="26" customWidth="1"/>
    <col min="9" max="9" width="17.33203125" style="26" customWidth="1"/>
    <col min="10" max="10" width="16.33203125" style="26" customWidth="1"/>
    <col min="11" max="11" width="16.88671875" style="26" bestFit="1" customWidth="1"/>
    <col min="12" max="12" width="13.5546875" style="26" customWidth="1"/>
    <col min="13" max="13" width="13.88671875" style="26" customWidth="1"/>
    <col min="14" max="14" width="20" style="26" customWidth="1"/>
    <col min="15" max="15" width="10.109375" style="26" customWidth="1"/>
    <col min="16" max="24" width="14" style="26" customWidth="1"/>
    <col min="25" max="16384" width="9.109375" style="26"/>
  </cols>
  <sheetData>
    <row r="1" spans="2:10" ht="151.5" customHeight="1" x14ac:dyDescent="0.25"/>
    <row r="2" spans="2:10" ht="42" customHeight="1" x14ac:dyDescent="0.3">
      <c r="B2" s="571" t="s">
        <v>340</v>
      </c>
      <c r="C2" s="571"/>
      <c r="D2" s="571"/>
      <c r="E2" s="571"/>
      <c r="F2" s="571"/>
      <c r="G2" s="571"/>
      <c r="H2" s="571"/>
      <c r="I2" s="571"/>
      <c r="J2" s="571"/>
    </row>
    <row r="3" spans="2:10" ht="24.75" customHeight="1" x14ac:dyDescent="0.25">
      <c r="B3" s="245"/>
      <c r="C3" s="70"/>
      <c r="D3" s="47"/>
      <c r="E3" s="47"/>
      <c r="F3" s="47"/>
      <c r="G3" s="47"/>
      <c r="H3" s="47"/>
      <c r="I3" s="47"/>
      <c r="J3" s="47"/>
    </row>
    <row r="4" spans="2:10" ht="15" x14ac:dyDescent="0.25">
      <c r="B4" s="373" t="s">
        <v>397</v>
      </c>
      <c r="C4" s="70" t="s">
        <v>342</v>
      </c>
      <c r="D4" s="47"/>
      <c r="E4" s="47"/>
      <c r="F4" s="47"/>
      <c r="G4" s="47"/>
      <c r="H4" s="47"/>
      <c r="I4" s="47"/>
      <c r="J4" s="47"/>
    </row>
    <row r="5" spans="2:10" ht="30" customHeight="1" x14ac:dyDescent="0.25">
      <c r="B5" s="374"/>
      <c r="C5" s="579" t="s">
        <v>497</v>
      </c>
      <c r="D5" s="579"/>
      <c r="E5" s="579"/>
      <c r="F5" s="579"/>
      <c r="G5" s="579"/>
      <c r="H5" s="579"/>
      <c r="I5" s="579"/>
      <c r="J5" s="579"/>
    </row>
    <row r="6" spans="2:10" ht="18.75" customHeight="1" x14ac:dyDescent="0.25">
      <c r="B6" s="245"/>
      <c r="C6" s="70" t="s">
        <v>410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3">
      <c r="B8" s="578" t="s">
        <v>334</v>
      </c>
      <c r="C8" s="204" t="s">
        <v>361</v>
      </c>
    </row>
    <row r="9" spans="2:10" s="3" customFormat="1" ht="17.25" customHeight="1" x14ac:dyDescent="0.3">
      <c r="B9" s="578"/>
      <c r="C9" s="139" t="s">
        <v>335</v>
      </c>
    </row>
    <row r="10" spans="2:10" s="3" customFormat="1" ht="15.75" customHeight="1" x14ac:dyDescent="0.2">
      <c r="B10" s="466"/>
      <c r="C10" s="55"/>
    </row>
    <row r="11" spans="2:10" s="55" customFormat="1" ht="15.75" x14ac:dyDescent="0.2">
      <c r="B11" s="113" t="s">
        <v>498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341</v>
      </c>
      <c r="F13" s="55"/>
    </row>
    <row r="14" spans="2:10" s="3" customFormat="1" ht="14.25" x14ac:dyDescent="0.2">
      <c r="B14" s="105">
        <v>2011</v>
      </c>
      <c r="C14" s="512">
        <v>973955</v>
      </c>
      <c r="D14" s="106" t="e">
        <f>K44</f>
        <v>#DIV/0!</v>
      </c>
      <c r="E14" s="106" t="e">
        <f>K40</f>
        <v>#DIV/0!</v>
      </c>
      <c r="F14" s="55"/>
    </row>
    <row r="15" spans="2:10" s="3" customFormat="1" ht="14.25" x14ac:dyDescent="0.2">
      <c r="B15" s="105">
        <v>2012</v>
      </c>
      <c r="C15" s="512">
        <v>657422</v>
      </c>
      <c r="D15" s="106" t="e">
        <f>K57</f>
        <v>#DIV/0!</v>
      </c>
      <c r="E15" s="106" t="e">
        <f>K53</f>
        <v>#DIV/0!</v>
      </c>
      <c r="F15" s="55"/>
    </row>
    <row r="16" spans="2:10" s="3" customFormat="1" ht="14.25" x14ac:dyDescent="0.2">
      <c r="B16" s="105">
        <v>2013</v>
      </c>
      <c r="C16" s="512">
        <v>2288799</v>
      </c>
      <c r="D16" s="106">
        <f>K70</f>
        <v>-3103.2797481246516</v>
      </c>
      <c r="E16" s="106">
        <f>K66</f>
        <v>-2288798.9999999995</v>
      </c>
      <c r="F16" s="55"/>
    </row>
    <row r="17" spans="2:26" s="3" customFormat="1" ht="14.25" x14ac:dyDescent="0.2">
      <c r="B17" s="105">
        <v>2014</v>
      </c>
      <c r="C17" s="512">
        <v>2288799</v>
      </c>
      <c r="D17" s="106">
        <f>K83</f>
        <v>-3103.2797481246516</v>
      </c>
      <c r="E17" s="106">
        <f>K79</f>
        <v>-2288798.9999999995</v>
      </c>
      <c r="F17" s="55"/>
    </row>
    <row r="18" spans="2:26" s="3" customFormat="1" ht="14.25" x14ac:dyDescent="0.2">
      <c r="B18" s="105">
        <v>2015</v>
      </c>
      <c r="C18" s="512">
        <v>1581028</v>
      </c>
      <c r="D18" s="106">
        <f>K96</f>
        <v>-2143.6448432640973</v>
      </c>
      <c r="E18" s="106">
        <f>K92</f>
        <v>-1581028.0000000002</v>
      </c>
      <c r="F18" s="55"/>
    </row>
    <row r="19" spans="2:26" s="3" customFormat="1" ht="15" x14ac:dyDescent="0.25">
      <c r="B19" s="105">
        <v>2016</v>
      </c>
      <c r="C19" s="512"/>
      <c r="D19" s="106">
        <f>K109</f>
        <v>0</v>
      </c>
      <c r="E19" s="106">
        <f>K105</f>
        <v>0</v>
      </c>
      <c r="F19" s="55"/>
      <c r="Z19" s="44"/>
    </row>
    <row r="20" spans="2:26" s="3" customFormat="1" ht="15" x14ac:dyDescent="0.25">
      <c r="B20" s="105">
        <v>2017</v>
      </c>
      <c r="C20" s="512"/>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404</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 50 kW</v>
      </c>
      <c r="E24" s="102" t="str">
        <f>'1.  LRAMVA Summary'!E21</f>
        <v>General Service 50 to 2999 kW</v>
      </c>
      <c r="F24" s="102" t="str">
        <f>'1.  LRAMVA Summary'!F21</f>
        <v>General Service 3000 to 4999 kW</v>
      </c>
      <c r="G24" s="102" t="str">
        <f>'1.  LRAMVA Summary'!G21</f>
        <v>Unmetered Scattered Load</v>
      </c>
      <c r="H24" s="102" t="str">
        <f>'1.  LRAMVA Summary'!H21</f>
        <v>Sentinel Lighting</v>
      </c>
      <c r="I24" s="102" t="str">
        <f>'1.  LRAMVA Summary'!I21</f>
        <v xml:space="preserve">Street Lighting </v>
      </c>
      <c r="J24" s="102" t="s">
        <v>105</v>
      </c>
    </row>
    <row r="25" spans="2:26" s="3" customFormat="1" ht="16.5" customHeight="1" x14ac:dyDescent="0.2">
      <c r="B25" s="102"/>
      <c r="C25" s="102" t="s">
        <v>35</v>
      </c>
      <c r="D25" s="102" t="s">
        <v>35</v>
      </c>
      <c r="E25" s="102" t="s">
        <v>36</v>
      </c>
      <c r="F25" s="102" t="s">
        <v>36</v>
      </c>
      <c r="G25" s="102" t="s">
        <v>35</v>
      </c>
      <c r="H25" s="102" t="s">
        <v>36</v>
      </c>
      <c r="I25" s="102" t="s">
        <v>36</v>
      </c>
      <c r="J25" s="102"/>
    </row>
    <row r="26" spans="2:26" s="3" customFormat="1" ht="16.5" customHeight="1" x14ac:dyDescent="0.2">
      <c r="B26" s="114">
        <v>2011</v>
      </c>
      <c r="C26" s="536">
        <v>0</v>
      </c>
      <c r="D26" s="536">
        <v>0</v>
      </c>
      <c r="E26" s="536">
        <v>0</v>
      </c>
      <c r="F26" s="536">
        <v>0</v>
      </c>
      <c r="G26" s="536">
        <v>0</v>
      </c>
      <c r="H26" s="536">
        <v>0</v>
      </c>
      <c r="I26" s="536">
        <v>0</v>
      </c>
      <c r="J26" s="117"/>
    </row>
    <row r="27" spans="2:26" s="3" customFormat="1" ht="16.5" customHeight="1" x14ac:dyDescent="0.2">
      <c r="B27" s="114">
        <v>2012</v>
      </c>
      <c r="C27" s="536">
        <v>0</v>
      </c>
      <c r="D27" s="536">
        <v>0</v>
      </c>
      <c r="E27" s="536">
        <v>0</v>
      </c>
      <c r="F27" s="536">
        <v>0</v>
      </c>
      <c r="G27" s="536">
        <v>0</v>
      </c>
      <c r="H27" s="536">
        <v>0</v>
      </c>
      <c r="I27" s="536">
        <v>0</v>
      </c>
      <c r="J27" s="117"/>
      <c r="K27" s="57"/>
    </row>
    <row r="28" spans="2:26" s="3" customFormat="1" ht="16.5" customHeight="1" x14ac:dyDescent="0.2">
      <c r="B28" s="114">
        <v>2013</v>
      </c>
      <c r="C28" s="116">
        <f>-C66</f>
        <v>716874.66431698657</v>
      </c>
      <c r="D28" s="116">
        <f>-D66</f>
        <v>319363.99178881734</v>
      </c>
      <c r="E28" s="116">
        <f>-E70</f>
        <v>2466.6814165643013</v>
      </c>
      <c r="F28" s="116">
        <f>-F70</f>
        <v>585.48358548155693</v>
      </c>
      <c r="G28" s="116">
        <f>-G66</f>
        <v>9457.8684324335682</v>
      </c>
      <c r="H28" s="116">
        <f>-H70</f>
        <v>1.6285067163945222</v>
      </c>
      <c r="I28" s="537">
        <f>-I70</f>
        <v>49.486239362399083</v>
      </c>
      <c r="J28" s="117"/>
    </row>
    <row r="29" spans="2:26" s="3" customFormat="1" ht="16.5" customHeight="1" x14ac:dyDescent="0.2">
      <c r="B29" s="114">
        <v>2014</v>
      </c>
      <c r="C29" s="118">
        <f>-C79</f>
        <v>716874.66431698657</v>
      </c>
      <c r="D29" s="118">
        <f>-D79</f>
        <v>319363.99178881734</v>
      </c>
      <c r="E29" s="118">
        <f>-E83</f>
        <v>2466.6814165643013</v>
      </c>
      <c r="F29" s="118">
        <f>-F83</f>
        <v>585.48358548155693</v>
      </c>
      <c r="G29" s="118">
        <f>-G79</f>
        <v>9457.8684324335682</v>
      </c>
      <c r="H29" s="118">
        <f>-H83</f>
        <v>1.6285067163945222</v>
      </c>
      <c r="I29" s="538">
        <f>-I83</f>
        <v>49.486239362399083</v>
      </c>
      <c r="J29" s="119"/>
    </row>
    <row r="30" spans="2:26" s="3" customFormat="1" ht="16.5" customHeight="1" x14ac:dyDescent="0.2">
      <c r="B30" s="114">
        <v>2015</v>
      </c>
      <c r="C30" s="368">
        <f>-C92</f>
        <v>495193.73119953158</v>
      </c>
      <c r="D30" s="368">
        <f t="shared" ref="D30" si="0">-D92</f>
        <v>220606.27132827754</v>
      </c>
      <c r="E30" s="368">
        <f>-E96</f>
        <v>1703.9033950416024</v>
      </c>
      <c r="F30" s="368">
        <f t="shared" ref="F30:H30" si="1">-F96</f>
        <v>404.43304203939925</v>
      </c>
      <c r="G30" s="368">
        <f t="shared" si="1"/>
        <v>0</v>
      </c>
      <c r="H30" s="368">
        <f t="shared" si="1"/>
        <v>1.1249195393775506</v>
      </c>
      <c r="I30" s="539">
        <f>-I96</f>
        <v>34.183486643717991</v>
      </c>
      <c r="J30" s="115"/>
    </row>
    <row r="31" spans="2:26" s="3" customFormat="1" ht="16.5" customHeight="1" x14ac:dyDescent="0.2">
      <c r="B31" s="114">
        <v>2016</v>
      </c>
      <c r="C31" s="368">
        <f>-C105</f>
        <v>0</v>
      </c>
      <c r="D31" s="368">
        <f t="shared" ref="D31:I31" si="2">-D105</f>
        <v>0</v>
      </c>
      <c r="E31" s="368">
        <f>-E109</f>
        <v>0</v>
      </c>
      <c r="F31" s="368">
        <f t="shared" ref="F31:H31" si="3">-F109</f>
        <v>0</v>
      </c>
      <c r="G31" s="368">
        <f t="shared" si="3"/>
        <v>0</v>
      </c>
      <c r="H31" s="368">
        <f t="shared" si="3"/>
        <v>0</v>
      </c>
      <c r="I31" s="368">
        <f t="shared" si="2"/>
        <v>0</v>
      </c>
      <c r="J31" s="115"/>
    </row>
    <row r="32" spans="2:26" s="3" customFormat="1" ht="16.5" customHeight="1" x14ac:dyDescent="0.2">
      <c r="B32" s="114">
        <v>2017</v>
      </c>
      <c r="C32" s="368">
        <f>-C118</f>
        <v>0</v>
      </c>
      <c r="D32" s="368">
        <f t="shared" ref="D32:I32" si="4">-D118</f>
        <v>0</v>
      </c>
      <c r="E32" s="368">
        <f>-E122</f>
        <v>0</v>
      </c>
      <c r="F32" s="368">
        <f t="shared" ref="F32:H32" si="5">-F122</f>
        <v>0</v>
      </c>
      <c r="G32" s="368">
        <f t="shared" si="5"/>
        <v>0</v>
      </c>
      <c r="H32" s="368">
        <f t="shared" si="5"/>
        <v>0</v>
      </c>
      <c r="I32" s="368">
        <f t="shared" si="4"/>
        <v>0</v>
      </c>
      <c r="J32" s="115"/>
    </row>
    <row r="33" spans="1:14" s="3" customFormat="1" ht="15.75" customHeight="1" x14ac:dyDescent="0.2"/>
    <row r="34" spans="1:14" s="66" customFormat="1" ht="15" outlineLevel="1" x14ac:dyDescent="0.2">
      <c r="A34" s="308"/>
      <c r="B34" s="580" t="s">
        <v>522</v>
      </c>
      <c r="C34" s="580"/>
      <c r="D34" s="580"/>
      <c r="E34" s="580"/>
      <c r="F34" s="580"/>
      <c r="G34" s="580"/>
      <c r="H34" s="580"/>
      <c r="I34" s="580"/>
      <c r="J34" s="580"/>
      <c r="K34" s="580"/>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37</v>
      </c>
      <c r="D36" s="318" t="s">
        <v>503</v>
      </c>
      <c r="E36" s="318" t="s">
        <v>504</v>
      </c>
      <c r="F36" s="318" t="s">
        <v>505</v>
      </c>
      <c r="G36" s="318" t="s">
        <v>42</v>
      </c>
      <c r="H36" s="318" t="s">
        <v>40</v>
      </c>
      <c r="I36" s="318" t="s">
        <v>500</v>
      </c>
      <c r="J36" s="318" t="s">
        <v>105</v>
      </c>
      <c r="K36" s="342" t="s">
        <v>34</v>
      </c>
      <c r="L36" s="339"/>
      <c r="M36" s="339"/>
      <c r="N36" s="343"/>
    </row>
    <row r="37" spans="1:14" s="66" customFormat="1" ht="15" outlineLevel="1" x14ac:dyDescent="0.25">
      <c r="B37" s="319" t="s">
        <v>35</v>
      </c>
      <c r="C37" s="320"/>
      <c r="D37" s="320"/>
      <c r="E37" s="320"/>
      <c r="F37" s="320"/>
      <c r="G37" s="320"/>
      <c r="H37" s="320"/>
      <c r="I37" s="320"/>
      <c r="J37" s="160"/>
      <c r="K37" s="344"/>
      <c r="L37" s="160"/>
      <c r="M37" s="160"/>
      <c r="N37" s="345"/>
    </row>
    <row r="38" spans="1:14" s="66" customFormat="1" ht="14.25" outlineLevel="1" x14ac:dyDescent="0.2">
      <c r="B38" s="493" t="s">
        <v>402</v>
      </c>
      <c r="C38" s="322"/>
      <c r="D38" s="322"/>
      <c r="E38" s="322"/>
      <c r="F38" s="322"/>
      <c r="G38" s="322"/>
      <c r="H38" s="322"/>
      <c r="I38" s="322"/>
      <c r="J38" s="321"/>
      <c r="K38" s="495">
        <f>SUM(C38:I38)</f>
        <v>0</v>
      </c>
      <c r="L38" s="160"/>
      <c r="M38" s="160"/>
      <c r="N38" s="330"/>
    </row>
    <row r="39" spans="1:14" s="66" customFormat="1" ht="14.25" outlineLevel="1" x14ac:dyDescent="0.2">
      <c r="B39" s="347" t="s">
        <v>114</v>
      </c>
      <c r="C39" s="491" t="e">
        <f>C38/$K$38</f>
        <v>#DIV/0!</v>
      </c>
      <c r="D39" s="491" t="e">
        <f t="shared" ref="D39:I39" si="6">D38/$K$38</f>
        <v>#DIV/0!</v>
      </c>
      <c r="E39" s="491" t="e">
        <f t="shared" si="6"/>
        <v>#DIV/0!</v>
      </c>
      <c r="F39" s="491" t="e">
        <f t="shared" si="6"/>
        <v>#DIV/0!</v>
      </c>
      <c r="G39" s="491" t="e">
        <f t="shared" si="6"/>
        <v>#DIV/0!</v>
      </c>
      <c r="H39" s="535" t="e">
        <f>H38/$K$38</f>
        <v>#DIV/0!</v>
      </c>
      <c r="I39" s="491" t="e">
        <f t="shared" si="6"/>
        <v>#DIV/0!</v>
      </c>
      <c r="J39" s="160"/>
      <c r="K39" s="492" t="e">
        <f>SUM(C39:I39)</f>
        <v>#DIV/0!</v>
      </c>
      <c r="L39" s="160"/>
      <c r="M39" s="160"/>
      <c r="N39" s="348"/>
    </row>
    <row r="40" spans="1:14" s="66" customFormat="1" ht="14.25" outlineLevel="1" x14ac:dyDescent="0.2">
      <c r="B40" s="347" t="s">
        <v>523</v>
      </c>
      <c r="C40" s="511" t="e">
        <f>-$C$14*C39</f>
        <v>#DIV/0!</v>
      </c>
      <c r="D40" s="511" t="e">
        <f t="shared" ref="D40:I40" si="7">-$C$14*D39</f>
        <v>#DIV/0!</v>
      </c>
      <c r="E40" s="511" t="e">
        <f t="shared" si="7"/>
        <v>#DIV/0!</v>
      </c>
      <c r="F40" s="511" t="e">
        <f t="shared" si="7"/>
        <v>#DIV/0!</v>
      </c>
      <c r="G40" s="511" t="e">
        <f t="shared" si="7"/>
        <v>#DIV/0!</v>
      </c>
      <c r="H40" s="511" t="e">
        <f t="shared" si="7"/>
        <v>#DIV/0!</v>
      </c>
      <c r="I40" s="511" t="e">
        <f t="shared" si="7"/>
        <v>#DIV/0!</v>
      </c>
      <c r="J40" s="160"/>
      <c r="K40" s="349" t="e">
        <f>SUM(C40:I40)</f>
        <v>#DIV/0!</v>
      </c>
      <c r="L40" s="160"/>
      <c r="M40" s="160"/>
    </row>
    <row r="41" spans="1:14" s="66" customFormat="1" ht="14.25" outlineLevel="1" x14ac:dyDescent="0.2">
      <c r="B41" s="347" t="s">
        <v>115</v>
      </c>
      <c r="C41" s="350" t="e">
        <f>C38+C40</f>
        <v>#DIV/0!</v>
      </c>
      <c r="D41" s="345" t="e">
        <f t="shared" ref="D41:I41" si="8">D38+D40</f>
        <v>#DIV/0!</v>
      </c>
      <c r="E41" s="345" t="e">
        <f t="shared" si="8"/>
        <v>#DIV/0!</v>
      </c>
      <c r="F41" s="345" t="e">
        <f t="shared" si="8"/>
        <v>#DIV/0!</v>
      </c>
      <c r="G41" s="345" t="e">
        <f t="shared" si="8"/>
        <v>#DIV/0!</v>
      </c>
      <c r="H41" s="345" t="e">
        <f t="shared" si="8"/>
        <v>#DIV/0!</v>
      </c>
      <c r="I41" s="345" t="e">
        <f t="shared" si="8"/>
        <v>#DIV/0!</v>
      </c>
      <c r="J41" s="160"/>
      <c r="K41" s="349" t="e">
        <f>SUM(C41:I41)</f>
        <v>#DIV/0!</v>
      </c>
      <c r="L41" s="160"/>
      <c r="M41" s="160"/>
    </row>
    <row r="42" spans="1:14" s="66" customFormat="1" ht="15" outlineLevel="1" x14ac:dyDescent="0.25">
      <c r="B42" s="319" t="s">
        <v>36</v>
      </c>
      <c r="C42" s="350"/>
      <c r="D42" s="345"/>
      <c r="E42" s="345"/>
      <c r="F42" s="345"/>
      <c r="G42" s="345"/>
      <c r="H42" s="345"/>
      <c r="I42" s="345"/>
      <c r="J42" s="160"/>
      <c r="K42" s="349"/>
      <c r="L42" s="160"/>
      <c r="M42" s="160"/>
    </row>
    <row r="43" spans="1:14" s="66" customFormat="1" ht="14.25" outlineLevel="1" x14ac:dyDescent="0.2">
      <c r="B43" s="493" t="s">
        <v>403</v>
      </c>
      <c r="C43" s="350"/>
      <c r="D43" s="345"/>
      <c r="E43" s="345">
        <f>E38*E46</f>
        <v>0</v>
      </c>
      <c r="F43" s="345">
        <f t="shared" ref="F43:H43" si="9">F38*F46</f>
        <v>0</v>
      </c>
      <c r="G43" s="345">
        <f t="shared" si="9"/>
        <v>0</v>
      </c>
      <c r="H43" s="345">
        <f t="shared" si="9"/>
        <v>0</v>
      </c>
      <c r="I43" s="345"/>
      <c r="J43" s="160"/>
      <c r="K43" s="349"/>
      <c r="L43" s="160"/>
      <c r="M43" s="160"/>
    </row>
    <row r="44" spans="1:14" s="66" customFormat="1" ht="14.25" outlineLevel="1" x14ac:dyDescent="0.2">
      <c r="B44" s="347" t="s">
        <v>524</v>
      </c>
      <c r="C44" s="350"/>
      <c r="D44" s="345"/>
      <c r="E44" s="345" t="e">
        <f>E40*E46</f>
        <v>#DIV/0!</v>
      </c>
      <c r="F44" s="345" t="e">
        <f t="shared" ref="F44:H44" si="10">F40*F46</f>
        <v>#DIV/0!</v>
      </c>
      <c r="G44" s="345" t="e">
        <f t="shared" si="10"/>
        <v>#DIV/0!</v>
      </c>
      <c r="H44" s="345" t="e">
        <f t="shared" si="10"/>
        <v>#DIV/0!</v>
      </c>
      <c r="I44" s="345"/>
      <c r="J44" s="160"/>
      <c r="K44" s="349" t="e">
        <f>SUM(C44:I44)</f>
        <v>#DIV/0!</v>
      </c>
      <c r="L44" s="160"/>
      <c r="M44" s="160"/>
    </row>
    <row r="45" spans="1:14" s="66" customFormat="1" ht="15" outlineLevel="1" x14ac:dyDescent="0.2">
      <c r="B45" s="347" t="s">
        <v>115</v>
      </c>
      <c r="C45" s="160"/>
      <c r="D45" s="160"/>
      <c r="E45" s="345" t="e">
        <f>E43+E44</f>
        <v>#DIV/0!</v>
      </c>
      <c r="F45" s="345" t="e">
        <f t="shared" ref="F45:H45" si="11">F43+F44</f>
        <v>#DIV/0!</v>
      </c>
      <c r="G45" s="345" t="e">
        <f t="shared" si="11"/>
        <v>#DIV/0!</v>
      </c>
      <c r="H45" s="345" t="e">
        <f t="shared" si="11"/>
        <v>#DIV/0!</v>
      </c>
      <c r="I45" s="160"/>
      <c r="J45" s="160"/>
      <c r="K45" s="349" t="e">
        <f>SUM(C45:I45)</f>
        <v>#DIV/0!</v>
      </c>
      <c r="L45" s="160"/>
      <c r="M45" s="160"/>
      <c r="N45" s="351"/>
    </row>
    <row r="46" spans="1:14" s="66" customFormat="1" ht="15" customHeight="1" outlineLevel="1" x14ac:dyDescent="0.2">
      <c r="B46" s="496" t="s">
        <v>400</v>
      </c>
      <c r="C46" s="323"/>
      <c r="D46" s="331"/>
      <c r="E46" s="513">
        <v>0</v>
      </c>
      <c r="F46" s="513">
        <v>0</v>
      </c>
      <c r="G46" s="513">
        <v>0</v>
      </c>
      <c r="H46" s="513">
        <v>0</v>
      </c>
      <c r="I46" s="513">
        <v>0</v>
      </c>
      <c r="J46" s="331"/>
      <c r="K46" s="404"/>
      <c r="L46" s="160"/>
      <c r="M46" s="160"/>
      <c r="N46" s="330"/>
    </row>
    <row r="47" spans="1:14" s="66" customFormat="1" ht="15" customHeight="1" outlineLevel="1" x14ac:dyDescent="0.2">
      <c r="B47" s="352"/>
      <c r="C47" s="324"/>
      <c r="D47" s="325"/>
      <c r="E47" s="160"/>
      <c r="F47" s="326"/>
      <c r="G47" s="326"/>
      <c r="H47" s="326"/>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37</v>
      </c>
      <c r="D49" s="318" t="s">
        <v>503</v>
      </c>
      <c r="E49" s="318" t="s">
        <v>504</v>
      </c>
      <c r="F49" s="318" t="s">
        <v>505</v>
      </c>
      <c r="G49" s="318" t="s">
        <v>42</v>
      </c>
      <c r="H49" s="318" t="s">
        <v>40</v>
      </c>
      <c r="I49" s="318" t="s">
        <v>500</v>
      </c>
      <c r="J49" s="318" t="s">
        <v>105</v>
      </c>
      <c r="K49" s="342" t="s">
        <v>34</v>
      </c>
      <c r="L49" s="336"/>
      <c r="M49" s="336"/>
      <c r="N49" s="336"/>
    </row>
    <row r="50" spans="2:14" s="66" customFormat="1" ht="15" outlineLevel="1" x14ac:dyDescent="0.25">
      <c r="B50" s="319" t="s">
        <v>35</v>
      </c>
      <c r="C50" s="320"/>
      <c r="D50" s="320"/>
      <c r="E50" s="320"/>
      <c r="F50" s="320"/>
      <c r="G50" s="320"/>
      <c r="H50" s="320"/>
      <c r="I50" s="320"/>
      <c r="J50" s="160"/>
      <c r="K50" s="344"/>
      <c r="L50" s="160"/>
      <c r="M50" s="160"/>
      <c r="N50" s="330"/>
    </row>
    <row r="51" spans="2:14" s="66" customFormat="1" ht="14.25" outlineLevel="1" x14ac:dyDescent="0.2">
      <c r="B51" s="493" t="s">
        <v>402</v>
      </c>
      <c r="C51" s="322">
        <v>0</v>
      </c>
      <c r="D51" s="346">
        <v>0</v>
      </c>
      <c r="E51" s="346">
        <v>0</v>
      </c>
      <c r="F51" s="346">
        <v>0</v>
      </c>
      <c r="G51" s="346">
        <v>0</v>
      </c>
      <c r="H51" s="346">
        <v>0</v>
      </c>
      <c r="I51" s="346">
        <v>0</v>
      </c>
      <c r="J51" s="321"/>
      <c r="K51" s="497">
        <f>SUM(C51:I51)</f>
        <v>0</v>
      </c>
      <c r="L51" s="160"/>
      <c r="M51" s="160"/>
      <c r="N51" s="345"/>
    </row>
    <row r="52" spans="2:14" s="66" customFormat="1" ht="14.25" outlineLevel="1" x14ac:dyDescent="0.2">
      <c r="B52" s="347" t="s">
        <v>114</v>
      </c>
      <c r="C52" s="494" t="e">
        <f>C51/$K$51</f>
        <v>#DIV/0!</v>
      </c>
      <c r="D52" s="494" t="e">
        <f t="shared" ref="D52:I52" si="12">D51/$K$51</f>
        <v>#DIV/0!</v>
      </c>
      <c r="E52" s="494" t="e">
        <f t="shared" si="12"/>
        <v>#DIV/0!</v>
      </c>
      <c r="F52" s="494" t="e">
        <f t="shared" si="12"/>
        <v>#DIV/0!</v>
      </c>
      <c r="G52" s="494" t="e">
        <f t="shared" si="12"/>
        <v>#DIV/0!</v>
      </c>
      <c r="H52" s="494" t="e">
        <f t="shared" si="12"/>
        <v>#DIV/0!</v>
      </c>
      <c r="I52" s="494" t="e">
        <f t="shared" si="12"/>
        <v>#DIV/0!</v>
      </c>
      <c r="J52" s="160"/>
      <c r="K52" s="492" t="e">
        <f>SUM(C52:I52)</f>
        <v>#DIV/0!</v>
      </c>
      <c r="L52" s="160"/>
      <c r="M52" s="160"/>
      <c r="N52" s="330"/>
    </row>
    <row r="53" spans="2:14" s="66" customFormat="1" ht="14.25" outlineLevel="1" x14ac:dyDescent="0.2">
      <c r="B53" s="347" t="s">
        <v>523</v>
      </c>
      <c r="C53" s="511" t="e">
        <f>-$C$15*C52</f>
        <v>#DIV/0!</v>
      </c>
      <c r="D53" s="511" t="e">
        <f t="shared" ref="D53:I53" si="13">-$C$15*D52</f>
        <v>#DIV/0!</v>
      </c>
      <c r="E53" s="511" t="e">
        <f t="shared" si="13"/>
        <v>#DIV/0!</v>
      </c>
      <c r="F53" s="511" t="e">
        <f t="shared" si="13"/>
        <v>#DIV/0!</v>
      </c>
      <c r="G53" s="511" t="e">
        <f t="shared" si="13"/>
        <v>#DIV/0!</v>
      </c>
      <c r="H53" s="511" t="e">
        <f t="shared" si="13"/>
        <v>#DIV/0!</v>
      </c>
      <c r="I53" s="511" t="e">
        <f t="shared" si="13"/>
        <v>#DIV/0!</v>
      </c>
      <c r="J53" s="160"/>
      <c r="K53" s="349" t="e">
        <f>SUM(C53:I53)</f>
        <v>#DIV/0!</v>
      </c>
      <c r="L53" s="160"/>
      <c r="M53" s="160"/>
      <c r="N53" s="348"/>
    </row>
    <row r="54" spans="2:14" s="66" customFormat="1" ht="14.25" outlineLevel="1" x14ac:dyDescent="0.2">
      <c r="B54" s="347" t="s">
        <v>115</v>
      </c>
      <c r="C54" s="350" t="e">
        <f>C51+C53</f>
        <v>#DIV/0!</v>
      </c>
      <c r="D54" s="345" t="e">
        <f t="shared" ref="D54" si="14">D51+D53</f>
        <v>#DIV/0!</v>
      </c>
      <c r="E54" s="345" t="e">
        <f t="shared" ref="E54" si="15">E51+E53</f>
        <v>#DIV/0!</v>
      </c>
      <c r="F54" s="345" t="e">
        <f t="shared" ref="F54" si="16">F51+F53</f>
        <v>#DIV/0!</v>
      </c>
      <c r="G54" s="345" t="e">
        <f t="shared" ref="G54" si="17">G51+G53</f>
        <v>#DIV/0!</v>
      </c>
      <c r="H54" s="345" t="e">
        <f t="shared" ref="H54" si="18">H51+H53</f>
        <v>#DIV/0!</v>
      </c>
      <c r="I54" s="345" t="e">
        <f t="shared" ref="I54" si="19">I51+I53</f>
        <v>#DIV/0!</v>
      </c>
      <c r="J54" s="160"/>
      <c r="K54" s="349" t="e">
        <f>SUM(C54:I54)</f>
        <v>#DIV/0!</v>
      </c>
      <c r="L54" s="160"/>
      <c r="M54" s="160"/>
    </row>
    <row r="55" spans="2:14" s="66" customFormat="1" ht="15" outlineLevel="1" x14ac:dyDescent="0.25">
      <c r="B55" s="319" t="s">
        <v>36</v>
      </c>
      <c r="C55" s="160"/>
      <c r="D55" s="327"/>
      <c r="E55" s="353"/>
      <c r="F55" s="328"/>
      <c r="G55" s="329"/>
      <c r="H55" s="330"/>
      <c r="I55" s="160"/>
      <c r="J55" s="160"/>
      <c r="K55" s="354"/>
      <c r="L55" s="160"/>
      <c r="M55" s="160"/>
    </row>
    <row r="56" spans="2:14" s="66" customFormat="1" ht="14.25" outlineLevel="1" x14ac:dyDescent="0.2">
      <c r="B56" s="493" t="s">
        <v>403</v>
      </c>
      <c r="C56" s="160"/>
      <c r="D56" s="160"/>
      <c r="E56" s="345">
        <f>E51*E59</f>
        <v>0</v>
      </c>
      <c r="F56" s="345">
        <f>F51*F59</f>
        <v>0</v>
      </c>
      <c r="G56" s="345">
        <f>G51*G59</f>
        <v>0</v>
      </c>
      <c r="H56" s="345">
        <f>H51*H59</f>
        <v>0</v>
      </c>
      <c r="I56" s="160"/>
      <c r="J56" s="160"/>
      <c r="K56" s="349">
        <f>SUM(C56:I56)</f>
        <v>0</v>
      </c>
      <c r="L56" s="160"/>
    </row>
    <row r="57" spans="2:14" s="66" customFormat="1" ht="14.25" outlineLevel="1" x14ac:dyDescent="0.2">
      <c r="B57" s="347" t="s">
        <v>116</v>
      </c>
      <c r="C57" s="160"/>
      <c r="D57" s="160"/>
      <c r="E57" s="345" t="e">
        <f>E53*E59</f>
        <v>#DIV/0!</v>
      </c>
      <c r="F57" s="345" t="e">
        <f>F53*F59</f>
        <v>#DIV/0!</v>
      </c>
      <c r="G57" s="345" t="e">
        <f>G53*G59</f>
        <v>#DIV/0!</v>
      </c>
      <c r="H57" s="345" t="e">
        <f>H53*H59</f>
        <v>#DIV/0!</v>
      </c>
      <c r="I57" s="160"/>
      <c r="J57" s="160"/>
      <c r="K57" s="349" t="e">
        <f>SUM(C57:I57)</f>
        <v>#DIV/0!</v>
      </c>
      <c r="L57" s="160"/>
      <c r="M57" s="160"/>
    </row>
    <row r="58" spans="2:14" s="66" customFormat="1" ht="14.25" outlineLevel="1" x14ac:dyDescent="0.2">
      <c r="B58" s="347" t="s">
        <v>115</v>
      </c>
      <c r="C58" s="169"/>
      <c r="D58" s="169"/>
      <c r="E58" s="345" t="e">
        <f>E56+E57</f>
        <v>#DIV/0!</v>
      </c>
      <c r="F58" s="345" t="e">
        <f>F56+F57</f>
        <v>#DIV/0!</v>
      </c>
      <c r="G58" s="345" t="e">
        <f t="shared" ref="G58:H58" si="20">G56+G57</f>
        <v>#DIV/0!</v>
      </c>
      <c r="H58" s="345" t="e">
        <f t="shared" si="20"/>
        <v>#DIV/0!</v>
      </c>
      <c r="I58" s="169"/>
      <c r="J58" s="160"/>
      <c r="K58" s="349" t="e">
        <f>SUM(C58:I58)</f>
        <v>#DIV/0!</v>
      </c>
      <c r="L58" s="160"/>
      <c r="M58" s="160"/>
    </row>
    <row r="59" spans="2:14" s="66" customFormat="1" ht="14.25" outlineLevel="1" x14ac:dyDescent="0.2">
      <c r="B59" s="496" t="s">
        <v>400</v>
      </c>
      <c r="C59" s="332"/>
      <c r="D59" s="332"/>
      <c r="E59" s="513">
        <v>0</v>
      </c>
      <c r="F59" s="513">
        <v>2.2060000000000001E-3</v>
      </c>
      <c r="G59" s="513">
        <v>0</v>
      </c>
      <c r="H59" s="513">
        <v>2.7780000000000001E-3</v>
      </c>
      <c r="I59" s="513">
        <v>2.7980000000000001E-3</v>
      </c>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37</v>
      </c>
      <c r="D62" s="318" t="s">
        <v>503</v>
      </c>
      <c r="E62" s="318" t="s">
        <v>504</v>
      </c>
      <c r="F62" s="318" t="s">
        <v>505</v>
      </c>
      <c r="G62" s="318" t="s">
        <v>42</v>
      </c>
      <c r="H62" s="318" t="s">
        <v>40</v>
      </c>
      <c r="I62" s="318" t="s">
        <v>500</v>
      </c>
      <c r="J62" s="318" t="s">
        <v>105</v>
      </c>
      <c r="K62" s="342" t="s">
        <v>34</v>
      </c>
      <c r="L62" s="336"/>
      <c r="M62" s="336"/>
    </row>
    <row r="63" spans="2:14" s="66" customFormat="1" ht="15" outlineLevel="1" x14ac:dyDescent="0.25">
      <c r="B63" s="333" t="s">
        <v>35</v>
      </c>
      <c r="C63" s="320"/>
      <c r="D63" s="320"/>
      <c r="E63" s="320"/>
      <c r="F63" s="320"/>
      <c r="G63" s="320"/>
      <c r="H63" s="320"/>
      <c r="I63" s="320"/>
      <c r="J63" s="160"/>
      <c r="K63" s="344"/>
      <c r="L63" s="160"/>
      <c r="M63" s="160"/>
    </row>
    <row r="64" spans="2:14" s="66" customFormat="1" ht="14.25" outlineLevel="1" x14ac:dyDescent="0.2">
      <c r="B64" s="493" t="s">
        <v>402</v>
      </c>
      <c r="C64" s="322">
        <v>46118694</v>
      </c>
      <c r="D64" s="346">
        <v>20545642</v>
      </c>
      <c r="E64" s="346">
        <v>61722677</v>
      </c>
      <c r="F64" s="346">
        <v>17074303</v>
      </c>
      <c r="G64" s="346">
        <v>608453</v>
      </c>
      <c r="H64" s="346">
        <v>37713</v>
      </c>
      <c r="I64" s="346">
        <v>1137812</v>
      </c>
      <c r="J64" s="321"/>
      <c r="K64" s="349">
        <f>SUM(C64:I64)</f>
        <v>147245294</v>
      </c>
      <c r="L64" s="160"/>
      <c r="M64" s="160"/>
    </row>
    <row r="65" spans="2:13" s="66" customFormat="1" ht="14.25" outlineLevel="1" x14ac:dyDescent="0.2">
      <c r="B65" s="347" t="s">
        <v>114</v>
      </c>
      <c r="C65" s="494">
        <f>C64/$K$64</f>
        <v>0.3132099692096102</v>
      </c>
      <c r="D65" s="494">
        <f t="shared" ref="D65:I65" si="21">D64/$K$64</f>
        <v>0.13953343731311371</v>
      </c>
      <c r="E65" s="494">
        <f>E64/$K$64</f>
        <v>0.41918268029672989</v>
      </c>
      <c r="F65" s="494">
        <f t="shared" si="21"/>
        <v>0.11595822546287965</v>
      </c>
      <c r="G65" s="494">
        <f t="shared" si="21"/>
        <v>4.1322407220702071E-3</v>
      </c>
      <c r="H65" s="494">
        <f t="shared" si="21"/>
        <v>2.5612363543516713E-4</v>
      </c>
      <c r="I65" s="494">
        <f t="shared" si="21"/>
        <v>7.7273233601611747E-3</v>
      </c>
      <c r="J65" s="160"/>
      <c r="K65" s="492">
        <f>SUM(C65:I65)</f>
        <v>1</v>
      </c>
      <c r="L65" s="160"/>
      <c r="M65" s="160"/>
    </row>
    <row r="66" spans="2:13" s="66" customFormat="1" ht="14.25" outlineLevel="1" x14ac:dyDescent="0.2">
      <c r="B66" s="347" t="s">
        <v>523</v>
      </c>
      <c r="C66" s="511">
        <f>-$C$16*C65</f>
        <v>-716874.66431698657</v>
      </c>
      <c r="D66" s="511">
        <f>-$C$16*D65</f>
        <v>-319363.99178881734</v>
      </c>
      <c r="E66" s="511">
        <f>-$C$16*E65</f>
        <v>-959424.89948047511</v>
      </c>
      <c r="F66" s="511">
        <f t="shared" ref="F66:I66" si="22">-$C$16*F65</f>
        <v>-265405.07048121345</v>
      </c>
      <c r="G66" s="511">
        <f t="shared" si="22"/>
        <v>-9457.8684324335682</v>
      </c>
      <c r="H66" s="511">
        <f t="shared" si="22"/>
        <v>-586.21552066037509</v>
      </c>
      <c r="I66" s="511">
        <f t="shared" si="22"/>
        <v>-17686.289979413537</v>
      </c>
      <c r="J66" s="160"/>
      <c r="K66" s="349">
        <f>SUM(C66:I66)</f>
        <v>-2288798.9999999995</v>
      </c>
      <c r="L66" s="160"/>
      <c r="M66" s="160"/>
    </row>
    <row r="67" spans="2:13" s="66" customFormat="1" ht="14.25" outlineLevel="1" x14ac:dyDescent="0.2">
      <c r="B67" s="347" t="s">
        <v>115</v>
      </c>
      <c r="C67" s="350">
        <f>C64+C66</f>
        <v>45401819.335683011</v>
      </c>
      <c r="D67" s="345">
        <f t="shared" ref="D67" si="23">D64+D66</f>
        <v>20226278.008211184</v>
      </c>
      <c r="E67" s="345">
        <f t="shared" ref="E67" si="24">E64+E66</f>
        <v>60763252.100519523</v>
      </c>
      <c r="F67" s="345">
        <f t="shared" ref="F67" si="25">F64+F66</f>
        <v>16808897.929518785</v>
      </c>
      <c r="G67" s="345">
        <f t="shared" ref="G67" si="26">G64+G66</f>
        <v>598995.13156756642</v>
      </c>
      <c r="H67" s="345">
        <f t="shared" ref="H67" si="27">H64+H66</f>
        <v>37126.784479339622</v>
      </c>
      <c r="I67" s="345">
        <f t="shared" ref="I67" si="28">I64+I66</f>
        <v>1120125.7100205864</v>
      </c>
      <c r="J67" s="514"/>
      <c r="K67" s="349">
        <f>SUM(C67:I67)</f>
        <v>144956495</v>
      </c>
      <c r="L67" s="160"/>
      <c r="M67" s="160"/>
    </row>
    <row r="68" spans="2:13" s="66" customFormat="1" ht="15" outlineLevel="1" x14ac:dyDescent="0.25">
      <c r="B68" s="333" t="s">
        <v>36</v>
      </c>
      <c r="C68" s="160"/>
      <c r="D68" s="327"/>
      <c r="E68" s="353"/>
      <c r="F68" s="328"/>
      <c r="G68" s="329"/>
      <c r="H68" s="330"/>
      <c r="I68" s="160"/>
      <c r="J68" s="160"/>
      <c r="K68" s="354"/>
      <c r="L68" s="160"/>
      <c r="M68" s="160"/>
    </row>
    <row r="69" spans="2:13" s="66" customFormat="1" ht="14.25" outlineLevel="1" x14ac:dyDescent="0.2">
      <c r="B69" s="493" t="s">
        <v>403</v>
      </c>
      <c r="C69" s="160"/>
      <c r="D69" s="160"/>
      <c r="E69" s="345">
        <f>E64*E72</f>
        <v>158689.00256699999</v>
      </c>
      <c r="F69" s="345">
        <f t="shared" ref="F69:H69" si="29">F64*F72</f>
        <v>37665.912418</v>
      </c>
      <c r="G69" s="345">
        <f t="shared" si="29"/>
        <v>0</v>
      </c>
      <c r="H69" s="345">
        <f t="shared" si="29"/>
        <v>104.76671400000001</v>
      </c>
      <c r="I69" s="345">
        <f t="shared" ref="I69" si="30">I64*I72</f>
        <v>3183.597976</v>
      </c>
      <c r="J69" s="160"/>
      <c r="K69" s="349">
        <f>SUM(C69:I69)</f>
        <v>199643.27967499997</v>
      </c>
      <c r="L69" s="160"/>
      <c r="M69" s="160"/>
    </row>
    <row r="70" spans="2:13" s="66" customFormat="1" ht="14.25" outlineLevel="1" x14ac:dyDescent="0.2">
      <c r="B70" s="347" t="s">
        <v>116</v>
      </c>
      <c r="C70" s="160"/>
      <c r="D70" s="160"/>
      <c r="E70" s="345">
        <f>E66*E72</f>
        <v>-2466.6814165643013</v>
      </c>
      <c r="F70" s="345">
        <f t="shared" ref="F70:H70" si="31">F66*F72</f>
        <v>-585.48358548155693</v>
      </c>
      <c r="G70" s="345">
        <f t="shared" si="31"/>
        <v>0</v>
      </c>
      <c r="H70" s="345">
        <f t="shared" si="31"/>
        <v>-1.6285067163945222</v>
      </c>
      <c r="I70" s="345">
        <f t="shared" ref="I70" si="32">I66*I72</f>
        <v>-49.486239362399083</v>
      </c>
      <c r="J70" s="160"/>
      <c r="K70" s="355">
        <f>SUM(C70:I70)</f>
        <v>-3103.2797481246516</v>
      </c>
      <c r="L70" s="160"/>
      <c r="M70" s="160"/>
    </row>
    <row r="71" spans="2:13" s="66" customFormat="1" ht="14.25" outlineLevel="1" x14ac:dyDescent="0.2">
      <c r="B71" s="347" t="s">
        <v>115</v>
      </c>
      <c r="C71" s="160"/>
      <c r="D71" s="160"/>
      <c r="E71" s="345">
        <f>E69+E70</f>
        <v>156222.32115043569</v>
      </c>
      <c r="F71" s="345">
        <f t="shared" ref="F71" si="33">F69+F70</f>
        <v>37080.428832518446</v>
      </c>
      <c r="G71" s="345">
        <f t="shared" ref="G71" si="34">G69+G70</f>
        <v>0</v>
      </c>
      <c r="H71" s="345">
        <f t="shared" ref="H71:I71" si="35">H69+H70</f>
        <v>103.13820728360548</v>
      </c>
      <c r="I71" s="345">
        <f t="shared" si="35"/>
        <v>3134.1117366376011</v>
      </c>
      <c r="J71" s="160"/>
      <c r="K71" s="349">
        <f>SUM(C71:I71)</f>
        <v>196539.99992687532</v>
      </c>
      <c r="L71" s="160"/>
      <c r="M71" s="160"/>
    </row>
    <row r="72" spans="2:13" s="66" customFormat="1" ht="14.25" outlineLevel="1" x14ac:dyDescent="0.2">
      <c r="B72" s="496" t="s">
        <v>401</v>
      </c>
      <c r="C72" s="332"/>
      <c r="D72" s="332"/>
      <c r="E72" s="513">
        <v>2.5709999999999999E-3</v>
      </c>
      <c r="F72" s="513">
        <v>2.2060000000000001E-3</v>
      </c>
      <c r="G72" s="513">
        <v>0</v>
      </c>
      <c r="H72" s="513">
        <v>2.7780000000000001E-3</v>
      </c>
      <c r="I72" s="513">
        <v>2.7980000000000001E-3</v>
      </c>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503</v>
      </c>
      <c r="E75" s="318" t="s">
        <v>504</v>
      </c>
      <c r="F75" s="318" t="s">
        <v>505</v>
      </c>
      <c r="G75" s="318" t="s">
        <v>42</v>
      </c>
      <c r="H75" s="318" t="s">
        <v>40</v>
      </c>
      <c r="I75" s="318" t="s">
        <v>500</v>
      </c>
      <c r="J75" s="318" t="s">
        <v>105</v>
      </c>
      <c r="K75" s="342" t="s">
        <v>34</v>
      </c>
    </row>
    <row r="76" spans="2:13" s="66" customFormat="1" ht="13.8" outlineLevel="1" x14ac:dyDescent="0.25">
      <c r="B76" s="333" t="s">
        <v>35</v>
      </c>
      <c r="C76" s="320"/>
      <c r="D76" s="320"/>
      <c r="E76" s="320"/>
      <c r="F76" s="320"/>
      <c r="G76" s="320"/>
      <c r="H76" s="320"/>
      <c r="I76" s="320"/>
      <c r="J76" s="160"/>
      <c r="K76" s="344"/>
    </row>
    <row r="77" spans="2:13" s="66" customFormat="1" ht="13.8" outlineLevel="1" x14ac:dyDescent="0.25">
      <c r="B77" s="347" t="s">
        <v>402</v>
      </c>
      <c r="C77" s="322">
        <v>46118694</v>
      </c>
      <c r="D77" s="346">
        <v>20545642</v>
      </c>
      <c r="E77" s="346">
        <v>61722677</v>
      </c>
      <c r="F77" s="346">
        <v>17074303</v>
      </c>
      <c r="G77" s="346">
        <v>608453</v>
      </c>
      <c r="H77" s="346">
        <v>37713</v>
      </c>
      <c r="I77" s="346">
        <v>1137812</v>
      </c>
      <c r="J77" s="321"/>
      <c r="K77" s="349">
        <f>SUM(C77:I77)</f>
        <v>147245294</v>
      </c>
    </row>
    <row r="78" spans="2:13" s="66" customFormat="1" ht="13.8" outlineLevel="1" x14ac:dyDescent="0.25">
      <c r="B78" s="347" t="s">
        <v>114</v>
      </c>
      <c r="C78" s="494">
        <f>C77/$K$77</f>
        <v>0.3132099692096102</v>
      </c>
      <c r="D78" s="494">
        <f>D77/$K$77</f>
        <v>0.13953343731311371</v>
      </c>
      <c r="E78" s="494">
        <f t="shared" ref="E78:H78" si="36">E77/$K$77</f>
        <v>0.41918268029672989</v>
      </c>
      <c r="F78" s="494">
        <f t="shared" si="36"/>
        <v>0.11595822546287965</v>
      </c>
      <c r="G78" s="494">
        <f t="shared" si="36"/>
        <v>4.1322407220702071E-3</v>
      </c>
      <c r="H78" s="494">
        <f t="shared" si="36"/>
        <v>2.5612363543516713E-4</v>
      </c>
      <c r="I78" s="494">
        <f>I77/$K$77</f>
        <v>7.7273233601611747E-3</v>
      </c>
      <c r="J78" s="160"/>
      <c r="K78" s="492">
        <f>SUM(C78:I78)</f>
        <v>1</v>
      </c>
    </row>
    <row r="79" spans="2:13" s="66" customFormat="1" ht="13.8" outlineLevel="1" x14ac:dyDescent="0.25">
      <c r="B79" s="347" t="s">
        <v>523</v>
      </c>
      <c r="C79" s="511">
        <f>-$C$17*C78</f>
        <v>-716874.66431698657</v>
      </c>
      <c r="D79" s="511">
        <f t="shared" ref="D79:I79" si="37">-$C$17*D78</f>
        <v>-319363.99178881734</v>
      </c>
      <c r="E79" s="511">
        <f t="shared" si="37"/>
        <v>-959424.89948047511</v>
      </c>
      <c r="F79" s="511">
        <f t="shared" si="37"/>
        <v>-265405.07048121345</v>
      </c>
      <c r="G79" s="511">
        <f t="shared" si="37"/>
        <v>-9457.8684324335682</v>
      </c>
      <c r="H79" s="511">
        <f t="shared" si="37"/>
        <v>-586.21552066037509</v>
      </c>
      <c r="I79" s="511">
        <f t="shared" si="37"/>
        <v>-17686.289979413537</v>
      </c>
      <c r="J79" s="160"/>
      <c r="K79" s="349">
        <f>SUM(C79:I79)</f>
        <v>-2288798.9999999995</v>
      </c>
    </row>
    <row r="80" spans="2:13" s="66" customFormat="1" ht="13.8" outlineLevel="1" x14ac:dyDescent="0.25">
      <c r="B80" s="347" t="s">
        <v>115</v>
      </c>
      <c r="C80" s="350">
        <f>C77+C79</f>
        <v>45401819.335683011</v>
      </c>
      <c r="D80" s="345">
        <f t="shared" ref="D80" si="38">D77+D79</f>
        <v>20226278.008211184</v>
      </c>
      <c r="E80" s="345">
        <f t="shared" ref="E80" si="39">E77+E79</f>
        <v>60763252.100519523</v>
      </c>
      <c r="F80" s="345">
        <f t="shared" ref="F80" si="40">F77+F79</f>
        <v>16808897.929518785</v>
      </c>
      <c r="G80" s="345">
        <f t="shared" ref="G80" si="41">G77+G79</f>
        <v>598995.13156756642</v>
      </c>
      <c r="H80" s="345">
        <f t="shared" ref="H80" si="42">H77+H79</f>
        <v>37126.784479339622</v>
      </c>
      <c r="I80" s="345">
        <f t="shared" ref="I80" si="43">I77+I79</f>
        <v>1120125.7100205864</v>
      </c>
      <c r="J80" s="160"/>
      <c r="K80" s="349">
        <f>SUM(C80:I80)</f>
        <v>144956495</v>
      </c>
    </row>
    <row r="81" spans="2:11" s="66" customFormat="1" ht="13.8" outlineLevel="1" x14ac:dyDescent="0.25">
      <c r="B81" s="333" t="s">
        <v>36</v>
      </c>
      <c r="C81" s="160"/>
      <c r="D81" s="327"/>
      <c r="E81" s="353"/>
      <c r="F81" s="328"/>
      <c r="G81" s="329"/>
      <c r="H81" s="330"/>
      <c r="I81" s="160"/>
      <c r="J81" s="160"/>
      <c r="K81" s="354"/>
    </row>
    <row r="82" spans="2:11" s="66" customFormat="1" ht="13.8" outlineLevel="1" x14ac:dyDescent="0.25">
      <c r="B82" s="347" t="s">
        <v>403</v>
      </c>
      <c r="C82" s="160"/>
      <c r="D82" s="160"/>
      <c r="E82" s="345">
        <f>E77*E85</f>
        <v>158689.00256699999</v>
      </c>
      <c r="F82" s="345">
        <f t="shared" ref="F82:H82" si="44">F77*F85</f>
        <v>37665.912418</v>
      </c>
      <c r="G82" s="345">
        <f t="shared" si="44"/>
        <v>0</v>
      </c>
      <c r="H82" s="345">
        <f t="shared" si="44"/>
        <v>104.76671400000001</v>
      </c>
      <c r="I82" s="345">
        <f t="shared" ref="I82" si="45">I77*I85</f>
        <v>3183.597976</v>
      </c>
      <c r="J82" s="160"/>
      <c r="K82" s="349">
        <f>SUM(C82:I82)</f>
        <v>199643.27967499997</v>
      </c>
    </row>
    <row r="83" spans="2:11" s="66" customFormat="1" ht="13.8" outlineLevel="1" x14ac:dyDescent="0.25">
      <c r="B83" s="347" t="s">
        <v>116</v>
      </c>
      <c r="C83" s="160"/>
      <c r="D83" s="160"/>
      <c r="E83" s="345">
        <f>E79*E85</f>
        <v>-2466.6814165643013</v>
      </c>
      <c r="F83" s="345">
        <f t="shared" ref="F83:H83" si="46">F79*F85</f>
        <v>-585.48358548155693</v>
      </c>
      <c r="G83" s="345">
        <f t="shared" si="46"/>
        <v>0</v>
      </c>
      <c r="H83" s="345">
        <f t="shared" si="46"/>
        <v>-1.6285067163945222</v>
      </c>
      <c r="I83" s="345">
        <f t="shared" ref="I83" si="47">I79*I85</f>
        <v>-49.486239362399083</v>
      </c>
      <c r="J83" s="160"/>
      <c r="K83" s="355">
        <f>SUM(C83:I83)</f>
        <v>-3103.2797481246516</v>
      </c>
    </row>
    <row r="84" spans="2:11" s="66" customFormat="1" ht="13.8" outlineLevel="1" x14ac:dyDescent="0.25">
      <c r="B84" s="347" t="s">
        <v>115</v>
      </c>
      <c r="C84" s="160"/>
      <c r="D84" s="160"/>
      <c r="E84" s="345">
        <f>E82+E83</f>
        <v>156222.32115043569</v>
      </c>
      <c r="F84" s="345">
        <f t="shared" ref="F84" si="48">F82+F83</f>
        <v>37080.428832518446</v>
      </c>
      <c r="G84" s="345">
        <f t="shared" ref="G84" si="49">G82+G83</f>
        <v>0</v>
      </c>
      <c r="H84" s="345">
        <f t="shared" ref="H84:I84" si="50">H82+H83</f>
        <v>103.13820728360548</v>
      </c>
      <c r="I84" s="345">
        <f t="shared" si="50"/>
        <v>3134.1117366376011</v>
      </c>
      <c r="J84" s="160"/>
      <c r="K84" s="349">
        <f>SUM(C84:I84)</f>
        <v>196539.99992687532</v>
      </c>
    </row>
    <row r="85" spans="2:11" s="66" customFormat="1" ht="13.8" outlineLevel="1" x14ac:dyDescent="0.25">
      <c r="B85" s="496" t="s">
        <v>400</v>
      </c>
      <c r="C85" s="332"/>
      <c r="D85" s="332"/>
      <c r="E85" s="513">
        <v>2.5709999999999999E-3</v>
      </c>
      <c r="F85" s="513">
        <v>2.2060000000000001E-3</v>
      </c>
      <c r="G85" s="513">
        <v>0</v>
      </c>
      <c r="H85" s="513">
        <v>2.7780000000000001E-3</v>
      </c>
      <c r="I85" s="513">
        <v>2.7980000000000001E-3</v>
      </c>
      <c r="J85" s="331"/>
      <c r="K85" s="498"/>
    </row>
    <row r="86" spans="2:11" s="66" customFormat="1" ht="13.8" outlineLevel="1" x14ac:dyDescent="0.25">
      <c r="C86" s="83"/>
    </row>
    <row r="87" spans="2:11" s="66" customFormat="1" ht="13.8" outlineLevel="1" x14ac:dyDescent="0.25">
      <c r="B87" s="83"/>
      <c r="C87" s="335"/>
    </row>
    <row r="88" spans="2:11" s="66" customFormat="1" ht="27.6" outlineLevel="1" x14ac:dyDescent="0.25">
      <c r="B88" s="341">
        <v>2015</v>
      </c>
      <c r="C88" s="318" t="s">
        <v>37</v>
      </c>
      <c r="D88" s="318" t="s">
        <v>503</v>
      </c>
      <c r="E88" s="318" t="s">
        <v>504</v>
      </c>
      <c r="F88" s="318" t="s">
        <v>505</v>
      </c>
      <c r="G88" s="318" t="s">
        <v>42</v>
      </c>
      <c r="H88" s="318" t="s">
        <v>40</v>
      </c>
      <c r="I88" s="318" t="s">
        <v>500</v>
      </c>
      <c r="J88" s="318" t="s">
        <v>105</v>
      </c>
      <c r="K88" s="342" t="s">
        <v>34</v>
      </c>
    </row>
    <row r="89" spans="2:11" s="66" customFormat="1" ht="13.8" outlineLevel="1" x14ac:dyDescent="0.25">
      <c r="B89" s="333" t="s">
        <v>35</v>
      </c>
      <c r="C89" s="320"/>
      <c r="D89" s="320"/>
      <c r="E89" s="320"/>
      <c r="F89" s="320"/>
      <c r="G89" s="320"/>
      <c r="H89" s="320"/>
      <c r="I89" s="320"/>
      <c r="J89" s="160"/>
      <c r="K89" s="344"/>
    </row>
    <row r="90" spans="2:11" s="66" customFormat="1" ht="13.8" outlineLevel="1" x14ac:dyDescent="0.25">
      <c r="B90" s="347" t="s">
        <v>402</v>
      </c>
      <c r="C90" s="322">
        <v>46118694</v>
      </c>
      <c r="D90" s="346">
        <v>20545642</v>
      </c>
      <c r="E90" s="346">
        <v>61722677</v>
      </c>
      <c r="F90" s="346">
        <v>17074303</v>
      </c>
      <c r="G90" s="346">
        <v>608453</v>
      </c>
      <c r="H90" s="346">
        <v>37713</v>
      </c>
      <c r="I90" s="346">
        <v>1137812</v>
      </c>
      <c r="J90" s="321"/>
      <c r="K90" s="349">
        <f>SUM(C90:I90)</f>
        <v>147245294</v>
      </c>
    </row>
    <row r="91" spans="2:11" s="66" customFormat="1" ht="13.8" outlineLevel="1" x14ac:dyDescent="0.25">
      <c r="B91" s="347" t="s">
        <v>114</v>
      </c>
      <c r="C91" s="494">
        <f>C90/$K$90</f>
        <v>0.3132099692096102</v>
      </c>
      <c r="D91" s="494">
        <f>D90/$K$90</f>
        <v>0.13953343731311371</v>
      </c>
      <c r="E91" s="494">
        <f>E90/$K$90</f>
        <v>0.41918268029672989</v>
      </c>
      <c r="F91" s="494">
        <f t="shared" ref="F91:I91" si="51">F90/$K$90</f>
        <v>0.11595822546287965</v>
      </c>
      <c r="G91" s="494">
        <f t="shared" si="51"/>
        <v>4.1322407220702071E-3</v>
      </c>
      <c r="H91" s="494">
        <f t="shared" si="51"/>
        <v>2.5612363543516713E-4</v>
      </c>
      <c r="I91" s="494">
        <f t="shared" si="51"/>
        <v>7.7273233601611747E-3</v>
      </c>
      <c r="J91" s="160"/>
      <c r="K91" s="492">
        <f>SUM(C91:I91)</f>
        <v>1</v>
      </c>
    </row>
    <row r="92" spans="2:11" s="66" customFormat="1" ht="13.8" outlineLevel="1" x14ac:dyDescent="0.25">
      <c r="B92" s="347" t="s">
        <v>523</v>
      </c>
      <c r="C92" s="511">
        <f>-$C$18*C91</f>
        <v>-495193.73119953158</v>
      </c>
      <c r="D92" s="511">
        <f>-$C$18*D91</f>
        <v>-220606.27132827754</v>
      </c>
      <c r="E92" s="511">
        <f>-$C$18*E91</f>
        <v>-662739.55466417829</v>
      </c>
      <c r="F92" s="511">
        <f t="shared" ref="F92:I92" si="52">-$C$18*F91</f>
        <v>-183333.20128712567</v>
      </c>
      <c r="G92" s="511">
        <f t="shared" si="52"/>
        <v>-6533.1882843332151</v>
      </c>
      <c r="H92" s="511">
        <f t="shared" si="52"/>
        <v>-404.93863908479142</v>
      </c>
      <c r="I92" s="511">
        <f t="shared" si="52"/>
        <v>-12217.114597468903</v>
      </c>
      <c r="J92" s="160"/>
      <c r="K92" s="349">
        <f>SUM(C92:I92)</f>
        <v>-1581028.0000000002</v>
      </c>
    </row>
    <row r="93" spans="2:11" s="66" customFormat="1" ht="13.8" outlineLevel="1" x14ac:dyDescent="0.25">
      <c r="B93" s="347" t="s">
        <v>115</v>
      </c>
      <c r="C93" s="350">
        <f>C90+C92</f>
        <v>45623500.268800467</v>
      </c>
      <c r="D93" s="345">
        <f t="shared" ref="D93:I93" si="53">D90+D92</f>
        <v>20325035.728671722</v>
      </c>
      <c r="E93" s="345">
        <f t="shared" si="53"/>
        <v>61059937.44533582</v>
      </c>
      <c r="F93" s="345">
        <f t="shared" si="53"/>
        <v>16890969.798712876</v>
      </c>
      <c r="G93" s="345">
        <f t="shared" si="53"/>
        <v>601919.81171566679</v>
      </c>
      <c r="H93" s="345">
        <f t="shared" si="53"/>
        <v>37308.061360915206</v>
      </c>
      <c r="I93" s="345">
        <f t="shared" si="53"/>
        <v>1125594.8854025311</v>
      </c>
      <c r="J93" s="160"/>
      <c r="K93" s="349">
        <f>SUM(C93:I93)</f>
        <v>145664266</v>
      </c>
    </row>
    <row r="94" spans="2:11" s="66" customFormat="1" ht="13.8" outlineLevel="1" x14ac:dyDescent="0.25">
      <c r="B94" s="333" t="s">
        <v>36</v>
      </c>
      <c r="C94" s="160"/>
      <c r="D94" s="327"/>
      <c r="E94" s="353"/>
      <c r="F94" s="328"/>
      <c r="G94" s="329"/>
      <c r="H94" s="330"/>
      <c r="I94" s="160"/>
      <c r="J94" s="160"/>
      <c r="K94" s="354"/>
    </row>
    <row r="95" spans="2:11" s="66" customFormat="1" ht="13.8" outlineLevel="1" x14ac:dyDescent="0.25">
      <c r="B95" s="347" t="s">
        <v>403</v>
      </c>
      <c r="C95" s="160"/>
      <c r="D95" s="160"/>
      <c r="E95" s="345">
        <f>E90*E98</f>
        <v>158689.00256699999</v>
      </c>
      <c r="F95" s="345">
        <f t="shared" ref="F95:H95" si="54">F90*F98</f>
        <v>37665.912418</v>
      </c>
      <c r="G95" s="345">
        <f t="shared" si="54"/>
        <v>0</v>
      </c>
      <c r="H95" s="345">
        <f t="shared" si="54"/>
        <v>104.76671400000001</v>
      </c>
      <c r="I95" s="345">
        <f t="shared" ref="I95" si="55">I90*I98</f>
        <v>3183.597976</v>
      </c>
      <c r="J95" s="160"/>
      <c r="K95" s="349">
        <f>SUM(C95:I95)</f>
        <v>199643.27967499997</v>
      </c>
    </row>
    <row r="96" spans="2:11" s="66" customFormat="1" ht="13.8" outlineLevel="1" x14ac:dyDescent="0.25">
      <c r="B96" s="347" t="s">
        <v>116</v>
      </c>
      <c r="C96" s="160"/>
      <c r="D96" s="160"/>
      <c r="E96" s="345">
        <f>E92*E98</f>
        <v>-1703.9033950416024</v>
      </c>
      <c r="F96" s="345">
        <f t="shared" ref="F96:H96" si="56">F92*F98</f>
        <v>-404.43304203939925</v>
      </c>
      <c r="G96" s="345">
        <f t="shared" si="56"/>
        <v>0</v>
      </c>
      <c r="H96" s="345">
        <f t="shared" si="56"/>
        <v>-1.1249195393775506</v>
      </c>
      <c r="I96" s="345">
        <f t="shared" ref="I96" si="57">I92*I98</f>
        <v>-34.183486643717991</v>
      </c>
      <c r="J96" s="160"/>
      <c r="K96" s="355">
        <f>SUM(C96:I96)</f>
        <v>-2143.6448432640973</v>
      </c>
    </row>
    <row r="97" spans="2:12" s="66" customFormat="1" ht="13.8" outlineLevel="1" x14ac:dyDescent="0.25">
      <c r="B97" s="347" t="s">
        <v>115</v>
      </c>
      <c r="C97" s="160"/>
      <c r="D97" s="160"/>
      <c r="E97" s="345">
        <f>E95+E96</f>
        <v>156985.0991719584</v>
      </c>
      <c r="F97" s="345">
        <f t="shared" ref="F97:H97" si="58">F95+F96</f>
        <v>37261.479375960604</v>
      </c>
      <c r="G97" s="345">
        <f t="shared" si="58"/>
        <v>0</v>
      </c>
      <c r="H97" s="345">
        <f t="shared" si="58"/>
        <v>103.64179446062246</v>
      </c>
      <c r="I97" s="345">
        <f t="shared" ref="I97" si="59">I95+I96</f>
        <v>3149.414489356282</v>
      </c>
      <c r="J97" s="160"/>
      <c r="K97" s="349">
        <f>SUM(C97:I97)</f>
        <v>197499.63483173589</v>
      </c>
    </row>
    <row r="98" spans="2:12" s="66" customFormat="1" ht="13.8" outlineLevel="1" x14ac:dyDescent="0.25">
      <c r="B98" s="496" t="s">
        <v>400</v>
      </c>
      <c r="C98" s="332"/>
      <c r="D98" s="332"/>
      <c r="E98" s="513">
        <v>2.5709999999999999E-3</v>
      </c>
      <c r="F98" s="513">
        <v>2.2060000000000001E-3</v>
      </c>
      <c r="G98" s="513">
        <v>0</v>
      </c>
      <c r="H98" s="513">
        <v>2.7780000000000001E-3</v>
      </c>
      <c r="I98" s="513">
        <v>2.7980000000000001E-3</v>
      </c>
      <c r="J98" s="331"/>
      <c r="K98" s="498"/>
    </row>
    <row r="99" spans="2:12" s="66" customFormat="1" ht="13.8" outlineLevel="1" x14ac:dyDescent="0.25">
      <c r="B99" s="83"/>
    </row>
    <row r="100" spans="2:12" s="66" customFormat="1" ht="13.8" outlineLevel="1" x14ac:dyDescent="0.25">
      <c r="B100" s="83"/>
    </row>
    <row r="101" spans="2:12" s="66" customFormat="1" ht="27.6" outlineLevel="1" x14ac:dyDescent="0.25">
      <c r="B101" s="341">
        <v>2016</v>
      </c>
      <c r="C101" s="318" t="s">
        <v>37</v>
      </c>
      <c r="D101" s="318" t="s">
        <v>503</v>
      </c>
      <c r="E101" s="318" t="s">
        <v>504</v>
      </c>
      <c r="F101" s="318" t="s">
        <v>505</v>
      </c>
      <c r="G101" s="318" t="s">
        <v>42</v>
      </c>
      <c r="H101" s="318" t="s">
        <v>40</v>
      </c>
      <c r="I101" s="318" t="s">
        <v>500</v>
      </c>
      <c r="J101" s="318" t="s">
        <v>105</v>
      </c>
      <c r="K101" s="342" t="s">
        <v>34</v>
      </c>
    </row>
    <row r="102" spans="2:12" s="66" customFormat="1" ht="13.8" outlineLevel="1" x14ac:dyDescent="0.25">
      <c r="B102" s="333" t="s">
        <v>35</v>
      </c>
      <c r="C102" s="320"/>
      <c r="D102" s="320"/>
      <c r="E102" s="320"/>
      <c r="F102" s="320"/>
      <c r="G102" s="320"/>
      <c r="H102" s="320"/>
      <c r="I102" s="320"/>
      <c r="J102" s="160"/>
      <c r="K102" s="344"/>
    </row>
    <row r="103" spans="2:12" s="66" customFormat="1" ht="13.8" outlineLevel="1" x14ac:dyDescent="0.25">
      <c r="B103" s="347" t="s">
        <v>402</v>
      </c>
      <c r="C103" s="322">
        <v>46118694</v>
      </c>
      <c r="D103" s="346">
        <v>20545642</v>
      </c>
      <c r="E103" s="346">
        <v>61722677</v>
      </c>
      <c r="F103" s="346">
        <v>17074303</v>
      </c>
      <c r="G103" s="346">
        <v>608453</v>
      </c>
      <c r="H103" s="346">
        <v>37713</v>
      </c>
      <c r="I103" s="346">
        <v>1137812</v>
      </c>
      <c r="J103" s="321"/>
      <c r="K103" s="349">
        <f>SUM(C103:I103)</f>
        <v>147245294</v>
      </c>
    </row>
    <row r="104" spans="2:12" s="23" customFormat="1" outlineLevel="1" x14ac:dyDescent="0.3">
      <c r="B104" s="347" t="s">
        <v>114</v>
      </c>
      <c r="C104" s="494">
        <f>C103/$K$103</f>
        <v>0.3132099692096102</v>
      </c>
      <c r="D104" s="494">
        <f t="shared" ref="D104:I104" si="60">D103/$K$103</f>
        <v>0.13953343731311371</v>
      </c>
      <c r="E104" s="494">
        <f t="shared" si="60"/>
        <v>0.41918268029672989</v>
      </c>
      <c r="F104" s="494">
        <f t="shared" si="60"/>
        <v>0.11595822546287965</v>
      </c>
      <c r="G104" s="494">
        <f t="shared" si="60"/>
        <v>4.1322407220702071E-3</v>
      </c>
      <c r="H104" s="494">
        <f t="shared" si="60"/>
        <v>2.5612363543516713E-4</v>
      </c>
      <c r="I104" s="494">
        <f t="shared" si="60"/>
        <v>7.7273233601611747E-3</v>
      </c>
      <c r="J104" s="160"/>
      <c r="K104" s="492">
        <f>SUM(C104:I104)</f>
        <v>1</v>
      </c>
      <c r="L104" s="66"/>
    </row>
    <row r="105" spans="2:12" s="23" customFormat="1" outlineLevel="1" x14ac:dyDescent="0.3">
      <c r="B105" s="347" t="s">
        <v>523</v>
      </c>
      <c r="C105" s="511">
        <f>-$C$19*C104</f>
        <v>0</v>
      </c>
      <c r="D105" s="511">
        <f t="shared" ref="D105:I105" si="61">-$C$19*D104</f>
        <v>0</v>
      </c>
      <c r="E105" s="511">
        <f t="shared" si="61"/>
        <v>0</v>
      </c>
      <c r="F105" s="511">
        <f t="shared" si="61"/>
        <v>0</v>
      </c>
      <c r="G105" s="511">
        <f t="shared" si="61"/>
        <v>0</v>
      </c>
      <c r="H105" s="511">
        <f t="shared" si="61"/>
        <v>0</v>
      </c>
      <c r="I105" s="511">
        <f t="shared" si="61"/>
        <v>0</v>
      </c>
      <c r="J105" s="160"/>
      <c r="K105" s="349">
        <f>SUM(C105:I105)</f>
        <v>0</v>
      </c>
    </row>
    <row r="106" spans="2:12" s="23" customFormat="1" outlineLevel="1" x14ac:dyDescent="0.3">
      <c r="B106" s="347" t="s">
        <v>115</v>
      </c>
      <c r="C106" s="350">
        <f>C103+C105</f>
        <v>46118694</v>
      </c>
      <c r="D106" s="345">
        <f t="shared" ref="D106:I106" si="62">D103+D105</f>
        <v>20545642</v>
      </c>
      <c r="E106" s="345">
        <f t="shared" si="62"/>
        <v>61722677</v>
      </c>
      <c r="F106" s="345">
        <f t="shared" si="62"/>
        <v>17074303</v>
      </c>
      <c r="G106" s="345">
        <f t="shared" si="62"/>
        <v>608453</v>
      </c>
      <c r="H106" s="345">
        <f t="shared" si="62"/>
        <v>37713</v>
      </c>
      <c r="I106" s="345">
        <f t="shared" si="62"/>
        <v>1137812</v>
      </c>
      <c r="J106" s="160"/>
      <c r="K106" s="349">
        <f>SUM(C106:I106)</f>
        <v>147245294</v>
      </c>
    </row>
    <row r="107" spans="2:12" s="23" customFormat="1" outlineLevel="1" x14ac:dyDescent="0.3">
      <c r="B107" s="333" t="s">
        <v>36</v>
      </c>
      <c r="C107" s="160"/>
      <c r="D107" s="327"/>
      <c r="E107" s="353"/>
      <c r="F107" s="328"/>
      <c r="G107" s="329"/>
      <c r="H107" s="330"/>
      <c r="I107" s="160"/>
      <c r="J107" s="160"/>
      <c r="K107" s="354"/>
    </row>
    <row r="108" spans="2:12" s="23" customFormat="1" outlineLevel="1" x14ac:dyDescent="0.3">
      <c r="B108" s="347" t="s">
        <v>403</v>
      </c>
      <c r="C108" s="160"/>
      <c r="D108" s="160"/>
      <c r="E108" s="345">
        <f>E103*E111</f>
        <v>158689.00256699999</v>
      </c>
      <c r="F108" s="345">
        <f t="shared" ref="F108:H108" si="63">F103*F111</f>
        <v>37665.912418</v>
      </c>
      <c r="G108" s="345">
        <f t="shared" si="63"/>
        <v>0</v>
      </c>
      <c r="H108" s="345">
        <f t="shared" si="63"/>
        <v>104.76671400000001</v>
      </c>
      <c r="I108" s="345">
        <f t="shared" ref="I108" si="64">I103*I111</f>
        <v>3183.597976</v>
      </c>
      <c r="J108" s="160"/>
      <c r="K108" s="349">
        <f>SUM(C108:I108)</f>
        <v>199643.27967499997</v>
      </c>
    </row>
    <row r="109" spans="2:12" s="23" customFormat="1" outlineLevel="1" x14ac:dyDescent="0.3">
      <c r="B109" s="347" t="s">
        <v>116</v>
      </c>
      <c r="C109" s="160"/>
      <c r="D109" s="160"/>
      <c r="E109" s="345">
        <f>E105*E111</f>
        <v>0</v>
      </c>
      <c r="F109" s="345">
        <f t="shared" ref="F109:H109" si="65">F105*F111</f>
        <v>0</v>
      </c>
      <c r="G109" s="345">
        <f t="shared" si="65"/>
        <v>0</v>
      </c>
      <c r="H109" s="345">
        <f t="shared" si="65"/>
        <v>0</v>
      </c>
      <c r="I109" s="345">
        <f t="shared" ref="I109" si="66">I105*I111</f>
        <v>0</v>
      </c>
      <c r="J109" s="160"/>
      <c r="K109" s="355">
        <f>SUM(C109:I109)</f>
        <v>0</v>
      </c>
    </row>
    <row r="110" spans="2:12" s="23" customFormat="1" outlineLevel="1" x14ac:dyDescent="0.3">
      <c r="B110" s="347" t="s">
        <v>115</v>
      </c>
      <c r="C110" s="160"/>
      <c r="D110" s="160"/>
      <c r="E110" s="345">
        <f>E108+E109</f>
        <v>158689.00256699999</v>
      </c>
      <c r="F110" s="345">
        <f t="shared" ref="F110:H110" si="67">F108+F109</f>
        <v>37665.912418</v>
      </c>
      <c r="G110" s="345">
        <f t="shared" si="67"/>
        <v>0</v>
      </c>
      <c r="H110" s="345">
        <f t="shared" si="67"/>
        <v>104.76671400000001</v>
      </c>
      <c r="I110" s="345">
        <f t="shared" ref="I110" si="68">I108+I109</f>
        <v>3183.597976</v>
      </c>
      <c r="J110" s="160"/>
      <c r="K110" s="349">
        <f>SUM(C110:I110)</f>
        <v>199643.27967499997</v>
      </c>
    </row>
    <row r="111" spans="2:12" s="23" customFormat="1" outlineLevel="1" x14ac:dyDescent="0.3">
      <c r="B111" s="496" t="s">
        <v>400</v>
      </c>
      <c r="C111" s="332"/>
      <c r="D111" s="332"/>
      <c r="E111" s="513">
        <v>2.5709999999999999E-3</v>
      </c>
      <c r="F111" s="513">
        <v>2.2060000000000001E-3</v>
      </c>
      <c r="G111" s="513">
        <v>0</v>
      </c>
      <c r="H111" s="513">
        <v>2.7780000000000001E-3</v>
      </c>
      <c r="I111" s="513">
        <v>2.7980000000000001E-3</v>
      </c>
      <c r="J111" s="331"/>
      <c r="K111" s="498"/>
    </row>
    <row r="112" spans="2:12" s="23" customFormat="1" outlineLevel="1" x14ac:dyDescent="0.3">
      <c r="B112" s="65"/>
    </row>
    <row r="113" spans="2:12" s="23" customFormat="1" outlineLevel="1" x14ac:dyDescent="0.3">
      <c r="B113" s="65"/>
    </row>
    <row r="114" spans="2:12" s="23" customFormat="1" ht="27.6" outlineLevel="1" x14ac:dyDescent="0.3">
      <c r="B114" s="341">
        <v>2017</v>
      </c>
      <c r="C114" s="318" t="s">
        <v>37</v>
      </c>
      <c r="D114" s="318" t="s">
        <v>503</v>
      </c>
      <c r="E114" s="318" t="s">
        <v>504</v>
      </c>
      <c r="F114" s="318" t="s">
        <v>505</v>
      </c>
      <c r="G114" s="318" t="s">
        <v>42</v>
      </c>
      <c r="H114" s="318" t="s">
        <v>40</v>
      </c>
      <c r="I114" s="318" t="s">
        <v>500</v>
      </c>
      <c r="J114" s="318" t="s">
        <v>105</v>
      </c>
      <c r="K114" s="342" t="s">
        <v>34</v>
      </c>
    </row>
    <row r="115" spans="2:12" s="23" customFormat="1" outlineLevel="1" x14ac:dyDescent="0.3">
      <c r="B115" s="333" t="s">
        <v>35</v>
      </c>
      <c r="C115" s="320"/>
      <c r="D115" s="320"/>
      <c r="E115" s="320"/>
      <c r="F115" s="320"/>
      <c r="G115" s="320"/>
      <c r="H115" s="320"/>
      <c r="I115" s="320"/>
      <c r="J115" s="160"/>
      <c r="K115" s="344"/>
    </row>
    <row r="116" spans="2:12" s="23" customFormat="1" outlineLevel="1" x14ac:dyDescent="0.3">
      <c r="B116" s="347" t="s">
        <v>402</v>
      </c>
      <c r="C116" s="322">
        <v>46118694</v>
      </c>
      <c r="D116" s="346">
        <v>20545642</v>
      </c>
      <c r="E116" s="346">
        <v>61722677</v>
      </c>
      <c r="F116" s="346">
        <v>17074303</v>
      </c>
      <c r="G116" s="346">
        <v>608453</v>
      </c>
      <c r="H116" s="346">
        <v>37713</v>
      </c>
      <c r="I116" s="346">
        <v>1137812</v>
      </c>
      <c r="J116" s="321"/>
      <c r="K116" s="349">
        <f>SUM(C116:I116)</f>
        <v>147245294</v>
      </c>
    </row>
    <row r="117" spans="2:12" s="23" customFormat="1" outlineLevel="1" x14ac:dyDescent="0.3">
      <c r="B117" s="347" t="s">
        <v>114</v>
      </c>
      <c r="C117" s="494">
        <f>C116/$K$116</f>
        <v>0.3132099692096102</v>
      </c>
      <c r="D117" s="494">
        <f>D116/$K$116</f>
        <v>0.13953343731311371</v>
      </c>
      <c r="E117" s="494">
        <f t="shared" ref="E117:I117" si="69">E116/$K$116</f>
        <v>0.41918268029672989</v>
      </c>
      <c r="F117" s="494">
        <f t="shared" si="69"/>
        <v>0.11595822546287965</v>
      </c>
      <c r="G117" s="494">
        <f t="shared" si="69"/>
        <v>4.1322407220702071E-3</v>
      </c>
      <c r="H117" s="494">
        <f t="shared" si="69"/>
        <v>2.5612363543516713E-4</v>
      </c>
      <c r="I117" s="494">
        <f t="shared" si="69"/>
        <v>7.7273233601611747E-3</v>
      </c>
      <c r="J117" s="160"/>
      <c r="K117" s="492">
        <f>SUM(C117:I117)</f>
        <v>1</v>
      </c>
      <c r="L117" s="66"/>
    </row>
    <row r="118" spans="2:12" s="23" customFormat="1" outlineLevel="1" x14ac:dyDescent="0.3">
      <c r="B118" s="347" t="s">
        <v>523</v>
      </c>
      <c r="C118" s="511">
        <f>-$C$20*C117</f>
        <v>0</v>
      </c>
      <c r="D118" s="511">
        <f t="shared" ref="D118:I118" si="70">-$C$20*D117</f>
        <v>0</v>
      </c>
      <c r="E118" s="511">
        <f t="shared" si="70"/>
        <v>0</v>
      </c>
      <c r="F118" s="511">
        <f t="shared" si="70"/>
        <v>0</v>
      </c>
      <c r="G118" s="511">
        <f t="shared" si="70"/>
        <v>0</v>
      </c>
      <c r="H118" s="511">
        <f t="shared" si="70"/>
        <v>0</v>
      </c>
      <c r="I118" s="511">
        <f t="shared" si="70"/>
        <v>0</v>
      </c>
      <c r="J118" s="160"/>
      <c r="K118" s="349">
        <f>SUM(C118:I118)</f>
        <v>0</v>
      </c>
    </row>
    <row r="119" spans="2:12" s="23" customFormat="1" outlineLevel="1" x14ac:dyDescent="0.3">
      <c r="B119" s="347" t="s">
        <v>115</v>
      </c>
      <c r="C119" s="350">
        <f>C116+C118</f>
        <v>46118694</v>
      </c>
      <c r="D119" s="345">
        <f>D116+D118</f>
        <v>20545642</v>
      </c>
      <c r="E119" s="345">
        <f t="shared" ref="E119:I119" si="71">E116+E118</f>
        <v>61722677</v>
      </c>
      <c r="F119" s="345">
        <f t="shared" si="71"/>
        <v>17074303</v>
      </c>
      <c r="G119" s="345">
        <f t="shared" si="71"/>
        <v>608453</v>
      </c>
      <c r="H119" s="345">
        <f t="shared" si="71"/>
        <v>37713</v>
      </c>
      <c r="I119" s="345">
        <f t="shared" si="71"/>
        <v>1137812</v>
      </c>
      <c r="J119" s="160"/>
      <c r="K119" s="349">
        <f>SUM(C119:I119)</f>
        <v>147245294</v>
      </c>
    </row>
    <row r="120" spans="2:12" s="23" customFormat="1" outlineLevel="1" x14ac:dyDescent="0.3">
      <c r="B120" s="333" t="s">
        <v>36</v>
      </c>
      <c r="C120" s="160"/>
      <c r="D120" s="327"/>
      <c r="E120" s="353"/>
      <c r="F120" s="328"/>
      <c r="G120" s="329"/>
      <c r="H120" s="330"/>
      <c r="I120" s="160"/>
      <c r="J120" s="160"/>
      <c r="K120" s="354"/>
    </row>
    <row r="121" spans="2:12" s="23" customFormat="1" outlineLevel="1" x14ac:dyDescent="0.3">
      <c r="B121" s="347" t="s">
        <v>403</v>
      </c>
      <c r="C121" s="160"/>
      <c r="D121" s="160"/>
      <c r="E121" s="345">
        <f>E116*E124</f>
        <v>158689.00256699999</v>
      </c>
      <c r="F121" s="345">
        <f t="shared" ref="F121:H121" si="72">F116*F124</f>
        <v>37665.912418</v>
      </c>
      <c r="G121" s="345">
        <f t="shared" si="72"/>
        <v>0</v>
      </c>
      <c r="H121" s="345">
        <f t="shared" si="72"/>
        <v>104.76671400000001</v>
      </c>
      <c r="I121" s="345">
        <f t="shared" ref="I121" si="73">I116*I124</f>
        <v>3183.597976</v>
      </c>
      <c r="J121" s="160"/>
      <c r="K121" s="349">
        <f>SUM(C121:I121)</f>
        <v>199643.27967499997</v>
      </c>
    </row>
    <row r="122" spans="2:12" s="23" customFormat="1" outlineLevel="1" x14ac:dyDescent="0.3">
      <c r="B122" s="347" t="s">
        <v>116</v>
      </c>
      <c r="C122" s="160"/>
      <c r="D122" s="160"/>
      <c r="E122" s="345">
        <f>E118*E124</f>
        <v>0</v>
      </c>
      <c r="F122" s="345">
        <f t="shared" ref="F122:H122" si="74">F118*F124</f>
        <v>0</v>
      </c>
      <c r="G122" s="345">
        <f t="shared" si="74"/>
        <v>0</v>
      </c>
      <c r="H122" s="345">
        <f t="shared" si="74"/>
        <v>0</v>
      </c>
      <c r="I122" s="345">
        <f t="shared" ref="I122" si="75">I118*I124</f>
        <v>0</v>
      </c>
      <c r="J122" s="160"/>
      <c r="K122" s="355">
        <f>SUM(C122:I122)</f>
        <v>0</v>
      </c>
    </row>
    <row r="123" spans="2:12" s="23" customFormat="1" outlineLevel="1" x14ac:dyDescent="0.3">
      <c r="B123" s="347" t="s">
        <v>115</v>
      </c>
      <c r="C123" s="160"/>
      <c r="D123" s="160"/>
      <c r="E123" s="345">
        <f>E121+E122</f>
        <v>158689.00256699999</v>
      </c>
      <c r="F123" s="345">
        <f t="shared" ref="F123:H123" si="76">F121+F122</f>
        <v>37665.912418</v>
      </c>
      <c r="G123" s="345">
        <f t="shared" si="76"/>
        <v>0</v>
      </c>
      <c r="H123" s="345">
        <f t="shared" si="76"/>
        <v>104.76671400000001</v>
      </c>
      <c r="I123" s="345">
        <f t="shared" ref="I123" si="77">I121+I122</f>
        <v>3183.597976</v>
      </c>
      <c r="J123" s="160"/>
      <c r="K123" s="349">
        <f>SUM(C123:I123)</f>
        <v>199643.27967499997</v>
      </c>
    </row>
    <row r="124" spans="2:12" s="23" customFormat="1" outlineLevel="1" x14ac:dyDescent="0.3">
      <c r="B124" s="496" t="s">
        <v>400</v>
      </c>
      <c r="C124" s="332"/>
      <c r="D124" s="332"/>
      <c r="E124" s="513">
        <v>2.5709999999999999E-3</v>
      </c>
      <c r="F124" s="513">
        <v>2.2060000000000001E-3</v>
      </c>
      <c r="G124" s="513">
        <v>0</v>
      </c>
      <c r="H124" s="513">
        <v>2.7780000000000001E-3</v>
      </c>
      <c r="I124" s="513">
        <v>2.7980000000000001E-3</v>
      </c>
      <c r="J124" s="331"/>
      <c r="K124" s="498"/>
    </row>
    <row r="125" spans="2:12" s="23" customFormat="1" outlineLevel="1" x14ac:dyDescent="0.3">
      <c r="B125" s="65"/>
    </row>
    <row r="126" spans="2:12" s="23" customFormat="1" outlineLevel="1" x14ac:dyDescent="0.3">
      <c r="B126" s="65"/>
    </row>
    <row r="127" spans="2:12" s="23" customFormat="1" outlineLevel="1" x14ac:dyDescent="0.3">
      <c r="B127" s="65"/>
    </row>
    <row r="128" spans="2:12" s="23" customFormat="1" x14ac:dyDescent="0.3">
      <c r="B128" s="65"/>
    </row>
    <row r="129" spans="2:11" s="55" customFormat="1" ht="16.5" customHeight="1" x14ac:dyDescent="0.3">
      <c r="B129" s="372" t="s">
        <v>409</v>
      </c>
      <c r="C129" s="113"/>
      <c r="D129" s="113"/>
      <c r="E129" s="113"/>
      <c r="F129" s="113"/>
      <c r="G129" s="113"/>
      <c r="H129" s="113"/>
      <c r="I129" s="113"/>
      <c r="J129" s="113"/>
      <c r="K129" s="113"/>
    </row>
    <row r="130" spans="2:11" s="3" customFormat="1" ht="9.75" customHeight="1" x14ac:dyDescent="0.3"/>
    <row r="131" spans="2:11" s="3" customFormat="1" ht="38.25" customHeight="1" x14ac:dyDescent="0.3">
      <c r="B131" s="102" t="s">
        <v>55</v>
      </c>
      <c r="C131" s="102" t="s">
        <v>37</v>
      </c>
      <c r="D131" s="102" t="s">
        <v>503</v>
      </c>
      <c r="E131" s="102" t="s">
        <v>504</v>
      </c>
      <c r="F131" s="102" t="s">
        <v>505</v>
      </c>
      <c r="G131" s="102" t="s">
        <v>42</v>
      </c>
      <c r="H131" s="102" t="s">
        <v>40</v>
      </c>
      <c r="I131" s="102" t="s">
        <v>500</v>
      </c>
      <c r="J131" s="102" t="str">
        <f t="shared" ref="J131" si="78">J24</f>
        <v>Other</v>
      </c>
      <c r="K131" s="102" t="s">
        <v>34</v>
      </c>
    </row>
    <row r="132" spans="2:11" s="3" customFormat="1" ht="16.5" customHeight="1" x14ac:dyDescent="0.3">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3">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9">SUM(C133:J133)</f>
        <v>0</v>
      </c>
    </row>
    <row r="134" spans="2:11" s="3" customFormat="1" ht="16.5" customHeight="1" x14ac:dyDescent="0.3">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9"/>
        <v>0</v>
      </c>
    </row>
    <row r="135" spans="2:11" s="3" customFormat="1" ht="16.5" customHeight="1" x14ac:dyDescent="0.3">
      <c r="B135" s="114">
        <v>2013</v>
      </c>
      <c r="C135" s="74">
        <f>C28*'3.  Distribution Rates'!G33</f>
        <v>9606.1205018476212</v>
      </c>
      <c r="D135" s="74">
        <f>D28*'3.  Distribution Rates'!G34</f>
        <v>5445.1560599993354</v>
      </c>
      <c r="E135" s="74">
        <f>E28*'3.  Distribution Rates'!G35</f>
        <v>7903.0005905303642</v>
      </c>
      <c r="F135" s="74">
        <f>F28*'3.  Distribution Rates'!G36</f>
        <v>1531.3615920062862</v>
      </c>
      <c r="G135" s="74">
        <f>G28*'3.  Distribution Rates'!G37</f>
        <v>163.14823045947904</v>
      </c>
      <c r="H135" s="74">
        <f>H28*'3.  Distribution Rates'!G38</f>
        <v>19.184949073828943</v>
      </c>
      <c r="I135" s="74">
        <f>I28*'3.  Distribution Rates'!G39</f>
        <v>745.94814921289947</v>
      </c>
      <c r="J135" s="74"/>
      <c r="K135" s="74">
        <f t="shared" si="79"/>
        <v>25413.920073129811</v>
      </c>
    </row>
    <row r="136" spans="2:11" s="3" customFormat="1" ht="16.5" customHeight="1" x14ac:dyDescent="0.3">
      <c r="B136" s="114">
        <v>2014</v>
      </c>
      <c r="C136" s="75">
        <f>C29*'3.  Distribution Rates'!H33</f>
        <v>10131.82858901341</v>
      </c>
      <c r="D136" s="75">
        <f>D29*'3.  Distribution Rates'!H34</f>
        <v>5844.3610497353575</v>
      </c>
      <c r="E136" s="75">
        <f>E29*'3.  Distribution Rates'!H35</f>
        <v>8697.5186748057258</v>
      </c>
      <c r="F136" s="75">
        <f>F29*'3.  Distribution Rates'!H36</f>
        <v>1628.4835607779187</v>
      </c>
      <c r="G136" s="75">
        <f>G29*'3.  Distribution Rates'!H37</f>
        <v>98.046569416227982</v>
      </c>
      <c r="H136" s="75">
        <f>H29*'3.  Distribution Rates'!H38</f>
        <v>19.37141309285612</v>
      </c>
      <c r="I136" s="75">
        <f>I29*'3.  Distribution Rates'!H39</f>
        <v>437.75032477584597</v>
      </c>
      <c r="J136" s="75"/>
      <c r="K136" s="75">
        <f t="shared" si="79"/>
        <v>26857.360181617343</v>
      </c>
    </row>
    <row r="137" spans="2:11" s="3" customFormat="1" ht="16.5" customHeight="1" x14ac:dyDescent="0.3">
      <c r="B137" s="114">
        <v>2015</v>
      </c>
      <c r="C137" s="75">
        <f>C30*'3.  Distribution Rates'!I33</f>
        <v>7097.7768138599522</v>
      </c>
      <c r="D137" s="74">
        <f>D30*'3.  Distribution Rates'!I34</f>
        <v>4088.5695619507433</v>
      </c>
      <c r="E137" s="75">
        <f>E30*'3.  Distribution Rates'!I35</f>
        <v>6087.9900337038098</v>
      </c>
      <c r="F137" s="75">
        <f>F30*'3.  Distribution Rates'!I36</f>
        <v>1139.8945289880469</v>
      </c>
      <c r="G137" s="75">
        <f>G30*'3.  Distribution Rates'!I37</f>
        <v>0</v>
      </c>
      <c r="H137" s="75">
        <f>H30*'3.  Distribution Rates'!I38</f>
        <v>13.559555143749121</v>
      </c>
      <c r="I137" s="74">
        <f>I30*'3.  Distribution Rates'!I39</f>
        <v>306.41393757695931</v>
      </c>
      <c r="J137" s="115"/>
      <c r="K137" s="75">
        <f t="shared" si="79"/>
        <v>18734.204431223261</v>
      </c>
    </row>
    <row r="138" spans="2:11" s="3" customFormat="1" ht="16.5" customHeight="1" x14ac:dyDescent="0.3">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79"/>
        <v>0</v>
      </c>
    </row>
    <row r="139" spans="2:11" s="3" customFormat="1" ht="16.5" customHeight="1" x14ac:dyDescent="0.3">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79"/>
        <v>0</v>
      </c>
    </row>
    <row r="140" spans="2:11" s="23" customFormat="1" x14ac:dyDescent="0.3">
      <c r="B140" s="65"/>
    </row>
    <row r="141" spans="2:11" s="23" customFormat="1" x14ac:dyDescent="0.3">
      <c r="B141" s="65"/>
    </row>
    <row r="142" spans="2:11" s="23" customFormat="1" x14ac:dyDescent="0.3">
      <c r="B142" s="65"/>
    </row>
    <row r="143" spans="2:11" s="23" customFormat="1" x14ac:dyDescent="0.3">
      <c r="B143" s="65"/>
    </row>
    <row r="144" spans="2:11" s="23" customFormat="1" x14ac:dyDescent="0.3">
      <c r="B144" s="65"/>
    </row>
    <row r="145" spans="2:2" s="23" customFormat="1" x14ac:dyDescent="0.3">
      <c r="B145" s="65"/>
    </row>
    <row r="146" spans="2:2" s="23" customFormat="1" x14ac:dyDescent="0.3">
      <c r="B146" s="65"/>
    </row>
    <row r="147" spans="2:2" s="23" customFormat="1" x14ac:dyDescent="0.3">
      <c r="B147" s="65"/>
    </row>
    <row r="148" spans="2:2" s="23" customFormat="1" x14ac:dyDescent="0.3">
      <c r="B148" s="65"/>
    </row>
    <row r="149" spans="2:2" s="23" customFormat="1" x14ac:dyDescent="0.3">
      <c r="B149" s="65"/>
    </row>
    <row r="150" spans="2:2" s="23" customFormat="1" x14ac:dyDescent="0.3">
      <c r="B150" s="65"/>
    </row>
    <row r="151" spans="2:2" s="23" customFormat="1" x14ac:dyDescent="0.3">
      <c r="B151" s="65"/>
    </row>
    <row r="152" spans="2:2" s="23" customFormat="1" x14ac:dyDescent="0.3">
      <c r="B152" s="65"/>
    </row>
    <row r="153" spans="2:2" s="23" customFormat="1" x14ac:dyDescent="0.3">
      <c r="B153" s="65"/>
    </row>
    <row r="154" spans="2:2" s="23" customFormat="1" x14ac:dyDescent="0.3">
      <c r="B154" s="65"/>
    </row>
    <row r="155" spans="2:2" s="23" customFormat="1" x14ac:dyDescent="0.3">
      <c r="B155" s="65"/>
    </row>
    <row r="156" spans="2:2" s="23" customFormat="1" x14ac:dyDescent="0.3">
      <c r="B156" s="65"/>
    </row>
    <row r="157" spans="2:2" s="23" customFormat="1" x14ac:dyDescent="0.3">
      <c r="B157" s="65"/>
    </row>
    <row r="158" spans="2:2" s="23" customFormat="1" x14ac:dyDescent="0.3">
      <c r="B158" s="65"/>
    </row>
    <row r="159" spans="2:2" s="23" customFormat="1" x14ac:dyDescent="0.3">
      <c r="B159" s="65"/>
    </row>
    <row r="160" spans="2:2" s="23" customFormat="1" x14ac:dyDescent="0.3">
      <c r="B160" s="65"/>
    </row>
    <row r="161" spans="2:2" s="23" customFormat="1" x14ac:dyDescent="0.3">
      <c r="B161" s="65"/>
    </row>
    <row r="162" spans="2:2" s="23" customFormat="1" x14ac:dyDescent="0.3">
      <c r="B162" s="65"/>
    </row>
    <row r="163" spans="2:2" s="23" customFormat="1" x14ac:dyDescent="0.3">
      <c r="B163" s="65"/>
    </row>
    <row r="164" spans="2:2" s="23" customFormat="1" x14ac:dyDescent="0.3">
      <c r="B164" s="65"/>
    </row>
    <row r="165" spans="2:2" s="23" customFormat="1" x14ac:dyDescent="0.3">
      <c r="B165" s="65"/>
    </row>
    <row r="166" spans="2:2" s="23" customFormat="1" x14ac:dyDescent="0.3">
      <c r="B166" s="65"/>
    </row>
    <row r="167" spans="2:2" s="23" customFormat="1" x14ac:dyDescent="0.3">
      <c r="B167" s="65"/>
    </row>
    <row r="168" spans="2:2" s="23" customFormat="1" x14ac:dyDescent="0.3">
      <c r="B168" s="65"/>
    </row>
    <row r="169" spans="2:2" s="23" customFormat="1" x14ac:dyDescent="0.3">
      <c r="B169" s="65"/>
    </row>
    <row r="170" spans="2:2" s="23" customFormat="1" x14ac:dyDescent="0.3">
      <c r="B170" s="65"/>
    </row>
    <row r="171" spans="2:2" s="23" customFormat="1" x14ac:dyDescent="0.3">
      <c r="B171" s="65"/>
    </row>
    <row r="172" spans="2:2" s="23" customFormat="1" x14ac:dyDescent="0.3">
      <c r="B172" s="65"/>
    </row>
    <row r="173" spans="2:2" s="23" customFormat="1" x14ac:dyDescent="0.3">
      <c r="B173" s="65"/>
    </row>
    <row r="174" spans="2:2" s="23" customFormat="1" x14ac:dyDescent="0.3">
      <c r="B174" s="65"/>
    </row>
    <row r="175" spans="2:2" s="23" customFormat="1" x14ac:dyDescent="0.3">
      <c r="B175" s="65"/>
    </row>
    <row r="176" spans="2:2" s="23" customFormat="1" x14ac:dyDescent="0.3">
      <c r="B176" s="65"/>
    </row>
    <row r="177" spans="2:2" s="23" customFormat="1" x14ac:dyDescent="0.3">
      <c r="B177" s="65"/>
    </row>
    <row r="178" spans="2:2" s="23" customFormat="1" x14ac:dyDescent="0.3">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0" activePane="bottomLeft" state="frozen"/>
      <selection pane="bottomLeft" activeCell="P49" sqref="P49"/>
    </sheetView>
  </sheetViews>
  <sheetFormatPr defaultColWidth="9.109375" defaultRowHeight="14.4" outlineLevelRow="1" x14ac:dyDescent="0.3"/>
  <cols>
    <col min="1" max="1" width="7.5546875" style="7" customWidth="1"/>
    <col min="2" max="2" width="39.44140625" style="8" customWidth="1"/>
    <col min="3" max="3" width="13.109375" style="8" customWidth="1"/>
    <col min="4" max="8" width="15.44140625" style="8" customWidth="1"/>
    <col min="9" max="11" width="13.5546875" style="8" customWidth="1"/>
    <col min="12" max="12" width="4.44140625" style="8" customWidth="1"/>
    <col min="13" max="16384" width="9.109375" style="8"/>
  </cols>
  <sheetData>
    <row r="1" spans="1:26" ht="161.25" customHeight="1" x14ac:dyDescent="0.25">
      <c r="B1" s="47"/>
      <c r="C1" s="47"/>
    </row>
    <row r="2" spans="1:26" s="47" customFormat="1" ht="15" x14ac:dyDescent="0.25">
      <c r="A2" s="7"/>
    </row>
    <row r="3" spans="1:26" ht="20.25" x14ac:dyDescent="0.3">
      <c r="B3" s="586" t="s">
        <v>197</v>
      </c>
      <c r="C3" s="586"/>
      <c r="D3" s="586"/>
      <c r="E3" s="586"/>
      <c r="F3" s="586"/>
      <c r="G3" s="586"/>
      <c r="H3" s="586"/>
      <c r="I3" s="586"/>
      <c r="J3" s="586"/>
      <c r="K3" s="586"/>
    </row>
    <row r="4" spans="1:26" s="47" customFormat="1" ht="20.25" x14ac:dyDescent="0.3">
      <c r="A4" s="7"/>
      <c r="B4" s="236"/>
      <c r="C4" s="236"/>
      <c r="D4" s="236"/>
      <c r="E4" s="236"/>
      <c r="F4" s="236"/>
      <c r="G4" s="236"/>
      <c r="H4" s="236"/>
      <c r="I4" s="236"/>
      <c r="J4" s="236"/>
      <c r="K4" s="236"/>
    </row>
    <row r="5" spans="1:26" ht="54" customHeight="1" outlineLevel="1" x14ac:dyDescent="0.3">
      <c r="B5" s="587" t="s">
        <v>397</v>
      </c>
      <c r="C5" s="590" t="s">
        <v>489</v>
      </c>
      <c r="D5" s="590"/>
      <c r="E5" s="590"/>
      <c r="F5" s="590"/>
      <c r="G5" s="590"/>
      <c r="H5" s="590"/>
      <c r="I5" s="590"/>
      <c r="J5" s="590"/>
      <c r="K5" s="590"/>
    </row>
    <row r="6" spans="1:26" s="47" customFormat="1" ht="34.5" customHeight="1" outlineLevel="1" x14ac:dyDescent="0.3">
      <c r="A6" s="7"/>
      <c r="B6" s="587"/>
      <c r="C6" s="590" t="s">
        <v>406</v>
      </c>
      <c r="D6" s="590"/>
      <c r="E6" s="590"/>
      <c r="F6" s="590"/>
      <c r="G6" s="590"/>
      <c r="H6" s="590"/>
      <c r="I6" s="590"/>
      <c r="J6" s="590"/>
      <c r="K6" s="590"/>
    </row>
    <row r="7" spans="1:26" s="47" customFormat="1" ht="21" customHeight="1" outlineLevel="1" x14ac:dyDescent="0.3">
      <c r="A7" s="7"/>
      <c r="B7" s="587" t="s">
        <v>334</v>
      </c>
      <c r="C7" s="588" t="s">
        <v>361</v>
      </c>
      <c r="D7" s="588"/>
      <c r="E7" s="245"/>
    </row>
    <row r="8" spans="1:26" outlineLevel="1" x14ac:dyDescent="0.3">
      <c r="B8" s="587"/>
      <c r="C8" s="589" t="s">
        <v>335</v>
      </c>
      <c r="D8" s="589"/>
      <c r="E8" s="589"/>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338</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345</v>
      </c>
      <c r="C14" s="128"/>
      <c r="D14" s="205" t="s">
        <v>506</v>
      </c>
      <c r="E14" s="205" t="s">
        <v>507</v>
      </c>
      <c r="F14" s="205" t="s">
        <v>508</v>
      </c>
      <c r="G14" s="205" t="s">
        <v>509</v>
      </c>
      <c r="H14" s="205" t="s">
        <v>510</v>
      </c>
      <c r="I14" s="205" t="s">
        <v>512</v>
      </c>
      <c r="J14" s="205" t="s">
        <v>511</v>
      </c>
      <c r="K14" s="205" t="s">
        <v>339</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56</v>
      </c>
      <c r="C16" s="138" t="s">
        <v>57</v>
      </c>
      <c r="D16" s="206" t="s">
        <v>110</v>
      </c>
      <c r="E16" s="206" t="s">
        <v>519</v>
      </c>
      <c r="F16" s="206" t="s">
        <v>520</v>
      </c>
      <c r="G16" s="206" t="s">
        <v>521</v>
      </c>
      <c r="H16" s="206" t="s">
        <v>113</v>
      </c>
      <c r="I16" s="206" t="s">
        <v>515</v>
      </c>
      <c r="J16" s="206" t="s">
        <v>516</v>
      </c>
      <c r="K16" s="206" t="s">
        <v>438</v>
      </c>
    </row>
    <row r="17" spans="1:12" s="11" customFormat="1" ht="14.25" outlineLevel="1" x14ac:dyDescent="0.2">
      <c r="A17" s="7"/>
      <c r="B17" s="134" t="s">
        <v>405</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8"/>
      <c r="E18" s="208">
        <v>4</v>
      </c>
      <c r="F18" s="208">
        <v>7</v>
      </c>
      <c r="G18" s="208">
        <v>6</v>
      </c>
      <c r="H18" s="208">
        <v>4</v>
      </c>
      <c r="I18" s="208">
        <v>4</v>
      </c>
      <c r="J18" s="208">
        <v>4</v>
      </c>
      <c r="K18" s="208"/>
    </row>
    <row r="19" spans="1:12" s="11" customFormat="1" ht="14.25" outlineLevel="1" x14ac:dyDescent="0.2">
      <c r="A19" s="7"/>
      <c r="B19" s="132" t="s">
        <v>112</v>
      </c>
      <c r="C19" s="133"/>
      <c r="D19" s="207">
        <f>12-D18</f>
        <v>12</v>
      </c>
      <c r="E19" s="207">
        <f>12-E18</f>
        <v>8</v>
      </c>
      <c r="F19" s="207">
        <f t="shared" ref="F19:K19" si="0">12-F18</f>
        <v>5</v>
      </c>
      <c r="G19" s="207">
        <f t="shared" si="0"/>
        <v>6</v>
      </c>
      <c r="H19" s="207">
        <f t="shared" si="0"/>
        <v>8</v>
      </c>
      <c r="I19" s="207">
        <f t="shared" si="0"/>
        <v>8</v>
      </c>
      <c r="J19" s="207">
        <f t="shared" si="0"/>
        <v>8</v>
      </c>
      <c r="K19" s="207">
        <f t="shared" si="0"/>
        <v>12</v>
      </c>
    </row>
    <row r="20" spans="1:12" s="11" customFormat="1" ht="14.25" outlineLevel="1" x14ac:dyDescent="0.2">
      <c r="A20" s="10"/>
      <c r="B20" s="107" t="str">
        <f>'2.  CDM Allocation'!C24</f>
        <v>Residential</v>
      </c>
      <c r="C20" s="79" t="str">
        <f>'2.  CDM Allocation'!C25</f>
        <v>kWh</v>
      </c>
      <c r="D20" s="209">
        <v>1.29E-2</v>
      </c>
      <c r="E20" s="209">
        <v>1.2699999999999999E-2</v>
      </c>
      <c r="F20" s="209">
        <v>1.2800000000000001E-2</v>
      </c>
      <c r="G20" s="209">
        <v>1.4E-2</v>
      </c>
      <c r="H20" s="209">
        <v>1.4200000000000001E-2</v>
      </c>
      <c r="I20" s="209">
        <v>1.44E-2</v>
      </c>
      <c r="J20" s="209">
        <v>1.0999999999999999E-2</v>
      </c>
      <c r="K20" s="209"/>
      <c r="L20" s="12"/>
    </row>
    <row r="21" spans="1:12" ht="15" outlineLevel="1" x14ac:dyDescent="0.25">
      <c r="B21" s="107" t="str">
        <f>'2.  CDM Allocation'!D24</f>
        <v>General Service &lt; 50 kW</v>
      </c>
      <c r="C21" s="79" t="str">
        <f>'2.  CDM Allocation'!D25</f>
        <v>kWh</v>
      </c>
      <c r="D21" s="209">
        <v>1.61E-2</v>
      </c>
      <c r="E21" s="209">
        <v>1.5900000000000001E-2</v>
      </c>
      <c r="F21" s="209">
        <v>1.6E-2</v>
      </c>
      <c r="G21" s="209">
        <v>1.8100000000000002E-2</v>
      </c>
      <c r="H21" s="209">
        <v>1.84E-2</v>
      </c>
      <c r="I21" s="209">
        <v>1.8599999999999998E-2</v>
      </c>
      <c r="J21" s="209">
        <v>1.89E-2</v>
      </c>
      <c r="K21" s="209"/>
    </row>
    <row r="22" spans="1:12" s="5" customFormat="1" ht="14.25" outlineLevel="1" x14ac:dyDescent="0.2">
      <c r="B22" s="107" t="str">
        <f>'2.  CDM Allocation'!E24</f>
        <v>General Service 50 to 2999 kW</v>
      </c>
      <c r="C22" s="79" t="str">
        <f>'2.  CDM Allocation'!E25</f>
        <v>kW</v>
      </c>
      <c r="D22" s="209">
        <v>3.0657000000000001</v>
      </c>
      <c r="E22" s="209">
        <v>2.8946999999999998</v>
      </c>
      <c r="F22" s="209">
        <v>2.9144000000000001</v>
      </c>
      <c r="G22" s="209">
        <v>3.4933999999999998</v>
      </c>
      <c r="H22" s="209">
        <v>3.5423</v>
      </c>
      <c r="I22" s="209">
        <v>3.5882999999999998</v>
      </c>
      <c r="J22" s="209">
        <v>3.6528999999999998</v>
      </c>
      <c r="K22" s="209"/>
    </row>
    <row r="23" spans="1:12" s="5" customFormat="1" ht="14.25" outlineLevel="1" x14ac:dyDescent="0.2">
      <c r="A23" s="7"/>
      <c r="B23" s="107" t="str">
        <f>'2.  CDM Allocation'!F24</f>
        <v>General Service 3000 to 4999 kW</v>
      </c>
      <c r="C23" s="79" t="str">
        <f>'2.  CDM Allocation'!F25</f>
        <v>kW</v>
      </c>
      <c r="D23" s="209">
        <v>2.4592000000000001</v>
      </c>
      <c r="E23" s="209">
        <v>2.4586999999999999</v>
      </c>
      <c r="F23" s="209">
        <v>2.4754</v>
      </c>
      <c r="G23" s="209">
        <v>2.7557</v>
      </c>
      <c r="H23" s="209">
        <v>2.7942999999999998</v>
      </c>
      <c r="I23" s="209">
        <v>2.8306</v>
      </c>
      <c r="J23" s="209">
        <v>2.8816000000000002</v>
      </c>
      <c r="K23" s="209"/>
    </row>
    <row r="24" spans="1:12" s="5" customFormat="1" ht="14.25" outlineLevel="1" x14ac:dyDescent="0.2">
      <c r="A24" s="7"/>
      <c r="B24" s="107" t="str">
        <f>'2.  CDM Allocation'!G24</f>
        <v>Unmetered Scattered Load</v>
      </c>
      <c r="C24" s="79" t="str">
        <f>'2.  CDM Allocation'!G25</f>
        <v>kWh</v>
      </c>
      <c r="D24" s="209">
        <v>2.4400000000000002E-2</v>
      </c>
      <c r="E24" s="209">
        <v>2.4E-2</v>
      </c>
      <c r="F24" s="209">
        <v>2.4199999999999999E-2</v>
      </c>
      <c r="G24" s="209">
        <v>1.03E-2</v>
      </c>
      <c r="H24" s="209">
        <v>1.04E-2</v>
      </c>
      <c r="I24" s="209">
        <v>1.0500000000000001E-2</v>
      </c>
      <c r="J24" s="209">
        <v>1.0699999999999999E-2</v>
      </c>
      <c r="K24" s="209"/>
    </row>
    <row r="25" spans="1:12" s="5" customFormat="1" ht="14.25" outlineLevel="1" x14ac:dyDescent="0.2">
      <c r="A25" s="7"/>
      <c r="B25" s="107" t="str">
        <f>'2.  CDM Allocation'!H24</f>
        <v>Sentinel Lighting</v>
      </c>
      <c r="C25" s="79" t="str">
        <f>'2.  CDM Allocation'!H25</f>
        <v>kW</v>
      </c>
      <c r="D25" s="209">
        <v>9.4907000000000004</v>
      </c>
      <c r="E25" s="209">
        <v>11.6967</v>
      </c>
      <c r="F25" s="209">
        <v>11.776199999999999</v>
      </c>
      <c r="G25" s="209">
        <v>11.7852</v>
      </c>
      <c r="H25" s="209">
        <v>11.950200000000001</v>
      </c>
      <c r="I25" s="209">
        <v>12.105600000000001</v>
      </c>
      <c r="J25" s="209">
        <v>12.323499999999999</v>
      </c>
      <c r="K25" s="209"/>
    </row>
    <row r="26" spans="1:12" s="5" customFormat="1" ht="14.25" outlineLevel="1" x14ac:dyDescent="0.2">
      <c r="A26" s="7"/>
      <c r="B26" s="107" t="str">
        <f>'2.  CDM Allocation'!I24</f>
        <v xml:space="preserve">Street Lighting </v>
      </c>
      <c r="C26" s="79" t="str">
        <f>'2.  CDM Allocation'!I25</f>
        <v>kW</v>
      </c>
      <c r="D26" s="209">
        <v>16.272400000000001</v>
      </c>
      <c r="E26" s="209">
        <v>21.2392</v>
      </c>
      <c r="F26" s="209">
        <v>21.383600000000001</v>
      </c>
      <c r="G26" s="209">
        <v>8.7640999999999991</v>
      </c>
      <c r="H26" s="209">
        <v>8.8867999999999991</v>
      </c>
      <c r="I26" s="209">
        <v>9.0023</v>
      </c>
      <c r="J26" s="209">
        <v>9.1643000000000008</v>
      </c>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ht="15" outlineLevel="1" x14ac:dyDescent="0.25">
      <c r="A29" s="7"/>
      <c r="B29" s="37"/>
      <c r="C29" s="38"/>
      <c r="D29" s="39"/>
      <c r="E29" s="39"/>
      <c r="F29" s="39"/>
      <c r="G29" s="39"/>
      <c r="H29" s="39"/>
      <c r="I29" s="40"/>
      <c r="J29" s="40"/>
      <c r="K29" s="40"/>
    </row>
    <row r="30" spans="1:12" s="40" customFormat="1" ht="18.75" x14ac:dyDescent="0.25">
      <c r="A30" s="126"/>
      <c r="B30" s="372" t="s">
        <v>408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83" t="s">
        <v>57</v>
      </c>
      <c r="D32" s="584"/>
      <c r="E32" s="288">
        <v>2011</v>
      </c>
      <c r="F32" s="288">
        <v>2012</v>
      </c>
      <c r="G32" s="288">
        <v>2013</v>
      </c>
      <c r="H32" s="288">
        <v>2014</v>
      </c>
      <c r="I32" s="288">
        <v>2015</v>
      </c>
      <c r="J32" s="288">
        <v>2016</v>
      </c>
      <c r="K32" s="289">
        <v>2017</v>
      </c>
    </row>
    <row r="33" spans="2:11" ht="19.5" customHeight="1" x14ac:dyDescent="0.25">
      <c r="B33" s="292" t="str">
        <f t="shared" ref="B33:C39" si="1">+B20</f>
        <v>Residential</v>
      </c>
      <c r="C33" s="585" t="str">
        <f t="shared" si="1"/>
        <v>kWh</v>
      </c>
      <c r="D33" s="585"/>
      <c r="E33" s="290">
        <f t="shared" ref="E33:E39" si="2">SUM(D20*$E$18+E20*$E$19)/12</f>
        <v>1.2766666666666667E-2</v>
      </c>
      <c r="F33" s="290">
        <f t="shared" ref="F33:F39" si="3">SUM(E20*$F$18+F20*$F$19)/12</f>
        <v>1.2741666666666665E-2</v>
      </c>
      <c r="G33" s="290">
        <f>SUM(F20*$G$18+G20*$G$19)/12</f>
        <v>1.34E-2</v>
      </c>
      <c r="H33" s="290">
        <f t="shared" ref="H33:H39" si="4">SUM(G20*$H$18+H20*$H$19)/12</f>
        <v>1.4133333333333333E-2</v>
      </c>
      <c r="I33" s="290">
        <f t="shared" ref="I33:I38" si="5">SUM(H20*$I$18+I20*$I$19)/12</f>
        <v>1.4333333333333332E-2</v>
      </c>
      <c r="J33" s="290">
        <f t="shared" ref="J33:J39" si="6">SUM(I20*$J$18+J20*$J$19)/12</f>
        <v>1.2133333333333335E-2</v>
      </c>
      <c r="K33" s="293">
        <f>SUM(J20*$K$18+K20*$K$19)/12</f>
        <v>0</v>
      </c>
    </row>
    <row r="34" spans="2:11" ht="19.5" customHeight="1" x14ac:dyDescent="0.25">
      <c r="B34" s="292" t="str">
        <f t="shared" si="1"/>
        <v>General Service &lt; 50 kW</v>
      </c>
      <c r="C34" s="581" t="str">
        <f t="shared" si="1"/>
        <v>kWh</v>
      </c>
      <c r="D34" s="581"/>
      <c r="E34" s="290">
        <f t="shared" si="2"/>
        <v>1.5966666666666667E-2</v>
      </c>
      <c r="F34" s="290">
        <f t="shared" si="3"/>
        <v>1.594166666666667E-2</v>
      </c>
      <c r="G34" s="290">
        <f>SUM(F21*$G$18+G21*$G$19)/12</f>
        <v>1.7049999999999999E-2</v>
      </c>
      <c r="H34" s="290">
        <f t="shared" si="4"/>
        <v>1.83E-2</v>
      </c>
      <c r="I34" s="290">
        <f t="shared" si="5"/>
        <v>1.8533333333333332E-2</v>
      </c>
      <c r="J34" s="290">
        <f t="shared" si="6"/>
        <v>1.8800000000000001E-2</v>
      </c>
      <c r="K34" s="293">
        <f t="shared" ref="K34:K39" si="7">SUM(J21*$K$18+K21*$K$19)/12</f>
        <v>0</v>
      </c>
    </row>
    <row r="35" spans="2:11" ht="19.5" customHeight="1" x14ac:dyDescent="0.25">
      <c r="B35" s="292" t="str">
        <f t="shared" si="1"/>
        <v>General Service 50 to 2999 kW</v>
      </c>
      <c r="C35" s="581" t="str">
        <f t="shared" si="1"/>
        <v>kW</v>
      </c>
      <c r="D35" s="581"/>
      <c r="E35" s="290">
        <f t="shared" si="2"/>
        <v>2.9517000000000002</v>
      </c>
      <c r="F35" s="290">
        <f t="shared" si="3"/>
        <v>2.902908333333333</v>
      </c>
      <c r="G35" s="290">
        <f t="shared" ref="G35:G39" si="8">SUM(F22*$G$18+G22*$G$19)/12</f>
        <v>3.2038999999999995</v>
      </c>
      <c r="H35" s="290">
        <f t="shared" si="4"/>
        <v>3.5259999999999998</v>
      </c>
      <c r="I35" s="290">
        <f t="shared" si="5"/>
        <v>3.5729666666666664</v>
      </c>
      <c r="J35" s="290">
        <f t="shared" si="6"/>
        <v>3.6313666666666666</v>
      </c>
      <c r="K35" s="293">
        <f t="shared" si="7"/>
        <v>0</v>
      </c>
    </row>
    <row r="36" spans="2:11" ht="19.5" customHeight="1" x14ac:dyDescent="0.25">
      <c r="B36" s="292" t="str">
        <f t="shared" si="1"/>
        <v>General Service 3000 to 4999 kW</v>
      </c>
      <c r="C36" s="581" t="str">
        <f t="shared" si="1"/>
        <v>kW</v>
      </c>
      <c r="D36" s="581"/>
      <c r="E36" s="290">
        <f t="shared" si="2"/>
        <v>2.4588666666666668</v>
      </c>
      <c r="F36" s="290">
        <f t="shared" si="3"/>
        <v>2.4656583333333333</v>
      </c>
      <c r="G36" s="290">
        <f t="shared" si="8"/>
        <v>2.6155499999999998</v>
      </c>
      <c r="H36" s="290">
        <f t="shared" si="4"/>
        <v>2.7814333333333336</v>
      </c>
      <c r="I36" s="290">
        <f t="shared" si="5"/>
        <v>2.8185000000000002</v>
      </c>
      <c r="J36" s="290">
        <f t="shared" si="6"/>
        <v>2.8645999999999998</v>
      </c>
      <c r="K36" s="293">
        <f t="shared" si="7"/>
        <v>0</v>
      </c>
    </row>
    <row r="37" spans="2:11" ht="19.5" customHeight="1" x14ac:dyDescent="0.25">
      <c r="B37" s="292" t="str">
        <f t="shared" si="1"/>
        <v>Unmetered Scattered Load</v>
      </c>
      <c r="C37" s="581" t="str">
        <f t="shared" si="1"/>
        <v>kWh</v>
      </c>
      <c r="D37" s="581"/>
      <c r="E37" s="290">
        <f t="shared" si="2"/>
        <v>2.4133333333333336E-2</v>
      </c>
      <c r="F37" s="290">
        <f t="shared" si="3"/>
        <v>2.4083333333333335E-2</v>
      </c>
      <c r="G37" s="290">
        <f t="shared" si="8"/>
        <v>1.7249999999999998E-2</v>
      </c>
      <c r="H37" s="290">
        <f t="shared" si="4"/>
        <v>1.0366666666666666E-2</v>
      </c>
      <c r="I37" s="290">
        <f t="shared" si="5"/>
        <v>1.0466666666666666E-2</v>
      </c>
      <c r="J37" s="290">
        <f t="shared" si="6"/>
        <v>1.0633333333333333E-2</v>
      </c>
      <c r="K37" s="293">
        <f t="shared" si="7"/>
        <v>0</v>
      </c>
    </row>
    <row r="38" spans="2:11" ht="19.5" customHeight="1" x14ac:dyDescent="0.25">
      <c r="B38" s="292" t="str">
        <f t="shared" si="1"/>
        <v>Sentinel Lighting</v>
      </c>
      <c r="C38" s="581" t="str">
        <f t="shared" si="1"/>
        <v>kW</v>
      </c>
      <c r="D38" s="581"/>
      <c r="E38" s="290">
        <f t="shared" si="2"/>
        <v>10.961366666666668</v>
      </c>
      <c r="F38" s="290">
        <f t="shared" si="3"/>
        <v>11.729825</v>
      </c>
      <c r="G38" s="290">
        <f t="shared" si="8"/>
        <v>11.780699999999998</v>
      </c>
      <c r="H38" s="290">
        <f t="shared" si="4"/>
        <v>11.895200000000001</v>
      </c>
      <c r="I38" s="290">
        <f t="shared" si="5"/>
        <v>12.053800000000001</v>
      </c>
      <c r="J38" s="290">
        <f t="shared" si="6"/>
        <v>12.250866666666667</v>
      </c>
      <c r="K38" s="293">
        <f t="shared" si="7"/>
        <v>0</v>
      </c>
    </row>
    <row r="39" spans="2:11" ht="19.5" customHeight="1" x14ac:dyDescent="0.25">
      <c r="B39" s="292" t="str">
        <f t="shared" si="1"/>
        <v xml:space="preserve">Street Lighting </v>
      </c>
      <c r="C39" s="581" t="str">
        <f t="shared" si="1"/>
        <v>kW</v>
      </c>
      <c r="D39" s="581"/>
      <c r="E39" s="290">
        <f t="shared" si="2"/>
        <v>19.583600000000001</v>
      </c>
      <c r="F39" s="290">
        <f t="shared" si="3"/>
        <v>21.299366666666668</v>
      </c>
      <c r="G39" s="290">
        <f t="shared" si="8"/>
        <v>15.07385</v>
      </c>
      <c r="H39" s="290">
        <f t="shared" si="4"/>
        <v>8.8458999999999985</v>
      </c>
      <c r="I39" s="290">
        <f>SUM(H26*$I$18+I26*$I$19)/12</f>
        <v>8.9637999999999991</v>
      </c>
      <c r="J39" s="290">
        <f t="shared" si="6"/>
        <v>9.1103000000000005</v>
      </c>
      <c r="K39" s="293">
        <f t="shared" si="7"/>
        <v>0</v>
      </c>
    </row>
    <row r="40" spans="2:11" ht="19.5" customHeight="1" x14ac:dyDescent="0.25">
      <c r="B40" s="294" t="s">
        <v>105</v>
      </c>
      <c r="C40" s="582"/>
      <c r="D40" s="582"/>
      <c r="E40" s="295"/>
      <c r="F40" s="295"/>
      <c r="G40" s="295"/>
      <c r="H40" s="295"/>
      <c r="I40" s="295"/>
      <c r="J40" s="295"/>
      <c r="K40" s="296"/>
    </row>
    <row r="41" spans="2:11" x14ac:dyDescent="0.3">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3"/>
  <sheetViews>
    <sheetView topLeftCell="B16" zoomScale="90" zoomScaleNormal="90" zoomScaleSheetLayoutView="80" zoomScalePageLayoutView="85" workbookViewId="0">
      <selection activeCell="H226" sqref="H226"/>
    </sheetView>
  </sheetViews>
  <sheetFormatPr defaultColWidth="9.109375" defaultRowHeight="15.6" outlineLevelRow="1" x14ac:dyDescent="0.3"/>
  <cols>
    <col min="1" max="1" width="5.109375" style="45" customWidth="1"/>
    <col min="2" max="2" width="4.5546875" style="25" customWidth="1"/>
    <col min="3" max="3" width="37.33203125" style="18" customWidth="1"/>
    <col min="4" max="4" width="17.88671875" style="25" customWidth="1"/>
    <col min="5" max="5" width="12.5546875" style="25" customWidth="1"/>
    <col min="6" max="6" width="19" style="26" customWidth="1"/>
    <col min="7" max="7" width="19.109375" style="26" customWidth="1"/>
    <col min="8" max="8" width="13.88671875" style="26" customWidth="1"/>
    <col min="9" max="9" width="13.44140625" style="26" customWidth="1"/>
    <col min="10" max="10" width="13" style="26" customWidth="1"/>
    <col min="11" max="11" width="15.5546875" style="26" customWidth="1"/>
    <col min="12" max="13" width="10.88671875" style="26" customWidth="1"/>
    <col min="14" max="14" width="13.5546875" style="26" customWidth="1"/>
    <col min="15" max="15" width="9.109375" style="26" customWidth="1"/>
    <col min="16" max="16" width="10.109375" style="26" bestFit="1" customWidth="1"/>
    <col min="17" max="17" width="3.109375" style="26" customWidth="1"/>
    <col min="18" max="18" width="14.88671875" style="26" customWidth="1"/>
    <col min="19" max="19" width="14" style="26" customWidth="1"/>
    <col min="20" max="20" width="9.6640625" style="26" customWidth="1"/>
    <col min="21" max="21" width="11.109375" style="26" customWidth="1"/>
    <col min="22" max="22" width="12.109375" style="26" customWidth="1"/>
    <col min="23" max="23" width="6.44140625" style="26" bestFit="1" customWidth="1"/>
    <col min="24" max="28" width="9.109375" style="26"/>
    <col min="29" max="29" width="6.44140625" style="26" bestFit="1" customWidth="1"/>
    <col min="30" max="16384" width="9.109375" style="26"/>
  </cols>
  <sheetData>
    <row r="1" spans="1:16" ht="164.25" customHeight="1" x14ac:dyDescent="0.25"/>
    <row r="2" spans="1:16" ht="23.25" customHeight="1" x14ac:dyDescent="0.25"/>
    <row r="3" spans="1:16" ht="20.25" x14ac:dyDescent="0.3">
      <c r="A3" s="64"/>
      <c r="B3" s="571" t="s">
        <v>348</v>
      </c>
      <c r="C3" s="571"/>
      <c r="D3" s="571"/>
      <c r="E3" s="571"/>
      <c r="F3" s="571"/>
      <c r="G3" s="571"/>
      <c r="H3" s="571"/>
      <c r="I3" s="571"/>
      <c r="J3" s="571"/>
      <c r="K3" s="571"/>
      <c r="L3" s="571"/>
      <c r="M3" s="571"/>
      <c r="N3" s="571"/>
      <c r="O3" s="571"/>
      <c r="P3" s="571"/>
    </row>
    <row r="4" spans="1:16" ht="18.75" customHeight="1" outlineLevel="1" x14ac:dyDescent="0.3">
      <c r="A4" s="64"/>
      <c r="B4" s="131"/>
      <c r="C4" s="236"/>
      <c r="D4" s="375"/>
      <c r="E4" s="236"/>
      <c r="F4" s="131"/>
      <c r="G4" s="131"/>
      <c r="H4" s="131"/>
      <c r="I4" s="131"/>
      <c r="J4" s="131"/>
      <c r="K4" s="131"/>
      <c r="L4" s="131"/>
      <c r="M4" s="131"/>
      <c r="N4" s="131"/>
      <c r="O4" s="131"/>
      <c r="P4" s="131"/>
    </row>
    <row r="5" spans="1:16" ht="15.75" outlineLevel="1" x14ac:dyDescent="0.25">
      <c r="A5" s="64"/>
      <c r="C5" s="373" t="s">
        <v>397</v>
      </c>
      <c r="D5" s="376" t="s">
        <v>411</v>
      </c>
      <c r="E5" s="307"/>
    </row>
    <row r="6" spans="1:16" ht="15.75" outlineLevel="1" x14ac:dyDescent="0.25">
      <c r="A6" s="64"/>
      <c r="C6" s="307"/>
      <c r="D6" s="376" t="s">
        <v>481</v>
      </c>
      <c r="E6" s="307"/>
    </row>
    <row r="7" spans="1:16" s="66" customFormat="1" ht="15" outlineLevel="1" x14ac:dyDescent="0.2">
      <c r="A7" s="130"/>
      <c r="B7" s="69"/>
      <c r="C7" s="70"/>
      <c r="D7" s="376" t="s">
        <v>349</v>
      </c>
      <c r="E7" s="377"/>
    </row>
    <row r="8" spans="1:16" ht="15.75" outlineLevel="1" x14ac:dyDescent="0.25">
      <c r="A8" s="64"/>
      <c r="C8" s="26"/>
      <c r="D8" s="171" t="s">
        <v>356</v>
      </c>
    </row>
    <row r="9" spans="1:16" s="66" customFormat="1" ht="15" outlineLevel="1" x14ac:dyDescent="0.2">
      <c r="A9" s="130"/>
      <c r="B9" s="69"/>
      <c r="C9" s="69"/>
      <c r="D9" s="171"/>
      <c r="E9" s="69"/>
    </row>
    <row r="10" spans="1:16" ht="15.75" outlineLevel="1" x14ac:dyDescent="0.25">
      <c r="A10" s="64"/>
      <c r="C10" s="25"/>
      <c r="D10" s="171" t="s">
        <v>354</v>
      </c>
    </row>
    <row r="11" spans="1:16" ht="15.75" outlineLevel="1" x14ac:dyDescent="0.25">
      <c r="A11" s="64"/>
      <c r="C11" s="25"/>
      <c r="D11" s="171" t="s">
        <v>355</v>
      </c>
    </row>
    <row r="12" spans="1:16" outlineLevel="1" x14ac:dyDescent="0.3">
      <c r="A12" s="64"/>
      <c r="C12" s="578" t="s">
        <v>334</v>
      </c>
      <c r="D12" s="170"/>
      <c r="E12" s="47"/>
    </row>
    <row r="13" spans="1:16" outlineLevel="1" x14ac:dyDescent="0.3">
      <c r="A13" s="64"/>
      <c r="C13" s="578"/>
      <c r="D13" s="588" t="s">
        <v>361</v>
      </c>
      <c r="E13" s="588"/>
    </row>
    <row r="14" spans="1:16" outlineLevel="1" x14ac:dyDescent="0.3">
      <c r="A14" s="64"/>
      <c r="C14" s="578"/>
      <c r="D14" s="589" t="s">
        <v>335</v>
      </c>
      <c r="E14" s="589"/>
    </row>
    <row r="15" spans="1:16" ht="15.75" outlineLevel="1" x14ac:dyDescent="0.25">
      <c r="A15" s="64"/>
      <c r="C15" s="84"/>
      <c r="D15" s="69"/>
      <c r="E15" s="47"/>
    </row>
    <row r="16" spans="1:16" ht="15.75" x14ac:dyDescent="0.25">
      <c r="A16" s="64"/>
      <c r="C16" s="84"/>
      <c r="D16" s="256"/>
      <c r="E16" s="47"/>
    </row>
    <row r="17" spans="1:17" ht="15.75" x14ac:dyDescent="0.25">
      <c r="B17" s="604" t="s">
        <v>350</v>
      </c>
      <c r="C17" s="604"/>
      <c r="D17" s="604"/>
      <c r="E17" s="604"/>
      <c r="F17" s="604"/>
      <c r="G17" s="604"/>
      <c r="H17" s="604"/>
      <c r="I17" s="604"/>
      <c r="J17" s="604"/>
      <c r="K17" s="604"/>
      <c r="L17" s="604"/>
      <c r="M17" s="604"/>
      <c r="N17" s="604"/>
      <c r="O17" s="604"/>
      <c r="P17" s="604"/>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3">
      <c r="A19" s="45"/>
      <c r="B19" s="591" t="s">
        <v>58</v>
      </c>
      <c r="C19" s="593" t="s">
        <v>0</v>
      </c>
      <c r="D19" s="593" t="s">
        <v>44</v>
      </c>
      <c r="E19" s="593" t="s">
        <v>203</v>
      </c>
      <c r="F19" s="274" t="s">
        <v>45</v>
      </c>
      <c r="G19" s="274" t="s">
        <v>200</v>
      </c>
      <c r="H19" s="601" t="s">
        <v>59</v>
      </c>
      <c r="I19" s="602"/>
      <c r="J19" s="602"/>
      <c r="K19" s="602"/>
      <c r="L19" s="602"/>
      <c r="M19" s="602"/>
      <c r="N19" s="602"/>
      <c r="O19" s="602"/>
      <c r="P19" s="603"/>
      <c r="Q19" s="4"/>
    </row>
    <row r="20" spans="1:17" s="27" customFormat="1" ht="43.5" customHeight="1" x14ac:dyDescent="0.3">
      <c r="A20" s="273"/>
      <c r="B20" s="592"/>
      <c r="C20" s="600"/>
      <c r="D20" s="600"/>
      <c r="E20" s="600"/>
      <c r="F20" s="217" t="s">
        <v>46</v>
      </c>
      <c r="G20" s="217" t="s">
        <v>47</v>
      </c>
      <c r="H20" s="217" t="s">
        <v>37</v>
      </c>
      <c r="I20" s="217" t="s">
        <v>503</v>
      </c>
      <c r="J20" s="217" t="s">
        <v>504</v>
      </c>
      <c r="K20" s="217" t="s">
        <v>505</v>
      </c>
      <c r="L20" s="217" t="s">
        <v>42</v>
      </c>
      <c r="M20" s="217" t="s">
        <v>40</v>
      </c>
      <c r="N20" s="217" t="s">
        <v>500</v>
      </c>
      <c r="O20" s="217" t="s">
        <v>105</v>
      </c>
      <c r="P20" s="275" t="str">
        <f>'1.  LRAMVA Summary'!K21</f>
        <v>Total</v>
      </c>
      <c r="Q20" s="4"/>
    </row>
    <row r="21" spans="1:17" s="21" customFormat="1" ht="21" customHeight="1" outlineLevel="1" x14ac:dyDescent="0.3">
      <c r="A21" s="606">
        <v>2011</v>
      </c>
      <c r="B21" s="250"/>
      <c r="C21" s="599" t="s">
        <v>1</v>
      </c>
      <c r="D21" s="599"/>
      <c r="E21" s="251"/>
      <c r="F21" s="252"/>
      <c r="G21" s="252"/>
      <c r="H21" s="252"/>
      <c r="I21" s="252"/>
      <c r="J21" s="252"/>
      <c r="K21" s="252"/>
      <c r="L21" s="252"/>
      <c r="M21" s="252"/>
      <c r="N21" s="252"/>
      <c r="O21" s="252"/>
      <c r="P21" s="253"/>
      <c r="Q21" s="142"/>
    </row>
    <row r="22" spans="1:17" s="27" customFormat="1" ht="14.4" outlineLevel="1" x14ac:dyDescent="0.3">
      <c r="A22" s="606"/>
      <c r="B22" s="276">
        <v>1</v>
      </c>
      <c r="C22" s="257" t="s">
        <v>2</v>
      </c>
      <c r="D22" s="255" t="s">
        <v>33</v>
      </c>
      <c r="E22" s="255"/>
      <c r="F22" s="300">
        <v>5.0830000000000002</v>
      </c>
      <c r="G22" s="300">
        <v>35188.552000000003</v>
      </c>
      <c r="H22" s="299">
        <v>1</v>
      </c>
      <c r="I22" s="298"/>
      <c r="J22" s="298"/>
      <c r="K22" s="298"/>
      <c r="L22" s="298"/>
      <c r="M22" s="298"/>
      <c r="N22" s="298"/>
      <c r="O22" s="298"/>
      <c r="P22" s="254">
        <f>SUM(H22:O22)</f>
        <v>1</v>
      </c>
      <c r="Q22" s="4"/>
    </row>
    <row r="23" spans="1:17" s="27" customFormat="1" ht="14.4" outlineLevel="1" x14ac:dyDescent="0.3">
      <c r="A23" s="606"/>
      <c r="B23" s="276">
        <v>2</v>
      </c>
      <c r="C23" s="257" t="s">
        <v>3</v>
      </c>
      <c r="D23" s="255" t="s">
        <v>33</v>
      </c>
      <c r="E23" s="255"/>
      <c r="F23" s="261">
        <v>0.77100000000000002</v>
      </c>
      <c r="G23" s="261">
        <v>985.59500000000003</v>
      </c>
      <c r="H23" s="299">
        <v>1</v>
      </c>
      <c r="I23" s="298"/>
      <c r="J23" s="298"/>
      <c r="K23" s="298"/>
      <c r="L23" s="298"/>
      <c r="M23" s="298"/>
      <c r="N23" s="298"/>
      <c r="O23" s="298"/>
      <c r="P23" s="254">
        <f t="shared" ref="P23:P33" si="0">SUM(H23:O23)</f>
        <v>1</v>
      </c>
      <c r="Q23" s="4"/>
    </row>
    <row r="24" spans="1:17" s="27" customFormat="1" ht="14.4" outlineLevel="1" x14ac:dyDescent="0.3">
      <c r="A24" s="606"/>
      <c r="B24" s="276">
        <v>3</v>
      </c>
      <c r="C24" s="257" t="s">
        <v>4</v>
      </c>
      <c r="D24" s="255" t="s">
        <v>33</v>
      </c>
      <c r="E24" s="255"/>
      <c r="F24" s="261">
        <v>43.573999999999998</v>
      </c>
      <c r="G24" s="261">
        <v>84048.247000000003</v>
      </c>
      <c r="H24" s="299">
        <v>1</v>
      </c>
      <c r="I24" s="298"/>
      <c r="J24" s="298"/>
      <c r="K24" s="298"/>
      <c r="L24" s="298"/>
      <c r="M24" s="298"/>
      <c r="N24" s="298"/>
      <c r="O24" s="298"/>
      <c r="P24" s="254">
        <f t="shared" si="0"/>
        <v>1</v>
      </c>
      <c r="Q24" s="4"/>
    </row>
    <row r="25" spans="1:17" s="27" customFormat="1" ht="14.4" outlineLevel="1" x14ac:dyDescent="0.3">
      <c r="A25" s="606"/>
      <c r="B25" s="276">
        <v>4</v>
      </c>
      <c r="C25" s="257" t="s">
        <v>5</v>
      </c>
      <c r="D25" s="255" t="s">
        <v>33</v>
      </c>
      <c r="E25" s="255"/>
      <c r="F25" s="261">
        <v>1.3</v>
      </c>
      <c r="G25" s="261">
        <v>21106.559000000001</v>
      </c>
      <c r="H25" s="299">
        <v>1</v>
      </c>
      <c r="I25" s="298"/>
      <c r="J25" s="298"/>
      <c r="K25" s="298"/>
      <c r="L25" s="298"/>
      <c r="M25" s="298"/>
      <c r="N25" s="298"/>
      <c r="O25" s="298"/>
      <c r="P25" s="254">
        <f t="shared" si="0"/>
        <v>1</v>
      </c>
      <c r="Q25" s="4"/>
    </row>
    <row r="26" spans="1:17" s="27" customFormat="1" ht="14.4" outlineLevel="1" x14ac:dyDescent="0.3">
      <c r="A26" s="606"/>
      <c r="B26" s="276">
        <v>5</v>
      </c>
      <c r="C26" s="257" t="s">
        <v>6</v>
      </c>
      <c r="D26" s="255" t="s">
        <v>33</v>
      </c>
      <c r="E26" s="255"/>
      <c r="F26" s="261">
        <v>1.899</v>
      </c>
      <c r="G26" s="261">
        <v>33184.904999999999</v>
      </c>
      <c r="H26" s="299">
        <v>1</v>
      </c>
      <c r="I26" s="298"/>
      <c r="J26" s="298"/>
      <c r="K26" s="298"/>
      <c r="L26" s="298"/>
      <c r="M26" s="298"/>
      <c r="N26" s="298"/>
      <c r="O26" s="298"/>
      <c r="P26" s="254">
        <f t="shared" si="0"/>
        <v>1</v>
      </c>
      <c r="Q26" s="4"/>
    </row>
    <row r="27" spans="1:17" s="27" customFormat="1" ht="14.4" outlineLevel="1" x14ac:dyDescent="0.3">
      <c r="A27" s="606"/>
      <c r="B27" s="276">
        <v>6</v>
      </c>
      <c r="C27" s="257" t="s">
        <v>7</v>
      </c>
      <c r="D27" s="255" t="s">
        <v>33</v>
      </c>
      <c r="E27" s="255"/>
      <c r="F27" s="261">
        <v>0</v>
      </c>
      <c r="G27" s="261">
        <v>0</v>
      </c>
      <c r="H27" s="299">
        <v>0</v>
      </c>
      <c r="I27" s="298"/>
      <c r="J27" s="298"/>
      <c r="K27" s="298"/>
      <c r="L27" s="298"/>
      <c r="M27" s="298"/>
      <c r="N27" s="298"/>
      <c r="O27" s="298"/>
      <c r="P27" s="254">
        <f t="shared" si="0"/>
        <v>0</v>
      </c>
      <c r="Q27" s="4"/>
    </row>
    <row r="28" spans="1:17" s="27" customFormat="1" ht="14.4" outlineLevel="1" x14ac:dyDescent="0.3">
      <c r="A28" s="606"/>
      <c r="B28" s="276">
        <v>7</v>
      </c>
      <c r="C28" s="257" t="s">
        <v>60</v>
      </c>
      <c r="D28" s="255" t="s">
        <v>33</v>
      </c>
      <c r="E28" s="255"/>
      <c r="F28" s="261">
        <v>0</v>
      </c>
      <c r="G28" s="261">
        <v>0</v>
      </c>
      <c r="H28" s="299">
        <v>0</v>
      </c>
      <c r="I28" s="298"/>
      <c r="J28" s="298"/>
      <c r="K28" s="298"/>
      <c r="L28" s="298"/>
      <c r="M28" s="298"/>
      <c r="N28" s="298"/>
      <c r="O28" s="298"/>
      <c r="P28" s="254">
        <f t="shared" si="0"/>
        <v>0</v>
      </c>
      <c r="Q28" s="4"/>
    </row>
    <row r="29" spans="1:17" s="27" customFormat="1" ht="14.4" outlineLevel="1" x14ac:dyDescent="0.3">
      <c r="A29" s="606"/>
      <c r="B29" s="276">
        <v>8</v>
      </c>
      <c r="C29" s="257" t="s">
        <v>8</v>
      </c>
      <c r="D29" s="255" t="s">
        <v>33</v>
      </c>
      <c r="E29" s="255"/>
      <c r="F29" s="261">
        <v>0</v>
      </c>
      <c r="G29" s="261">
        <v>0</v>
      </c>
      <c r="H29" s="299">
        <v>0</v>
      </c>
      <c r="I29" s="298"/>
      <c r="J29" s="298"/>
      <c r="K29" s="298"/>
      <c r="L29" s="298"/>
      <c r="M29" s="298"/>
      <c r="N29" s="298"/>
      <c r="O29" s="298"/>
      <c r="P29" s="254">
        <f t="shared" si="0"/>
        <v>0</v>
      </c>
      <c r="Q29" s="4"/>
    </row>
    <row r="30" spans="1:17" s="27" customFormat="1" ht="14.4" outlineLevel="1" x14ac:dyDescent="0.3">
      <c r="A30" s="606"/>
      <c r="B30" s="276"/>
      <c r="C30" s="506" t="s">
        <v>252</v>
      </c>
      <c r="D30" s="255" t="s">
        <v>251</v>
      </c>
      <c r="E30" s="255"/>
      <c r="F30" s="261"/>
      <c r="G30" s="261"/>
      <c r="H30" s="297"/>
      <c r="I30" s="298"/>
      <c r="J30" s="298"/>
      <c r="K30" s="298"/>
      <c r="L30" s="298"/>
      <c r="M30" s="298"/>
      <c r="N30" s="298"/>
      <c r="O30" s="298"/>
      <c r="P30" s="254">
        <f t="shared" si="0"/>
        <v>0</v>
      </c>
      <c r="Q30" s="4"/>
    </row>
    <row r="31" spans="1:17" s="27" customFormat="1" ht="14.4" outlineLevel="1" x14ac:dyDescent="0.3">
      <c r="A31" s="606"/>
      <c r="B31" s="276"/>
      <c r="C31" s="596" t="s">
        <v>4</v>
      </c>
      <c r="D31" s="596"/>
      <c r="E31" s="270"/>
      <c r="F31" s="261">
        <v>-7.351</v>
      </c>
      <c r="G31" s="261">
        <v>-13972.448</v>
      </c>
      <c r="H31" s="297">
        <v>1</v>
      </c>
      <c r="I31" s="298"/>
      <c r="J31" s="298"/>
      <c r="K31" s="298"/>
      <c r="L31" s="298"/>
      <c r="M31" s="298"/>
      <c r="N31" s="298"/>
      <c r="O31" s="298"/>
      <c r="P31" s="254">
        <f t="shared" si="0"/>
        <v>1</v>
      </c>
      <c r="Q31" s="4"/>
    </row>
    <row r="32" spans="1:17" s="27" customFormat="1" ht="14.4" outlineLevel="1" x14ac:dyDescent="0.3">
      <c r="A32" s="606"/>
      <c r="B32" s="276"/>
      <c r="C32" s="541" t="s">
        <v>518</v>
      </c>
      <c r="D32" s="541"/>
      <c r="E32" s="541"/>
      <c r="F32" s="301">
        <v>0</v>
      </c>
      <c r="G32" s="301">
        <v>311</v>
      </c>
      <c r="H32" s="297">
        <v>1</v>
      </c>
      <c r="I32" s="298"/>
      <c r="J32" s="298"/>
      <c r="K32" s="298"/>
      <c r="L32" s="298"/>
      <c r="M32" s="298"/>
      <c r="N32" s="298"/>
      <c r="O32" s="298"/>
      <c r="P32" s="254">
        <f t="shared" si="0"/>
        <v>1</v>
      </c>
      <c r="Q32" s="4"/>
    </row>
    <row r="33" spans="1:19" s="27" customFormat="1" ht="14.4" outlineLevel="1" x14ac:dyDescent="0.3">
      <c r="A33" s="606"/>
      <c r="B33" s="276"/>
      <c r="C33" s="596" t="s">
        <v>6</v>
      </c>
      <c r="D33" s="596"/>
      <c r="E33" s="270"/>
      <c r="F33" s="301">
        <v>0</v>
      </c>
      <c r="G33" s="301">
        <v>2466</v>
      </c>
      <c r="H33" s="297">
        <v>1</v>
      </c>
      <c r="I33" s="298"/>
      <c r="J33" s="298"/>
      <c r="K33" s="298"/>
      <c r="L33" s="298"/>
      <c r="M33" s="298"/>
      <c r="N33" s="298"/>
      <c r="O33" s="298"/>
      <c r="P33" s="254">
        <f t="shared" si="0"/>
        <v>1</v>
      </c>
      <c r="Q33" s="4"/>
    </row>
    <row r="34" spans="1:19" s="21" customFormat="1" ht="20.25" customHeight="1" outlineLevel="1" x14ac:dyDescent="0.3">
      <c r="A34" s="606"/>
      <c r="B34" s="250"/>
      <c r="C34" s="599" t="s">
        <v>9</v>
      </c>
      <c r="D34" s="599"/>
      <c r="E34" s="251"/>
      <c r="F34" s="252"/>
      <c r="G34" s="252"/>
      <c r="H34" s="252"/>
      <c r="I34" s="252"/>
      <c r="J34" s="252"/>
      <c r="K34" s="252"/>
      <c r="L34" s="252"/>
      <c r="M34" s="252"/>
      <c r="N34" s="252"/>
      <c r="O34" s="252"/>
      <c r="P34" s="253"/>
      <c r="Q34" s="142"/>
      <c r="R34" s="27"/>
      <c r="S34" s="27"/>
    </row>
    <row r="35" spans="1:19" s="27" customFormat="1" ht="14.4" outlineLevel="1" x14ac:dyDescent="0.3">
      <c r="A35" s="606"/>
      <c r="B35" s="151">
        <v>9</v>
      </c>
      <c r="C35" s="259" t="s">
        <v>26</v>
      </c>
      <c r="D35" s="255" t="s">
        <v>33</v>
      </c>
      <c r="E35" s="255">
        <v>12</v>
      </c>
      <c r="F35" s="300">
        <v>2.6680000000000001</v>
      </c>
      <c r="G35" s="300">
        <v>18910.988000000001</v>
      </c>
      <c r="H35" s="297"/>
      <c r="I35" s="299">
        <v>1</v>
      </c>
      <c r="J35" s="299"/>
      <c r="K35" s="299">
        <v>0</v>
      </c>
      <c r="L35" s="298"/>
      <c r="M35" s="298"/>
      <c r="N35" s="298"/>
      <c r="O35" s="298"/>
      <c r="P35" s="254">
        <f t="shared" ref="P35:P43" si="1">SUM(H35:O35)</f>
        <v>1</v>
      </c>
      <c r="Q35" s="4"/>
    </row>
    <row r="36" spans="1:19" s="27" customFormat="1" ht="14.4" outlineLevel="1" x14ac:dyDescent="0.3">
      <c r="A36" s="606"/>
      <c r="B36" s="151">
        <v>10</v>
      </c>
      <c r="C36" s="257" t="s">
        <v>24</v>
      </c>
      <c r="D36" s="255" t="s">
        <v>33</v>
      </c>
      <c r="E36" s="255">
        <v>12</v>
      </c>
      <c r="F36" s="261">
        <v>43.484999999999999</v>
      </c>
      <c r="G36" s="261">
        <v>117589.22100000001</v>
      </c>
      <c r="H36" s="297"/>
      <c r="I36" s="299">
        <v>1</v>
      </c>
      <c r="J36" s="299"/>
      <c r="K36" s="299">
        <v>0</v>
      </c>
      <c r="L36" s="298"/>
      <c r="M36" s="298"/>
      <c r="N36" s="298"/>
      <c r="O36" s="298"/>
      <c r="P36" s="254">
        <f t="shared" si="1"/>
        <v>1</v>
      </c>
      <c r="Q36" s="4"/>
    </row>
    <row r="37" spans="1:19" s="27" customFormat="1" ht="15" customHeight="1" outlineLevel="1" x14ac:dyDescent="0.3">
      <c r="A37" s="606"/>
      <c r="B37" s="151">
        <v>11</v>
      </c>
      <c r="C37" s="257" t="s">
        <v>27</v>
      </c>
      <c r="D37" s="255" t="s">
        <v>33</v>
      </c>
      <c r="E37" s="260">
        <v>3</v>
      </c>
      <c r="F37" s="261"/>
      <c r="G37" s="261"/>
      <c r="H37" s="297"/>
      <c r="I37" s="299">
        <v>0</v>
      </c>
      <c r="J37" s="299">
        <v>0</v>
      </c>
      <c r="K37" s="299">
        <v>0</v>
      </c>
      <c r="L37" s="298"/>
      <c r="M37" s="298"/>
      <c r="N37" s="298"/>
      <c r="O37" s="298"/>
      <c r="P37" s="254">
        <f t="shared" si="1"/>
        <v>0</v>
      </c>
      <c r="Q37" s="4"/>
    </row>
    <row r="38" spans="1:19" s="27" customFormat="1" ht="14.4" outlineLevel="1" x14ac:dyDescent="0.3">
      <c r="A38" s="606"/>
      <c r="B38" s="151">
        <v>12</v>
      </c>
      <c r="C38" s="257" t="s">
        <v>28</v>
      </c>
      <c r="D38" s="255" t="s">
        <v>33</v>
      </c>
      <c r="E38" s="255">
        <v>12</v>
      </c>
      <c r="F38" s="261"/>
      <c r="G38" s="261"/>
      <c r="H38" s="297"/>
      <c r="I38" s="299">
        <v>0</v>
      </c>
      <c r="J38" s="299">
        <v>0</v>
      </c>
      <c r="K38" s="299">
        <v>0</v>
      </c>
      <c r="L38" s="298"/>
      <c r="M38" s="298"/>
      <c r="N38" s="298"/>
      <c r="O38" s="298"/>
      <c r="P38" s="254">
        <f t="shared" si="1"/>
        <v>0</v>
      </c>
      <c r="Q38" s="4"/>
    </row>
    <row r="39" spans="1:19" s="27" customFormat="1" ht="14.4" outlineLevel="1" x14ac:dyDescent="0.3">
      <c r="A39" s="606"/>
      <c r="B39" s="151">
        <v>13</v>
      </c>
      <c r="C39" s="257" t="s">
        <v>23</v>
      </c>
      <c r="D39" s="255" t="s">
        <v>33</v>
      </c>
      <c r="E39" s="255">
        <v>12</v>
      </c>
      <c r="F39" s="261"/>
      <c r="G39" s="261"/>
      <c r="H39" s="297"/>
      <c r="I39" s="299">
        <v>0</v>
      </c>
      <c r="J39" s="299">
        <v>0</v>
      </c>
      <c r="K39" s="299">
        <v>0</v>
      </c>
      <c r="L39" s="298"/>
      <c r="M39" s="298"/>
      <c r="N39" s="298"/>
      <c r="O39" s="298"/>
      <c r="P39" s="254">
        <f t="shared" si="1"/>
        <v>0</v>
      </c>
      <c r="Q39" s="4"/>
    </row>
    <row r="40" spans="1:19" s="27" customFormat="1" ht="27.6" outlineLevel="1" x14ac:dyDescent="0.3">
      <c r="A40" s="606"/>
      <c r="B40" s="151">
        <v>14</v>
      </c>
      <c r="C40" s="257" t="s">
        <v>61</v>
      </c>
      <c r="D40" s="255" t="s">
        <v>33</v>
      </c>
      <c r="E40" s="255">
        <v>0</v>
      </c>
      <c r="F40" s="261"/>
      <c r="G40" s="261"/>
      <c r="H40" s="297"/>
      <c r="I40" s="299">
        <v>0</v>
      </c>
      <c r="J40" s="299">
        <v>0</v>
      </c>
      <c r="K40" s="299">
        <v>0</v>
      </c>
      <c r="L40" s="298"/>
      <c r="M40" s="298"/>
      <c r="N40" s="298"/>
      <c r="O40" s="298"/>
      <c r="P40" s="254">
        <f t="shared" si="1"/>
        <v>0</v>
      </c>
      <c r="Q40" s="4"/>
    </row>
    <row r="41" spans="1:19" s="27" customFormat="1" ht="14.4" outlineLevel="1" x14ac:dyDescent="0.3">
      <c r="A41" s="606"/>
      <c r="B41" s="276">
        <v>15</v>
      </c>
      <c r="C41" s="257" t="s">
        <v>10</v>
      </c>
      <c r="D41" s="255" t="s">
        <v>33</v>
      </c>
      <c r="E41" s="255">
        <v>0</v>
      </c>
      <c r="F41" s="261">
        <v>16</v>
      </c>
      <c r="G41" s="261">
        <v>622</v>
      </c>
      <c r="H41" s="297"/>
      <c r="I41" s="299">
        <v>0</v>
      </c>
      <c r="J41" s="299">
        <v>1</v>
      </c>
      <c r="K41" s="299">
        <v>0</v>
      </c>
      <c r="L41" s="298"/>
      <c r="M41" s="298"/>
      <c r="N41" s="298"/>
      <c r="O41" s="298"/>
      <c r="P41" s="254">
        <f t="shared" si="1"/>
        <v>1</v>
      </c>
      <c r="Q41" s="4"/>
    </row>
    <row r="42" spans="1:19" s="27" customFormat="1" ht="14.4" outlineLevel="1" x14ac:dyDescent="0.3">
      <c r="A42" s="606"/>
      <c r="B42" s="276"/>
      <c r="C42" s="258" t="s">
        <v>252</v>
      </c>
      <c r="D42" s="255" t="s">
        <v>251</v>
      </c>
      <c r="E42" s="255"/>
      <c r="F42" s="261"/>
      <c r="G42" s="261"/>
      <c r="H42" s="297"/>
      <c r="I42" s="298"/>
      <c r="J42" s="298"/>
      <c r="K42" s="298"/>
      <c r="L42" s="298"/>
      <c r="M42" s="298"/>
      <c r="N42" s="298"/>
      <c r="O42" s="298"/>
      <c r="P42" s="254">
        <f t="shared" si="1"/>
        <v>0</v>
      </c>
      <c r="Q42" s="4"/>
    </row>
    <row r="43" spans="1:19" s="27" customFormat="1" ht="14.4" outlineLevel="1" x14ac:dyDescent="0.3">
      <c r="A43" s="606"/>
      <c r="B43" s="276"/>
      <c r="C43" s="596" t="s">
        <v>26</v>
      </c>
      <c r="D43" s="596"/>
      <c r="E43" s="270"/>
      <c r="F43" s="261">
        <v>39.963999999999999</v>
      </c>
      <c r="G43" s="261">
        <v>280174.69300000003</v>
      </c>
      <c r="H43" s="297"/>
      <c r="I43" s="298">
        <v>1</v>
      </c>
      <c r="J43" s="298"/>
      <c r="K43" s="298"/>
      <c r="L43" s="298"/>
      <c r="M43" s="298"/>
      <c r="N43" s="298"/>
      <c r="O43" s="298"/>
      <c r="P43" s="254">
        <f t="shared" si="1"/>
        <v>1</v>
      </c>
      <c r="Q43" s="4"/>
    </row>
    <row r="44" spans="1:19" s="27" customFormat="1" ht="14.4" outlineLevel="1" x14ac:dyDescent="0.3">
      <c r="A44" s="606"/>
      <c r="B44" s="276"/>
      <c r="C44" s="596"/>
      <c r="D44" s="596"/>
      <c r="E44" s="270"/>
      <c r="F44" s="301"/>
      <c r="G44" s="301"/>
      <c r="H44" s="297"/>
      <c r="I44" s="298"/>
      <c r="J44" s="298"/>
      <c r="K44" s="298"/>
      <c r="L44" s="298"/>
      <c r="M44" s="298"/>
      <c r="N44" s="298"/>
      <c r="O44" s="298"/>
      <c r="P44" s="254"/>
      <c r="Q44" s="4"/>
    </row>
    <row r="45" spans="1:19" s="21" customFormat="1" ht="18" customHeight="1" outlineLevel="1" x14ac:dyDescent="0.3">
      <c r="A45" s="606"/>
      <c r="B45" s="250"/>
      <c r="C45" s="599" t="s">
        <v>11</v>
      </c>
      <c r="D45" s="599"/>
      <c r="E45" s="251"/>
      <c r="F45" s="252"/>
      <c r="G45" s="252"/>
      <c r="H45" s="252"/>
      <c r="I45" s="252"/>
      <c r="J45" s="252"/>
      <c r="K45" s="252"/>
      <c r="L45" s="252"/>
      <c r="M45" s="252"/>
      <c r="N45" s="252"/>
      <c r="O45" s="252"/>
      <c r="P45" s="253"/>
      <c r="Q45" s="142"/>
    </row>
    <row r="46" spans="1:19" s="27" customFormat="1" ht="14.4" outlineLevel="1" x14ac:dyDescent="0.3">
      <c r="A46" s="606"/>
      <c r="B46" s="151">
        <v>16</v>
      </c>
      <c r="C46" s="257" t="s">
        <v>12</v>
      </c>
      <c r="D46" s="255" t="s">
        <v>33</v>
      </c>
      <c r="E46" s="255">
        <v>12</v>
      </c>
      <c r="F46" s="300"/>
      <c r="G46" s="300"/>
      <c r="H46" s="297"/>
      <c r="I46" s="299">
        <v>0</v>
      </c>
      <c r="J46" s="299">
        <v>0</v>
      </c>
      <c r="K46" s="299">
        <v>0</v>
      </c>
      <c r="L46" s="298"/>
      <c r="M46" s="298"/>
      <c r="N46" s="298"/>
      <c r="O46" s="298"/>
      <c r="P46" s="254">
        <f t="shared" ref="P46:P50" si="2">SUM(H46:O46)</f>
        <v>0</v>
      </c>
      <c r="Q46" s="4"/>
    </row>
    <row r="47" spans="1:19" s="27" customFormat="1" ht="14.4" outlineLevel="1" x14ac:dyDescent="0.3">
      <c r="A47" s="606"/>
      <c r="B47" s="151">
        <v>17</v>
      </c>
      <c r="C47" s="257" t="s">
        <v>13</v>
      </c>
      <c r="D47" s="255" t="s">
        <v>33</v>
      </c>
      <c r="E47" s="255">
        <v>12</v>
      </c>
      <c r="F47" s="261"/>
      <c r="G47" s="261"/>
      <c r="H47" s="297"/>
      <c r="I47" s="299">
        <v>0</v>
      </c>
      <c r="J47" s="299">
        <v>0</v>
      </c>
      <c r="K47" s="299">
        <v>0</v>
      </c>
      <c r="L47" s="298"/>
      <c r="M47" s="298"/>
      <c r="N47" s="298"/>
      <c r="O47" s="298"/>
      <c r="P47" s="254">
        <f t="shared" si="2"/>
        <v>0</v>
      </c>
      <c r="Q47" s="4"/>
    </row>
    <row r="48" spans="1:19" s="27" customFormat="1" ht="14.4" outlineLevel="1" x14ac:dyDescent="0.3">
      <c r="A48" s="606"/>
      <c r="B48" s="151">
        <v>18</v>
      </c>
      <c r="C48" s="257" t="s">
        <v>14</v>
      </c>
      <c r="D48" s="255" t="s">
        <v>33</v>
      </c>
      <c r="E48" s="255">
        <v>12</v>
      </c>
      <c r="F48" s="261"/>
      <c r="G48" s="261"/>
      <c r="H48" s="297"/>
      <c r="I48" s="299">
        <v>0</v>
      </c>
      <c r="J48" s="299">
        <v>0</v>
      </c>
      <c r="K48" s="299">
        <v>0</v>
      </c>
      <c r="L48" s="298"/>
      <c r="M48" s="298"/>
      <c r="N48" s="298"/>
      <c r="O48" s="298"/>
      <c r="P48" s="254">
        <f t="shared" si="2"/>
        <v>0</v>
      </c>
      <c r="Q48" s="4"/>
    </row>
    <row r="49" spans="1:17" s="27" customFormat="1" ht="14.4" outlineLevel="1" x14ac:dyDescent="0.3">
      <c r="A49" s="606"/>
      <c r="B49" s="151">
        <v>19</v>
      </c>
      <c r="C49" s="259" t="s">
        <v>26</v>
      </c>
      <c r="D49" s="255" t="s">
        <v>33</v>
      </c>
      <c r="E49" s="255">
        <v>12</v>
      </c>
      <c r="F49" s="261"/>
      <c r="G49" s="261"/>
      <c r="H49" s="297"/>
      <c r="I49" s="299">
        <v>0</v>
      </c>
      <c r="J49" s="299">
        <v>0</v>
      </c>
      <c r="K49" s="299">
        <v>0</v>
      </c>
      <c r="L49" s="298"/>
      <c r="M49" s="298"/>
      <c r="N49" s="298"/>
      <c r="O49" s="298"/>
      <c r="P49" s="254">
        <f t="shared" si="2"/>
        <v>0</v>
      </c>
      <c r="Q49" s="4"/>
    </row>
    <row r="50" spans="1:17" s="27" customFormat="1" ht="14.4" outlineLevel="1" x14ac:dyDescent="0.3">
      <c r="A50" s="606"/>
      <c r="B50" s="151">
        <v>20</v>
      </c>
      <c r="C50" s="257" t="s">
        <v>10</v>
      </c>
      <c r="D50" s="255" t="s">
        <v>33</v>
      </c>
      <c r="E50" s="255">
        <v>0</v>
      </c>
      <c r="F50" s="261"/>
      <c r="G50" s="261"/>
      <c r="H50" s="297"/>
      <c r="I50" s="298"/>
      <c r="J50" s="298"/>
      <c r="K50" s="298"/>
      <c r="L50" s="298"/>
      <c r="M50" s="298"/>
      <c r="N50" s="298"/>
      <c r="O50" s="298"/>
      <c r="P50" s="254">
        <f t="shared" si="2"/>
        <v>0</v>
      </c>
      <c r="Q50" s="4"/>
    </row>
    <row r="51" spans="1:17" s="27" customFormat="1" ht="14.4" outlineLevel="1" x14ac:dyDescent="0.3">
      <c r="A51" s="606"/>
      <c r="B51" s="151"/>
      <c r="C51" s="258" t="s">
        <v>252</v>
      </c>
      <c r="D51" s="255" t="s">
        <v>251</v>
      </c>
      <c r="E51" s="255"/>
      <c r="F51" s="261"/>
      <c r="G51" s="261"/>
      <c r="H51" s="297"/>
      <c r="I51" s="298"/>
      <c r="J51" s="298"/>
      <c r="K51" s="298"/>
      <c r="L51" s="298"/>
      <c r="M51" s="298"/>
      <c r="N51" s="298"/>
      <c r="O51" s="298"/>
      <c r="P51" s="254"/>
      <c r="Q51" s="4"/>
    </row>
    <row r="52" spans="1:17" s="27" customFormat="1" ht="14.4" outlineLevel="1" x14ac:dyDescent="0.3">
      <c r="A52" s="606"/>
      <c r="B52" s="151"/>
      <c r="C52" s="596"/>
      <c r="D52" s="596"/>
      <c r="E52" s="270"/>
      <c r="F52" s="261"/>
      <c r="G52" s="261"/>
      <c r="H52" s="297"/>
      <c r="I52" s="298"/>
      <c r="J52" s="298"/>
      <c r="K52" s="298"/>
      <c r="L52" s="298"/>
      <c r="M52" s="298"/>
      <c r="N52" s="298"/>
      <c r="O52" s="298"/>
      <c r="P52" s="254"/>
      <c r="Q52" s="4"/>
    </row>
    <row r="53" spans="1:17" s="27" customFormat="1" ht="14.4" outlineLevel="1" x14ac:dyDescent="0.3">
      <c r="A53" s="606"/>
      <c r="B53" s="151"/>
      <c r="C53" s="596"/>
      <c r="D53" s="596"/>
      <c r="E53" s="270"/>
      <c r="F53" s="301"/>
      <c r="G53" s="301"/>
      <c r="H53" s="297"/>
      <c r="I53" s="298"/>
      <c r="J53" s="298"/>
      <c r="K53" s="298"/>
      <c r="L53" s="298"/>
      <c r="M53" s="298"/>
      <c r="N53" s="298"/>
      <c r="O53" s="298"/>
      <c r="P53" s="254"/>
      <c r="Q53" s="4"/>
    </row>
    <row r="54" spans="1:17" s="21" customFormat="1" ht="20.25" customHeight="1" outlineLevel="1" x14ac:dyDescent="0.3">
      <c r="A54" s="606"/>
      <c r="B54" s="250"/>
      <c r="C54" s="599" t="s">
        <v>15</v>
      </c>
      <c r="D54" s="599"/>
      <c r="E54" s="251"/>
      <c r="F54" s="252"/>
      <c r="G54" s="252"/>
      <c r="H54" s="252"/>
      <c r="I54" s="252"/>
      <c r="J54" s="252"/>
      <c r="K54" s="252"/>
      <c r="L54" s="252"/>
      <c r="M54" s="252"/>
      <c r="N54" s="252"/>
      <c r="O54" s="252"/>
      <c r="P54" s="253"/>
      <c r="Q54" s="142"/>
    </row>
    <row r="55" spans="1:17" s="27" customFormat="1" ht="14.4" outlineLevel="1" x14ac:dyDescent="0.3">
      <c r="A55" s="606"/>
      <c r="B55" s="276">
        <v>21</v>
      </c>
      <c r="C55" s="257" t="s">
        <v>15</v>
      </c>
      <c r="D55" s="255" t="s">
        <v>33</v>
      </c>
      <c r="E55" s="255"/>
      <c r="F55" s="300"/>
      <c r="G55" s="300"/>
      <c r="H55" s="299">
        <v>0</v>
      </c>
      <c r="I55" s="298"/>
      <c r="J55" s="298"/>
      <c r="K55" s="298"/>
      <c r="L55" s="298"/>
      <c r="M55" s="298"/>
      <c r="N55" s="298"/>
      <c r="O55" s="298"/>
      <c r="P55" s="254">
        <f t="shared" ref="P55" si="3">SUM(H55:O55)</f>
        <v>0</v>
      </c>
      <c r="Q55" s="4"/>
    </row>
    <row r="56" spans="1:17" s="27" customFormat="1" ht="14.4" outlineLevel="1" x14ac:dyDescent="0.3">
      <c r="A56" s="606"/>
      <c r="B56" s="276"/>
      <c r="C56" s="258" t="s">
        <v>252</v>
      </c>
      <c r="D56" s="255" t="s">
        <v>251</v>
      </c>
      <c r="E56" s="255"/>
      <c r="F56" s="261"/>
      <c r="G56" s="261"/>
      <c r="H56" s="297"/>
      <c r="I56" s="298"/>
      <c r="J56" s="298"/>
      <c r="K56" s="298"/>
      <c r="L56" s="298"/>
      <c r="M56" s="298"/>
      <c r="N56" s="298"/>
      <c r="O56" s="298"/>
      <c r="P56" s="254"/>
      <c r="Q56" s="4"/>
    </row>
    <row r="57" spans="1:17" s="27" customFormat="1" ht="14.4" outlineLevel="1" x14ac:dyDescent="0.3">
      <c r="A57" s="606"/>
      <c r="B57" s="276"/>
      <c r="C57" s="596"/>
      <c r="D57" s="596"/>
      <c r="E57" s="270"/>
      <c r="F57" s="261"/>
      <c r="G57" s="261"/>
      <c r="H57" s="297"/>
      <c r="I57" s="298"/>
      <c r="J57" s="298"/>
      <c r="K57" s="298"/>
      <c r="L57" s="298"/>
      <c r="M57" s="298"/>
      <c r="N57" s="298"/>
      <c r="O57" s="298"/>
      <c r="P57" s="254"/>
      <c r="Q57" s="4"/>
    </row>
    <row r="58" spans="1:17" s="27" customFormat="1" ht="14.4" outlineLevel="1" x14ac:dyDescent="0.3">
      <c r="A58" s="606"/>
      <c r="B58" s="276"/>
      <c r="C58" s="596"/>
      <c r="D58" s="596"/>
      <c r="E58" s="270"/>
      <c r="F58" s="301"/>
      <c r="G58" s="301"/>
      <c r="H58" s="297"/>
      <c r="I58" s="298"/>
      <c r="J58" s="298"/>
      <c r="K58" s="298"/>
      <c r="L58" s="298"/>
      <c r="M58" s="298"/>
      <c r="N58" s="298"/>
      <c r="O58" s="298"/>
      <c r="P58" s="254"/>
      <c r="Q58" s="4"/>
    </row>
    <row r="59" spans="1:17" s="21" customFormat="1" ht="18.75" customHeight="1" outlineLevel="1" x14ac:dyDescent="0.3">
      <c r="A59" s="606"/>
      <c r="B59" s="250"/>
      <c r="C59" s="599" t="s">
        <v>16</v>
      </c>
      <c r="D59" s="599"/>
      <c r="E59" s="251"/>
      <c r="F59" s="252"/>
      <c r="G59" s="252"/>
      <c r="H59" s="252"/>
      <c r="I59" s="252"/>
      <c r="J59" s="252"/>
      <c r="K59" s="252"/>
      <c r="L59" s="252"/>
      <c r="M59" s="252"/>
      <c r="N59" s="252"/>
      <c r="O59" s="252"/>
      <c r="P59" s="253"/>
      <c r="Q59" s="142"/>
    </row>
    <row r="60" spans="1:17" s="27" customFormat="1" ht="14.4" outlineLevel="1" x14ac:dyDescent="0.3">
      <c r="A60" s="606"/>
      <c r="B60" s="276">
        <v>22</v>
      </c>
      <c r="C60" s="257" t="s">
        <v>17</v>
      </c>
      <c r="D60" s="255" t="s">
        <v>33</v>
      </c>
      <c r="E60" s="255"/>
      <c r="F60" s="300">
        <v>114.681</v>
      </c>
      <c r="G60" s="300">
        <v>662465.43999999994</v>
      </c>
      <c r="H60" s="297"/>
      <c r="I60" s="298"/>
      <c r="J60" s="299">
        <v>0.97</v>
      </c>
      <c r="K60" s="299">
        <v>0.03</v>
      </c>
      <c r="L60" s="298"/>
      <c r="M60" s="298"/>
      <c r="N60" s="298"/>
      <c r="O60" s="298"/>
      <c r="P60" s="254">
        <f t="shared" ref="P60:P63" si="4">SUM(H60:O60)</f>
        <v>1</v>
      </c>
      <c r="Q60" s="4"/>
    </row>
    <row r="61" spans="1:17" s="27" customFormat="1" ht="14.4" outlineLevel="1" x14ac:dyDescent="0.3">
      <c r="A61" s="606"/>
      <c r="B61" s="276">
        <v>23</v>
      </c>
      <c r="C61" s="257" t="s">
        <v>18</v>
      </c>
      <c r="D61" s="255" t="s">
        <v>33</v>
      </c>
      <c r="E61" s="255"/>
      <c r="F61" s="261">
        <v>9.2999999999999999E-2</v>
      </c>
      <c r="G61" s="261">
        <v>475.38900000000001</v>
      </c>
      <c r="H61" s="297"/>
      <c r="I61" s="298">
        <v>1</v>
      </c>
      <c r="J61" s="299">
        <v>0</v>
      </c>
      <c r="K61" s="299">
        <v>0</v>
      </c>
      <c r="L61" s="298"/>
      <c r="M61" s="298"/>
      <c r="N61" s="298"/>
      <c r="O61" s="298"/>
      <c r="P61" s="254">
        <f t="shared" si="4"/>
        <v>1</v>
      </c>
      <c r="Q61" s="4"/>
    </row>
    <row r="62" spans="1:17" s="27" customFormat="1" ht="14.4" outlineLevel="1" x14ac:dyDescent="0.3">
      <c r="A62" s="606"/>
      <c r="B62" s="276">
        <v>24</v>
      </c>
      <c r="C62" s="257" t="s">
        <v>19</v>
      </c>
      <c r="D62" s="255" t="s">
        <v>33</v>
      </c>
      <c r="E62" s="255"/>
      <c r="F62" s="261"/>
      <c r="G62" s="261"/>
      <c r="H62" s="297"/>
      <c r="I62" s="298"/>
      <c r="J62" s="299">
        <v>0</v>
      </c>
      <c r="K62" s="299">
        <v>0</v>
      </c>
      <c r="L62" s="298"/>
      <c r="M62" s="298"/>
      <c r="N62" s="298"/>
      <c r="O62" s="298"/>
      <c r="P62" s="254">
        <f t="shared" si="4"/>
        <v>0</v>
      </c>
      <c r="Q62" s="4"/>
    </row>
    <row r="63" spans="1:17" s="27" customFormat="1" ht="14.4" outlineLevel="1" x14ac:dyDescent="0.3">
      <c r="A63" s="606"/>
      <c r="B63" s="276">
        <v>25</v>
      </c>
      <c r="C63" s="257" t="s">
        <v>20</v>
      </c>
      <c r="D63" s="255" t="s">
        <v>33</v>
      </c>
      <c r="E63" s="255"/>
      <c r="F63" s="261"/>
      <c r="G63" s="261"/>
      <c r="H63" s="297"/>
      <c r="I63" s="298"/>
      <c r="J63" s="299">
        <v>0</v>
      </c>
      <c r="K63" s="299">
        <v>0</v>
      </c>
      <c r="L63" s="298"/>
      <c r="M63" s="298"/>
      <c r="N63" s="298"/>
      <c r="O63" s="298"/>
      <c r="P63" s="254">
        <f t="shared" si="4"/>
        <v>0</v>
      </c>
      <c r="Q63" s="4"/>
    </row>
    <row r="64" spans="1:17" s="27" customFormat="1" ht="14.4" outlineLevel="1" x14ac:dyDescent="0.3">
      <c r="A64" s="606"/>
      <c r="B64" s="276"/>
      <c r="C64" s="258" t="s">
        <v>252</v>
      </c>
      <c r="D64" s="255" t="s">
        <v>251</v>
      </c>
      <c r="E64" s="255"/>
      <c r="F64" s="261"/>
      <c r="G64" s="261"/>
      <c r="H64" s="297"/>
      <c r="I64" s="298"/>
      <c r="J64" s="299"/>
      <c r="K64" s="299"/>
      <c r="L64" s="298"/>
      <c r="M64" s="298"/>
      <c r="N64" s="298"/>
      <c r="O64" s="298"/>
      <c r="P64" s="254"/>
      <c r="Q64" s="4"/>
    </row>
    <row r="65" spans="1:17" s="27" customFormat="1" ht="14.4" outlineLevel="1" x14ac:dyDescent="0.3">
      <c r="A65" s="606"/>
      <c r="B65" s="276"/>
      <c r="C65" s="596"/>
      <c r="D65" s="596"/>
      <c r="E65" s="270"/>
      <c r="F65" s="261"/>
      <c r="G65" s="261"/>
      <c r="H65" s="297"/>
      <c r="I65" s="298"/>
      <c r="J65" s="298"/>
      <c r="K65" s="298"/>
      <c r="L65" s="298"/>
      <c r="M65" s="298"/>
      <c r="N65" s="298"/>
      <c r="O65" s="298"/>
      <c r="P65" s="254"/>
      <c r="Q65" s="4"/>
    </row>
    <row r="66" spans="1:17" s="27" customFormat="1" ht="14.4" outlineLevel="1" x14ac:dyDescent="0.3">
      <c r="A66" s="606"/>
      <c r="B66" s="276"/>
      <c r="C66" s="596"/>
      <c r="D66" s="596"/>
      <c r="E66" s="270"/>
      <c r="F66" s="261"/>
      <c r="G66" s="261"/>
      <c r="H66" s="297"/>
      <c r="I66" s="298"/>
      <c r="J66" s="298"/>
      <c r="K66" s="298"/>
      <c r="L66" s="298"/>
      <c r="M66" s="298"/>
      <c r="N66" s="298"/>
      <c r="O66" s="298"/>
      <c r="P66" s="254"/>
      <c r="Q66" s="4"/>
    </row>
    <row r="67" spans="1:17" s="27" customFormat="1" ht="14.4" outlineLevel="1" x14ac:dyDescent="0.3">
      <c r="A67" s="606"/>
      <c r="B67" s="276"/>
      <c r="C67" s="609"/>
      <c r="D67" s="609"/>
      <c r="E67" s="356"/>
      <c r="F67" s="301"/>
      <c r="G67" s="301"/>
      <c r="H67" s="297"/>
      <c r="I67" s="298"/>
      <c r="J67" s="298"/>
      <c r="K67" s="298"/>
      <c r="L67" s="298"/>
      <c r="M67" s="298"/>
      <c r="N67" s="298"/>
      <c r="O67" s="298"/>
      <c r="P67" s="254"/>
      <c r="Q67" s="4"/>
    </row>
    <row r="68" spans="1:17" s="27" customFormat="1" ht="13.8" x14ac:dyDescent="0.3">
      <c r="A68" s="606"/>
      <c r="B68" s="357"/>
      <c r="C68" s="595" t="s">
        <v>219</v>
      </c>
      <c r="D68" s="595"/>
      <c r="E68" s="358"/>
      <c r="F68" s="359"/>
      <c r="G68" s="359"/>
      <c r="H68" s="360">
        <f>SUM(G22*H22,G23*H23,G24*H24,G25*H25,G26*H26,G27*H27,G29*H29,G55*H55,G28*H28,G31*H31,G32*H32,G33*H33)</f>
        <v>163318.41</v>
      </c>
      <c r="I68" s="360">
        <f>SUM(G35*I35,G36*I36,G40*I40,G41*I41,G37*I37,G38*I38,G39*I39,G43*I43)</f>
        <v>416674.902</v>
      </c>
      <c r="J68" s="361"/>
      <c r="K68" s="358"/>
      <c r="L68" s="358"/>
      <c r="M68" s="358"/>
      <c r="N68" s="360"/>
      <c r="O68" s="358"/>
      <c r="P68" s="362">
        <f>SUM(H68:O68)</f>
        <v>579993.31200000003</v>
      </c>
      <c r="Q68" s="4"/>
    </row>
    <row r="69" spans="1:17" s="27" customFormat="1" ht="13.8" x14ac:dyDescent="0.3">
      <c r="A69" s="606"/>
      <c r="B69" s="499"/>
      <c r="C69" s="500" t="s">
        <v>499</v>
      </c>
      <c r="D69" s="500"/>
      <c r="E69" s="501"/>
      <c r="F69" s="502"/>
      <c r="G69" s="502"/>
      <c r="H69" s="503">
        <f>H68-(G28*H28)</f>
        <v>163318.41</v>
      </c>
      <c r="I69" s="503">
        <f>I68-SUM(G40*I40,G41*I41)</f>
        <v>416674.902</v>
      </c>
      <c r="J69" s="504"/>
      <c r="K69" s="501"/>
      <c r="L69" s="501"/>
      <c r="M69" s="501"/>
      <c r="N69" s="501"/>
      <c r="O69" s="501"/>
      <c r="P69" s="505"/>
      <c r="Q69" s="4"/>
    </row>
    <row r="70" spans="1:17" s="27" customFormat="1" ht="13.8" x14ac:dyDescent="0.3">
      <c r="A70" s="606"/>
      <c r="B70" s="277"/>
      <c r="C70" s="596" t="s">
        <v>316</v>
      </c>
      <c r="D70" s="596"/>
      <c r="E70" s="271"/>
      <c r="F70" s="269"/>
      <c r="G70" s="269"/>
      <c r="H70" s="271"/>
      <c r="I70" s="271"/>
      <c r="J70" s="272">
        <f>SUM($E$35*$F$35*J35,$E$36*$F$36*J36,$E$37*$F$37*J37,$E$38*$F$38*J38,$E$39*$F$39*J39,$E$46*$F$46*J46,$E$47*$F$47*J47,$E$48*$F$48*J48,$E$49*$F$49*J49,$F$60*J60,$F$61*J61,$F$62*J62,$F$63*J63,$F$41*J41,$F$43*J43)</f>
        <v>127.24056999999999</v>
      </c>
      <c r="K70" s="272">
        <f>SUM($E$35*$F$35*K35,$E$36*$F$36*K36,$E$37*$F$37*K37,$E$38*$F$38*K38,$E$39*$F$39*K39,$E$46*$F$46*K46,$E$47*$F$47*K47,$E$48*$F$48*K48,$E$49*$F$49*K49,$F$60*K60,$F$61*K61,$F$62*K62,$F$63*K63)</f>
        <v>3.4404299999999997</v>
      </c>
      <c r="L70" s="272"/>
      <c r="M70" s="272"/>
      <c r="N70" s="271"/>
      <c r="O70" s="271"/>
      <c r="P70" s="278">
        <f>SUM(H70:O70)</f>
        <v>130.68099999999998</v>
      </c>
      <c r="Q70" s="4"/>
    </row>
    <row r="71" spans="1:17" s="27" customFormat="1" ht="13.8" x14ac:dyDescent="0.3">
      <c r="A71" s="606"/>
      <c r="B71" s="277"/>
      <c r="C71" s="596" t="s">
        <v>495</v>
      </c>
      <c r="D71" s="596"/>
      <c r="E71" s="271"/>
      <c r="F71" s="269"/>
      <c r="G71" s="269"/>
      <c r="H71" s="271"/>
      <c r="I71" s="271"/>
      <c r="J71" s="272">
        <f>J70-($E$37*$F$37*J37)</f>
        <v>127.24056999999999</v>
      </c>
      <c r="K71" s="272">
        <f>K70-($E$37*$F$37*K37)</f>
        <v>3.4404299999999997</v>
      </c>
      <c r="L71" s="271"/>
      <c r="M71" s="271"/>
      <c r="N71" s="271"/>
      <c r="O71" s="271"/>
      <c r="P71" s="278"/>
      <c r="Q71" s="4"/>
    </row>
    <row r="72" spans="1:17" s="27" customFormat="1" ht="13.8" x14ac:dyDescent="0.3">
      <c r="A72" s="606"/>
      <c r="B72" s="279"/>
      <c r="C72" s="597"/>
      <c r="D72" s="597"/>
      <c r="E72" s="264"/>
      <c r="F72" s="262"/>
      <c r="G72" s="262"/>
      <c r="H72" s="262"/>
      <c r="I72" s="262"/>
      <c r="J72" s="262"/>
      <c r="K72" s="264"/>
      <c r="L72" s="264"/>
      <c r="M72" s="264"/>
      <c r="N72" s="264"/>
      <c r="O72" s="264"/>
      <c r="P72" s="280"/>
      <c r="Q72" s="4"/>
    </row>
    <row r="73" spans="1:17" s="6" customFormat="1" ht="13.8" x14ac:dyDescent="0.3">
      <c r="A73" s="606"/>
      <c r="B73" s="279"/>
      <c r="C73" s="598" t="s">
        <v>318</v>
      </c>
      <c r="D73" s="598"/>
      <c r="E73" s="255"/>
      <c r="F73" s="266"/>
      <c r="G73" s="255"/>
      <c r="H73" s="267">
        <f>'3.  Distribution Rates'!E33</f>
        <v>1.2766666666666667E-2</v>
      </c>
      <c r="I73" s="267">
        <f>'3.  Distribution Rates'!E34</f>
        <v>1.5966666666666667E-2</v>
      </c>
      <c r="J73" s="267">
        <f>'3.  Distribution Rates'!E35</f>
        <v>2.9517000000000002</v>
      </c>
      <c r="K73" s="267">
        <f>'3.  Distribution Rates'!E36</f>
        <v>2.4588666666666668</v>
      </c>
      <c r="L73" s="267">
        <f>'3.  Distribution Rates'!E37</f>
        <v>2.4133333333333336E-2</v>
      </c>
      <c r="M73" s="267">
        <f>'3.  Distribution Rates'!E38</f>
        <v>10.961366666666668</v>
      </c>
      <c r="N73" s="267">
        <f>'3.  Distribution Rates'!E39</f>
        <v>19.583600000000001</v>
      </c>
      <c r="O73" s="267"/>
      <c r="P73" s="281"/>
      <c r="Q73" s="143"/>
    </row>
    <row r="74" spans="1:17" s="27" customFormat="1" ht="13.8" x14ac:dyDescent="0.3">
      <c r="A74" s="606"/>
      <c r="B74" s="279"/>
      <c r="C74" s="597" t="s">
        <v>62</v>
      </c>
      <c r="D74" s="597"/>
      <c r="E74" s="264"/>
      <c r="F74" s="266"/>
      <c r="G74" s="255"/>
      <c r="H74" s="268">
        <f>H68*H73</f>
        <v>2085.0317010000003</v>
      </c>
      <c r="I74" s="268">
        <f>I68*I73</f>
        <v>6652.9092686000004</v>
      </c>
      <c r="J74" s="268">
        <f>J70*J73</f>
        <v>375.57599046899998</v>
      </c>
      <c r="K74" s="268">
        <f>K70*K73</f>
        <v>8.4595586459999996</v>
      </c>
      <c r="L74" s="268">
        <f>L70*L73</f>
        <v>0</v>
      </c>
      <c r="M74" s="268">
        <f>M70*M73</f>
        <v>0</v>
      </c>
      <c r="N74" s="268">
        <f>N68*N73</f>
        <v>0</v>
      </c>
      <c r="O74" s="264"/>
      <c r="P74" s="282">
        <f>SUM(H74:O74)</f>
        <v>9121.9765187150006</v>
      </c>
      <c r="Q74" s="4"/>
    </row>
    <row r="75" spans="1:17" s="27" customFormat="1" ht="13.8" x14ac:dyDescent="0.3">
      <c r="A75" s="606"/>
      <c r="B75" s="279"/>
      <c r="C75" s="598" t="s">
        <v>63</v>
      </c>
      <c r="D75" s="598"/>
      <c r="E75" s="264"/>
      <c r="F75" s="262"/>
      <c r="G75" s="262"/>
      <c r="H75" s="255">
        <f>H69*'6.  Persistence Rates'!$E$25</f>
        <v>163150.90393846153</v>
      </c>
      <c r="I75" s="255">
        <f>I69*'6.  Persistence Rates'!$E$25</f>
        <v>416247.54312615382</v>
      </c>
      <c r="J75" s="255">
        <f>J71*'6.  Persistence Rates'!Q25</f>
        <v>118.90603484716156</v>
      </c>
      <c r="K75" s="264">
        <f>K71*'6.  Persistence Rates'!Q25</f>
        <v>3.2150743231441044</v>
      </c>
      <c r="L75" s="264">
        <f>L70*'6.  Persistence Rates'!Q25</f>
        <v>0</v>
      </c>
      <c r="M75" s="264">
        <f>M70*'6.  Persistence Rates'!Q25</f>
        <v>0</v>
      </c>
      <c r="N75" s="264">
        <f>N68*'6.  Persistence Rates'!E25</f>
        <v>0</v>
      </c>
      <c r="O75" s="264"/>
      <c r="P75" s="280"/>
      <c r="Q75" s="4"/>
    </row>
    <row r="76" spans="1:17" s="27" customFormat="1" ht="13.8" x14ac:dyDescent="0.3">
      <c r="A76" s="606"/>
      <c r="B76" s="279"/>
      <c r="C76" s="598" t="s">
        <v>64</v>
      </c>
      <c r="D76" s="598"/>
      <c r="E76" s="264"/>
      <c r="F76" s="262"/>
      <c r="G76" s="262"/>
      <c r="H76" s="255">
        <f>H69*'6.  Persistence Rates'!$F$25</f>
        <v>163150.90393846153</v>
      </c>
      <c r="I76" s="255">
        <f>I69*'6.  Persistence Rates'!$F$25</f>
        <v>416247.54312615382</v>
      </c>
      <c r="J76" s="255">
        <f>J71*'6.  Persistence Rates'!R25</f>
        <v>118.90603484716156</v>
      </c>
      <c r="K76" s="264">
        <f>K71*'6.  Persistence Rates'!R25</f>
        <v>3.2150743231441044</v>
      </c>
      <c r="L76" s="264">
        <f>L70*'6.  Persistence Rates'!R25</f>
        <v>0</v>
      </c>
      <c r="M76" s="264">
        <f>M70*'6.  Persistence Rates'!R25</f>
        <v>0</v>
      </c>
      <c r="N76" s="264">
        <f>N68*'6.  Persistence Rates'!F25</f>
        <v>0</v>
      </c>
      <c r="O76" s="264"/>
      <c r="P76" s="280"/>
      <c r="Q76" s="4"/>
    </row>
    <row r="77" spans="1:17" s="27" customFormat="1" ht="13.8" x14ac:dyDescent="0.3">
      <c r="A77" s="606"/>
      <c r="B77" s="279"/>
      <c r="C77" s="598" t="s">
        <v>65</v>
      </c>
      <c r="D77" s="598"/>
      <c r="E77" s="264"/>
      <c r="F77" s="262"/>
      <c r="G77" s="262"/>
      <c r="H77" s="255">
        <f>$H$69*'6.  Persistence Rates'!$G$25</f>
        <v>157958.21603076922</v>
      </c>
      <c r="I77" s="255">
        <f>$I$69*'6.  Persistence Rates'!$G$25</f>
        <v>402999.41803692305</v>
      </c>
      <c r="J77" s="255">
        <f>$J$71*'6.  Persistence Rates'!$S$25</f>
        <v>112.79404240174672</v>
      </c>
      <c r="K77" s="264">
        <f>$K$71*'6.  Persistence Rates'!$S$25</f>
        <v>3.0498134934497818</v>
      </c>
      <c r="L77" s="264">
        <f>$L$70*'6.  Persistence Rates'!$S$25</f>
        <v>0</v>
      </c>
      <c r="M77" s="264">
        <f>$M$70*'6.  Persistence Rates'!$S$25</f>
        <v>0</v>
      </c>
      <c r="N77" s="264">
        <f>$N$68*'6.  Persistence Rates'!$G$25</f>
        <v>0</v>
      </c>
      <c r="O77" s="264"/>
      <c r="P77" s="280"/>
      <c r="Q77" s="4"/>
    </row>
    <row r="78" spans="1:17" s="27" customFormat="1" ht="13.8" x14ac:dyDescent="0.3">
      <c r="A78" s="249"/>
      <c r="B78" s="279"/>
      <c r="C78" s="521" t="s">
        <v>413</v>
      </c>
      <c r="D78" s="521"/>
      <c r="E78" s="264"/>
      <c r="F78" s="262"/>
      <c r="G78" s="262"/>
      <c r="H78" s="255">
        <f>$H$69*'6.  Persistence Rates'!$H$25</f>
        <v>0</v>
      </c>
      <c r="I78" s="255">
        <f>$I$69*'6.  Persistence Rates'!$H$25</f>
        <v>0</v>
      </c>
      <c r="J78" s="255">
        <f>$J$71*'6.  Persistence Rates'!$T$25</f>
        <v>0</v>
      </c>
      <c r="K78" s="255">
        <f>$K$71*'6.  Persistence Rates'!$T$25</f>
        <v>0</v>
      </c>
      <c r="L78" s="255">
        <f>$L$70*'6.  Persistence Rates'!$T$25</f>
        <v>0</v>
      </c>
      <c r="M78" s="255">
        <f>$M$70*'6.  Persistence Rates'!$T$25</f>
        <v>0</v>
      </c>
      <c r="N78" s="255">
        <f>$N$68*'6.  Persistence Rates'!$H$25</f>
        <v>0</v>
      </c>
      <c r="O78" s="264"/>
      <c r="P78" s="280"/>
      <c r="Q78" s="4"/>
    </row>
    <row r="79" spans="1:17" s="27" customFormat="1" ht="13.8" x14ac:dyDescent="0.3">
      <c r="A79" s="249"/>
      <c r="B79" s="279"/>
      <c r="C79" s="521" t="s">
        <v>414</v>
      </c>
      <c r="D79" s="521"/>
      <c r="E79" s="264"/>
      <c r="F79" s="262"/>
      <c r="G79" s="262"/>
      <c r="H79" s="255">
        <f>$H$69*'6.  Persistence Rates'!$I$25</f>
        <v>0</v>
      </c>
      <c r="I79" s="255">
        <f>$I$69*'6.  Persistence Rates'!$I$25</f>
        <v>0</v>
      </c>
      <c r="J79" s="255">
        <f>$J$71*'6.  Persistence Rates'!$U$25</f>
        <v>0</v>
      </c>
      <c r="K79" s="255">
        <f>$K$71*'6.  Persistence Rates'!$U$25</f>
        <v>0</v>
      </c>
      <c r="L79" s="255">
        <f>$L$70*'6.  Persistence Rates'!$U$25</f>
        <v>0</v>
      </c>
      <c r="M79" s="255">
        <f>$M$70*'6.  Persistence Rates'!$U$25</f>
        <v>0</v>
      </c>
      <c r="N79" s="255">
        <f>$N$68*'6.  Persistence Rates'!$I$25</f>
        <v>0</v>
      </c>
      <c r="O79" s="264"/>
      <c r="P79" s="280"/>
      <c r="Q79" s="4"/>
    </row>
    <row r="80" spans="1:17" s="27" customFormat="1" ht="13.8" x14ac:dyDescent="0.3">
      <c r="A80" s="249"/>
      <c r="B80" s="279"/>
      <c r="C80" s="521" t="s">
        <v>415</v>
      </c>
      <c r="D80" s="521"/>
      <c r="E80" s="264"/>
      <c r="F80" s="262"/>
      <c r="G80" s="262"/>
      <c r="H80" s="255">
        <f>$H$69*'6.  Persistence Rates'!$J$25</f>
        <v>0</v>
      </c>
      <c r="I80" s="255">
        <f>$I$69*'6.  Persistence Rates'!$J$25</f>
        <v>0</v>
      </c>
      <c r="J80" s="255">
        <f>$J$71*'6.  Persistence Rates'!$V$25</f>
        <v>0</v>
      </c>
      <c r="K80" s="255">
        <f>$K$71*'6.  Persistence Rates'!$V$25</f>
        <v>0</v>
      </c>
      <c r="L80" s="255">
        <f>$L$70*'6.  Persistence Rates'!$V$25</f>
        <v>0</v>
      </c>
      <c r="M80" s="255">
        <f>$M$70*'6.  Persistence Rates'!$V$25</f>
        <v>0</v>
      </c>
      <c r="N80" s="255">
        <f>$N$68*'6.  Persistence Rates'!$J$25</f>
        <v>0</v>
      </c>
      <c r="O80" s="264"/>
      <c r="P80" s="280"/>
      <c r="Q80" s="4"/>
    </row>
    <row r="81" spans="1:17" s="27" customFormat="1" ht="13.8" x14ac:dyDescent="0.3">
      <c r="A81" s="249"/>
      <c r="B81" s="279"/>
      <c r="C81" s="521" t="s">
        <v>416</v>
      </c>
      <c r="D81" s="521"/>
      <c r="E81" s="264"/>
      <c r="F81" s="262"/>
      <c r="G81" s="262"/>
      <c r="H81" s="255">
        <f>$H$69*'6.  Persistence Rates'!$K$25</f>
        <v>0</v>
      </c>
      <c r="I81" s="255">
        <f>$I$69*'6.  Persistence Rates'!$K$25</f>
        <v>0</v>
      </c>
      <c r="J81" s="255">
        <f>$J$71*'6.  Persistence Rates'!$W$25</f>
        <v>0</v>
      </c>
      <c r="K81" s="255">
        <f>$K$71*'6.  Persistence Rates'!$W$25</f>
        <v>0</v>
      </c>
      <c r="L81" s="255">
        <f>$L$70*'6.  Persistence Rates'!$W$25</f>
        <v>0</v>
      </c>
      <c r="M81" s="255">
        <f>$M$70*'6.  Persistence Rates'!$W$25</f>
        <v>0</v>
      </c>
      <c r="N81" s="255">
        <f>$N$68*'6.  Persistence Rates'!$K$25</f>
        <v>0</v>
      </c>
      <c r="O81" s="264"/>
      <c r="P81" s="280"/>
      <c r="Q81" s="4"/>
    </row>
    <row r="82" spans="1:17" s="27" customFormat="1" ht="13.8" x14ac:dyDescent="0.3">
      <c r="A82" s="249"/>
      <c r="B82" s="279"/>
      <c r="C82" s="521" t="s">
        <v>417</v>
      </c>
      <c r="D82" s="521"/>
      <c r="E82" s="264"/>
      <c r="F82" s="262"/>
      <c r="G82" s="262"/>
      <c r="H82" s="255">
        <f>$H$69*'6.  Persistence Rates'!$L$25</f>
        <v>0</v>
      </c>
      <c r="I82" s="255">
        <f>$I$69*'6.  Persistence Rates'!$L$25</f>
        <v>0</v>
      </c>
      <c r="J82" s="255">
        <f>$J$71*'6.  Persistence Rates'!$X$25</f>
        <v>0</v>
      </c>
      <c r="K82" s="255">
        <f>$K$71*'6.  Persistence Rates'!$X$25</f>
        <v>0</v>
      </c>
      <c r="L82" s="255">
        <f>$L$70*'6.  Persistence Rates'!$X$25</f>
        <v>0</v>
      </c>
      <c r="M82" s="255">
        <f>$M$70*'6.  Persistence Rates'!$X$25</f>
        <v>0</v>
      </c>
      <c r="N82" s="255">
        <f>$N$68*'6.  Persistence Rates'!$L$25</f>
        <v>0</v>
      </c>
      <c r="O82" s="264"/>
      <c r="P82" s="280"/>
      <c r="Q82" s="4"/>
    </row>
    <row r="83" spans="1:17" x14ac:dyDescent="0.3">
      <c r="B83" s="401"/>
      <c r="C83" s="522" t="s">
        <v>418</v>
      </c>
      <c r="D83" s="402"/>
      <c r="E83" s="402"/>
      <c r="F83" s="403"/>
      <c r="G83" s="403"/>
      <c r="H83" s="529">
        <f>$H$69*'6.  Persistence Rates'!$M$25</f>
        <v>0</v>
      </c>
      <c r="I83" s="529">
        <f>$I$69*'6.  Persistence Rates'!$M$25</f>
        <v>0</v>
      </c>
      <c r="J83" s="529">
        <f>$J$71*'6.  Persistence Rates'!$Y$25</f>
        <v>0</v>
      </c>
      <c r="K83" s="529">
        <f>$K$71*'6.  Persistence Rates'!$Y$25</f>
        <v>0</v>
      </c>
      <c r="L83" s="529">
        <f>$L$70*'6.  Persistence Rates'!$Y$25</f>
        <v>0</v>
      </c>
      <c r="M83" s="529">
        <f>$M$70*'6.  Persistence Rates'!$Y$25</f>
        <v>0</v>
      </c>
      <c r="N83" s="529">
        <f>$N$68*'6.  Persistence Rates'!$M$25</f>
        <v>0</v>
      </c>
      <c r="O83" s="334"/>
      <c r="P83" s="404"/>
      <c r="Q83" s="147"/>
    </row>
    <row r="84" spans="1:17" x14ac:dyDescent="0.3">
      <c r="B84" s="69"/>
      <c r="C84" s="265"/>
      <c r="D84" s="145"/>
      <c r="E84" s="145"/>
      <c r="F84" s="146"/>
      <c r="G84" s="146"/>
      <c r="H84" s="66"/>
      <c r="I84" s="66"/>
      <c r="J84" s="66"/>
      <c r="K84" s="66"/>
      <c r="L84" s="66"/>
      <c r="M84" s="66"/>
      <c r="N84" s="66"/>
      <c r="O84" s="66"/>
      <c r="P84" s="66"/>
      <c r="Q84" s="147"/>
    </row>
    <row r="85" spans="1:17" x14ac:dyDescent="0.3">
      <c r="B85" s="69"/>
      <c r="C85" s="144"/>
      <c r="D85" s="69"/>
      <c r="E85" s="69"/>
      <c r="F85" s="66"/>
      <c r="G85" s="66"/>
      <c r="H85" s="66"/>
      <c r="I85" s="66"/>
      <c r="J85" s="66"/>
      <c r="K85" s="66"/>
      <c r="L85" s="66"/>
      <c r="M85" s="66"/>
      <c r="N85" s="66"/>
      <c r="O85" s="66"/>
      <c r="P85" s="66"/>
      <c r="Q85" s="66"/>
    </row>
    <row r="86" spans="1:17" x14ac:dyDescent="0.3">
      <c r="B86" s="604" t="s">
        <v>351</v>
      </c>
      <c r="C86" s="604"/>
      <c r="D86" s="604"/>
      <c r="E86" s="604"/>
      <c r="F86" s="604"/>
      <c r="G86" s="604"/>
      <c r="H86" s="604"/>
      <c r="I86" s="604"/>
      <c r="J86" s="604"/>
      <c r="K86" s="604"/>
      <c r="L86" s="604"/>
      <c r="M86" s="604"/>
      <c r="N86" s="604"/>
      <c r="O86" s="604"/>
      <c r="P86" s="604"/>
      <c r="Q86" s="66"/>
    </row>
    <row r="87" spans="1:17" ht="17.399999999999999" x14ac:dyDescent="0.3">
      <c r="B87" s="148"/>
      <c r="C87" s="149"/>
      <c r="D87" s="148"/>
      <c r="E87" s="148"/>
      <c r="F87" s="101"/>
      <c r="G87" s="148"/>
      <c r="H87" s="148"/>
      <c r="I87" s="148"/>
      <c r="J87" s="148"/>
      <c r="K87" s="148"/>
      <c r="L87" s="148"/>
      <c r="M87" s="148"/>
      <c r="N87" s="148"/>
      <c r="O87" s="148"/>
      <c r="P87" s="148"/>
      <c r="Q87" s="66"/>
    </row>
    <row r="88" spans="1:17" ht="41.4" x14ac:dyDescent="0.3">
      <c r="B88" s="591" t="s">
        <v>58</v>
      </c>
      <c r="C88" s="593" t="s">
        <v>0</v>
      </c>
      <c r="D88" s="593" t="s">
        <v>44</v>
      </c>
      <c r="E88" s="593" t="s">
        <v>203</v>
      </c>
      <c r="F88" s="274" t="s">
        <v>45</v>
      </c>
      <c r="G88" s="274" t="s">
        <v>200</v>
      </c>
      <c r="H88" s="601" t="s">
        <v>59</v>
      </c>
      <c r="I88" s="602"/>
      <c r="J88" s="602"/>
      <c r="K88" s="602"/>
      <c r="L88" s="602"/>
      <c r="M88" s="602"/>
      <c r="N88" s="602"/>
      <c r="O88" s="602"/>
      <c r="P88" s="603"/>
      <c r="Q88" s="66"/>
    </row>
    <row r="89" spans="1:17" ht="55.2" x14ac:dyDescent="0.3">
      <c r="B89" s="608"/>
      <c r="C89" s="594"/>
      <c r="D89" s="594"/>
      <c r="E89" s="594"/>
      <c r="F89" s="140" t="s">
        <v>93</v>
      </c>
      <c r="G89" s="140" t="s">
        <v>94</v>
      </c>
      <c r="H89" s="140" t="s">
        <v>37</v>
      </c>
      <c r="I89" s="140" t="s">
        <v>503</v>
      </c>
      <c r="J89" s="140" t="s">
        <v>504</v>
      </c>
      <c r="K89" s="140" t="s">
        <v>505</v>
      </c>
      <c r="L89" s="140" t="s">
        <v>42</v>
      </c>
      <c r="M89" s="140" t="s">
        <v>40</v>
      </c>
      <c r="N89" s="140" t="s">
        <v>500</v>
      </c>
      <c r="O89" s="140" t="s">
        <v>105</v>
      </c>
      <c r="P89" s="384" t="s">
        <v>34</v>
      </c>
      <c r="Q89" s="66"/>
    </row>
    <row r="90" spans="1:17" s="21" customFormat="1" ht="19.5" customHeight="1" outlineLevel="1" x14ac:dyDescent="0.3">
      <c r="A90" s="45"/>
      <c r="B90" s="378"/>
      <c r="C90" s="605" t="s">
        <v>1</v>
      </c>
      <c r="D90" s="605"/>
      <c r="E90" s="379"/>
      <c r="F90" s="252"/>
      <c r="G90" s="252"/>
      <c r="H90" s="380"/>
      <c r="I90" s="380"/>
      <c r="J90" s="380"/>
      <c r="K90" s="380"/>
      <c r="L90" s="380"/>
      <c r="M90" s="380"/>
      <c r="N90" s="380"/>
      <c r="O90" s="380"/>
      <c r="P90" s="381"/>
      <c r="Q90" s="142"/>
    </row>
    <row r="91" spans="1:17" ht="14.4" outlineLevel="1" x14ac:dyDescent="0.3">
      <c r="A91" s="606"/>
      <c r="B91" s="276">
        <v>1</v>
      </c>
      <c r="C91" s="257" t="s">
        <v>2</v>
      </c>
      <c r="D91" s="255" t="s">
        <v>33</v>
      </c>
      <c r="E91" s="255"/>
      <c r="F91" s="300">
        <v>4.6749999999999998</v>
      </c>
      <c r="G91" s="300">
        <v>29799.859</v>
      </c>
      <c r="H91" s="299">
        <v>1</v>
      </c>
      <c r="I91" s="298"/>
      <c r="J91" s="298"/>
      <c r="K91" s="298"/>
      <c r="L91" s="298"/>
      <c r="M91" s="298"/>
      <c r="N91" s="298"/>
      <c r="O91" s="298"/>
      <c r="P91" s="254">
        <f>SUM(H91:O91)</f>
        <v>1</v>
      </c>
      <c r="Q91" s="66"/>
    </row>
    <row r="92" spans="1:17" ht="14.4" outlineLevel="1" x14ac:dyDescent="0.3">
      <c r="A92" s="606"/>
      <c r="B92" s="276">
        <v>2</v>
      </c>
      <c r="C92" s="257" t="s">
        <v>3</v>
      </c>
      <c r="D92" s="255" t="s">
        <v>33</v>
      </c>
      <c r="E92" s="255"/>
      <c r="F92" s="300">
        <v>5.9619999999999997</v>
      </c>
      <c r="G92" s="300">
        <v>10401.995000000001</v>
      </c>
      <c r="H92" s="299">
        <v>1</v>
      </c>
      <c r="I92" s="298"/>
      <c r="J92" s="298"/>
      <c r="K92" s="298"/>
      <c r="L92" s="298"/>
      <c r="M92" s="298"/>
      <c r="N92" s="298"/>
      <c r="O92" s="298"/>
      <c r="P92" s="254">
        <f t="shared" ref="P92:P99" si="5">SUM(H92:O92)</f>
        <v>1</v>
      </c>
      <c r="Q92" s="66"/>
    </row>
    <row r="93" spans="1:17" ht="14.4" outlineLevel="1" x14ac:dyDescent="0.3">
      <c r="A93" s="606"/>
      <c r="B93" s="276">
        <v>3</v>
      </c>
      <c r="C93" s="257" t="s">
        <v>4</v>
      </c>
      <c r="D93" s="255" t="s">
        <v>33</v>
      </c>
      <c r="E93" s="255"/>
      <c r="F93" s="300">
        <v>27.831</v>
      </c>
      <c r="G93" s="300">
        <v>51118.478000000003</v>
      </c>
      <c r="H93" s="299">
        <v>1</v>
      </c>
      <c r="I93" s="298"/>
      <c r="J93" s="298"/>
      <c r="K93" s="298"/>
      <c r="L93" s="298"/>
      <c r="M93" s="298"/>
      <c r="N93" s="298"/>
      <c r="O93" s="298"/>
      <c r="P93" s="254">
        <f t="shared" si="5"/>
        <v>1</v>
      </c>
      <c r="Q93" s="66"/>
    </row>
    <row r="94" spans="1:17" ht="14.4" outlineLevel="1" x14ac:dyDescent="0.3">
      <c r="A94" s="606"/>
      <c r="B94" s="276">
        <v>4</v>
      </c>
      <c r="C94" s="257" t="s">
        <v>5</v>
      </c>
      <c r="D94" s="255" t="s">
        <v>33</v>
      </c>
      <c r="E94" s="255"/>
      <c r="F94" s="300">
        <v>0.26</v>
      </c>
      <c r="G94" s="300">
        <v>1578.877</v>
      </c>
      <c r="H94" s="299">
        <v>1</v>
      </c>
      <c r="I94" s="298"/>
      <c r="J94" s="298"/>
      <c r="K94" s="298"/>
      <c r="L94" s="298"/>
      <c r="M94" s="298"/>
      <c r="N94" s="298"/>
      <c r="O94" s="298"/>
      <c r="P94" s="254">
        <f t="shared" si="5"/>
        <v>1</v>
      </c>
      <c r="Q94" s="66"/>
    </row>
    <row r="95" spans="1:17" ht="14.4" outlineLevel="1" x14ac:dyDescent="0.3">
      <c r="A95" s="606"/>
      <c r="B95" s="276">
        <v>5</v>
      </c>
      <c r="C95" s="257" t="s">
        <v>6</v>
      </c>
      <c r="D95" s="255" t="s">
        <v>33</v>
      </c>
      <c r="E95" s="255"/>
      <c r="F95" s="300">
        <v>1.671</v>
      </c>
      <c r="G95" s="300">
        <v>30242.392</v>
      </c>
      <c r="H95" s="299">
        <v>1</v>
      </c>
      <c r="I95" s="298"/>
      <c r="J95" s="298"/>
      <c r="K95" s="298"/>
      <c r="L95" s="298"/>
      <c r="M95" s="298"/>
      <c r="N95" s="298"/>
      <c r="O95" s="298"/>
      <c r="P95" s="254">
        <f t="shared" si="5"/>
        <v>1</v>
      </c>
      <c r="Q95" s="66"/>
    </row>
    <row r="96" spans="1:17" ht="14.4" outlineLevel="1" x14ac:dyDescent="0.3">
      <c r="A96" s="606"/>
      <c r="B96" s="276">
        <v>6</v>
      </c>
      <c r="C96" s="257" t="s">
        <v>7</v>
      </c>
      <c r="D96" s="255" t="s">
        <v>33</v>
      </c>
      <c r="E96" s="255"/>
      <c r="F96" s="300"/>
      <c r="G96" s="300"/>
      <c r="H96" s="299">
        <v>0</v>
      </c>
      <c r="I96" s="298"/>
      <c r="J96" s="298"/>
      <c r="K96" s="298"/>
      <c r="L96" s="298"/>
      <c r="M96" s="298"/>
      <c r="N96" s="298"/>
      <c r="O96" s="298"/>
      <c r="P96" s="254">
        <f t="shared" si="5"/>
        <v>0</v>
      </c>
      <c r="Q96" s="66"/>
    </row>
    <row r="97" spans="1:19" ht="27.6" outlineLevel="1" x14ac:dyDescent="0.3">
      <c r="A97" s="606"/>
      <c r="B97" s="276">
        <v>7</v>
      </c>
      <c r="C97" s="257" t="s">
        <v>32</v>
      </c>
      <c r="D97" s="255" t="s">
        <v>33</v>
      </c>
      <c r="E97" s="255"/>
      <c r="F97" s="300"/>
      <c r="G97" s="300"/>
      <c r="H97" s="299">
        <v>0</v>
      </c>
      <c r="I97" s="298"/>
      <c r="J97" s="298"/>
      <c r="K97" s="298"/>
      <c r="L97" s="298"/>
      <c r="M97" s="298"/>
      <c r="N97" s="298"/>
      <c r="O97" s="298"/>
      <c r="P97" s="254">
        <f t="shared" si="5"/>
        <v>0</v>
      </c>
      <c r="Q97" s="66"/>
    </row>
    <row r="98" spans="1:19" ht="14.4" outlineLevel="1" x14ac:dyDescent="0.3">
      <c r="A98" s="606"/>
      <c r="B98" s="276">
        <v>8</v>
      </c>
      <c r="C98" s="257" t="s">
        <v>25</v>
      </c>
      <c r="D98" s="255" t="s">
        <v>33</v>
      </c>
      <c r="E98" s="255"/>
      <c r="F98" s="300"/>
      <c r="G98" s="300"/>
      <c r="H98" s="299">
        <v>0</v>
      </c>
      <c r="I98" s="298"/>
      <c r="J98" s="298"/>
      <c r="K98" s="298"/>
      <c r="L98" s="298"/>
      <c r="M98" s="298"/>
      <c r="N98" s="298"/>
      <c r="O98" s="298"/>
      <c r="P98" s="254">
        <f t="shared" si="5"/>
        <v>0</v>
      </c>
      <c r="Q98" s="66"/>
    </row>
    <row r="99" spans="1:19" ht="14.4" outlineLevel="1" x14ac:dyDescent="0.3">
      <c r="A99" s="606"/>
      <c r="B99" s="276">
        <v>9</v>
      </c>
      <c r="C99" s="257" t="s">
        <v>8</v>
      </c>
      <c r="D99" s="255" t="s">
        <v>33</v>
      </c>
      <c r="E99" s="255"/>
      <c r="F99" s="300"/>
      <c r="G99" s="300"/>
      <c r="H99" s="299">
        <v>0</v>
      </c>
      <c r="I99" s="298"/>
      <c r="J99" s="298"/>
      <c r="K99" s="298"/>
      <c r="L99" s="298"/>
      <c r="M99" s="298"/>
      <c r="N99" s="298"/>
      <c r="O99" s="298"/>
      <c r="P99" s="254">
        <f t="shared" si="5"/>
        <v>0</v>
      </c>
      <c r="Q99" s="66"/>
    </row>
    <row r="100" spans="1:19" ht="14.4" outlineLevel="1" x14ac:dyDescent="0.3">
      <c r="A100" s="606"/>
      <c r="B100" s="276"/>
      <c r="C100" s="258" t="s">
        <v>253</v>
      </c>
      <c r="D100" s="255" t="s">
        <v>251</v>
      </c>
      <c r="E100" s="255"/>
      <c r="F100" s="300"/>
      <c r="G100" s="300"/>
      <c r="H100" s="297"/>
      <c r="I100" s="298"/>
      <c r="J100" s="298"/>
      <c r="K100" s="298"/>
      <c r="L100" s="298"/>
      <c r="M100" s="298"/>
      <c r="N100" s="298"/>
      <c r="O100" s="298"/>
      <c r="P100" s="254"/>
      <c r="Q100" s="66"/>
    </row>
    <row r="101" spans="1:19" ht="14.4" outlineLevel="1" x14ac:dyDescent="0.3">
      <c r="A101" s="606"/>
      <c r="B101" s="276"/>
      <c r="C101" s="596" t="s">
        <v>4</v>
      </c>
      <c r="D101" s="596"/>
      <c r="E101" s="270"/>
      <c r="F101" s="300">
        <v>1</v>
      </c>
      <c r="G101" s="300">
        <v>1113</v>
      </c>
      <c r="H101" s="297">
        <v>1</v>
      </c>
      <c r="I101" s="298"/>
      <c r="J101" s="298"/>
      <c r="K101" s="298"/>
      <c r="L101" s="298"/>
      <c r="M101" s="298"/>
      <c r="N101" s="298"/>
      <c r="O101" s="298"/>
      <c r="P101" s="254"/>
      <c r="Q101" s="66"/>
    </row>
    <row r="102" spans="1:19" ht="14.4" outlineLevel="1" x14ac:dyDescent="0.3">
      <c r="A102" s="606"/>
      <c r="B102" s="276"/>
      <c r="C102" s="596"/>
      <c r="D102" s="596"/>
      <c r="E102" s="270"/>
      <c r="F102" s="300"/>
      <c r="G102" s="300"/>
      <c r="H102" s="297">
        <v>1</v>
      </c>
      <c r="I102" s="298"/>
      <c r="J102" s="298"/>
      <c r="K102" s="298"/>
      <c r="L102" s="298"/>
      <c r="M102" s="298"/>
      <c r="N102" s="298"/>
      <c r="O102" s="298"/>
      <c r="P102" s="254"/>
      <c r="Q102" s="66"/>
    </row>
    <row r="103" spans="1:19" s="21" customFormat="1" ht="18.75" customHeight="1" outlineLevel="1" x14ac:dyDescent="0.3">
      <c r="A103" s="606"/>
      <c r="B103" s="250"/>
      <c r="C103" s="599" t="s">
        <v>9</v>
      </c>
      <c r="D103" s="599"/>
      <c r="E103" s="251"/>
      <c r="F103" s="252"/>
      <c r="G103" s="252"/>
      <c r="H103" s="252"/>
      <c r="I103" s="252"/>
      <c r="J103" s="252"/>
      <c r="K103" s="252"/>
      <c r="L103" s="252"/>
      <c r="M103" s="252"/>
      <c r="N103" s="252"/>
      <c r="O103" s="252"/>
      <c r="P103" s="253"/>
      <c r="Q103" s="142"/>
      <c r="R103" s="27"/>
      <c r="S103" s="27"/>
    </row>
    <row r="104" spans="1:19" ht="14.4" outlineLevel="1" x14ac:dyDescent="0.3">
      <c r="A104" s="606"/>
      <c r="B104" s="151">
        <v>10</v>
      </c>
      <c r="C104" s="259" t="s">
        <v>26</v>
      </c>
      <c r="D104" s="255" t="s">
        <v>33</v>
      </c>
      <c r="E104" s="255">
        <v>12</v>
      </c>
      <c r="F104" s="300">
        <v>132.988</v>
      </c>
      <c r="G104" s="300">
        <v>446895.09</v>
      </c>
      <c r="H104" s="297"/>
      <c r="I104" s="299">
        <v>0.79</v>
      </c>
      <c r="J104" s="299">
        <v>0.21</v>
      </c>
      <c r="K104" s="299">
        <v>0</v>
      </c>
      <c r="L104" s="298"/>
      <c r="M104" s="298"/>
      <c r="N104" s="298"/>
      <c r="O104" s="298"/>
      <c r="P104" s="254">
        <f>SUM(H104:O104)</f>
        <v>1</v>
      </c>
      <c r="Q104" s="66"/>
    </row>
    <row r="105" spans="1:19" ht="14.4" outlineLevel="1" x14ac:dyDescent="0.3">
      <c r="A105" s="606"/>
      <c r="B105" s="151">
        <v>11</v>
      </c>
      <c r="C105" s="257" t="s">
        <v>24</v>
      </c>
      <c r="D105" s="255" t="s">
        <v>33</v>
      </c>
      <c r="E105" s="255">
        <v>12</v>
      </c>
      <c r="F105" s="300">
        <v>56.344000000000001</v>
      </c>
      <c r="G105" s="300">
        <v>217952.96599999999</v>
      </c>
      <c r="H105" s="297"/>
      <c r="I105" s="299">
        <v>1</v>
      </c>
      <c r="J105" s="299">
        <v>0</v>
      </c>
      <c r="K105" s="299">
        <v>0</v>
      </c>
      <c r="L105" s="298"/>
      <c r="M105" s="298"/>
      <c r="N105" s="298"/>
      <c r="O105" s="298"/>
      <c r="P105" s="254">
        <f>SUM(H105:O105)</f>
        <v>1</v>
      </c>
      <c r="Q105" s="66"/>
    </row>
    <row r="106" spans="1:19" ht="14.4" outlineLevel="1" x14ac:dyDescent="0.3">
      <c r="A106" s="606"/>
      <c r="B106" s="151">
        <v>12</v>
      </c>
      <c r="C106" s="257" t="s">
        <v>27</v>
      </c>
      <c r="D106" s="255" t="s">
        <v>33</v>
      </c>
      <c r="E106" s="255">
        <v>3</v>
      </c>
      <c r="F106" s="300"/>
      <c r="G106" s="300"/>
      <c r="H106" s="297"/>
      <c r="I106" s="299">
        <v>0</v>
      </c>
      <c r="J106" s="299">
        <v>0</v>
      </c>
      <c r="K106" s="299">
        <v>0</v>
      </c>
      <c r="L106" s="298"/>
      <c r="M106" s="298"/>
      <c r="N106" s="298"/>
      <c r="O106" s="298"/>
      <c r="P106" s="254">
        <f t="shared" ref="P106:P111" si="6">SUM(H106:O106)</f>
        <v>0</v>
      </c>
      <c r="Q106" s="66"/>
    </row>
    <row r="107" spans="1:19" ht="14.4" outlineLevel="1" x14ac:dyDescent="0.3">
      <c r="A107" s="606"/>
      <c r="B107" s="151">
        <v>13</v>
      </c>
      <c r="C107" s="257" t="s">
        <v>28</v>
      </c>
      <c r="D107" s="255" t="s">
        <v>33</v>
      </c>
      <c r="E107" s="255">
        <v>12</v>
      </c>
      <c r="F107" s="300"/>
      <c r="G107" s="300"/>
      <c r="H107" s="297"/>
      <c r="I107" s="299">
        <v>0</v>
      </c>
      <c r="J107" s="299">
        <v>0</v>
      </c>
      <c r="K107" s="299">
        <v>0</v>
      </c>
      <c r="L107" s="298"/>
      <c r="M107" s="298"/>
      <c r="N107" s="298"/>
      <c r="O107" s="298"/>
      <c r="P107" s="254">
        <f t="shared" si="6"/>
        <v>0</v>
      </c>
      <c r="Q107" s="66"/>
    </row>
    <row r="108" spans="1:19" ht="14.4" outlineLevel="1" x14ac:dyDescent="0.3">
      <c r="A108" s="606"/>
      <c r="B108" s="151">
        <v>14</v>
      </c>
      <c r="C108" s="257" t="s">
        <v>23</v>
      </c>
      <c r="D108" s="255" t="s">
        <v>33</v>
      </c>
      <c r="E108" s="255">
        <v>12</v>
      </c>
      <c r="F108" s="300"/>
      <c r="G108" s="300"/>
      <c r="H108" s="297"/>
      <c r="I108" s="299">
        <v>0</v>
      </c>
      <c r="J108" s="299">
        <v>0</v>
      </c>
      <c r="K108" s="299">
        <v>0</v>
      </c>
      <c r="L108" s="298"/>
      <c r="M108" s="298"/>
      <c r="N108" s="298"/>
      <c r="O108" s="298"/>
      <c r="P108" s="254">
        <f t="shared" si="6"/>
        <v>0</v>
      </c>
      <c r="Q108" s="66"/>
    </row>
    <row r="109" spans="1:19" ht="27.6" outlineLevel="1" x14ac:dyDescent="0.3">
      <c r="A109" s="606"/>
      <c r="B109" s="276">
        <v>15</v>
      </c>
      <c r="C109" s="257" t="s">
        <v>29</v>
      </c>
      <c r="D109" s="255" t="s">
        <v>33</v>
      </c>
      <c r="E109" s="255">
        <v>0</v>
      </c>
      <c r="F109" s="300"/>
      <c r="G109" s="300"/>
      <c r="H109" s="297"/>
      <c r="I109" s="299">
        <v>0</v>
      </c>
      <c r="J109" s="299">
        <v>0</v>
      </c>
      <c r="K109" s="299">
        <v>0</v>
      </c>
      <c r="L109" s="298"/>
      <c r="M109" s="298"/>
      <c r="N109" s="298"/>
      <c r="O109" s="298"/>
      <c r="P109" s="254">
        <f t="shared" si="6"/>
        <v>0</v>
      </c>
      <c r="Q109" s="66"/>
    </row>
    <row r="110" spans="1:19" ht="27.6" outlineLevel="1" x14ac:dyDescent="0.3">
      <c r="A110" s="606"/>
      <c r="B110" s="276">
        <v>16</v>
      </c>
      <c r="C110" s="257" t="s">
        <v>30</v>
      </c>
      <c r="D110" s="255" t="s">
        <v>33</v>
      </c>
      <c r="E110" s="255">
        <v>0</v>
      </c>
      <c r="F110" s="300"/>
      <c r="G110" s="300"/>
      <c r="H110" s="297"/>
      <c r="I110" s="299">
        <v>0</v>
      </c>
      <c r="J110" s="299">
        <v>0</v>
      </c>
      <c r="K110" s="299">
        <v>0</v>
      </c>
      <c r="L110" s="298"/>
      <c r="M110" s="298"/>
      <c r="N110" s="298"/>
      <c r="O110" s="298"/>
      <c r="P110" s="254">
        <f t="shared" si="6"/>
        <v>0</v>
      </c>
      <c r="Q110" s="66"/>
    </row>
    <row r="111" spans="1:19" ht="14.4" outlineLevel="1" x14ac:dyDescent="0.3">
      <c r="A111" s="606"/>
      <c r="B111" s="276">
        <v>17</v>
      </c>
      <c r="C111" s="257" t="s">
        <v>10</v>
      </c>
      <c r="D111" s="255" t="s">
        <v>33</v>
      </c>
      <c r="E111" s="255">
        <v>0</v>
      </c>
      <c r="F111" s="300">
        <v>17.495999999999999</v>
      </c>
      <c r="G111" s="300">
        <v>254.31299999999999</v>
      </c>
      <c r="H111" s="297"/>
      <c r="I111" s="299">
        <v>0</v>
      </c>
      <c r="J111" s="299">
        <v>1</v>
      </c>
      <c r="K111" s="299">
        <v>0</v>
      </c>
      <c r="L111" s="298"/>
      <c r="M111" s="298"/>
      <c r="N111" s="298"/>
      <c r="O111" s="298"/>
      <c r="P111" s="254">
        <f t="shared" si="6"/>
        <v>1</v>
      </c>
      <c r="Q111" s="66"/>
    </row>
    <row r="112" spans="1:19" ht="14.4" outlineLevel="1" x14ac:dyDescent="0.3">
      <c r="A112" s="606"/>
      <c r="B112" s="276"/>
      <c r="C112" s="258" t="s">
        <v>253</v>
      </c>
      <c r="D112" s="255" t="s">
        <v>251</v>
      </c>
      <c r="E112" s="255"/>
      <c r="F112" s="300"/>
      <c r="G112" s="300"/>
      <c r="H112" s="297"/>
      <c r="I112" s="299"/>
      <c r="J112" s="299"/>
      <c r="K112" s="298"/>
      <c r="L112" s="298"/>
      <c r="M112" s="298"/>
      <c r="N112" s="298"/>
      <c r="O112" s="298"/>
      <c r="P112" s="254"/>
      <c r="Q112" s="66"/>
    </row>
    <row r="113" spans="1:17" ht="14.4" outlineLevel="1" x14ac:dyDescent="0.3">
      <c r="A113" s="606"/>
      <c r="B113" s="276"/>
      <c r="C113" s="596" t="s">
        <v>26</v>
      </c>
      <c r="D113" s="596"/>
      <c r="E113" s="270"/>
      <c r="F113" s="300">
        <v>2</v>
      </c>
      <c r="G113" s="300">
        <v>23905</v>
      </c>
      <c r="H113" s="297"/>
      <c r="I113" s="299">
        <v>1</v>
      </c>
      <c r="J113" s="299"/>
      <c r="K113" s="298"/>
      <c r="L113" s="298"/>
      <c r="M113" s="298"/>
      <c r="N113" s="298"/>
      <c r="O113" s="298"/>
      <c r="P113" s="254"/>
      <c r="Q113" s="66"/>
    </row>
    <row r="114" spans="1:17" ht="14.4" outlineLevel="1" x14ac:dyDescent="0.3">
      <c r="A114" s="606"/>
      <c r="B114" s="276"/>
      <c r="C114" s="596" t="s">
        <v>24</v>
      </c>
      <c r="D114" s="596"/>
      <c r="E114" s="270"/>
      <c r="F114" s="300">
        <v>2</v>
      </c>
      <c r="G114" s="300">
        <v>8563</v>
      </c>
      <c r="H114" s="297"/>
      <c r="I114" s="299">
        <v>1</v>
      </c>
      <c r="J114" s="299"/>
      <c r="K114" s="298"/>
      <c r="L114" s="298"/>
      <c r="M114" s="298"/>
      <c r="N114" s="298"/>
      <c r="O114" s="298"/>
      <c r="P114" s="254"/>
      <c r="Q114" s="66"/>
    </row>
    <row r="115" spans="1:17" s="21" customFormat="1" ht="18" customHeight="1" outlineLevel="1" x14ac:dyDescent="0.3">
      <c r="A115" s="606"/>
      <c r="B115" s="250"/>
      <c r="C115" s="599" t="s">
        <v>11</v>
      </c>
      <c r="D115" s="599"/>
      <c r="E115" s="251"/>
      <c r="F115" s="252"/>
      <c r="G115" s="252"/>
      <c r="H115" s="252"/>
      <c r="I115" s="252"/>
      <c r="J115" s="252"/>
      <c r="K115" s="252"/>
      <c r="L115" s="252"/>
      <c r="M115" s="252"/>
      <c r="N115" s="252"/>
      <c r="O115" s="252"/>
      <c r="P115" s="253"/>
      <c r="Q115" s="142"/>
    </row>
    <row r="116" spans="1:17" ht="14.4" outlineLevel="1" x14ac:dyDescent="0.3">
      <c r="A116" s="606"/>
      <c r="B116" s="151">
        <v>18</v>
      </c>
      <c r="C116" s="257" t="s">
        <v>12</v>
      </c>
      <c r="D116" s="255" t="s">
        <v>33</v>
      </c>
      <c r="E116" s="255">
        <v>12</v>
      </c>
      <c r="F116" s="300"/>
      <c r="G116" s="300"/>
      <c r="H116" s="297"/>
      <c r="I116" s="298"/>
      <c r="J116" s="299">
        <v>0</v>
      </c>
      <c r="K116" s="299">
        <v>0</v>
      </c>
      <c r="L116" s="298"/>
      <c r="M116" s="298"/>
      <c r="N116" s="298"/>
      <c r="O116" s="298"/>
      <c r="P116" s="254">
        <f t="shared" ref="P116:P120" si="7">SUM(H116:O116)</f>
        <v>0</v>
      </c>
      <c r="Q116" s="66"/>
    </row>
    <row r="117" spans="1:17" ht="14.4" outlineLevel="1" x14ac:dyDescent="0.3">
      <c r="A117" s="606"/>
      <c r="B117" s="151">
        <v>19</v>
      </c>
      <c r="C117" s="257" t="s">
        <v>13</v>
      </c>
      <c r="D117" s="255" t="s">
        <v>33</v>
      </c>
      <c r="E117" s="255">
        <v>12</v>
      </c>
      <c r="F117" s="300"/>
      <c r="G117" s="300"/>
      <c r="H117" s="297"/>
      <c r="I117" s="298"/>
      <c r="J117" s="299">
        <v>0</v>
      </c>
      <c r="K117" s="299">
        <v>0</v>
      </c>
      <c r="L117" s="298"/>
      <c r="M117" s="298"/>
      <c r="N117" s="298"/>
      <c r="O117" s="298"/>
      <c r="P117" s="254">
        <f t="shared" si="7"/>
        <v>0</v>
      </c>
      <c r="Q117" s="66"/>
    </row>
    <row r="118" spans="1:17" ht="14.4" outlineLevel="1" x14ac:dyDescent="0.3">
      <c r="A118" s="606"/>
      <c r="B118" s="151">
        <v>20</v>
      </c>
      <c r="C118" s="257" t="s">
        <v>14</v>
      </c>
      <c r="D118" s="255" t="s">
        <v>33</v>
      </c>
      <c r="E118" s="255">
        <v>12</v>
      </c>
      <c r="F118" s="300"/>
      <c r="G118" s="300"/>
      <c r="H118" s="297"/>
      <c r="I118" s="298"/>
      <c r="J118" s="299">
        <v>0</v>
      </c>
      <c r="K118" s="299">
        <v>0</v>
      </c>
      <c r="L118" s="298"/>
      <c r="M118" s="298"/>
      <c r="N118" s="298"/>
      <c r="O118" s="298"/>
      <c r="P118" s="254">
        <f t="shared" si="7"/>
        <v>0</v>
      </c>
      <c r="Q118" s="66"/>
    </row>
    <row r="119" spans="1:17" ht="14.4" outlineLevel="1" x14ac:dyDescent="0.3">
      <c r="A119" s="606"/>
      <c r="B119" s="151">
        <v>21</v>
      </c>
      <c r="C119" s="259" t="s">
        <v>26</v>
      </c>
      <c r="D119" s="255" t="s">
        <v>33</v>
      </c>
      <c r="E119" s="255">
        <v>12</v>
      </c>
      <c r="F119" s="300"/>
      <c r="G119" s="300"/>
      <c r="H119" s="297"/>
      <c r="I119" s="298"/>
      <c r="J119" s="299">
        <v>0</v>
      </c>
      <c r="K119" s="299">
        <v>0</v>
      </c>
      <c r="L119" s="298"/>
      <c r="M119" s="298"/>
      <c r="N119" s="298"/>
      <c r="O119" s="298"/>
      <c r="P119" s="254">
        <f t="shared" si="7"/>
        <v>0</v>
      </c>
      <c r="Q119" s="66"/>
    </row>
    <row r="120" spans="1:17" ht="14.4" outlineLevel="1" x14ac:dyDescent="0.3">
      <c r="A120" s="606"/>
      <c r="B120" s="151">
        <v>22</v>
      </c>
      <c r="C120" s="257" t="s">
        <v>10</v>
      </c>
      <c r="D120" s="255" t="s">
        <v>33</v>
      </c>
      <c r="E120" s="255">
        <v>0</v>
      </c>
      <c r="F120" s="300"/>
      <c r="G120" s="300"/>
      <c r="H120" s="297"/>
      <c r="I120" s="298"/>
      <c r="J120" s="299">
        <v>0</v>
      </c>
      <c r="K120" s="299">
        <v>0</v>
      </c>
      <c r="L120" s="298"/>
      <c r="M120" s="298"/>
      <c r="N120" s="298"/>
      <c r="O120" s="298"/>
      <c r="P120" s="254">
        <f t="shared" si="7"/>
        <v>0</v>
      </c>
      <c r="Q120" s="66"/>
    </row>
    <row r="121" spans="1:17" ht="14.4" outlineLevel="1" x14ac:dyDescent="0.3">
      <c r="A121" s="606"/>
      <c r="B121" s="151"/>
      <c r="C121" s="258" t="s">
        <v>253</v>
      </c>
      <c r="D121" s="255" t="s">
        <v>251</v>
      </c>
      <c r="E121" s="255"/>
      <c r="F121" s="300"/>
      <c r="G121" s="300"/>
      <c r="H121" s="297"/>
      <c r="I121" s="298"/>
      <c r="J121" s="298"/>
      <c r="K121" s="298"/>
      <c r="L121" s="298"/>
      <c r="M121" s="298"/>
      <c r="N121" s="298"/>
      <c r="O121" s="298"/>
      <c r="P121" s="254"/>
      <c r="Q121" s="66"/>
    </row>
    <row r="122" spans="1:17" ht="14.4" outlineLevel="1" x14ac:dyDescent="0.3">
      <c r="A122" s="606"/>
      <c r="B122" s="151"/>
      <c r="C122" s="596"/>
      <c r="D122" s="596"/>
      <c r="E122" s="270"/>
      <c r="F122" s="300"/>
      <c r="G122" s="300"/>
      <c r="H122" s="297"/>
      <c r="I122" s="298"/>
      <c r="J122" s="298"/>
      <c r="K122" s="298"/>
      <c r="L122" s="298"/>
      <c r="M122" s="298"/>
      <c r="N122" s="298"/>
      <c r="O122" s="298"/>
      <c r="P122" s="254"/>
      <c r="Q122" s="66"/>
    </row>
    <row r="123" spans="1:17" ht="14.4" outlineLevel="1" x14ac:dyDescent="0.3">
      <c r="A123" s="606"/>
      <c r="B123" s="151"/>
      <c r="C123" s="596"/>
      <c r="D123" s="596"/>
      <c r="E123" s="270"/>
      <c r="F123" s="300"/>
      <c r="G123" s="300"/>
      <c r="H123" s="297"/>
      <c r="I123" s="298"/>
      <c r="J123" s="298"/>
      <c r="K123" s="298"/>
      <c r="L123" s="298"/>
      <c r="M123" s="298"/>
      <c r="N123" s="298"/>
      <c r="O123" s="298"/>
      <c r="P123" s="254"/>
      <c r="Q123" s="66"/>
    </row>
    <row r="124" spans="1:17" ht="14.4" outlineLevel="1" x14ac:dyDescent="0.3">
      <c r="A124" s="606"/>
      <c r="B124" s="151"/>
      <c r="C124" s="596"/>
      <c r="D124" s="596"/>
      <c r="E124" s="270"/>
      <c r="F124" s="300"/>
      <c r="G124" s="300"/>
      <c r="H124" s="297"/>
      <c r="I124" s="298"/>
      <c r="J124" s="298"/>
      <c r="K124" s="298"/>
      <c r="L124" s="298"/>
      <c r="M124" s="298"/>
      <c r="N124" s="298"/>
      <c r="O124" s="298"/>
      <c r="P124" s="254"/>
      <c r="Q124" s="66"/>
    </row>
    <row r="125" spans="1:17" s="42" customFormat="1" ht="14.4" outlineLevel="1" x14ac:dyDescent="0.3">
      <c r="A125" s="606"/>
      <c r="B125" s="250"/>
      <c r="C125" s="599" t="s">
        <v>15</v>
      </c>
      <c r="D125" s="599"/>
      <c r="E125" s="251"/>
      <c r="F125" s="252"/>
      <c r="G125" s="252"/>
      <c r="H125" s="252"/>
      <c r="I125" s="252"/>
      <c r="J125" s="252"/>
      <c r="K125" s="252"/>
      <c r="L125" s="252"/>
      <c r="M125" s="252"/>
      <c r="N125" s="252"/>
      <c r="O125" s="252"/>
      <c r="P125" s="253"/>
      <c r="Q125" s="150"/>
    </row>
    <row r="126" spans="1:17" ht="14.4" outlineLevel="1" x14ac:dyDescent="0.3">
      <c r="A126" s="606"/>
      <c r="B126" s="276">
        <v>23</v>
      </c>
      <c r="C126" s="257" t="s">
        <v>15</v>
      </c>
      <c r="D126" s="255" t="s">
        <v>33</v>
      </c>
      <c r="E126" s="255"/>
      <c r="F126" s="300"/>
      <c r="G126" s="300">
        <v>2924</v>
      </c>
      <c r="H126" s="299">
        <v>1</v>
      </c>
      <c r="I126" s="298"/>
      <c r="J126" s="298"/>
      <c r="K126" s="298"/>
      <c r="L126" s="298"/>
      <c r="M126" s="298"/>
      <c r="N126" s="298"/>
      <c r="O126" s="298"/>
      <c r="P126" s="254">
        <f t="shared" ref="P126" si="8">SUM(H126:O126)</f>
        <v>1</v>
      </c>
      <c r="Q126" s="66"/>
    </row>
    <row r="127" spans="1:17" ht="14.4" outlineLevel="1" x14ac:dyDescent="0.3">
      <c r="A127" s="606"/>
      <c r="B127" s="276"/>
      <c r="C127" s="258" t="s">
        <v>253</v>
      </c>
      <c r="D127" s="255" t="s">
        <v>251</v>
      </c>
      <c r="E127" s="255"/>
      <c r="F127" s="300"/>
      <c r="G127" s="300"/>
      <c r="H127" s="297"/>
      <c r="I127" s="298"/>
      <c r="J127" s="298"/>
      <c r="K127" s="298"/>
      <c r="L127" s="298"/>
      <c r="M127" s="298"/>
      <c r="N127" s="298"/>
      <c r="O127" s="298"/>
      <c r="P127" s="254"/>
      <c r="Q127" s="66"/>
    </row>
    <row r="128" spans="1:17" ht="14.4" outlineLevel="1" x14ac:dyDescent="0.3">
      <c r="A128" s="606"/>
      <c r="B128" s="276"/>
      <c r="C128" s="596"/>
      <c r="D128" s="596"/>
      <c r="E128" s="270"/>
      <c r="F128" s="300"/>
      <c r="G128" s="300"/>
      <c r="H128" s="297"/>
      <c r="I128" s="298"/>
      <c r="J128" s="298"/>
      <c r="K128" s="298"/>
      <c r="L128" s="298"/>
      <c r="M128" s="298"/>
      <c r="N128" s="298"/>
      <c r="O128" s="298"/>
      <c r="P128" s="254"/>
      <c r="Q128" s="66"/>
    </row>
    <row r="129" spans="1:17" ht="14.4" outlineLevel="1" x14ac:dyDescent="0.3">
      <c r="A129" s="606"/>
      <c r="B129" s="276"/>
      <c r="C129" s="596"/>
      <c r="D129" s="596"/>
      <c r="E129" s="270"/>
      <c r="F129" s="300"/>
      <c r="G129" s="300"/>
      <c r="H129" s="297"/>
      <c r="I129" s="298"/>
      <c r="J129" s="298"/>
      <c r="K129" s="298"/>
      <c r="L129" s="298"/>
      <c r="M129" s="298"/>
      <c r="N129" s="298"/>
      <c r="O129" s="298"/>
      <c r="P129" s="254"/>
      <c r="Q129" s="66"/>
    </row>
    <row r="130" spans="1:17" s="42" customFormat="1" ht="14.4" outlineLevel="1" x14ac:dyDescent="0.3">
      <c r="A130" s="606"/>
      <c r="B130" s="250"/>
      <c r="C130" s="599" t="s">
        <v>16</v>
      </c>
      <c r="D130" s="599"/>
      <c r="E130" s="251"/>
      <c r="F130" s="252"/>
      <c r="G130" s="252"/>
      <c r="H130" s="252"/>
      <c r="I130" s="252"/>
      <c r="J130" s="252"/>
      <c r="K130" s="252"/>
      <c r="L130" s="252"/>
      <c r="M130" s="252"/>
      <c r="N130" s="252"/>
      <c r="O130" s="252"/>
      <c r="P130" s="253"/>
      <c r="Q130" s="150"/>
    </row>
    <row r="131" spans="1:17" ht="14.4" outlineLevel="1" x14ac:dyDescent="0.3">
      <c r="A131" s="606"/>
      <c r="B131" s="276">
        <v>24</v>
      </c>
      <c r="C131" s="257" t="s">
        <v>17</v>
      </c>
      <c r="D131" s="255" t="s">
        <v>33</v>
      </c>
      <c r="E131" s="255"/>
      <c r="F131" s="300"/>
      <c r="G131" s="300"/>
      <c r="H131" s="297"/>
      <c r="I131" s="298"/>
      <c r="J131" s="299">
        <v>0</v>
      </c>
      <c r="K131" s="299">
        <v>0</v>
      </c>
      <c r="L131" s="298"/>
      <c r="M131" s="298"/>
      <c r="N131" s="298"/>
      <c r="O131" s="298"/>
      <c r="P131" s="254">
        <f t="shared" ref="P131:P135" si="9">SUM(H131:O131)</f>
        <v>0</v>
      </c>
      <c r="Q131" s="66"/>
    </row>
    <row r="132" spans="1:17" ht="14.4" outlineLevel="1" x14ac:dyDescent="0.3">
      <c r="A132" s="606"/>
      <c r="B132" s="276">
        <v>25</v>
      </c>
      <c r="C132" s="257" t="s">
        <v>18</v>
      </c>
      <c r="D132" s="255" t="s">
        <v>33</v>
      </c>
      <c r="E132" s="255"/>
      <c r="F132" s="300"/>
      <c r="G132" s="300">
        <v>123.625</v>
      </c>
      <c r="H132" s="297"/>
      <c r="I132" s="298">
        <v>1</v>
      </c>
      <c r="J132" s="299"/>
      <c r="K132" s="299">
        <v>0</v>
      </c>
      <c r="L132" s="298"/>
      <c r="M132" s="298"/>
      <c r="N132" s="298"/>
      <c r="O132" s="298"/>
      <c r="P132" s="254">
        <f t="shared" si="9"/>
        <v>1</v>
      </c>
      <c r="Q132" s="66"/>
    </row>
    <row r="133" spans="1:17" ht="14.4" outlineLevel="1" x14ac:dyDescent="0.3">
      <c r="A133" s="606"/>
      <c r="B133" s="276">
        <v>26</v>
      </c>
      <c r="C133" s="257" t="s">
        <v>19</v>
      </c>
      <c r="D133" s="255" t="s">
        <v>33</v>
      </c>
      <c r="E133" s="255"/>
      <c r="F133" s="300"/>
      <c r="G133" s="300"/>
      <c r="H133" s="297"/>
      <c r="I133" s="298"/>
      <c r="J133" s="299">
        <v>0</v>
      </c>
      <c r="K133" s="299">
        <v>0</v>
      </c>
      <c r="L133" s="298"/>
      <c r="M133" s="298"/>
      <c r="N133" s="298"/>
      <c r="O133" s="298"/>
      <c r="P133" s="254">
        <f t="shared" si="9"/>
        <v>0</v>
      </c>
      <c r="Q133" s="66"/>
    </row>
    <row r="134" spans="1:17" ht="14.4" outlineLevel="1" x14ac:dyDescent="0.3">
      <c r="A134" s="606"/>
      <c r="B134" s="276">
        <v>27</v>
      </c>
      <c r="C134" s="257" t="s">
        <v>20</v>
      </c>
      <c r="D134" s="255" t="s">
        <v>33</v>
      </c>
      <c r="E134" s="255"/>
      <c r="F134" s="300"/>
      <c r="G134" s="300"/>
      <c r="H134" s="297"/>
      <c r="I134" s="298"/>
      <c r="J134" s="299">
        <v>0</v>
      </c>
      <c r="K134" s="299">
        <v>0</v>
      </c>
      <c r="L134" s="298"/>
      <c r="M134" s="298"/>
      <c r="N134" s="298"/>
      <c r="O134" s="298"/>
      <c r="P134" s="254">
        <f t="shared" si="9"/>
        <v>0</v>
      </c>
      <c r="Q134" s="66"/>
    </row>
    <row r="135" spans="1:17" ht="14.4" outlineLevel="1" x14ac:dyDescent="0.3">
      <c r="A135" s="606"/>
      <c r="B135" s="276">
        <v>28</v>
      </c>
      <c r="C135" s="257" t="s">
        <v>104</v>
      </c>
      <c r="D135" s="255" t="s">
        <v>33</v>
      </c>
      <c r="E135" s="255"/>
      <c r="F135" s="300"/>
      <c r="G135" s="300"/>
      <c r="H135" s="297"/>
      <c r="I135" s="298"/>
      <c r="J135" s="299">
        <v>0</v>
      </c>
      <c r="K135" s="299">
        <v>0</v>
      </c>
      <c r="L135" s="298"/>
      <c r="M135" s="298"/>
      <c r="N135" s="298"/>
      <c r="O135" s="298"/>
      <c r="P135" s="254">
        <f t="shared" si="9"/>
        <v>0</v>
      </c>
      <c r="Q135" s="66"/>
    </row>
    <row r="136" spans="1:17" ht="14.4" outlineLevel="1" x14ac:dyDescent="0.3">
      <c r="A136" s="606"/>
      <c r="B136" s="276"/>
      <c r="C136" s="258" t="s">
        <v>253</v>
      </c>
      <c r="D136" s="255" t="s">
        <v>251</v>
      </c>
      <c r="E136" s="255"/>
      <c r="F136" s="300"/>
      <c r="G136" s="300"/>
      <c r="H136" s="297"/>
      <c r="I136" s="298"/>
      <c r="J136" s="299"/>
      <c r="K136" s="298"/>
      <c r="L136" s="298"/>
      <c r="M136" s="298"/>
      <c r="N136" s="298"/>
      <c r="O136" s="298"/>
      <c r="P136" s="254"/>
      <c r="Q136" s="66"/>
    </row>
    <row r="137" spans="1:17" ht="14.4" outlineLevel="1" x14ac:dyDescent="0.3">
      <c r="A137" s="606"/>
      <c r="B137" s="276"/>
      <c r="C137" s="596"/>
      <c r="D137" s="596"/>
      <c r="E137" s="270"/>
      <c r="F137" s="300"/>
      <c r="G137" s="300"/>
      <c r="H137" s="297"/>
      <c r="I137" s="298"/>
      <c r="J137" s="299"/>
      <c r="K137" s="298"/>
      <c r="L137" s="298"/>
      <c r="M137" s="298"/>
      <c r="N137" s="298"/>
      <c r="O137" s="298"/>
      <c r="P137" s="254"/>
      <c r="Q137" s="66"/>
    </row>
    <row r="138" spans="1:17" ht="14.4" outlineLevel="1" x14ac:dyDescent="0.3">
      <c r="A138" s="606"/>
      <c r="B138" s="276"/>
      <c r="C138" s="596"/>
      <c r="D138" s="596"/>
      <c r="E138" s="270"/>
      <c r="F138" s="300"/>
      <c r="G138" s="300"/>
      <c r="H138" s="297"/>
      <c r="I138" s="298"/>
      <c r="J138" s="299"/>
      <c r="K138" s="298"/>
      <c r="L138" s="298"/>
      <c r="M138" s="298"/>
      <c r="N138" s="298"/>
      <c r="O138" s="298"/>
      <c r="P138" s="254"/>
      <c r="Q138" s="66"/>
    </row>
    <row r="139" spans="1:17" ht="14.4" outlineLevel="1" x14ac:dyDescent="0.3">
      <c r="A139" s="606"/>
      <c r="B139" s="276"/>
      <c r="C139" s="596"/>
      <c r="D139" s="596"/>
      <c r="E139" s="270"/>
      <c r="F139" s="300"/>
      <c r="G139" s="300"/>
      <c r="H139" s="297"/>
      <c r="I139" s="298"/>
      <c r="J139" s="299"/>
      <c r="K139" s="298"/>
      <c r="L139" s="298"/>
      <c r="M139" s="298"/>
      <c r="N139" s="298"/>
      <c r="O139" s="298"/>
      <c r="P139" s="254"/>
      <c r="Q139" s="66"/>
    </row>
    <row r="140" spans="1:17" s="42" customFormat="1" ht="14.4" outlineLevel="1" x14ac:dyDescent="0.3">
      <c r="A140" s="606"/>
      <c r="B140" s="250"/>
      <c r="C140" s="599" t="s">
        <v>105</v>
      </c>
      <c r="D140" s="599"/>
      <c r="E140" s="251"/>
      <c r="F140" s="252"/>
      <c r="G140" s="252"/>
      <c r="H140" s="252"/>
      <c r="I140" s="252"/>
      <c r="J140" s="252"/>
      <c r="K140" s="252"/>
      <c r="L140" s="252"/>
      <c r="M140" s="252"/>
      <c r="N140" s="252"/>
      <c r="O140" s="252"/>
      <c r="P140" s="253"/>
      <c r="Q140" s="150"/>
    </row>
    <row r="141" spans="1:17" ht="14.4" outlineLevel="1" x14ac:dyDescent="0.3">
      <c r="A141" s="606"/>
      <c r="B141" s="151">
        <v>29</v>
      </c>
      <c r="C141" s="257" t="s">
        <v>107</v>
      </c>
      <c r="D141" s="255" t="s">
        <v>33</v>
      </c>
      <c r="E141" s="255"/>
      <c r="F141" s="300"/>
      <c r="G141" s="300"/>
      <c r="H141" s="297"/>
      <c r="I141" s="298"/>
      <c r="J141" s="298"/>
      <c r="K141" s="298"/>
      <c r="L141" s="298"/>
      <c r="M141" s="298"/>
      <c r="N141" s="298"/>
      <c r="O141" s="298"/>
      <c r="P141" s="254">
        <f t="shared" ref="P141:P142" si="10">SUM(H141:O141)</f>
        <v>0</v>
      </c>
      <c r="Q141" s="66"/>
    </row>
    <row r="142" spans="1:17" ht="14.4" outlineLevel="1" x14ac:dyDescent="0.3">
      <c r="A142" s="606"/>
      <c r="B142" s="151">
        <v>30</v>
      </c>
      <c r="C142" s="257" t="s">
        <v>106</v>
      </c>
      <c r="D142" s="255" t="s">
        <v>33</v>
      </c>
      <c r="E142" s="255"/>
      <c r="F142" s="300"/>
      <c r="G142" s="300"/>
      <c r="H142" s="297"/>
      <c r="I142" s="298"/>
      <c r="J142" s="298"/>
      <c r="K142" s="298"/>
      <c r="L142" s="298"/>
      <c r="M142" s="298"/>
      <c r="N142" s="298"/>
      <c r="O142" s="298"/>
      <c r="P142" s="254">
        <f t="shared" si="10"/>
        <v>0</v>
      </c>
      <c r="Q142" s="66"/>
    </row>
    <row r="143" spans="1:17" ht="14.4" outlineLevel="1" x14ac:dyDescent="0.3">
      <c r="A143" s="606"/>
      <c r="B143" s="151"/>
      <c r="C143" s="258" t="s">
        <v>253</v>
      </c>
      <c r="D143" s="255" t="s">
        <v>251</v>
      </c>
      <c r="E143" s="255"/>
      <c r="F143" s="300"/>
      <c r="G143" s="300"/>
      <c r="H143" s="297"/>
      <c r="I143" s="298"/>
      <c r="J143" s="298"/>
      <c r="K143" s="298"/>
      <c r="L143" s="298"/>
      <c r="M143" s="298"/>
      <c r="N143" s="298"/>
      <c r="O143" s="298"/>
      <c r="P143" s="254"/>
      <c r="Q143" s="66"/>
    </row>
    <row r="144" spans="1:17" ht="14.4" outlineLevel="1" x14ac:dyDescent="0.3">
      <c r="A144" s="606"/>
      <c r="B144" s="151"/>
      <c r="C144" s="596"/>
      <c r="D144" s="596"/>
      <c r="E144" s="270"/>
      <c r="F144" s="300"/>
      <c r="G144" s="300"/>
      <c r="H144" s="297"/>
      <c r="I144" s="298"/>
      <c r="J144" s="298"/>
      <c r="K144" s="298"/>
      <c r="L144" s="298"/>
      <c r="M144" s="298"/>
      <c r="N144" s="298"/>
      <c r="O144" s="298"/>
      <c r="P144" s="254"/>
      <c r="Q144" s="66"/>
    </row>
    <row r="145" spans="1:17" ht="14.4" outlineLevel="1" x14ac:dyDescent="0.3">
      <c r="A145" s="606"/>
      <c r="B145" s="151"/>
      <c r="C145" s="609"/>
      <c r="D145" s="609"/>
      <c r="E145" s="356"/>
      <c r="F145" s="405"/>
      <c r="G145" s="405"/>
      <c r="H145" s="297"/>
      <c r="I145" s="298"/>
      <c r="J145" s="298"/>
      <c r="K145" s="298"/>
      <c r="L145" s="298"/>
      <c r="M145" s="298"/>
      <c r="N145" s="298"/>
      <c r="O145" s="298"/>
      <c r="P145" s="254"/>
      <c r="Q145" s="66"/>
    </row>
    <row r="146" spans="1:17" ht="14.4" x14ac:dyDescent="0.3">
      <c r="A146" s="606"/>
      <c r="B146" s="357"/>
      <c r="C146" s="595" t="s">
        <v>219</v>
      </c>
      <c r="D146" s="595"/>
      <c r="E146" s="358"/>
      <c r="F146" s="359"/>
      <c r="G146" s="359"/>
      <c r="H146" s="360">
        <f>SUM(G91*H91,G92*H92,G93*H93,G94*H94,G95*H95,G96*H96,G99*H99,G126*H126,G97*H97,G98*H98,G101*H101)</f>
        <v>127178.601</v>
      </c>
      <c r="I146" s="360">
        <f>SUM(G104*I104,G105*I105,G109*I109,G110*I110,G111*I111,G106*I106,G107*I107,G108*I108,G113*I113,G114*I114,G132*I132)</f>
        <v>603591.7121</v>
      </c>
      <c r="J146" s="361"/>
      <c r="K146" s="358"/>
      <c r="L146" s="358"/>
      <c r="M146" s="358"/>
      <c r="N146" s="360"/>
      <c r="O146" s="358"/>
      <c r="P146" s="362">
        <f>SUM(H146:O146)</f>
        <v>730770.31310000003</v>
      </c>
      <c r="Q146" s="66"/>
    </row>
    <row r="147" spans="1:17" ht="14.4" x14ac:dyDescent="0.3">
      <c r="A147" s="606"/>
      <c r="B147" s="499"/>
      <c r="C147" s="500" t="s">
        <v>499</v>
      </c>
      <c r="D147" s="500"/>
      <c r="E147" s="501"/>
      <c r="F147" s="502"/>
      <c r="G147" s="502"/>
      <c r="H147" s="503">
        <f>H146-SUM(G97*H97,G98*H98)</f>
        <v>127178.601</v>
      </c>
      <c r="I147" s="503">
        <f>I146-SUM(G109*I109,G110*I110,G111*I111)</f>
        <v>603591.7121</v>
      </c>
      <c r="J147" s="504"/>
      <c r="K147" s="501"/>
      <c r="L147" s="501"/>
      <c r="M147" s="501"/>
      <c r="N147" s="501"/>
      <c r="O147" s="501"/>
      <c r="P147" s="505"/>
      <c r="Q147" s="66"/>
    </row>
    <row r="148" spans="1:17" ht="14.4" x14ac:dyDescent="0.3">
      <c r="A148" s="606"/>
      <c r="B148" s="277"/>
      <c r="C148" s="596" t="s">
        <v>316</v>
      </c>
      <c r="D148" s="596"/>
      <c r="E148" s="271"/>
      <c r="F148" s="269"/>
      <c r="G148" s="269"/>
      <c r="H148" s="271"/>
      <c r="I148" s="271"/>
      <c r="J148" s="272">
        <f>SUM($F$104*J104*$E$104,$E$105*$F$105*J105,$E$106*$F$106*J106,$E$107*$F$107*J107,$E$108*$F$108*J108,$F$131*J131,$F$132*J132,$E$116*$F$116*J116,$E$117*$F$117*J117,$E$118*$F$118*J118,$E$119*$F$119*J119,$F$133*J133,$F$134*J134,$F$135*J135)</f>
        <v>335.12975999999998</v>
      </c>
      <c r="K148" s="272">
        <f>SUM($F$104*K104*$E$104,$E$105*$F$105*K105,$E$106*$F$106*K106,$E$107*$F$107*K107,$E$108*$F$108*K108,$F$131*K131,$F$132*K132,$E$116*$F$116*K116,$E$117*$F$117*K117,$E$118*$F$118*K118,$E$119*$F$119*K119,$F$133*K133,$F$134*K134,$F$135*K135)</f>
        <v>0</v>
      </c>
      <c r="L148" s="272"/>
      <c r="M148" s="272"/>
      <c r="N148" s="271"/>
      <c r="O148" s="271"/>
      <c r="P148" s="278">
        <f>SUM(H148:O148)</f>
        <v>335.12975999999998</v>
      </c>
      <c r="Q148" s="66"/>
    </row>
    <row r="149" spans="1:17" ht="14.4" x14ac:dyDescent="0.3">
      <c r="A149" s="606"/>
      <c r="B149" s="277"/>
      <c r="C149" s="596" t="s">
        <v>495</v>
      </c>
      <c r="D149" s="596"/>
      <c r="E149" s="271"/>
      <c r="F149" s="269"/>
      <c r="G149" s="269"/>
      <c r="H149" s="271"/>
      <c r="I149" s="271"/>
      <c r="J149" s="272">
        <f>J148-($E$106*$F$106*J106)</f>
        <v>335.12975999999998</v>
      </c>
      <c r="K149" s="272">
        <f>K148-($E$106*$F$106*K106)</f>
        <v>0</v>
      </c>
      <c r="L149" s="271"/>
      <c r="M149" s="271"/>
      <c r="N149" s="271"/>
      <c r="O149" s="271"/>
      <c r="P149" s="278"/>
      <c r="Q149" s="66"/>
    </row>
    <row r="150" spans="1:17" ht="14.4" x14ac:dyDescent="0.3">
      <c r="A150" s="606"/>
      <c r="B150" s="279"/>
      <c r="C150" s="597"/>
      <c r="D150" s="597"/>
      <c r="E150" s="264"/>
      <c r="F150" s="262"/>
      <c r="G150" s="262"/>
      <c r="H150" s="264"/>
      <c r="I150" s="264"/>
      <c r="J150" s="264"/>
      <c r="K150" s="264"/>
      <c r="L150" s="264"/>
      <c r="M150" s="264"/>
      <c r="N150" s="264"/>
      <c r="O150" s="264"/>
      <c r="P150" s="280"/>
      <c r="Q150" s="66"/>
    </row>
    <row r="151" spans="1:17" ht="14.4" x14ac:dyDescent="0.3">
      <c r="A151" s="606"/>
      <c r="B151" s="385"/>
      <c r="C151" s="598" t="s">
        <v>319</v>
      </c>
      <c r="D151" s="598"/>
      <c r="E151" s="255"/>
      <c r="F151" s="266"/>
      <c r="G151" s="255"/>
      <c r="H151" s="267">
        <f>'3.  Distribution Rates'!F33</f>
        <v>1.2741666666666665E-2</v>
      </c>
      <c r="I151" s="267">
        <f>'3.  Distribution Rates'!F34</f>
        <v>1.594166666666667E-2</v>
      </c>
      <c r="J151" s="267">
        <f>'3.  Distribution Rates'!F35</f>
        <v>2.902908333333333</v>
      </c>
      <c r="K151" s="267">
        <f>'3.  Distribution Rates'!F36</f>
        <v>2.4656583333333333</v>
      </c>
      <c r="L151" s="267">
        <f>'3.  Distribution Rates'!F37</f>
        <v>2.4083333333333335E-2</v>
      </c>
      <c r="M151" s="267">
        <f>'3.  Distribution Rates'!F38</f>
        <v>11.729825</v>
      </c>
      <c r="N151" s="267">
        <f>'3.  Distribution Rates'!F39</f>
        <v>21.299366666666668</v>
      </c>
      <c r="O151" s="267"/>
      <c r="P151" s="386"/>
      <c r="Q151" s="66"/>
    </row>
    <row r="152" spans="1:17" ht="14.4" x14ac:dyDescent="0.3">
      <c r="A152" s="606"/>
      <c r="B152" s="385"/>
      <c r="C152" s="598" t="s">
        <v>231</v>
      </c>
      <c r="D152" s="598"/>
      <c r="E152" s="264"/>
      <c r="F152" s="266"/>
      <c r="G152" s="266"/>
      <c r="H152" s="382">
        <f>'4.  2011-14 LRAM'!H75*H151</f>
        <v>2078.8144343492304</v>
      </c>
      <c r="I152" s="382">
        <f>'4.  2011-14 LRAM'!I75*I151</f>
        <v>6635.6795833361039</v>
      </c>
      <c r="J152" s="382">
        <f>'4.  2011-14 LRAM'!J75*J151</f>
        <v>345.173319441449</v>
      </c>
      <c r="K152" s="382">
        <f>'4.  2011-14 LRAM'!K75*K151</f>
        <v>7.9272747971462874</v>
      </c>
      <c r="L152" s="382">
        <f>'4.  2011-14 LRAM'!L75*L151</f>
        <v>0</v>
      </c>
      <c r="M152" s="382">
        <f>'4.  2011-14 LRAM'!M75*M151</f>
        <v>0</v>
      </c>
      <c r="N152" s="382">
        <f>'4.  2011-14 LRAM'!N75*N151</f>
        <v>0</v>
      </c>
      <c r="O152" s="255"/>
      <c r="P152" s="281">
        <f>SUM(H152:O152)</f>
        <v>9067.5946119239288</v>
      </c>
      <c r="Q152" s="66"/>
    </row>
    <row r="153" spans="1:17" ht="14.4" x14ac:dyDescent="0.3">
      <c r="A153" s="606"/>
      <c r="B153" s="385"/>
      <c r="C153" s="598" t="s">
        <v>232</v>
      </c>
      <c r="D153" s="598"/>
      <c r="E153" s="264"/>
      <c r="F153" s="266"/>
      <c r="G153" s="266"/>
      <c r="H153" s="382">
        <f>H146*H151</f>
        <v>1620.4673410749997</v>
      </c>
      <c r="I153" s="382">
        <f>I146*I151</f>
        <v>9622.2578770608361</v>
      </c>
      <c r="J153" s="382">
        <f>J148*J151</f>
        <v>972.85097305199986</v>
      </c>
      <c r="K153" s="382">
        <f>K148*K151</f>
        <v>0</v>
      </c>
      <c r="L153" s="382">
        <f>L148*L151</f>
        <v>0</v>
      </c>
      <c r="M153" s="382">
        <f>M148*M151</f>
        <v>0</v>
      </c>
      <c r="N153" s="382">
        <f>N146*N151</f>
        <v>0</v>
      </c>
      <c r="O153" s="255"/>
      <c r="P153" s="281">
        <f>SUM(H153:O153)</f>
        <v>12215.576191187836</v>
      </c>
      <c r="Q153" s="66"/>
    </row>
    <row r="154" spans="1:17" ht="14.4" x14ac:dyDescent="0.3">
      <c r="A154" s="606"/>
      <c r="B154" s="279"/>
      <c r="C154" s="383" t="s">
        <v>97</v>
      </c>
      <c r="D154" s="264"/>
      <c r="E154" s="264"/>
      <c r="F154" s="262"/>
      <c r="G154" s="262"/>
      <c r="H154" s="268">
        <f>SUM(H152:H153)</f>
        <v>3699.2817754242301</v>
      </c>
      <c r="I154" s="268">
        <f>SUM(I152:I153)</f>
        <v>16257.937460396941</v>
      </c>
      <c r="J154" s="268">
        <f>SUM(J152:J153)</f>
        <v>1318.0242924934489</v>
      </c>
      <c r="K154" s="268">
        <f t="shared" ref="K154:M154" si="11">SUM(K152:K153)</f>
        <v>7.9272747971462874</v>
      </c>
      <c r="L154" s="268">
        <f t="shared" si="11"/>
        <v>0</v>
      </c>
      <c r="M154" s="268">
        <f t="shared" si="11"/>
        <v>0</v>
      </c>
      <c r="N154" s="268">
        <f>SUM(N152:N153)</f>
        <v>0</v>
      </c>
      <c r="O154" s="264"/>
      <c r="P154" s="282">
        <f>SUM(P152:P153)</f>
        <v>21283.170803111767</v>
      </c>
      <c r="Q154" s="66"/>
    </row>
    <row r="155" spans="1:17" s="23" customFormat="1" ht="14.4" x14ac:dyDescent="0.3">
      <c r="A155" s="606"/>
      <c r="B155" s="385"/>
      <c r="C155" s="598" t="s">
        <v>95</v>
      </c>
      <c r="D155" s="598"/>
      <c r="E155" s="255"/>
      <c r="F155" s="266"/>
      <c r="G155" s="266"/>
      <c r="H155" s="255">
        <f>H147*'6.  Persistence Rates'!$F$26</f>
        <v>120560.98221570482</v>
      </c>
      <c r="I155" s="255">
        <f>I147*'6.  Persistence Rates'!$F$26</f>
        <v>572184.385547966</v>
      </c>
      <c r="J155" s="255">
        <f>J149*'6.  Persistence Rates'!$R$26</f>
        <v>294.43543199999993</v>
      </c>
      <c r="K155" s="255">
        <f>K149*'6.  Persistence Rates'!$R$26</f>
        <v>0</v>
      </c>
      <c r="L155" s="255">
        <f>L148*'6.  Persistence Rates'!$R$26</f>
        <v>0</v>
      </c>
      <c r="M155" s="255">
        <f>M148*'6.  Persistence Rates'!$R$26</f>
        <v>0</v>
      </c>
      <c r="N155" s="255">
        <f>N146*'6.  Persistence Rates'!F26</f>
        <v>0</v>
      </c>
      <c r="O155" s="255"/>
      <c r="P155" s="386"/>
      <c r="Q155" s="66"/>
    </row>
    <row r="156" spans="1:17" s="23" customFormat="1" ht="14.4" x14ac:dyDescent="0.3">
      <c r="A156" s="606"/>
      <c r="B156" s="385"/>
      <c r="C156" s="598" t="s">
        <v>96</v>
      </c>
      <c r="D156" s="598"/>
      <c r="E156" s="255"/>
      <c r="F156" s="266"/>
      <c r="G156" s="266"/>
      <c r="H156" s="255">
        <f>$H$147*'6.  Persistence Rates'!$G$26</f>
        <v>116710.73128666036</v>
      </c>
      <c r="I156" s="255">
        <f>$I$147*'6.  Persistence Rates'!$G$26</f>
        <v>553911.03191769158</v>
      </c>
      <c r="J156" s="255">
        <f>$J$149*'6.  Persistence Rates'!$S$26</f>
        <v>282.46651199999997</v>
      </c>
      <c r="K156" s="255">
        <f>$K$149*'6.  Persistence Rates'!$S$26</f>
        <v>0</v>
      </c>
      <c r="L156" s="255">
        <f>$L$148*'6.  Persistence Rates'!$S$26</f>
        <v>0</v>
      </c>
      <c r="M156" s="255">
        <f>$M$148*'6.  Persistence Rates'!$S$26</f>
        <v>0</v>
      </c>
      <c r="N156" s="255">
        <f>$N$146*'6.  Persistence Rates'!$G$26</f>
        <v>0</v>
      </c>
      <c r="O156" s="255"/>
      <c r="P156" s="386"/>
      <c r="Q156" s="66"/>
    </row>
    <row r="157" spans="1:17" s="23" customFormat="1" ht="14.4" x14ac:dyDescent="0.3">
      <c r="A157" s="249"/>
      <c r="B157" s="385"/>
      <c r="C157" s="265" t="s">
        <v>419</v>
      </c>
      <c r="D157" s="265"/>
      <c r="E157" s="255"/>
      <c r="F157" s="266"/>
      <c r="G157" s="266"/>
      <c r="H157" s="255">
        <f>$H$147*'6.  Persistence Rates'!$H$26</f>
        <v>0</v>
      </c>
      <c r="I157" s="255">
        <f>$I$147*'6.  Persistence Rates'!$H$26</f>
        <v>0</v>
      </c>
      <c r="J157" s="255">
        <f>$J$149*'6.  Persistence Rates'!$T$26</f>
        <v>0</v>
      </c>
      <c r="K157" s="255">
        <f>$K$149*'6.  Persistence Rates'!$T$26</f>
        <v>0</v>
      </c>
      <c r="L157" s="255">
        <f>$L$148*'6.  Persistence Rates'!$T$26</f>
        <v>0</v>
      </c>
      <c r="M157" s="255">
        <f>$M$148*'6.  Persistence Rates'!$T$26</f>
        <v>0</v>
      </c>
      <c r="N157" s="255">
        <f>$N$146*'6.  Persistence Rates'!$H$26</f>
        <v>0</v>
      </c>
      <c r="O157" s="255"/>
      <c r="P157" s="386"/>
      <c r="Q157" s="66"/>
    </row>
    <row r="158" spans="1:17" s="23" customFormat="1" ht="14.4" x14ac:dyDescent="0.3">
      <c r="A158" s="249"/>
      <c r="B158" s="385"/>
      <c r="C158" s="265" t="s">
        <v>420</v>
      </c>
      <c r="D158" s="265"/>
      <c r="E158" s="255"/>
      <c r="F158" s="266"/>
      <c r="G158" s="266"/>
      <c r="H158" s="255">
        <f>$H$147*'6.  Persistence Rates'!$I$26</f>
        <v>0</v>
      </c>
      <c r="I158" s="255">
        <f>$I$147*'6.  Persistence Rates'!$I$26</f>
        <v>0</v>
      </c>
      <c r="J158" s="255">
        <f>$J$149*'6.  Persistence Rates'!$U$26</f>
        <v>0</v>
      </c>
      <c r="K158" s="255">
        <f>$K$149*'6.  Persistence Rates'!$U$26</f>
        <v>0</v>
      </c>
      <c r="L158" s="255">
        <f>$L$148*'6.  Persistence Rates'!$U$26</f>
        <v>0</v>
      </c>
      <c r="M158" s="255">
        <f>$M$148*'6.  Persistence Rates'!$U$26</f>
        <v>0</v>
      </c>
      <c r="N158" s="255">
        <f>$N$146*'6.  Persistence Rates'!$I$26</f>
        <v>0</v>
      </c>
      <c r="O158" s="255"/>
      <c r="P158" s="386"/>
      <c r="Q158" s="66"/>
    </row>
    <row r="159" spans="1:17" s="23" customFormat="1" ht="14.4" x14ac:dyDescent="0.3">
      <c r="A159" s="249"/>
      <c r="B159" s="385"/>
      <c r="C159" s="265" t="s">
        <v>421</v>
      </c>
      <c r="D159" s="265"/>
      <c r="E159" s="255"/>
      <c r="F159" s="266"/>
      <c r="G159" s="266"/>
      <c r="H159" s="255">
        <f>$H$147*'6.  Persistence Rates'!$J$26</f>
        <v>0</v>
      </c>
      <c r="I159" s="255">
        <f>$I$147*'6.  Persistence Rates'!$J$26</f>
        <v>0</v>
      </c>
      <c r="J159" s="255">
        <f>$J$149*'6.  Persistence Rates'!$V$26</f>
        <v>0</v>
      </c>
      <c r="K159" s="255">
        <f>$K$149*'6.  Persistence Rates'!$V$26</f>
        <v>0</v>
      </c>
      <c r="L159" s="255">
        <f>$L$148*'6.  Persistence Rates'!$V$26</f>
        <v>0</v>
      </c>
      <c r="M159" s="255">
        <f>$M$148*'6.  Persistence Rates'!$V$26</f>
        <v>0</v>
      </c>
      <c r="N159" s="255">
        <f>$N$146*'6.  Persistence Rates'!$J$26</f>
        <v>0</v>
      </c>
      <c r="O159" s="255"/>
      <c r="P159" s="386"/>
      <c r="Q159" s="66"/>
    </row>
    <row r="160" spans="1:17" s="23" customFormat="1" ht="14.4" x14ac:dyDescent="0.3">
      <c r="A160" s="249"/>
      <c r="B160" s="385"/>
      <c r="C160" s="265" t="s">
        <v>422</v>
      </c>
      <c r="D160" s="265"/>
      <c r="E160" s="255"/>
      <c r="F160" s="266"/>
      <c r="G160" s="266"/>
      <c r="H160" s="255">
        <f>$H$147*'6.  Persistence Rates'!$K$26</f>
        <v>0</v>
      </c>
      <c r="I160" s="255">
        <f>$I$147*'6.  Persistence Rates'!$K$26</f>
        <v>0</v>
      </c>
      <c r="J160" s="255">
        <f>$J$149*'6.  Persistence Rates'!$W$26</f>
        <v>0</v>
      </c>
      <c r="K160" s="255">
        <f>$K$149*'6.  Persistence Rates'!$W$26</f>
        <v>0</v>
      </c>
      <c r="L160" s="255">
        <f>$L$148*'6.  Persistence Rates'!$W$26</f>
        <v>0</v>
      </c>
      <c r="M160" s="255">
        <f>$M$148*'6.  Persistence Rates'!$W$26</f>
        <v>0</v>
      </c>
      <c r="N160" s="255">
        <f>$N$146*'6.  Persistence Rates'!$K$26</f>
        <v>0</v>
      </c>
      <c r="O160" s="255"/>
      <c r="P160" s="386"/>
      <c r="Q160" s="66"/>
    </row>
    <row r="161" spans="1:17" s="23" customFormat="1" ht="14.4" x14ac:dyDescent="0.3">
      <c r="A161" s="249"/>
      <c r="B161" s="385"/>
      <c r="C161" s="517" t="s">
        <v>423</v>
      </c>
      <c r="D161" s="517"/>
      <c r="E161" s="255"/>
      <c r="F161" s="266"/>
      <c r="G161" s="266"/>
      <c r="H161" s="255">
        <f>$H$147*'6.  Persistence Rates'!$L$26</f>
        <v>0</v>
      </c>
      <c r="I161" s="255">
        <f>$I$147*'6.  Persistence Rates'!$L$26</f>
        <v>0</v>
      </c>
      <c r="J161" s="255">
        <f>$J$149*'6.  Persistence Rates'!$X$26</f>
        <v>0</v>
      </c>
      <c r="K161" s="255">
        <f>$K$149*'6.  Persistence Rates'!$X$26</f>
        <v>0</v>
      </c>
      <c r="L161" s="255">
        <f>$L$148*'6.  Persistence Rates'!$X$26</f>
        <v>0</v>
      </c>
      <c r="M161" s="255">
        <f>$M$148*'6.  Persistence Rates'!$X$26</f>
        <v>0</v>
      </c>
      <c r="N161" s="255">
        <f>$N$146*'6.  Persistence Rates'!$L$26</f>
        <v>0</v>
      </c>
      <c r="O161" s="255"/>
      <c r="P161" s="386"/>
      <c r="Q161" s="66"/>
    </row>
    <row r="162" spans="1:17" x14ac:dyDescent="0.3">
      <c r="B162" s="401"/>
      <c r="C162" s="518" t="s">
        <v>424</v>
      </c>
      <c r="D162" s="402"/>
      <c r="E162" s="402"/>
      <c r="F162" s="403"/>
      <c r="G162" s="403"/>
      <c r="H162" s="529">
        <f>$H$147*'6.  Persistence Rates'!$M$26</f>
        <v>0</v>
      </c>
      <c r="I162" s="529">
        <f>$I$147*'6.  Persistence Rates'!$M$26</f>
        <v>0</v>
      </c>
      <c r="J162" s="529">
        <f>$J$149*'6.  Persistence Rates'!$Y$26</f>
        <v>0</v>
      </c>
      <c r="K162" s="529">
        <f>$K$149*'6.  Persistence Rates'!$Y$26</f>
        <v>0</v>
      </c>
      <c r="L162" s="529">
        <f>$L$148*'6.  Persistence Rates'!$Y$26</f>
        <v>0</v>
      </c>
      <c r="M162" s="529">
        <f>$M$148*'6.  Persistence Rates'!$Y$26</f>
        <v>0</v>
      </c>
      <c r="N162" s="529">
        <f>$N$146*'6.  Persistence Rates'!$M$26</f>
        <v>0</v>
      </c>
      <c r="O162" s="334"/>
      <c r="P162" s="404"/>
      <c r="Q162" s="66"/>
    </row>
    <row r="163" spans="1:17" x14ac:dyDescent="0.3">
      <c r="B163" s="69"/>
      <c r="C163" s="144"/>
      <c r="D163" s="69"/>
      <c r="E163" s="69"/>
      <c r="F163" s="66"/>
      <c r="G163" s="66"/>
      <c r="H163" s="66"/>
      <c r="I163" s="66"/>
      <c r="J163" s="66"/>
      <c r="K163" s="66"/>
      <c r="L163" s="66"/>
      <c r="M163" s="66"/>
      <c r="N163" s="66"/>
      <c r="O163" s="66"/>
      <c r="P163" s="66"/>
      <c r="Q163" s="66"/>
    </row>
    <row r="164" spans="1:17" x14ac:dyDescent="0.3">
      <c r="B164" s="69"/>
      <c r="C164" s="144"/>
      <c r="D164" s="69"/>
      <c r="E164" s="69"/>
      <c r="F164" s="66"/>
      <c r="G164" s="66"/>
      <c r="H164" s="66"/>
      <c r="I164" s="66"/>
      <c r="J164" s="66"/>
      <c r="K164" s="66"/>
      <c r="L164" s="66"/>
      <c r="M164" s="66"/>
      <c r="N164" s="66"/>
      <c r="O164" s="66"/>
      <c r="P164" s="66"/>
      <c r="Q164" s="66"/>
    </row>
    <row r="165" spans="1:17" x14ac:dyDescent="0.3">
      <c r="B165" s="604" t="s">
        <v>352</v>
      </c>
      <c r="C165" s="604"/>
      <c r="D165" s="604"/>
      <c r="E165" s="604"/>
      <c r="F165" s="604"/>
      <c r="G165" s="604"/>
      <c r="H165" s="604"/>
      <c r="I165" s="604"/>
      <c r="J165" s="604"/>
      <c r="K165" s="604"/>
      <c r="L165" s="604"/>
      <c r="M165" s="604"/>
      <c r="N165" s="604"/>
      <c r="O165" s="604"/>
      <c r="P165" s="604"/>
      <c r="Q165" s="66"/>
    </row>
    <row r="166" spans="1:17" x14ac:dyDescent="0.3">
      <c r="B166" s="69"/>
      <c r="C166" s="144"/>
      <c r="D166" s="69"/>
      <c r="E166" s="69"/>
      <c r="F166" s="66"/>
      <c r="G166" s="66"/>
      <c r="H166" s="66"/>
      <c r="I166" s="66"/>
      <c r="J166" s="66"/>
      <c r="K166" s="66"/>
      <c r="L166" s="66"/>
      <c r="M166" s="66"/>
      <c r="N166" s="66"/>
      <c r="O166" s="66"/>
      <c r="P166" s="66"/>
      <c r="Q166" s="66"/>
    </row>
    <row r="167" spans="1:17" ht="41.4" x14ac:dyDescent="0.3">
      <c r="B167" s="591" t="s">
        <v>58</v>
      </c>
      <c r="C167" s="593" t="s">
        <v>0</v>
      </c>
      <c r="D167" s="593" t="s">
        <v>44</v>
      </c>
      <c r="E167" s="593" t="s">
        <v>203</v>
      </c>
      <c r="F167" s="274" t="s">
        <v>45</v>
      </c>
      <c r="G167" s="274" t="s">
        <v>200</v>
      </c>
      <c r="H167" s="601" t="s">
        <v>59</v>
      </c>
      <c r="I167" s="602"/>
      <c r="J167" s="602"/>
      <c r="K167" s="602"/>
      <c r="L167" s="602"/>
      <c r="M167" s="602"/>
      <c r="N167" s="602"/>
      <c r="O167" s="602"/>
      <c r="P167" s="603"/>
      <c r="Q167" s="66"/>
    </row>
    <row r="168" spans="1:17" ht="55.2" x14ac:dyDescent="0.3">
      <c r="B168" s="608"/>
      <c r="C168" s="594"/>
      <c r="D168" s="594"/>
      <c r="E168" s="594"/>
      <c r="F168" s="140" t="s">
        <v>99</v>
      </c>
      <c r="G168" s="140" t="s">
        <v>100</v>
      </c>
      <c r="H168" s="140" t="s">
        <v>37</v>
      </c>
      <c r="I168" s="140" t="s">
        <v>503</v>
      </c>
      <c r="J168" s="140" t="s">
        <v>504</v>
      </c>
      <c r="K168" s="140" t="s">
        <v>505</v>
      </c>
      <c r="L168" s="140" t="s">
        <v>42</v>
      </c>
      <c r="M168" s="140" t="s">
        <v>40</v>
      </c>
      <c r="N168" s="140" t="s">
        <v>500</v>
      </c>
      <c r="O168" s="140" t="s">
        <v>105</v>
      </c>
      <c r="P168" s="384" t="s">
        <v>34</v>
      </c>
      <c r="Q168" s="66"/>
    </row>
    <row r="169" spans="1:17" s="42" customFormat="1" ht="15" customHeight="1" outlineLevel="1" x14ac:dyDescent="0.3">
      <c r="A169" s="606">
        <v>2013</v>
      </c>
      <c r="B169" s="378"/>
      <c r="C169" s="605" t="s">
        <v>1</v>
      </c>
      <c r="D169" s="605"/>
      <c r="E169" s="379"/>
      <c r="F169" s="380"/>
      <c r="G169" s="380"/>
      <c r="H169" s="380"/>
      <c r="I169" s="380"/>
      <c r="J169" s="380"/>
      <c r="K169" s="380"/>
      <c r="L169" s="380"/>
      <c r="M169" s="380"/>
      <c r="N169" s="380"/>
      <c r="O169" s="380"/>
      <c r="P169" s="381"/>
      <c r="Q169" s="150"/>
    </row>
    <row r="170" spans="1:17" ht="14.4" outlineLevel="1" x14ac:dyDescent="0.3">
      <c r="A170" s="606"/>
      <c r="B170" s="276">
        <v>1</v>
      </c>
      <c r="C170" s="257" t="s">
        <v>2</v>
      </c>
      <c r="D170" s="255" t="s">
        <v>33</v>
      </c>
      <c r="E170" s="255"/>
      <c r="F170" s="300">
        <v>3.6429999999999998</v>
      </c>
      <c r="G170" s="300">
        <v>21580.708999999999</v>
      </c>
      <c r="H170" s="299">
        <v>1</v>
      </c>
      <c r="I170" s="298"/>
      <c r="J170" s="298"/>
      <c r="K170" s="298"/>
      <c r="L170" s="298"/>
      <c r="M170" s="298"/>
      <c r="N170" s="298"/>
      <c r="O170" s="298"/>
      <c r="P170" s="254">
        <f>SUM(H170:O170)</f>
        <v>1</v>
      </c>
      <c r="Q170" s="66"/>
    </row>
    <row r="171" spans="1:17" ht="14.4" outlineLevel="1" x14ac:dyDescent="0.3">
      <c r="A171" s="606"/>
      <c r="B171" s="276">
        <v>2</v>
      </c>
      <c r="C171" s="257" t="s">
        <v>3</v>
      </c>
      <c r="D171" s="255" t="s">
        <v>33</v>
      </c>
      <c r="E171" s="255"/>
      <c r="F171" s="300">
        <v>2.0720000000000001</v>
      </c>
      <c r="G171" s="300">
        <v>3694.3989999999999</v>
      </c>
      <c r="H171" s="299">
        <v>1</v>
      </c>
      <c r="I171" s="298"/>
      <c r="J171" s="298"/>
      <c r="K171" s="298"/>
      <c r="L171" s="298"/>
      <c r="M171" s="298"/>
      <c r="N171" s="298"/>
      <c r="O171" s="298"/>
      <c r="P171" s="254">
        <f t="shared" ref="P171:P181" si="12">SUM(H171:O171)</f>
        <v>1</v>
      </c>
      <c r="Q171" s="66"/>
    </row>
    <row r="172" spans="1:17" ht="14.4" outlineLevel="1" x14ac:dyDescent="0.3">
      <c r="A172" s="606"/>
      <c r="B172" s="276">
        <v>3</v>
      </c>
      <c r="C172" s="257" t="s">
        <v>4</v>
      </c>
      <c r="D172" s="255" t="s">
        <v>33</v>
      </c>
      <c r="E172" s="255"/>
      <c r="F172" s="300">
        <v>28.317</v>
      </c>
      <c r="G172" s="300">
        <v>50936.682000000001</v>
      </c>
      <c r="H172" s="299">
        <v>1</v>
      </c>
      <c r="I172" s="298"/>
      <c r="J172" s="298"/>
      <c r="K172" s="298"/>
      <c r="L172" s="298"/>
      <c r="M172" s="298"/>
      <c r="N172" s="298"/>
      <c r="O172" s="298"/>
      <c r="P172" s="254">
        <f t="shared" si="12"/>
        <v>1</v>
      </c>
      <c r="Q172" s="66"/>
    </row>
    <row r="173" spans="1:17" ht="14.4" outlineLevel="1" x14ac:dyDescent="0.3">
      <c r="A173" s="606"/>
      <c r="B173" s="276">
        <v>4</v>
      </c>
      <c r="C173" s="257" t="s">
        <v>5</v>
      </c>
      <c r="D173" s="255" t="s">
        <v>33</v>
      </c>
      <c r="E173" s="255"/>
      <c r="F173" s="300">
        <v>0.58299999999999996</v>
      </c>
      <c r="G173" s="300">
        <v>8703.5419999999995</v>
      </c>
      <c r="H173" s="299">
        <v>1</v>
      </c>
      <c r="I173" s="298"/>
      <c r="J173" s="298"/>
      <c r="K173" s="298"/>
      <c r="L173" s="298"/>
      <c r="M173" s="298"/>
      <c r="N173" s="298"/>
      <c r="O173" s="298"/>
      <c r="P173" s="254">
        <f t="shared" si="12"/>
        <v>1</v>
      </c>
      <c r="Q173" s="66"/>
    </row>
    <row r="174" spans="1:17" ht="14.4" outlineLevel="1" x14ac:dyDescent="0.3">
      <c r="A174" s="606"/>
      <c r="B174" s="276">
        <v>5</v>
      </c>
      <c r="C174" s="257" t="s">
        <v>6</v>
      </c>
      <c r="D174" s="255" t="s">
        <v>33</v>
      </c>
      <c r="E174" s="255"/>
      <c r="F174" s="300">
        <v>1.337</v>
      </c>
      <c r="G174" s="300">
        <v>19399.812999999998</v>
      </c>
      <c r="H174" s="299">
        <v>1</v>
      </c>
      <c r="I174" s="298"/>
      <c r="J174" s="298"/>
      <c r="K174" s="298"/>
      <c r="L174" s="298"/>
      <c r="M174" s="298"/>
      <c r="N174" s="298"/>
      <c r="O174" s="298"/>
      <c r="P174" s="254">
        <f t="shared" si="12"/>
        <v>1</v>
      </c>
      <c r="Q174" s="66"/>
    </row>
    <row r="175" spans="1:17" ht="14.4" outlineLevel="1" x14ac:dyDescent="0.3">
      <c r="A175" s="606"/>
      <c r="B175" s="276">
        <v>6</v>
      </c>
      <c r="C175" s="257" t="s">
        <v>7</v>
      </c>
      <c r="D175" s="255" t="s">
        <v>33</v>
      </c>
      <c r="E175" s="255"/>
      <c r="F175" s="300">
        <v>0</v>
      </c>
      <c r="G175" s="300">
        <v>0</v>
      </c>
      <c r="H175" s="299">
        <v>1</v>
      </c>
      <c r="I175" s="298"/>
      <c r="J175" s="298"/>
      <c r="K175" s="298"/>
      <c r="L175" s="298"/>
      <c r="M175" s="298"/>
      <c r="N175" s="298"/>
      <c r="O175" s="298"/>
      <c r="P175" s="254">
        <f t="shared" si="12"/>
        <v>1</v>
      </c>
      <c r="Q175" s="66"/>
    </row>
    <row r="176" spans="1:17" ht="27.6" outlineLevel="1" x14ac:dyDescent="0.3">
      <c r="A176" s="606"/>
      <c r="B176" s="276">
        <v>7</v>
      </c>
      <c r="C176" s="257" t="s">
        <v>32</v>
      </c>
      <c r="D176" s="255" t="s">
        <v>33</v>
      </c>
      <c r="E176" s="255"/>
      <c r="F176" s="300">
        <v>4.2249999999999996</v>
      </c>
      <c r="G176" s="300"/>
      <c r="H176" s="299">
        <v>1</v>
      </c>
      <c r="I176" s="298"/>
      <c r="J176" s="298"/>
      <c r="K176" s="298"/>
      <c r="L176" s="298"/>
      <c r="M176" s="298"/>
      <c r="N176" s="298"/>
      <c r="O176" s="298"/>
      <c r="P176" s="254">
        <f t="shared" si="12"/>
        <v>1</v>
      </c>
      <c r="Q176" s="66"/>
    </row>
    <row r="177" spans="1:17" ht="14.4" outlineLevel="1" x14ac:dyDescent="0.3">
      <c r="A177" s="606"/>
      <c r="B177" s="276">
        <v>8</v>
      </c>
      <c r="C177" s="257" t="s">
        <v>25</v>
      </c>
      <c r="D177" s="255" t="s">
        <v>33</v>
      </c>
      <c r="E177" s="255"/>
      <c r="F177" s="300">
        <v>0</v>
      </c>
      <c r="G177" s="300"/>
      <c r="H177" s="299">
        <v>1</v>
      </c>
      <c r="I177" s="298"/>
      <c r="J177" s="298"/>
      <c r="K177" s="298"/>
      <c r="L177" s="298"/>
      <c r="M177" s="298"/>
      <c r="N177" s="298"/>
      <c r="O177" s="298"/>
      <c r="P177" s="254">
        <f t="shared" si="12"/>
        <v>1</v>
      </c>
      <c r="Q177" s="66"/>
    </row>
    <row r="178" spans="1:17" ht="14.4" outlineLevel="1" x14ac:dyDescent="0.3">
      <c r="A178" s="606"/>
      <c r="B178" s="276">
        <v>9</v>
      </c>
      <c r="C178" s="257" t="s">
        <v>8</v>
      </c>
      <c r="D178" s="255" t="s">
        <v>33</v>
      </c>
      <c r="E178" s="255"/>
      <c r="F178" s="300">
        <v>0</v>
      </c>
      <c r="G178" s="300"/>
      <c r="H178" s="299">
        <v>1</v>
      </c>
      <c r="I178" s="298"/>
      <c r="J178" s="298"/>
      <c r="K178" s="298"/>
      <c r="L178" s="298"/>
      <c r="M178" s="298"/>
      <c r="N178" s="298"/>
      <c r="O178" s="298"/>
      <c r="P178" s="254">
        <f t="shared" si="12"/>
        <v>1</v>
      </c>
      <c r="Q178" s="66"/>
    </row>
    <row r="179" spans="1:17" ht="14.4" outlineLevel="1" x14ac:dyDescent="0.3">
      <c r="A179" s="606"/>
      <c r="B179" s="276"/>
      <c r="C179" s="258" t="s">
        <v>254</v>
      </c>
      <c r="D179" s="255" t="s">
        <v>251</v>
      </c>
      <c r="E179" s="255"/>
      <c r="F179" s="300"/>
      <c r="G179" s="300"/>
      <c r="H179" s="297"/>
      <c r="I179" s="298"/>
      <c r="J179" s="298"/>
      <c r="K179" s="298"/>
      <c r="L179" s="298"/>
      <c r="M179" s="298"/>
      <c r="N179" s="298"/>
      <c r="O179" s="298"/>
      <c r="P179" s="254">
        <f t="shared" si="12"/>
        <v>0</v>
      </c>
      <c r="Q179" s="66"/>
    </row>
    <row r="180" spans="1:17" ht="14.4" outlineLevel="1" x14ac:dyDescent="0.3">
      <c r="A180" s="606"/>
      <c r="B180" s="276"/>
      <c r="C180" s="596" t="s">
        <v>4</v>
      </c>
      <c r="D180" s="596"/>
      <c r="E180" s="270"/>
      <c r="F180" s="300">
        <v>2</v>
      </c>
      <c r="G180" s="300">
        <v>2789</v>
      </c>
      <c r="H180" s="297">
        <v>1</v>
      </c>
      <c r="I180" s="298"/>
      <c r="J180" s="298"/>
      <c r="K180" s="298"/>
      <c r="L180" s="298"/>
      <c r="M180" s="298"/>
      <c r="N180" s="298"/>
      <c r="O180" s="298"/>
      <c r="P180" s="254">
        <f t="shared" si="12"/>
        <v>1</v>
      </c>
      <c r="Q180" s="66"/>
    </row>
    <row r="181" spans="1:17" ht="14.4" outlineLevel="1" x14ac:dyDescent="0.3">
      <c r="A181" s="606"/>
      <c r="B181" s="276"/>
      <c r="C181" s="596" t="s">
        <v>5</v>
      </c>
      <c r="D181" s="596"/>
      <c r="E181" s="270"/>
      <c r="F181" s="300"/>
      <c r="G181" s="300">
        <v>27</v>
      </c>
      <c r="H181" s="297">
        <v>0.1</v>
      </c>
      <c r="I181" s="298"/>
      <c r="J181" s="298"/>
      <c r="K181" s="298"/>
      <c r="L181" s="298"/>
      <c r="M181" s="298"/>
      <c r="N181" s="298"/>
      <c r="O181" s="298"/>
      <c r="P181" s="254">
        <f t="shared" si="12"/>
        <v>0.1</v>
      </c>
      <c r="Q181" s="66"/>
    </row>
    <row r="182" spans="1:17" ht="14.4" outlineLevel="1" x14ac:dyDescent="0.3">
      <c r="A182" s="606"/>
      <c r="B182" s="276"/>
      <c r="C182" s="596"/>
      <c r="D182" s="596"/>
      <c r="E182" s="270"/>
      <c r="F182" s="300"/>
      <c r="G182" s="300"/>
      <c r="H182" s="297"/>
      <c r="I182" s="298"/>
      <c r="J182" s="298"/>
      <c r="K182" s="298"/>
      <c r="L182" s="298"/>
      <c r="M182" s="298"/>
      <c r="N182" s="298"/>
      <c r="O182" s="298"/>
      <c r="P182" s="254"/>
      <c r="Q182" s="66"/>
    </row>
    <row r="183" spans="1:17" s="42" customFormat="1" ht="14.4" outlineLevel="1" x14ac:dyDescent="0.3">
      <c r="A183" s="606"/>
      <c r="B183" s="387"/>
      <c r="C183" s="607" t="s">
        <v>9</v>
      </c>
      <c r="D183" s="607"/>
      <c r="E183" s="388"/>
      <c r="F183" s="389"/>
      <c r="G183" s="389"/>
      <c r="H183" s="389"/>
      <c r="I183" s="389"/>
      <c r="J183" s="389"/>
      <c r="K183" s="389"/>
      <c r="L183" s="389"/>
      <c r="M183" s="389"/>
      <c r="N183" s="389"/>
      <c r="O183" s="389"/>
      <c r="P183" s="390"/>
      <c r="Q183" s="150"/>
    </row>
    <row r="184" spans="1:17" ht="14.4" outlineLevel="1" x14ac:dyDescent="0.3">
      <c r="A184" s="606"/>
      <c r="B184" s="151">
        <v>10</v>
      </c>
      <c r="C184" s="259" t="s">
        <v>26</v>
      </c>
      <c r="D184" s="255" t="s">
        <v>33</v>
      </c>
      <c r="E184" s="255">
        <v>12</v>
      </c>
      <c r="F184" s="300">
        <v>88.721999999999994</v>
      </c>
      <c r="G184" s="300">
        <v>356535.91100000002</v>
      </c>
      <c r="H184" s="297"/>
      <c r="I184" s="299">
        <v>0.2</v>
      </c>
      <c r="J184" s="299">
        <v>0.8</v>
      </c>
      <c r="K184" s="299">
        <v>0</v>
      </c>
      <c r="L184" s="298"/>
      <c r="M184" s="298"/>
      <c r="N184" s="298"/>
      <c r="O184" s="298"/>
      <c r="P184" s="254">
        <f t="shared" ref="P184:P194" si="13">SUM(H184:O184)</f>
        <v>1</v>
      </c>
      <c r="Q184" s="66"/>
    </row>
    <row r="185" spans="1:17" ht="14.4" outlineLevel="1" x14ac:dyDescent="0.3">
      <c r="A185" s="606"/>
      <c r="B185" s="151">
        <v>11</v>
      </c>
      <c r="C185" s="257" t="s">
        <v>24</v>
      </c>
      <c r="D185" s="255" t="s">
        <v>33</v>
      </c>
      <c r="E185" s="255">
        <v>12</v>
      </c>
      <c r="F185" s="300">
        <v>57.048000000000002</v>
      </c>
      <c r="G185" s="300">
        <v>192984.00099999999</v>
      </c>
      <c r="H185" s="297"/>
      <c r="I185" s="299">
        <v>1</v>
      </c>
      <c r="J185" s="299">
        <v>0</v>
      </c>
      <c r="K185" s="299">
        <v>0</v>
      </c>
      <c r="L185" s="298"/>
      <c r="M185" s="298"/>
      <c r="N185" s="298"/>
      <c r="O185" s="298"/>
      <c r="P185" s="254">
        <f t="shared" si="13"/>
        <v>1</v>
      </c>
      <c r="Q185" s="66"/>
    </row>
    <row r="186" spans="1:17" ht="14.4" outlineLevel="1" x14ac:dyDescent="0.3">
      <c r="A186" s="606"/>
      <c r="B186" s="151">
        <v>12</v>
      </c>
      <c r="C186" s="257" t="s">
        <v>27</v>
      </c>
      <c r="D186" s="255" t="s">
        <v>33</v>
      </c>
      <c r="E186" s="255">
        <v>3</v>
      </c>
      <c r="F186" s="300">
        <v>0</v>
      </c>
      <c r="G186" s="300">
        <v>0</v>
      </c>
      <c r="H186" s="297"/>
      <c r="I186" s="299">
        <v>0</v>
      </c>
      <c r="J186" s="299">
        <v>0</v>
      </c>
      <c r="K186" s="299">
        <v>0</v>
      </c>
      <c r="L186" s="298"/>
      <c r="M186" s="298"/>
      <c r="N186" s="298"/>
      <c r="O186" s="298"/>
      <c r="P186" s="254">
        <f t="shared" si="13"/>
        <v>0</v>
      </c>
      <c r="Q186" s="66"/>
    </row>
    <row r="187" spans="1:17" ht="14.4" outlineLevel="1" x14ac:dyDescent="0.3">
      <c r="A187" s="606"/>
      <c r="B187" s="151">
        <v>13</v>
      </c>
      <c r="C187" s="257" t="s">
        <v>28</v>
      </c>
      <c r="D187" s="255" t="s">
        <v>33</v>
      </c>
      <c r="E187" s="255">
        <v>12</v>
      </c>
      <c r="F187" s="300">
        <v>0</v>
      </c>
      <c r="G187" s="300">
        <v>0</v>
      </c>
      <c r="H187" s="297"/>
      <c r="I187" s="299">
        <v>0</v>
      </c>
      <c r="J187" s="299">
        <v>0</v>
      </c>
      <c r="K187" s="299">
        <v>0</v>
      </c>
      <c r="L187" s="298"/>
      <c r="M187" s="298"/>
      <c r="N187" s="298"/>
      <c r="O187" s="298"/>
      <c r="P187" s="254">
        <f t="shared" si="13"/>
        <v>0</v>
      </c>
      <c r="Q187" s="66"/>
    </row>
    <row r="188" spans="1:17" ht="14.4" outlineLevel="1" x14ac:dyDescent="0.3">
      <c r="A188" s="606"/>
      <c r="B188" s="151">
        <v>14</v>
      </c>
      <c r="C188" s="257" t="s">
        <v>23</v>
      </c>
      <c r="D188" s="255" t="s">
        <v>33</v>
      </c>
      <c r="E188" s="255">
        <v>12</v>
      </c>
      <c r="F188" s="300">
        <v>0</v>
      </c>
      <c r="G188" s="300">
        <v>0</v>
      </c>
      <c r="H188" s="297"/>
      <c r="I188" s="299">
        <v>0</v>
      </c>
      <c r="J188" s="299">
        <v>0</v>
      </c>
      <c r="K188" s="299">
        <v>0</v>
      </c>
      <c r="L188" s="298"/>
      <c r="M188" s="298"/>
      <c r="N188" s="298"/>
      <c r="O188" s="298"/>
      <c r="P188" s="254">
        <f t="shared" si="13"/>
        <v>0</v>
      </c>
      <c r="Q188" s="66"/>
    </row>
    <row r="189" spans="1:17" ht="27.6" outlineLevel="1" x14ac:dyDescent="0.3">
      <c r="A189" s="606"/>
      <c r="B189" s="276">
        <v>15</v>
      </c>
      <c r="C189" s="257" t="s">
        <v>29</v>
      </c>
      <c r="D189" s="255" t="s">
        <v>33</v>
      </c>
      <c r="E189" s="255">
        <v>0</v>
      </c>
      <c r="F189" s="300">
        <v>0</v>
      </c>
      <c r="G189" s="300">
        <v>0</v>
      </c>
      <c r="H189" s="297"/>
      <c r="I189" s="299">
        <v>0</v>
      </c>
      <c r="J189" s="299">
        <v>0</v>
      </c>
      <c r="K189" s="299">
        <v>0</v>
      </c>
      <c r="L189" s="298"/>
      <c r="M189" s="298"/>
      <c r="N189" s="298"/>
      <c r="O189" s="298"/>
      <c r="P189" s="254">
        <f t="shared" si="13"/>
        <v>0</v>
      </c>
      <c r="Q189" s="66"/>
    </row>
    <row r="190" spans="1:17" ht="27.6" outlineLevel="1" x14ac:dyDescent="0.3">
      <c r="A190" s="606"/>
      <c r="B190" s="276">
        <v>16</v>
      </c>
      <c r="C190" s="257" t="s">
        <v>30</v>
      </c>
      <c r="D190" s="255" t="s">
        <v>33</v>
      </c>
      <c r="E190" s="255">
        <v>0</v>
      </c>
      <c r="F190" s="300">
        <v>0</v>
      </c>
      <c r="G190" s="300">
        <v>0</v>
      </c>
      <c r="H190" s="297"/>
      <c r="I190" s="299">
        <v>0</v>
      </c>
      <c r="J190" s="299">
        <v>0</v>
      </c>
      <c r="K190" s="299">
        <v>0</v>
      </c>
      <c r="L190" s="298"/>
      <c r="M190" s="298"/>
      <c r="N190" s="298"/>
      <c r="O190" s="298"/>
      <c r="P190" s="254">
        <f t="shared" si="13"/>
        <v>0</v>
      </c>
      <c r="Q190" s="66"/>
    </row>
    <row r="191" spans="1:17" ht="14.4" outlineLevel="1" x14ac:dyDescent="0.3">
      <c r="A191" s="606"/>
      <c r="B191" s="276">
        <v>17</v>
      </c>
      <c r="C191" s="257" t="s">
        <v>10</v>
      </c>
      <c r="D191" s="255" t="s">
        <v>33</v>
      </c>
      <c r="E191" s="255">
        <v>0</v>
      </c>
      <c r="F191" s="300">
        <v>17.744</v>
      </c>
      <c r="G191" s="300">
        <v>236.934</v>
      </c>
      <c r="H191" s="297"/>
      <c r="I191" s="299">
        <v>0</v>
      </c>
      <c r="J191" s="299">
        <v>0</v>
      </c>
      <c r="K191" s="299">
        <v>1</v>
      </c>
      <c r="L191" s="298"/>
      <c r="M191" s="298"/>
      <c r="N191" s="298"/>
      <c r="O191" s="298"/>
      <c r="P191" s="254">
        <f t="shared" si="13"/>
        <v>1</v>
      </c>
      <c r="Q191" s="66"/>
    </row>
    <row r="192" spans="1:17" ht="14.4" outlineLevel="1" x14ac:dyDescent="0.3">
      <c r="A192" s="606"/>
      <c r="B192" s="276"/>
      <c r="C192" s="258" t="s">
        <v>254</v>
      </c>
      <c r="D192" s="255" t="s">
        <v>251</v>
      </c>
      <c r="E192" s="255"/>
      <c r="F192" s="300"/>
      <c r="G192" s="300"/>
      <c r="H192" s="297"/>
      <c r="I192" s="298"/>
      <c r="J192" s="298"/>
      <c r="K192" s="298"/>
      <c r="L192" s="298"/>
      <c r="M192" s="298"/>
      <c r="N192" s="298"/>
      <c r="O192" s="298"/>
      <c r="P192" s="254">
        <f t="shared" si="13"/>
        <v>0</v>
      </c>
      <c r="Q192" s="66"/>
    </row>
    <row r="193" spans="1:17" ht="14.4" outlineLevel="1" x14ac:dyDescent="0.3">
      <c r="A193" s="606"/>
      <c r="B193" s="276"/>
      <c r="C193" s="596" t="s">
        <v>26</v>
      </c>
      <c r="D193" s="596"/>
      <c r="E193" s="270"/>
      <c r="F193" s="300">
        <v>28</v>
      </c>
      <c r="G193" s="300">
        <v>139263</v>
      </c>
      <c r="H193" s="297"/>
      <c r="I193" s="298">
        <v>0.2</v>
      </c>
      <c r="J193" s="298">
        <v>0.8</v>
      </c>
      <c r="K193" s="298"/>
      <c r="L193" s="298"/>
      <c r="M193" s="298"/>
      <c r="N193" s="298"/>
      <c r="O193" s="298"/>
      <c r="P193" s="254">
        <f t="shared" si="13"/>
        <v>1</v>
      </c>
      <c r="Q193" s="66"/>
    </row>
    <row r="194" spans="1:17" ht="14.4" outlineLevel="1" x14ac:dyDescent="0.3">
      <c r="A194" s="606"/>
      <c r="B194" s="276"/>
      <c r="C194" s="596"/>
      <c r="D194" s="596"/>
      <c r="E194" s="270"/>
      <c r="F194" s="300"/>
      <c r="G194" s="300"/>
      <c r="H194" s="297"/>
      <c r="I194" s="298"/>
      <c r="J194" s="298"/>
      <c r="K194" s="298"/>
      <c r="L194" s="298"/>
      <c r="M194" s="298"/>
      <c r="N194" s="298"/>
      <c r="O194" s="298"/>
      <c r="P194" s="254">
        <f t="shared" si="13"/>
        <v>0</v>
      </c>
      <c r="Q194" s="66"/>
    </row>
    <row r="195" spans="1:17" ht="14.4" outlineLevel="1" x14ac:dyDescent="0.3">
      <c r="A195" s="606"/>
      <c r="B195" s="276"/>
      <c r="C195" s="596"/>
      <c r="D195" s="596"/>
      <c r="E195" s="270"/>
      <c r="F195" s="300"/>
      <c r="G195" s="300"/>
      <c r="H195" s="297"/>
      <c r="I195" s="298"/>
      <c r="J195" s="298"/>
      <c r="K195" s="298"/>
      <c r="L195" s="298"/>
      <c r="M195" s="298"/>
      <c r="N195" s="298"/>
      <c r="O195" s="298"/>
      <c r="P195" s="254"/>
      <c r="Q195" s="66"/>
    </row>
    <row r="196" spans="1:17" s="42" customFormat="1" ht="14.4" outlineLevel="1" x14ac:dyDescent="0.3">
      <c r="A196" s="606"/>
      <c r="B196" s="387"/>
      <c r="C196" s="607" t="s">
        <v>11</v>
      </c>
      <c r="D196" s="607"/>
      <c r="E196" s="388"/>
      <c r="F196" s="389"/>
      <c r="G196" s="389"/>
      <c r="H196" s="389"/>
      <c r="I196" s="389"/>
      <c r="J196" s="389"/>
      <c r="K196" s="389"/>
      <c r="L196" s="389"/>
      <c r="M196" s="389"/>
      <c r="N196" s="389"/>
      <c r="O196" s="389"/>
      <c r="P196" s="390"/>
      <c r="Q196" s="150"/>
    </row>
    <row r="197" spans="1:17" ht="14.4" outlineLevel="1" x14ac:dyDescent="0.3">
      <c r="A197" s="606"/>
      <c r="B197" s="151">
        <v>18</v>
      </c>
      <c r="C197" s="257" t="s">
        <v>12</v>
      </c>
      <c r="D197" s="255" t="s">
        <v>33</v>
      </c>
      <c r="E197" s="255">
        <v>12</v>
      </c>
      <c r="F197" s="300"/>
      <c r="G197" s="300"/>
      <c r="H197" s="297"/>
      <c r="I197" s="298"/>
      <c r="J197" s="299">
        <v>0</v>
      </c>
      <c r="K197" s="299">
        <v>0</v>
      </c>
      <c r="L197" s="298"/>
      <c r="M197" s="298"/>
      <c r="N197" s="298"/>
      <c r="O197" s="298"/>
      <c r="P197" s="254">
        <f t="shared" ref="P197:P201" si="14">SUM(H197:O197)</f>
        <v>0</v>
      </c>
      <c r="Q197" s="66"/>
    </row>
    <row r="198" spans="1:17" ht="14.4" outlineLevel="1" x14ac:dyDescent="0.3">
      <c r="A198" s="606"/>
      <c r="B198" s="151">
        <v>19</v>
      </c>
      <c r="C198" s="257" t="s">
        <v>13</v>
      </c>
      <c r="D198" s="255" t="s">
        <v>33</v>
      </c>
      <c r="E198" s="255">
        <v>12</v>
      </c>
      <c r="F198" s="300"/>
      <c r="G198" s="300"/>
      <c r="H198" s="297"/>
      <c r="I198" s="298"/>
      <c r="J198" s="299">
        <v>0</v>
      </c>
      <c r="K198" s="299">
        <v>0</v>
      </c>
      <c r="L198" s="298"/>
      <c r="M198" s="298"/>
      <c r="N198" s="298"/>
      <c r="O198" s="298"/>
      <c r="P198" s="254">
        <f t="shared" si="14"/>
        <v>0</v>
      </c>
      <c r="Q198" s="66"/>
    </row>
    <row r="199" spans="1:17" ht="14.4" outlineLevel="1" x14ac:dyDescent="0.3">
      <c r="A199" s="606"/>
      <c r="B199" s="151">
        <v>20</v>
      </c>
      <c r="C199" s="257" t="s">
        <v>14</v>
      </c>
      <c r="D199" s="255" t="s">
        <v>33</v>
      </c>
      <c r="E199" s="255">
        <v>12</v>
      </c>
      <c r="F199" s="300"/>
      <c r="G199" s="300"/>
      <c r="H199" s="297"/>
      <c r="I199" s="298"/>
      <c r="J199" s="299">
        <v>0</v>
      </c>
      <c r="K199" s="299">
        <v>0</v>
      </c>
      <c r="L199" s="298"/>
      <c r="M199" s="298"/>
      <c r="N199" s="298"/>
      <c r="O199" s="298"/>
      <c r="P199" s="254">
        <f t="shared" si="14"/>
        <v>0</v>
      </c>
      <c r="Q199" s="66"/>
    </row>
    <row r="200" spans="1:17" ht="14.4" outlineLevel="1" x14ac:dyDescent="0.3">
      <c r="A200" s="606"/>
      <c r="B200" s="151">
        <v>21</v>
      </c>
      <c r="C200" s="259" t="s">
        <v>26</v>
      </c>
      <c r="D200" s="255" t="s">
        <v>33</v>
      </c>
      <c r="E200" s="255">
        <v>12</v>
      </c>
      <c r="F200" s="300"/>
      <c r="G200" s="300"/>
      <c r="H200" s="297"/>
      <c r="I200" s="298"/>
      <c r="J200" s="299">
        <v>0</v>
      </c>
      <c r="K200" s="299">
        <v>0</v>
      </c>
      <c r="L200" s="298"/>
      <c r="M200" s="298"/>
      <c r="N200" s="298"/>
      <c r="O200" s="298"/>
      <c r="P200" s="254">
        <f t="shared" si="14"/>
        <v>0</v>
      </c>
      <c r="Q200" s="66"/>
    </row>
    <row r="201" spans="1:17" ht="14.4" outlineLevel="1" x14ac:dyDescent="0.3">
      <c r="A201" s="606"/>
      <c r="B201" s="151">
        <v>22</v>
      </c>
      <c r="C201" s="257" t="s">
        <v>10</v>
      </c>
      <c r="D201" s="255" t="s">
        <v>33</v>
      </c>
      <c r="E201" s="255">
        <v>0</v>
      </c>
      <c r="F201" s="300">
        <v>484.18900000000002</v>
      </c>
      <c r="G201" s="300">
        <v>11025.27</v>
      </c>
      <c r="H201" s="297"/>
      <c r="I201" s="298"/>
      <c r="J201" s="299">
        <v>0</v>
      </c>
      <c r="K201" s="299">
        <v>1</v>
      </c>
      <c r="L201" s="298"/>
      <c r="M201" s="298"/>
      <c r="N201" s="298"/>
      <c r="O201" s="298"/>
      <c r="P201" s="254">
        <f t="shared" si="14"/>
        <v>1</v>
      </c>
      <c r="Q201" s="66"/>
    </row>
    <row r="202" spans="1:17" ht="14.4" outlineLevel="1" x14ac:dyDescent="0.3">
      <c r="A202" s="606"/>
      <c r="B202" s="151"/>
      <c r="C202" s="258" t="s">
        <v>254</v>
      </c>
      <c r="D202" s="255" t="s">
        <v>251</v>
      </c>
      <c r="E202" s="255"/>
      <c r="F202" s="300"/>
      <c r="G202" s="300"/>
      <c r="H202" s="297"/>
      <c r="I202" s="298"/>
      <c r="J202" s="298"/>
      <c r="K202" s="298"/>
      <c r="L202" s="298"/>
      <c r="M202" s="298"/>
      <c r="N202" s="298"/>
      <c r="O202" s="298"/>
      <c r="P202" s="254"/>
      <c r="Q202" s="66"/>
    </row>
    <row r="203" spans="1:17" ht="14.4" outlineLevel="1" x14ac:dyDescent="0.3">
      <c r="A203" s="606"/>
      <c r="B203" s="151"/>
      <c r="C203" s="596"/>
      <c r="D203" s="596"/>
      <c r="E203" s="270"/>
      <c r="F203" s="300"/>
      <c r="G203" s="300"/>
      <c r="H203" s="297"/>
      <c r="I203" s="298"/>
      <c r="J203" s="298"/>
      <c r="K203" s="298"/>
      <c r="L203" s="298"/>
      <c r="M203" s="298"/>
      <c r="N203" s="298"/>
      <c r="O203" s="298"/>
      <c r="P203" s="254"/>
      <c r="Q203" s="66"/>
    </row>
    <row r="204" spans="1:17" ht="14.4" outlineLevel="1" x14ac:dyDescent="0.3">
      <c r="A204" s="606"/>
      <c r="B204" s="151"/>
      <c r="C204" s="596"/>
      <c r="D204" s="596"/>
      <c r="E204" s="270"/>
      <c r="F204" s="300"/>
      <c r="G204" s="300"/>
      <c r="H204" s="297"/>
      <c r="I204" s="298"/>
      <c r="J204" s="298"/>
      <c r="K204" s="298"/>
      <c r="L204" s="298"/>
      <c r="M204" s="298"/>
      <c r="N204" s="298"/>
      <c r="O204" s="298"/>
      <c r="P204" s="254"/>
      <c r="Q204" s="66"/>
    </row>
    <row r="205" spans="1:17" ht="14.4" outlineLevel="1" x14ac:dyDescent="0.3">
      <c r="A205" s="606"/>
      <c r="B205" s="151"/>
      <c r="C205" s="596"/>
      <c r="D205" s="596"/>
      <c r="E205" s="270"/>
      <c r="F205" s="300"/>
      <c r="G205" s="300"/>
      <c r="H205" s="297"/>
      <c r="I205" s="298"/>
      <c r="J205" s="298"/>
      <c r="K205" s="298"/>
      <c r="L205" s="298"/>
      <c r="M205" s="298"/>
      <c r="N205" s="298"/>
      <c r="O205" s="298"/>
      <c r="P205" s="254"/>
      <c r="Q205" s="66"/>
    </row>
    <row r="206" spans="1:17" s="42" customFormat="1" ht="14.4" outlineLevel="1" x14ac:dyDescent="0.3">
      <c r="A206" s="606"/>
      <c r="B206" s="387"/>
      <c r="C206" s="607" t="s">
        <v>15</v>
      </c>
      <c r="D206" s="607"/>
      <c r="E206" s="388"/>
      <c r="F206" s="389"/>
      <c r="G206" s="389"/>
      <c r="H206" s="389"/>
      <c r="I206" s="389"/>
      <c r="J206" s="389"/>
      <c r="K206" s="389"/>
      <c r="L206" s="389"/>
      <c r="M206" s="389"/>
      <c r="N206" s="389"/>
      <c r="O206" s="389"/>
      <c r="P206" s="390"/>
      <c r="Q206" s="150"/>
    </row>
    <row r="207" spans="1:17" ht="14.4" outlineLevel="1" x14ac:dyDescent="0.3">
      <c r="A207" s="606"/>
      <c r="B207" s="276">
        <v>23</v>
      </c>
      <c r="C207" s="257" t="s">
        <v>15</v>
      </c>
      <c r="D207" s="255" t="s">
        <v>33</v>
      </c>
      <c r="E207" s="255"/>
      <c r="F207" s="300">
        <v>1.0660000000000001</v>
      </c>
      <c r="G207" s="300">
        <v>14297.735000000001</v>
      </c>
      <c r="H207" s="299">
        <v>1</v>
      </c>
      <c r="I207" s="298"/>
      <c r="J207" s="298"/>
      <c r="K207" s="298"/>
      <c r="L207" s="298"/>
      <c r="M207" s="298"/>
      <c r="N207" s="298"/>
      <c r="O207" s="298"/>
      <c r="P207" s="254">
        <f t="shared" ref="P207" si="15">SUM(H207:O207)</f>
        <v>1</v>
      </c>
      <c r="Q207" s="66"/>
    </row>
    <row r="208" spans="1:17" ht="14.4" outlineLevel="1" x14ac:dyDescent="0.3">
      <c r="A208" s="606"/>
      <c r="B208" s="276"/>
      <c r="C208" s="258" t="s">
        <v>254</v>
      </c>
      <c r="D208" s="255" t="s">
        <v>251</v>
      </c>
      <c r="E208" s="255"/>
      <c r="F208" s="300"/>
      <c r="G208" s="300"/>
      <c r="H208" s="297"/>
      <c r="I208" s="298"/>
      <c r="J208" s="298"/>
      <c r="K208" s="298"/>
      <c r="L208" s="298"/>
      <c r="M208" s="298"/>
      <c r="N208" s="298"/>
      <c r="O208" s="298"/>
      <c r="P208" s="254"/>
      <c r="Q208" s="66"/>
    </row>
    <row r="209" spans="1:17" ht="14.4" outlineLevel="1" x14ac:dyDescent="0.3">
      <c r="A209" s="606"/>
      <c r="B209" s="276"/>
      <c r="C209" s="596"/>
      <c r="D209" s="596"/>
      <c r="E209" s="270"/>
      <c r="F209" s="300"/>
      <c r="G209" s="300"/>
      <c r="H209" s="297"/>
      <c r="I209" s="298"/>
      <c r="J209" s="298"/>
      <c r="K209" s="298"/>
      <c r="L209" s="298"/>
      <c r="M209" s="298"/>
      <c r="N209" s="298"/>
      <c r="O209" s="298"/>
      <c r="P209" s="254"/>
      <c r="Q209" s="66"/>
    </row>
    <row r="210" spans="1:17" ht="14.4" outlineLevel="1" x14ac:dyDescent="0.3">
      <c r="A210" s="606"/>
      <c r="B210" s="276"/>
      <c r="C210" s="596"/>
      <c r="D210" s="596"/>
      <c r="E210" s="270"/>
      <c r="F210" s="300"/>
      <c r="G210" s="300"/>
      <c r="H210" s="297"/>
      <c r="I210" s="298"/>
      <c r="J210" s="298"/>
      <c r="K210" s="298"/>
      <c r="L210" s="298"/>
      <c r="M210" s="298"/>
      <c r="N210" s="298"/>
      <c r="O210" s="298"/>
      <c r="P210" s="254"/>
      <c r="Q210" s="66"/>
    </row>
    <row r="211" spans="1:17" s="42" customFormat="1" ht="14.4" outlineLevel="1" x14ac:dyDescent="0.3">
      <c r="A211" s="606"/>
      <c r="B211" s="387"/>
      <c r="C211" s="607" t="s">
        <v>16</v>
      </c>
      <c r="D211" s="607"/>
      <c r="E211" s="388"/>
      <c r="F211" s="389"/>
      <c r="G211" s="389"/>
      <c r="H211" s="389"/>
      <c r="I211" s="389"/>
      <c r="J211" s="389"/>
      <c r="K211" s="389"/>
      <c r="L211" s="389"/>
      <c r="M211" s="389"/>
      <c r="N211" s="389"/>
      <c r="O211" s="389"/>
      <c r="P211" s="390"/>
      <c r="Q211" s="150"/>
    </row>
    <row r="212" spans="1:17" ht="14.4" outlineLevel="1" x14ac:dyDescent="0.3">
      <c r="A212" s="606"/>
      <c r="B212" s="276">
        <v>24</v>
      </c>
      <c r="C212" s="257" t="s">
        <v>17</v>
      </c>
      <c r="D212" s="255" t="s">
        <v>33</v>
      </c>
      <c r="E212" s="255"/>
      <c r="F212" s="300"/>
      <c r="G212" s="300"/>
      <c r="H212" s="297"/>
      <c r="I212" s="298"/>
      <c r="J212" s="298">
        <v>0</v>
      </c>
      <c r="K212" s="298">
        <v>0</v>
      </c>
      <c r="L212" s="298"/>
      <c r="M212" s="298"/>
      <c r="N212" s="298"/>
      <c r="O212" s="298"/>
      <c r="P212" s="254">
        <f t="shared" ref="P212:P216" si="16">SUM(H212:O212)</f>
        <v>0</v>
      </c>
      <c r="Q212" s="66"/>
    </row>
    <row r="213" spans="1:17" ht="14.4" outlineLevel="1" x14ac:dyDescent="0.3">
      <c r="A213" s="606"/>
      <c r="B213" s="276">
        <v>25</v>
      </c>
      <c r="C213" s="257" t="s">
        <v>18</v>
      </c>
      <c r="D213" s="255" t="s">
        <v>33</v>
      </c>
      <c r="E213" s="255"/>
      <c r="F213" s="300"/>
      <c r="G213" s="300"/>
      <c r="H213" s="297"/>
      <c r="I213" s="298"/>
      <c r="J213" s="298">
        <v>0</v>
      </c>
      <c r="K213" s="298">
        <v>0</v>
      </c>
      <c r="L213" s="298"/>
      <c r="M213" s="298"/>
      <c r="N213" s="298"/>
      <c r="O213" s="298"/>
      <c r="P213" s="254">
        <f t="shared" si="16"/>
        <v>0</v>
      </c>
      <c r="Q213" s="66"/>
    </row>
    <row r="214" spans="1:17" ht="14.4" outlineLevel="1" x14ac:dyDescent="0.3">
      <c r="A214" s="606"/>
      <c r="B214" s="276">
        <v>26</v>
      </c>
      <c r="C214" s="257" t="s">
        <v>19</v>
      </c>
      <c r="D214" s="255" t="s">
        <v>33</v>
      </c>
      <c r="E214" s="255"/>
      <c r="F214" s="300"/>
      <c r="G214" s="300"/>
      <c r="H214" s="297"/>
      <c r="I214" s="298"/>
      <c r="J214" s="298">
        <v>0</v>
      </c>
      <c r="K214" s="298">
        <v>0</v>
      </c>
      <c r="L214" s="298"/>
      <c r="M214" s="298"/>
      <c r="N214" s="298"/>
      <c r="O214" s="298"/>
      <c r="P214" s="254">
        <f t="shared" si="16"/>
        <v>0</v>
      </c>
      <c r="Q214" s="66"/>
    </row>
    <row r="215" spans="1:17" ht="14.4" outlineLevel="1" x14ac:dyDescent="0.3">
      <c r="A215" s="606"/>
      <c r="B215" s="276">
        <v>27</v>
      </c>
      <c r="C215" s="257" t="s">
        <v>20</v>
      </c>
      <c r="D215" s="255" t="s">
        <v>33</v>
      </c>
      <c r="E215" s="255"/>
      <c r="F215" s="300"/>
      <c r="G215" s="300"/>
      <c r="H215" s="297"/>
      <c r="I215" s="298"/>
      <c r="J215" s="298">
        <v>0</v>
      </c>
      <c r="K215" s="298">
        <v>0</v>
      </c>
      <c r="L215" s="298"/>
      <c r="M215" s="298"/>
      <c r="N215" s="298"/>
      <c r="O215" s="298"/>
      <c r="P215" s="254">
        <f t="shared" si="16"/>
        <v>0</v>
      </c>
      <c r="Q215" s="66"/>
    </row>
    <row r="216" spans="1:17" ht="14.4" outlineLevel="1" x14ac:dyDescent="0.3">
      <c r="A216" s="606"/>
      <c r="B216" s="276">
        <v>28</v>
      </c>
      <c r="C216" s="257" t="s">
        <v>104</v>
      </c>
      <c r="D216" s="255" t="s">
        <v>33</v>
      </c>
      <c r="E216" s="255"/>
      <c r="F216" s="300"/>
      <c r="G216" s="300"/>
      <c r="H216" s="297"/>
      <c r="I216" s="298"/>
      <c r="J216" s="298">
        <v>0</v>
      </c>
      <c r="K216" s="298">
        <v>0</v>
      </c>
      <c r="L216" s="298"/>
      <c r="M216" s="298"/>
      <c r="N216" s="298"/>
      <c r="O216" s="298"/>
      <c r="P216" s="254">
        <f t="shared" si="16"/>
        <v>0</v>
      </c>
      <c r="Q216" s="66"/>
    </row>
    <row r="217" spans="1:17" ht="14.4" outlineLevel="1" x14ac:dyDescent="0.3">
      <c r="A217" s="606"/>
      <c r="B217" s="276"/>
      <c r="C217" s="258" t="s">
        <v>254</v>
      </c>
      <c r="D217" s="255" t="s">
        <v>251</v>
      </c>
      <c r="E217" s="255"/>
      <c r="F217" s="300"/>
      <c r="G217" s="300"/>
      <c r="H217" s="297"/>
      <c r="I217" s="298"/>
      <c r="J217" s="298"/>
      <c r="K217" s="298"/>
      <c r="L217" s="298"/>
      <c r="M217" s="298"/>
      <c r="N217" s="298"/>
      <c r="O217" s="298"/>
      <c r="P217" s="254"/>
      <c r="Q217" s="66"/>
    </row>
    <row r="218" spans="1:17" ht="14.4" outlineLevel="1" x14ac:dyDescent="0.3">
      <c r="A218" s="606"/>
      <c r="B218" s="276"/>
      <c r="C218" s="596"/>
      <c r="D218" s="596"/>
      <c r="E218" s="270"/>
      <c r="F218" s="300"/>
      <c r="G218" s="300"/>
      <c r="H218" s="297"/>
      <c r="I218" s="298"/>
      <c r="J218" s="298"/>
      <c r="K218" s="298"/>
      <c r="L218" s="298"/>
      <c r="M218" s="298"/>
      <c r="N218" s="298"/>
      <c r="O218" s="298"/>
      <c r="P218" s="254"/>
      <c r="Q218" s="66"/>
    </row>
    <row r="219" spans="1:17" ht="14.4" outlineLevel="1" x14ac:dyDescent="0.3">
      <c r="A219" s="606"/>
      <c r="B219" s="276"/>
      <c r="C219" s="596"/>
      <c r="D219" s="596"/>
      <c r="E219" s="270"/>
      <c r="F219" s="300"/>
      <c r="G219" s="300"/>
      <c r="H219" s="297"/>
      <c r="I219" s="298"/>
      <c r="J219" s="298"/>
      <c r="K219" s="298"/>
      <c r="L219" s="298"/>
      <c r="M219" s="298"/>
      <c r="N219" s="298"/>
      <c r="O219" s="298"/>
      <c r="P219" s="254"/>
      <c r="Q219" s="66"/>
    </row>
    <row r="220" spans="1:17" s="42" customFormat="1" ht="14.4" outlineLevel="1" x14ac:dyDescent="0.3">
      <c r="A220" s="606"/>
      <c r="B220" s="387"/>
      <c r="C220" s="607" t="s">
        <v>105</v>
      </c>
      <c r="D220" s="607"/>
      <c r="E220" s="388"/>
      <c r="F220" s="389"/>
      <c r="G220" s="389"/>
      <c r="H220" s="389"/>
      <c r="I220" s="389"/>
      <c r="J220" s="389"/>
      <c r="K220" s="389"/>
      <c r="L220" s="389"/>
      <c r="M220" s="389"/>
      <c r="N220" s="389"/>
      <c r="O220" s="389"/>
      <c r="P220" s="390"/>
      <c r="Q220" s="150"/>
    </row>
    <row r="221" spans="1:17" ht="14.4" outlineLevel="1" x14ac:dyDescent="0.3">
      <c r="A221" s="606"/>
      <c r="B221" s="151">
        <v>29</v>
      </c>
      <c r="C221" s="257" t="s">
        <v>107</v>
      </c>
      <c r="D221" s="255" t="s">
        <v>33</v>
      </c>
      <c r="E221" s="255"/>
      <c r="F221" s="300"/>
      <c r="G221" s="300"/>
      <c r="H221" s="297"/>
      <c r="I221" s="298"/>
      <c r="J221" s="298"/>
      <c r="K221" s="298"/>
      <c r="L221" s="298"/>
      <c r="M221" s="298"/>
      <c r="N221" s="298"/>
      <c r="O221" s="298"/>
      <c r="P221" s="254">
        <f t="shared" ref="P221:P222" si="17">SUM(H221:O221)</f>
        <v>0</v>
      </c>
      <c r="Q221" s="66"/>
    </row>
    <row r="222" spans="1:17" ht="14.4" outlineLevel="1" x14ac:dyDescent="0.3">
      <c r="A222" s="606"/>
      <c r="B222" s="151">
        <v>30</v>
      </c>
      <c r="C222" s="257" t="s">
        <v>106</v>
      </c>
      <c r="D222" s="255" t="s">
        <v>33</v>
      </c>
      <c r="E222" s="255"/>
      <c r="F222" s="300"/>
      <c r="G222" s="300"/>
      <c r="H222" s="297"/>
      <c r="I222" s="298"/>
      <c r="J222" s="298"/>
      <c r="K222" s="298"/>
      <c r="L222" s="298"/>
      <c r="M222" s="298"/>
      <c r="N222" s="298"/>
      <c r="O222" s="298"/>
      <c r="P222" s="254">
        <f t="shared" si="17"/>
        <v>0</v>
      </c>
      <c r="Q222" s="66"/>
    </row>
    <row r="223" spans="1:17" ht="14.4" outlineLevel="1" x14ac:dyDescent="0.3">
      <c r="A223" s="606"/>
      <c r="B223" s="151"/>
      <c r="C223" s="258" t="s">
        <v>254</v>
      </c>
      <c r="D223" s="255" t="s">
        <v>251</v>
      </c>
      <c r="E223" s="255"/>
      <c r="F223" s="300"/>
      <c r="G223" s="300"/>
      <c r="H223" s="297"/>
      <c r="I223" s="298"/>
      <c r="J223" s="298"/>
      <c r="K223" s="298"/>
      <c r="L223" s="298"/>
      <c r="M223" s="298"/>
      <c r="N223" s="298"/>
      <c r="O223" s="298"/>
      <c r="P223" s="254"/>
      <c r="Q223" s="66"/>
    </row>
    <row r="224" spans="1:17" ht="14.4" outlineLevel="1" x14ac:dyDescent="0.3">
      <c r="A224" s="606"/>
      <c r="B224" s="151"/>
      <c r="C224" s="596"/>
      <c r="D224" s="596"/>
      <c r="E224" s="270"/>
      <c r="F224" s="300"/>
      <c r="G224" s="300"/>
      <c r="H224" s="297"/>
      <c r="I224" s="298"/>
      <c r="J224" s="298"/>
      <c r="K224" s="298"/>
      <c r="L224" s="298"/>
      <c r="M224" s="298"/>
      <c r="N224" s="298"/>
      <c r="O224" s="298"/>
      <c r="P224" s="254"/>
      <c r="Q224" s="66"/>
    </row>
    <row r="225" spans="1:17" s="42" customFormat="1" ht="14.4" outlineLevel="1" x14ac:dyDescent="0.3">
      <c r="A225" s="606"/>
      <c r="B225" s="152"/>
      <c r="C225" s="609"/>
      <c r="D225" s="609"/>
      <c r="E225" s="356"/>
      <c r="F225" s="300"/>
      <c r="G225" s="300"/>
      <c r="H225" s="406"/>
      <c r="I225" s="407"/>
      <c r="J225" s="407"/>
      <c r="K225" s="407"/>
      <c r="L225" s="407"/>
      <c r="M225" s="407"/>
      <c r="N225" s="407"/>
      <c r="O225" s="407"/>
      <c r="P225" s="391"/>
      <c r="Q225" s="150"/>
    </row>
    <row r="226" spans="1:17" ht="14.4" x14ac:dyDescent="0.3">
      <c r="A226" s="606"/>
      <c r="B226" s="357"/>
      <c r="C226" s="595" t="s">
        <v>219</v>
      </c>
      <c r="D226" s="595"/>
      <c r="E226" s="358"/>
      <c r="F226" s="359"/>
      <c r="G226" s="359"/>
      <c r="H226" s="360">
        <f>SUM(G170*H170,G171*H171,G172*H172,G173*H173,G174*H174,G175*H175,G178*H178,G207*H207,G176*H176,G177*H180,G180*H176,G181*H181)</f>
        <v>121404.58</v>
      </c>
      <c r="I226" s="360">
        <f>SUM(G184*I184,G185*I185,G189*I189,G190*I190,G191*I191,G186*I186,G187*I187,G188*I188)</f>
        <v>264291.18319999997</v>
      </c>
      <c r="J226" s="361"/>
      <c r="K226" s="358"/>
      <c r="L226" s="358"/>
      <c r="M226" s="358"/>
      <c r="N226" s="360"/>
      <c r="O226" s="358"/>
      <c r="P226" s="362">
        <f>SUM(H226:O226)</f>
        <v>385695.76319999999</v>
      </c>
      <c r="Q226" s="66"/>
    </row>
    <row r="227" spans="1:17" ht="14.4" x14ac:dyDescent="0.3">
      <c r="A227" s="606"/>
      <c r="B227" s="499"/>
      <c r="C227" s="500" t="s">
        <v>499</v>
      </c>
      <c r="D227" s="500"/>
      <c r="E227" s="501"/>
      <c r="F227" s="502"/>
      <c r="G227" s="502"/>
      <c r="H227" s="503">
        <f>H226-SUM(G176*H176,G177*H177)</f>
        <v>121404.58</v>
      </c>
      <c r="I227" s="503">
        <f>I226-SUM(G189*I189,G190*I190,G191*I191)</f>
        <v>264291.18319999997</v>
      </c>
      <c r="J227" s="504"/>
      <c r="K227" s="501"/>
      <c r="L227" s="501"/>
      <c r="M227" s="501"/>
      <c r="N227" s="501"/>
      <c r="O227" s="501"/>
      <c r="P227" s="505"/>
      <c r="Q227" s="66"/>
    </row>
    <row r="228" spans="1:17" ht="14.4" x14ac:dyDescent="0.3">
      <c r="A228" s="606"/>
      <c r="B228" s="277"/>
      <c r="C228" s="596" t="s">
        <v>316</v>
      </c>
      <c r="D228" s="596"/>
      <c r="E228" s="271"/>
      <c r="F228" s="269"/>
      <c r="G228" s="269"/>
      <c r="H228" s="271"/>
      <c r="I228" s="271"/>
      <c r="J228" s="272">
        <f>SUM($E$184*$F$184*J184,$E$185*$F$185*J185,$E$186*$F$186*J186,$E$187*$F$187*J187,$E$188*$F$188*J188,$E$197*$F$197*J197,$E$198*$F$198*J198,$E$199*$F$199*J199,$E$200*$F$200*J200,$F$212*J212,$F$213*J213,$F$214*J214,$F$215*J215,$F$201*J201,$F$216*J216)</f>
        <v>851.73120000000006</v>
      </c>
      <c r="K228" s="272">
        <f>SUM($E$184*$F$184*K184,$E$185*$F$185*K185,$E$186*$F$186*K186,$E$187*$F$187*K187,$E$188*$F$188*K188,$E$197*$F$197*K197,$E$198*$F$198*K198,$E$199*$F$199*K199,$E$200*$F$200*K200,$F$212*K212,$F$213*K213,$F$214*K214,$F$215*K215,$F$216*K216)</f>
        <v>0</v>
      </c>
      <c r="L228" s="272"/>
      <c r="M228" s="272"/>
      <c r="N228" s="271"/>
      <c r="O228" s="271"/>
      <c r="P228" s="278">
        <f>SUM(H228:O228)</f>
        <v>851.73120000000006</v>
      </c>
      <c r="Q228" s="66"/>
    </row>
    <row r="229" spans="1:17" ht="14.4" x14ac:dyDescent="0.3">
      <c r="A229" s="606"/>
      <c r="B229" s="277"/>
      <c r="C229" s="596" t="s">
        <v>495</v>
      </c>
      <c r="D229" s="596"/>
      <c r="E229" s="271"/>
      <c r="F229" s="269"/>
      <c r="G229" s="269"/>
      <c r="H229" s="271"/>
      <c r="I229" s="271"/>
      <c r="J229" s="272">
        <f>J228-($E$186*$F$186*J186)</f>
        <v>851.73120000000006</v>
      </c>
      <c r="K229" s="272">
        <f>K228-($E$186*$F$186*K186)</f>
        <v>0</v>
      </c>
      <c r="L229" s="271"/>
      <c r="M229" s="271"/>
      <c r="N229" s="271"/>
      <c r="O229" s="271"/>
      <c r="P229" s="278"/>
      <c r="Q229" s="66"/>
    </row>
    <row r="230" spans="1:17" ht="14.4" x14ac:dyDescent="0.3">
      <c r="A230" s="606"/>
      <c r="B230" s="279"/>
      <c r="C230" s="597"/>
      <c r="D230" s="597"/>
      <c r="E230" s="264"/>
      <c r="F230" s="262"/>
      <c r="G230" s="262"/>
      <c r="H230" s="264"/>
      <c r="I230" s="264"/>
      <c r="J230" s="264"/>
      <c r="K230" s="264"/>
      <c r="L230" s="264"/>
      <c r="M230" s="264"/>
      <c r="N230" s="264"/>
      <c r="O230" s="264"/>
      <c r="P230" s="280"/>
      <c r="Q230" s="66"/>
    </row>
    <row r="231" spans="1:17" ht="14.4" x14ac:dyDescent="0.3">
      <c r="A231" s="606"/>
      <c r="B231" s="385"/>
      <c r="C231" s="598" t="s">
        <v>320</v>
      </c>
      <c r="D231" s="598"/>
      <c r="E231" s="255"/>
      <c r="F231" s="266"/>
      <c r="G231" s="255"/>
      <c r="H231" s="267">
        <f>'3.  Distribution Rates'!G33</f>
        <v>1.34E-2</v>
      </c>
      <c r="I231" s="267">
        <f>'3.  Distribution Rates'!G34</f>
        <v>1.7049999999999999E-2</v>
      </c>
      <c r="J231" s="267">
        <f>'3.  Distribution Rates'!G35</f>
        <v>3.2038999999999995</v>
      </c>
      <c r="K231" s="267">
        <f>'3.  Distribution Rates'!G36</f>
        <v>2.6155499999999998</v>
      </c>
      <c r="L231" s="267">
        <f>'3.  Distribution Rates'!G37</f>
        <v>1.7249999999999998E-2</v>
      </c>
      <c r="M231" s="267">
        <f>'3.  Distribution Rates'!G38</f>
        <v>11.780699999999998</v>
      </c>
      <c r="N231" s="267">
        <f>'3.  Distribution Rates'!G39</f>
        <v>15.07385</v>
      </c>
      <c r="O231" s="267"/>
      <c r="P231" s="386"/>
      <c r="Q231" s="66"/>
    </row>
    <row r="232" spans="1:17" ht="14.4" x14ac:dyDescent="0.3">
      <c r="A232" s="606"/>
      <c r="B232" s="385"/>
      <c r="C232" s="598" t="s">
        <v>233</v>
      </c>
      <c r="D232" s="598"/>
      <c r="E232" s="264"/>
      <c r="F232" s="266"/>
      <c r="G232" s="266"/>
      <c r="H232" s="382">
        <f>H76*H231</f>
        <v>2186.2221127753846</v>
      </c>
      <c r="I232" s="382">
        <f>I76*I231</f>
        <v>7097.0206103009223</v>
      </c>
      <c r="J232" s="382">
        <f>J76*J231</f>
        <v>380.96304504682087</v>
      </c>
      <c r="K232" s="382">
        <f t="shared" ref="K232:N232" si="18">K76*K231</f>
        <v>8.4091876458995607</v>
      </c>
      <c r="L232" s="382">
        <f t="shared" si="18"/>
        <v>0</v>
      </c>
      <c r="M232" s="382">
        <f t="shared" si="18"/>
        <v>0</v>
      </c>
      <c r="N232" s="382">
        <f t="shared" si="18"/>
        <v>0</v>
      </c>
      <c r="O232" s="255"/>
      <c r="P232" s="281">
        <f>SUM(H232:O232)</f>
        <v>9672.614955769026</v>
      </c>
      <c r="Q232" s="66"/>
    </row>
    <row r="233" spans="1:17" ht="14.4" x14ac:dyDescent="0.3">
      <c r="A233" s="606"/>
      <c r="B233" s="385"/>
      <c r="C233" s="598" t="s">
        <v>234</v>
      </c>
      <c r="D233" s="598"/>
      <c r="E233" s="264"/>
      <c r="F233" s="266"/>
      <c r="G233" s="266"/>
      <c r="H233" s="382">
        <f>H155*H231</f>
        <v>1615.5171616904447</v>
      </c>
      <c r="I233" s="382">
        <f>I155*I231</f>
        <v>9755.7437735928197</v>
      </c>
      <c r="J233" s="382">
        <f>J155*J231</f>
        <v>943.34168058479963</v>
      </c>
      <c r="K233" s="382">
        <f t="shared" ref="K233:N233" si="19">K155*K231</f>
        <v>0</v>
      </c>
      <c r="L233" s="382">
        <f t="shared" si="19"/>
        <v>0</v>
      </c>
      <c r="M233" s="382">
        <f t="shared" si="19"/>
        <v>0</v>
      </c>
      <c r="N233" s="382">
        <f t="shared" si="19"/>
        <v>0</v>
      </c>
      <c r="O233" s="255"/>
      <c r="P233" s="281">
        <f>SUM(H233:O233)</f>
        <v>12314.602615868063</v>
      </c>
      <c r="Q233" s="66"/>
    </row>
    <row r="234" spans="1:17" ht="14.4" x14ac:dyDescent="0.3">
      <c r="A234" s="606"/>
      <c r="B234" s="385"/>
      <c r="C234" s="598" t="s">
        <v>235</v>
      </c>
      <c r="D234" s="598"/>
      <c r="E234" s="264"/>
      <c r="F234" s="266"/>
      <c r="G234" s="266"/>
      <c r="H234" s="382">
        <f>H226*H231</f>
        <v>1626.8213720000001</v>
      </c>
      <c r="I234" s="382">
        <f>I226*I231</f>
        <v>4506.1646735599988</v>
      </c>
      <c r="J234" s="382">
        <f>J228*J231</f>
        <v>2728.8615916799999</v>
      </c>
      <c r="K234" s="382">
        <f>K228*K231</f>
        <v>0</v>
      </c>
      <c r="L234" s="382">
        <f>L228*L231</f>
        <v>0</v>
      </c>
      <c r="M234" s="382">
        <f>M228*M231</f>
        <v>0</v>
      </c>
      <c r="N234" s="382">
        <f>N226*N231</f>
        <v>0</v>
      </c>
      <c r="O234" s="255"/>
      <c r="P234" s="281">
        <f>SUM(H234:O234)</f>
        <v>8861.84763724</v>
      </c>
      <c r="Q234" s="66"/>
    </row>
    <row r="235" spans="1:17" ht="14.4" x14ac:dyDescent="0.3">
      <c r="A235" s="606"/>
      <c r="B235" s="279"/>
      <c r="C235" s="383" t="s">
        <v>98</v>
      </c>
      <c r="D235" s="264"/>
      <c r="E235" s="264"/>
      <c r="F235" s="262"/>
      <c r="G235" s="262"/>
      <c r="H235" s="268">
        <f>SUM(H232:H234)</f>
        <v>5428.5606464658294</v>
      </c>
      <c r="I235" s="268">
        <f>SUM(I232:I234)</f>
        <v>21358.929057453744</v>
      </c>
      <c r="J235" s="268">
        <f>SUM(J232:J234)</f>
        <v>4053.1663173116203</v>
      </c>
      <c r="K235" s="268">
        <f>SUM(K232:K234)</f>
        <v>8.4091876458995607</v>
      </c>
      <c r="L235" s="268">
        <f>SUM(L232:L234)</f>
        <v>0</v>
      </c>
      <c r="M235" s="268">
        <f t="shared" ref="M235:N235" si="20">SUM(M232:M234)</f>
        <v>0</v>
      </c>
      <c r="N235" s="268">
        <f t="shared" si="20"/>
        <v>0</v>
      </c>
      <c r="O235" s="264"/>
      <c r="P235" s="282">
        <f>SUM(P233:P234)</f>
        <v>21176.450253108065</v>
      </c>
      <c r="Q235" s="66"/>
    </row>
    <row r="236" spans="1:17" ht="14.4" x14ac:dyDescent="0.3">
      <c r="A236" s="606"/>
      <c r="B236" s="279"/>
      <c r="C236" s="598" t="s">
        <v>101</v>
      </c>
      <c r="D236" s="598"/>
      <c r="E236" s="264"/>
      <c r="F236" s="262"/>
      <c r="G236" s="262"/>
      <c r="H236" s="255">
        <f>$H$227*'6.  Persistence Rates'!$G$27</f>
        <v>119290.13158200293</v>
      </c>
      <c r="I236" s="255">
        <f>$I$227*'6.  Persistence Rates'!$G$27</f>
        <v>259688.1437248186</v>
      </c>
      <c r="J236" s="255">
        <f>$J$229*'6.  Persistence Rates'!$S$27</f>
        <v>228.93353063583817</v>
      </c>
      <c r="K236" s="255">
        <f>$K$229*'6.  Persistence Rates'!$S$27</f>
        <v>0</v>
      </c>
      <c r="L236" s="255">
        <f>L228*'6.  Persistence Rates'!$S$27</f>
        <v>0</v>
      </c>
      <c r="M236" s="255">
        <f>$M$228*'6.  Persistence Rates'!$S$27</f>
        <v>0</v>
      </c>
      <c r="N236" s="255">
        <f>$N$226*'6.  Persistence Rates'!$G$27</f>
        <v>0</v>
      </c>
      <c r="O236" s="264"/>
      <c r="P236" s="280"/>
      <c r="Q236" s="66"/>
    </row>
    <row r="237" spans="1:17" ht="14.4" x14ac:dyDescent="0.3">
      <c r="A237" s="249"/>
      <c r="B237" s="279"/>
      <c r="C237" s="598" t="s">
        <v>425</v>
      </c>
      <c r="D237" s="598"/>
      <c r="E237" s="264"/>
      <c r="F237" s="262"/>
      <c r="G237" s="262"/>
      <c r="H237" s="255">
        <f>$H$227*'6.  Persistence Rates'!$H$27</f>
        <v>0</v>
      </c>
      <c r="I237" s="255">
        <f>$I$227*'6.  Persistence Rates'!$H$27</f>
        <v>0</v>
      </c>
      <c r="J237" s="255">
        <f>$J$229*'6.  Persistence Rates'!$T$27</f>
        <v>0</v>
      </c>
      <c r="K237" s="255">
        <f>$K$229*'6.  Persistence Rates'!$T$27</f>
        <v>0</v>
      </c>
      <c r="L237" s="255">
        <f>$L$228*'6.  Persistence Rates'!$T$27</f>
        <v>0</v>
      </c>
      <c r="M237" s="255">
        <f>$M$228*'6.  Persistence Rates'!$T$27</f>
        <v>0</v>
      </c>
      <c r="N237" s="255">
        <f>$N$226*'6.  Persistence Rates'!$H$27</f>
        <v>0</v>
      </c>
      <c r="O237" s="264"/>
      <c r="P237" s="280"/>
      <c r="Q237" s="66"/>
    </row>
    <row r="238" spans="1:17" ht="14.4" x14ac:dyDescent="0.3">
      <c r="A238" s="249"/>
      <c r="B238" s="279"/>
      <c r="C238" s="598" t="s">
        <v>426</v>
      </c>
      <c r="D238" s="598"/>
      <c r="E238" s="264"/>
      <c r="F238" s="262"/>
      <c r="G238" s="262"/>
      <c r="H238" s="255">
        <f>$H$227*'6.  Persistence Rates'!$I$27</f>
        <v>0</v>
      </c>
      <c r="I238" s="255">
        <f>$I$227*'6.  Persistence Rates'!$I$27</f>
        <v>0</v>
      </c>
      <c r="J238" s="255">
        <f>$J$229*'6.  Persistence Rates'!$U$27</f>
        <v>0</v>
      </c>
      <c r="K238" s="255">
        <f>$K$229*'6.  Persistence Rates'!$U$27</f>
        <v>0</v>
      </c>
      <c r="L238" s="255">
        <f>$L$228*'6.  Persistence Rates'!$U$27</f>
        <v>0</v>
      </c>
      <c r="M238" s="255">
        <f>$M$228*'6.  Persistence Rates'!$U$27</f>
        <v>0</v>
      </c>
      <c r="N238" s="255">
        <f>$N$226*'6.  Persistence Rates'!$I$27</f>
        <v>0</v>
      </c>
      <c r="O238" s="264"/>
      <c r="P238" s="280"/>
      <c r="Q238" s="66"/>
    </row>
    <row r="239" spans="1:17" ht="14.4" x14ac:dyDescent="0.3">
      <c r="A239" s="249"/>
      <c r="B239" s="279"/>
      <c r="C239" s="598" t="s">
        <v>427</v>
      </c>
      <c r="D239" s="598"/>
      <c r="E239" s="264"/>
      <c r="F239" s="262"/>
      <c r="G239" s="262"/>
      <c r="H239" s="255">
        <f>$H$227*'6.  Persistence Rates'!$J$27</f>
        <v>0</v>
      </c>
      <c r="I239" s="255">
        <f>$I$227*'6.  Persistence Rates'!$J$27</f>
        <v>0</v>
      </c>
      <c r="J239" s="255">
        <f>$J$229*'6.  Persistence Rates'!$V$27</f>
        <v>0</v>
      </c>
      <c r="K239" s="255">
        <f>$K$229*'6.  Persistence Rates'!$V$27</f>
        <v>0</v>
      </c>
      <c r="L239" s="255">
        <f>$L$228*'6.  Persistence Rates'!$V$27</f>
        <v>0</v>
      </c>
      <c r="M239" s="255">
        <f>$M$228*'6.  Persistence Rates'!$V$27</f>
        <v>0</v>
      </c>
      <c r="N239" s="255">
        <f>$N$226*'6.  Persistence Rates'!$J$27</f>
        <v>0</v>
      </c>
      <c r="O239" s="264"/>
      <c r="P239" s="280"/>
      <c r="Q239" s="66"/>
    </row>
    <row r="240" spans="1:17" ht="14.4" x14ac:dyDescent="0.3">
      <c r="A240" s="249"/>
      <c r="B240" s="279"/>
      <c r="C240" s="598" t="s">
        <v>428</v>
      </c>
      <c r="D240" s="598"/>
      <c r="E240" s="264"/>
      <c r="F240" s="262"/>
      <c r="G240" s="262"/>
      <c r="H240" s="255">
        <f>$H$227*'6.  Persistence Rates'!$K$27</f>
        <v>0</v>
      </c>
      <c r="I240" s="255">
        <f>$I$227*'6.  Persistence Rates'!$K$27</f>
        <v>0</v>
      </c>
      <c r="J240" s="255">
        <f>$J$229*'6.  Persistence Rates'!$W$27</f>
        <v>0</v>
      </c>
      <c r="K240" s="255">
        <f>$K$229*'6.  Persistence Rates'!$W$27</f>
        <v>0</v>
      </c>
      <c r="L240" s="255">
        <f>$L$228*'6.  Persistence Rates'!$W$27</f>
        <v>0</v>
      </c>
      <c r="M240" s="255">
        <f>$M$228*'6.  Persistence Rates'!$W$27</f>
        <v>0</v>
      </c>
      <c r="N240" s="255">
        <f>$N$226*'6.  Persistence Rates'!$K$27</f>
        <v>0</v>
      </c>
      <c r="O240" s="264"/>
      <c r="P240" s="280"/>
      <c r="Q240" s="66"/>
    </row>
    <row r="241" spans="1:17" ht="14.4" x14ac:dyDescent="0.3">
      <c r="A241" s="249"/>
      <c r="B241" s="279"/>
      <c r="C241" s="598" t="s">
        <v>429</v>
      </c>
      <c r="D241" s="598"/>
      <c r="E241" s="264"/>
      <c r="F241" s="262"/>
      <c r="G241" s="262"/>
      <c r="H241" s="255">
        <f>$H$227*'6.  Persistence Rates'!$L$27</f>
        <v>0</v>
      </c>
      <c r="I241" s="255">
        <f>$I$227*'6.  Persistence Rates'!$L$27</f>
        <v>0</v>
      </c>
      <c r="J241" s="255">
        <f>$J$229*'6.  Persistence Rates'!$X$27</f>
        <v>0</v>
      </c>
      <c r="K241" s="255">
        <f>$K$229*'6.  Persistence Rates'!$X$27</f>
        <v>0</v>
      </c>
      <c r="L241" s="255">
        <f>$L$228*'6.  Persistence Rates'!$X$27</f>
        <v>0</v>
      </c>
      <c r="M241" s="255">
        <f>$M$228*'6.  Persistence Rates'!$X$27</f>
        <v>0</v>
      </c>
      <c r="N241" s="255">
        <f>$N$226*'6.  Persistence Rates'!$L$27</f>
        <v>0</v>
      </c>
      <c r="O241" s="264"/>
      <c r="P241" s="280"/>
      <c r="Q241" s="66"/>
    </row>
    <row r="242" spans="1:17" ht="14.4" x14ac:dyDescent="0.3">
      <c r="A242" s="249"/>
      <c r="B242" s="283"/>
      <c r="C242" s="610" t="s">
        <v>430</v>
      </c>
      <c r="D242" s="610"/>
      <c r="E242" s="284"/>
      <c r="F242" s="285"/>
      <c r="G242" s="285"/>
      <c r="H242" s="529">
        <f>$H$227*'6.  Persistence Rates'!$M$27</f>
        <v>0</v>
      </c>
      <c r="I242" s="529">
        <f>$I$227*'6.  Persistence Rates'!$M$27</f>
        <v>0</v>
      </c>
      <c r="J242" s="529">
        <f>$J$229*'6.  Persistence Rates'!$Y$27</f>
        <v>0</v>
      </c>
      <c r="K242" s="529">
        <f>$K$229*'6.  Persistence Rates'!$Y$27</f>
        <v>0</v>
      </c>
      <c r="L242" s="529">
        <f>$L$228*'6.  Persistence Rates'!$Y$27</f>
        <v>0</v>
      </c>
      <c r="M242" s="529">
        <f>$M$228*'6.  Persistence Rates'!$Y$27</f>
        <v>0</v>
      </c>
      <c r="N242" s="529">
        <f>$N$226*'6.  Persistence Rates'!$M$27</f>
        <v>0</v>
      </c>
      <c r="O242" s="284"/>
      <c r="P242" s="286"/>
      <c r="Q242" s="66"/>
    </row>
    <row r="243" spans="1:17" x14ac:dyDescent="0.3">
      <c r="B243" s="69"/>
      <c r="C243" s="144"/>
      <c r="D243" s="69"/>
      <c r="E243" s="69"/>
      <c r="F243" s="66"/>
      <c r="G243" s="66"/>
      <c r="H243" s="66"/>
      <c r="I243" s="66"/>
      <c r="J243" s="66"/>
      <c r="K243" s="66"/>
      <c r="L243" s="66"/>
      <c r="M243" s="66"/>
      <c r="N243" s="66"/>
      <c r="O243" s="66"/>
      <c r="P243" s="66"/>
      <c r="Q243" s="66"/>
    </row>
    <row r="244" spans="1:17" x14ac:dyDescent="0.3">
      <c r="B244" s="69"/>
      <c r="C244" s="144"/>
      <c r="D244" s="69"/>
      <c r="E244" s="69"/>
      <c r="F244" s="66"/>
      <c r="G244" s="66"/>
      <c r="H244" s="66"/>
      <c r="I244" s="66"/>
      <c r="J244" s="66"/>
      <c r="K244" s="66"/>
      <c r="L244" s="66"/>
      <c r="M244" s="66"/>
      <c r="N244" s="66"/>
      <c r="O244" s="66"/>
      <c r="P244" s="66"/>
      <c r="Q244" s="66"/>
    </row>
    <row r="245" spans="1:17" x14ac:dyDescent="0.3">
      <c r="B245" s="604" t="s">
        <v>353</v>
      </c>
      <c r="C245" s="604"/>
      <c r="D245" s="604"/>
      <c r="E245" s="604"/>
      <c r="F245" s="604"/>
      <c r="G245" s="604"/>
      <c r="H245" s="604"/>
      <c r="I245" s="604"/>
      <c r="J245" s="604"/>
      <c r="K245" s="604"/>
      <c r="L245" s="604"/>
      <c r="M245" s="604"/>
      <c r="N245" s="604"/>
      <c r="O245" s="604"/>
      <c r="P245" s="604"/>
      <c r="Q245" s="66"/>
    </row>
    <row r="246" spans="1:17" x14ac:dyDescent="0.3">
      <c r="B246" s="69"/>
      <c r="C246" s="144"/>
      <c r="D246" s="69"/>
      <c r="E246" s="69"/>
      <c r="F246" s="66"/>
      <c r="G246" s="66"/>
      <c r="H246" s="66"/>
      <c r="I246" s="66"/>
      <c r="J246" s="66"/>
      <c r="K246" s="66"/>
      <c r="L246" s="66"/>
      <c r="M246" s="66"/>
      <c r="N246" s="66"/>
      <c r="O246" s="66"/>
      <c r="P246" s="66"/>
      <c r="Q246" s="66"/>
    </row>
    <row r="247" spans="1:17" ht="44.25" customHeight="1" x14ac:dyDescent="0.3">
      <c r="B247" s="591" t="s">
        <v>58</v>
      </c>
      <c r="C247" s="593" t="s">
        <v>0</v>
      </c>
      <c r="D247" s="593" t="s">
        <v>44</v>
      </c>
      <c r="E247" s="593" t="s">
        <v>203</v>
      </c>
      <c r="F247" s="274" t="s">
        <v>45</v>
      </c>
      <c r="G247" s="274" t="s">
        <v>200</v>
      </c>
      <c r="H247" s="601" t="s">
        <v>59</v>
      </c>
      <c r="I247" s="602"/>
      <c r="J247" s="602"/>
      <c r="K247" s="602"/>
      <c r="L247" s="602"/>
      <c r="M247" s="602"/>
      <c r="N247" s="602"/>
      <c r="O247" s="602"/>
      <c r="P247" s="603"/>
      <c r="Q247" s="66"/>
    </row>
    <row r="248" spans="1:17" ht="48" customHeight="1" x14ac:dyDescent="0.3">
      <c r="B248" s="608"/>
      <c r="C248" s="594"/>
      <c r="D248" s="594"/>
      <c r="E248" s="594"/>
      <c r="F248" s="140" t="s">
        <v>102</v>
      </c>
      <c r="G248" s="140" t="s">
        <v>103</v>
      </c>
      <c r="H248" s="140" t="s">
        <v>37</v>
      </c>
      <c r="I248" s="140" t="s">
        <v>503</v>
      </c>
      <c r="J248" s="140" t="s">
        <v>504</v>
      </c>
      <c r="K248" s="140" t="s">
        <v>505</v>
      </c>
      <c r="L248" s="140" t="s">
        <v>42</v>
      </c>
      <c r="M248" s="140" t="s">
        <v>40</v>
      </c>
      <c r="N248" s="140" t="s">
        <v>500</v>
      </c>
      <c r="O248" s="140" t="s">
        <v>105</v>
      </c>
      <c r="P248" s="384" t="s">
        <v>34</v>
      </c>
      <c r="Q248" s="66"/>
    </row>
    <row r="249" spans="1:17" s="42" customFormat="1" ht="15" customHeight="1" outlineLevel="1" x14ac:dyDescent="0.3">
      <c r="A249" s="606">
        <v>2014</v>
      </c>
      <c r="B249" s="378"/>
      <c r="C249" s="605" t="s">
        <v>1</v>
      </c>
      <c r="D249" s="605"/>
      <c r="E249" s="379"/>
      <c r="F249" s="380"/>
      <c r="G249" s="380"/>
      <c r="H249" s="380"/>
      <c r="I249" s="380"/>
      <c r="J249" s="380"/>
      <c r="K249" s="380"/>
      <c r="L249" s="380"/>
      <c r="M249" s="380"/>
      <c r="N249" s="380"/>
      <c r="O249" s="380"/>
      <c r="P249" s="381"/>
      <c r="Q249" s="150"/>
    </row>
    <row r="250" spans="1:17" ht="14.4" outlineLevel="1" x14ac:dyDescent="0.3">
      <c r="A250" s="606"/>
      <c r="B250" s="276">
        <v>1</v>
      </c>
      <c r="C250" s="257" t="s">
        <v>2</v>
      </c>
      <c r="D250" s="255" t="s">
        <v>33</v>
      </c>
      <c r="E250" s="255"/>
      <c r="F250" s="300">
        <v>3.49</v>
      </c>
      <c r="G250" s="300">
        <v>23469.322</v>
      </c>
      <c r="H250" s="299">
        <v>1</v>
      </c>
      <c r="I250" s="298"/>
      <c r="J250" s="298"/>
      <c r="K250" s="298"/>
      <c r="L250" s="298"/>
      <c r="M250" s="298"/>
      <c r="N250" s="298"/>
      <c r="O250" s="298"/>
      <c r="P250" s="409">
        <f>SUM(H250:O250)</f>
        <v>1</v>
      </c>
      <c r="Q250" s="66"/>
    </row>
    <row r="251" spans="1:17" ht="14.4" outlineLevel="1" x14ac:dyDescent="0.3">
      <c r="A251" s="606"/>
      <c r="B251" s="276">
        <v>2</v>
      </c>
      <c r="C251" s="257" t="s">
        <v>3</v>
      </c>
      <c r="D251" s="255" t="s">
        <v>33</v>
      </c>
      <c r="E251" s="255"/>
      <c r="F251" s="300">
        <v>2.0720000000000001</v>
      </c>
      <c r="G251" s="300">
        <v>3694.3989999999999</v>
      </c>
      <c r="H251" s="299">
        <v>1</v>
      </c>
      <c r="I251" s="298"/>
      <c r="J251" s="298"/>
      <c r="K251" s="298"/>
      <c r="L251" s="298"/>
      <c r="M251" s="298"/>
      <c r="N251" s="298"/>
      <c r="O251" s="298"/>
      <c r="P251" s="409">
        <f t="shared" ref="P251:P258" si="21">SUM(H251:O251)</f>
        <v>1</v>
      </c>
      <c r="Q251" s="66"/>
    </row>
    <row r="252" spans="1:17" ht="14.4" outlineLevel="1" x14ac:dyDescent="0.3">
      <c r="A252" s="606"/>
      <c r="B252" s="276">
        <v>3</v>
      </c>
      <c r="C252" s="257" t="s">
        <v>4</v>
      </c>
      <c r="D252" s="255" t="s">
        <v>33</v>
      </c>
      <c r="E252" s="255"/>
      <c r="F252" s="300">
        <v>40.048999999999999</v>
      </c>
      <c r="G252" s="300">
        <v>74306.278999999995</v>
      </c>
      <c r="H252" s="299">
        <v>1</v>
      </c>
      <c r="I252" s="298"/>
      <c r="J252" s="298"/>
      <c r="K252" s="298"/>
      <c r="L252" s="298"/>
      <c r="M252" s="298"/>
      <c r="N252" s="298"/>
      <c r="O252" s="298"/>
      <c r="P252" s="409">
        <f t="shared" si="21"/>
        <v>1</v>
      </c>
      <c r="Q252" s="66"/>
    </row>
    <row r="253" spans="1:17" ht="14.4" outlineLevel="1" x14ac:dyDescent="0.3">
      <c r="A253" s="606"/>
      <c r="B253" s="276">
        <v>4</v>
      </c>
      <c r="C253" s="257" t="s">
        <v>5</v>
      </c>
      <c r="D253" s="255" t="s">
        <v>33</v>
      </c>
      <c r="E253" s="255"/>
      <c r="F253" s="300">
        <v>2.379</v>
      </c>
      <c r="G253" s="300">
        <v>31795.483</v>
      </c>
      <c r="H253" s="299">
        <v>1</v>
      </c>
      <c r="I253" s="298"/>
      <c r="J253" s="298"/>
      <c r="K253" s="298"/>
      <c r="L253" s="298"/>
      <c r="M253" s="298"/>
      <c r="N253" s="298"/>
      <c r="O253" s="298"/>
      <c r="P253" s="409">
        <f t="shared" si="21"/>
        <v>1</v>
      </c>
      <c r="Q253" s="66"/>
    </row>
    <row r="254" spans="1:17" ht="14.4" outlineLevel="1" x14ac:dyDescent="0.3">
      <c r="A254" s="606"/>
      <c r="B254" s="276">
        <v>5</v>
      </c>
      <c r="C254" s="257" t="s">
        <v>6</v>
      </c>
      <c r="D254" s="255" t="s">
        <v>33</v>
      </c>
      <c r="E254" s="255"/>
      <c r="F254" s="300">
        <v>9.0830000000000002</v>
      </c>
      <c r="G254" s="300">
        <v>138784.21599999999</v>
      </c>
      <c r="H254" s="299">
        <v>1</v>
      </c>
      <c r="I254" s="298"/>
      <c r="J254" s="298"/>
      <c r="K254" s="298"/>
      <c r="L254" s="298"/>
      <c r="M254" s="298"/>
      <c r="N254" s="298"/>
      <c r="O254" s="298"/>
      <c r="P254" s="409">
        <f t="shared" si="21"/>
        <v>1</v>
      </c>
      <c r="Q254" s="66"/>
    </row>
    <row r="255" spans="1:17" ht="14.4" outlineLevel="1" x14ac:dyDescent="0.3">
      <c r="A255" s="606"/>
      <c r="B255" s="276">
        <v>6</v>
      </c>
      <c r="C255" s="257" t="s">
        <v>7</v>
      </c>
      <c r="D255" s="255" t="s">
        <v>33</v>
      </c>
      <c r="E255" s="255"/>
      <c r="F255" s="300"/>
      <c r="G255" s="300"/>
      <c r="H255" s="299">
        <v>1</v>
      </c>
      <c r="I255" s="298"/>
      <c r="J255" s="298"/>
      <c r="K255" s="298"/>
      <c r="L255" s="298"/>
      <c r="M255" s="298"/>
      <c r="N255" s="298"/>
      <c r="O255" s="298"/>
      <c r="P255" s="409">
        <f t="shared" si="21"/>
        <v>1</v>
      </c>
      <c r="Q255" s="66"/>
    </row>
    <row r="256" spans="1:17" ht="27.6" outlineLevel="1" x14ac:dyDescent="0.3">
      <c r="A256" s="606"/>
      <c r="B256" s="276">
        <v>7</v>
      </c>
      <c r="C256" s="257" t="s">
        <v>32</v>
      </c>
      <c r="D256" s="255" t="s">
        <v>33</v>
      </c>
      <c r="E256" s="255"/>
      <c r="F256" s="300">
        <v>50.581000000000003</v>
      </c>
      <c r="G256" s="300"/>
      <c r="H256" s="299">
        <v>1</v>
      </c>
      <c r="I256" s="298"/>
      <c r="J256" s="298"/>
      <c r="K256" s="298"/>
      <c r="L256" s="298"/>
      <c r="M256" s="298"/>
      <c r="N256" s="298"/>
      <c r="O256" s="298"/>
      <c r="P256" s="409">
        <f t="shared" si="21"/>
        <v>1</v>
      </c>
      <c r="Q256" s="66"/>
    </row>
    <row r="257" spans="1:17" ht="14.4" outlineLevel="1" x14ac:dyDescent="0.3">
      <c r="A257" s="606"/>
      <c r="B257" s="276">
        <v>8</v>
      </c>
      <c r="C257" s="257" t="s">
        <v>25</v>
      </c>
      <c r="D257" s="255" t="s">
        <v>33</v>
      </c>
      <c r="E257" s="255"/>
      <c r="F257" s="300"/>
      <c r="G257" s="300"/>
      <c r="H257" s="299">
        <v>0</v>
      </c>
      <c r="I257" s="298"/>
      <c r="J257" s="298"/>
      <c r="K257" s="298"/>
      <c r="L257" s="298"/>
      <c r="M257" s="298"/>
      <c r="N257" s="298"/>
      <c r="O257" s="298"/>
      <c r="P257" s="409">
        <f t="shared" si="21"/>
        <v>0</v>
      </c>
      <c r="Q257" s="66"/>
    </row>
    <row r="258" spans="1:17" ht="14.4" outlineLevel="1" x14ac:dyDescent="0.3">
      <c r="A258" s="606"/>
      <c r="B258" s="276">
        <v>9</v>
      </c>
      <c r="C258" s="257" t="s">
        <v>8</v>
      </c>
      <c r="D258" s="255" t="s">
        <v>33</v>
      </c>
      <c r="E258" s="255"/>
      <c r="F258" s="300"/>
      <c r="G258" s="300"/>
      <c r="H258" s="299">
        <v>0</v>
      </c>
      <c r="I258" s="298"/>
      <c r="J258" s="298"/>
      <c r="K258" s="298"/>
      <c r="L258" s="298"/>
      <c r="M258" s="298"/>
      <c r="N258" s="298"/>
      <c r="O258" s="298"/>
      <c r="P258" s="409">
        <f t="shared" si="21"/>
        <v>0</v>
      </c>
      <c r="Q258" s="66"/>
    </row>
    <row r="259" spans="1:17" ht="14.4" outlineLevel="1" x14ac:dyDescent="0.3">
      <c r="A259" s="606"/>
      <c r="B259" s="276"/>
      <c r="C259" s="258" t="s">
        <v>255</v>
      </c>
      <c r="D259" s="255" t="s">
        <v>251</v>
      </c>
      <c r="E259" s="255"/>
      <c r="F259" s="300"/>
      <c r="G259" s="300"/>
      <c r="H259" s="297"/>
      <c r="I259" s="298"/>
      <c r="J259" s="298"/>
      <c r="K259" s="298"/>
      <c r="L259" s="298"/>
      <c r="M259" s="298"/>
      <c r="N259" s="298"/>
      <c r="O259" s="298"/>
      <c r="P259" s="409"/>
      <c r="Q259" s="66"/>
    </row>
    <row r="260" spans="1:17" ht="14.4" outlineLevel="1" x14ac:dyDescent="0.3">
      <c r="A260" s="606"/>
      <c r="B260" s="276"/>
      <c r="C260" s="596"/>
      <c r="D260" s="596"/>
      <c r="E260" s="270"/>
      <c r="F260" s="300"/>
      <c r="G260" s="300"/>
      <c r="H260" s="297"/>
      <c r="I260" s="298"/>
      <c r="J260" s="298"/>
      <c r="K260" s="298"/>
      <c r="L260" s="298"/>
      <c r="M260" s="298"/>
      <c r="N260" s="298"/>
      <c r="O260" s="298"/>
      <c r="P260" s="409"/>
      <c r="Q260" s="66"/>
    </row>
    <row r="261" spans="1:17" ht="14.4" outlineLevel="1" x14ac:dyDescent="0.3">
      <c r="A261" s="606"/>
      <c r="B261" s="276"/>
      <c r="C261" s="596"/>
      <c r="D261" s="596"/>
      <c r="E261" s="270"/>
      <c r="F261" s="300"/>
      <c r="G261" s="300"/>
      <c r="H261" s="297"/>
      <c r="I261" s="298"/>
      <c r="J261" s="298"/>
      <c r="K261" s="298"/>
      <c r="L261" s="298"/>
      <c r="M261" s="298"/>
      <c r="N261" s="298"/>
      <c r="O261" s="298"/>
      <c r="P261" s="409"/>
      <c r="Q261" s="66"/>
    </row>
    <row r="262" spans="1:17" ht="14.4" outlineLevel="1" x14ac:dyDescent="0.3">
      <c r="A262" s="606"/>
      <c r="B262" s="276"/>
      <c r="C262" s="596"/>
      <c r="D262" s="596"/>
      <c r="E262" s="270"/>
      <c r="F262" s="300"/>
      <c r="G262" s="300"/>
      <c r="H262" s="297"/>
      <c r="I262" s="298"/>
      <c r="J262" s="298"/>
      <c r="K262" s="298"/>
      <c r="L262" s="298"/>
      <c r="M262" s="298"/>
      <c r="N262" s="298"/>
      <c r="O262" s="298"/>
      <c r="P262" s="409"/>
      <c r="Q262" s="66"/>
    </row>
    <row r="263" spans="1:17" s="42" customFormat="1" ht="14.4" outlineLevel="1" x14ac:dyDescent="0.3">
      <c r="A263" s="606"/>
      <c r="B263" s="387"/>
      <c r="C263" s="607" t="s">
        <v>9</v>
      </c>
      <c r="D263" s="607"/>
      <c r="E263" s="388"/>
      <c r="F263" s="389"/>
      <c r="G263" s="389"/>
      <c r="H263" s="389"/>
      <c r="I263" s="389"/>
      <c r="J263" s="389"/>
      <c r="K263" s="389"/>
      <c r="L263" s="389"/>
      <c r="M263" s="389"/>
      <c r="N263" s="389"/>
      <c r="O263" s="389"/>
      <c r="P263" s="390"/>
      <c r="Q263" s="150"/>
    </row>
    <row r="264" spans="1:17" ht="14.4" outlineLevel="1" x14ac:dyDescent="0.3">
      <c r="A264" s="606"/>
      <c r="B264" s="544">
        <v>10</v>
      </c>
      <c r="C264" s="545" t="s">
        <v>26</v>
      </c>
      <c r="D264" s="260" t="s">
        <v>33</v>
      </c>
      <c r="E264" s="260">
        <v>12</v>
      </c>
      <c r="F264" s="300">
        <v>170.976</v>
      </c>
      <c r="G264" s="300">
        <v>1185838.767</v>
      </c>
      <c r="H264" s="297"/>
      <c r="I264" s="299">
        <v>0.98899999999999999</v>
      </c>
      <c r="J264" s="299">
        <v>1.0999999999999999E-2</v>
      </c>
      <c r="K264" s="299">
        <v>0</v>
      </c>
      <c r="L264" s="298"/>
      <c r="M264" s="298"/>
      <c r="N264" s="298"/>
      <c r="O264" s="298"/>
      <c r="P264" s="409">
        <f t="shared" ref="P264:P271" si="22">SUM(H264:O264)</f>
        <v>1</v>
      </c>
      <c r="Q264" s="66"/>
    </row>
    <row r="265" spans="1:17" ht="14.4" outlineLevel="1" x14ac:dyDescent="0.3">
      <c r="A265" s="606"/>
      <c r="B265" s="544">
        <v>11</v>
      </c>
      <c r="C265" s="546" t="s">
        <v>24</v>
      </c>
      <c r="D265" s="260" t="s">
        <v>33</v>
      </c>
      <c r="E265" s="260">
        <v>12</v>
      </c>
      <c r="F265" s="300">
        <v>77.331000000000003</v>
      </c>
      <c r="G265" s="300">
        <v>291776.77799999999</v>
      </c>
      <c r="H265" s="297"/>
      <c r="I265" s="299">
        <v>1</v>
      </c>
      <c r="J265" s="299"/>
      <c r="K265" s="299"/>
      <c r="L265" s="298"/>
      <c r="M265" s="298"/>
      <c r="N265" s="298"/>
      <c r="O265" s="298"/>
      <c r="P265" s="409">
        <f t="shared" si="22"/>
        <v>1</v>
      </c>
      <c r="Q265" s="66"/>
    </row>
    <row r="266" spans="1:17" ht="14.4" outlineLevel="1" x14ac:dyDescent="0.3">
      <c r="A266" s="606"/>
      <c r="B266" s="544">
        <v>12</v>
      </c>
      <c r="C266" s="546" t="s">
        <v>27</v>
      </c>
      <c r="D266" s="260" t="s">
        <v>33</v>
      </c>
      <c r="E266" s="260">
        <v>3</v>
      </c>
      <c r="F266" s="300"/>
      <c r="G266" s="300"/>
      <c r="H266" s="297"/>
      <c r="I266" s="299">
        <v>0</v>
      </c>
      <c r="J266" s="299">
        <v>0</v>
      </c>
      <c r="K266" s="299">
        <v>0</v>
      </c>
      <c r="L266" s="298"/>
      <c r="M266" s="298"/>
      <c r="N266" s="298"/>
      <c r="O266" s="298"/>
      <c r="P266" s="409">
        <f t="shared" si="22"/>
        <v>0</v>
      </c>
      <c r="Q266" s="66"/>
    </row>
    <row r="267" spans="1:17" ht="14.4" outlineLevel="1" x14ac:dyDescent="0.3">
      <c r="A267" s="606"/>
      <c r="B267" s="544">
        <v>13</v>
      </c>
      <c r="C267" s="546" t="s">
        <v>28</v>
      </c>
      <c r="D267" s="260" t="s">
        <v>33</v>
      </c>
      <c r="E267" s="260">
        <v>12</v>
      </c>
      <c r="F267" s="300"/>
      <c r="G267" s="300"/>
      <c r="H267" s="297"/>
      <c r="I267" s="299">
        <v>0</v>
      </c>
      <c r="J267" s="299">
        <v>0</v>
      </c>
      <c r="K267" s="299">
        <v>0</v>
      </c>
      <c r="L267" s="298"/>
      <c r="M267" s="298"/>
      <c r="N267" s="298"/>
      <c r="O267" s="298"/>
      <c r="P267" s="409">
        <f t="shared" si="22"/>
        <v>0</v>
      </c>
      <c r="Q267" s="66"/>
    </row>
    <row r="268" spans="1:17" ht="14.4" outlineLevel="1" x14ac:dyDescent="0.3">
      <c r="A268" s="606"/>
      <c r="B268" s="544">
        <v>14</v>
      </c>
      <c r="C268" s="546" t="s">
        <v>23</v>
      </c>
      <c r="D268" s="260" t="s">
        <v>33</v>
      </c>
      <c r="E268" s="260">
        <v>12</v>
      </c>
      <c r="F268" s="300">
        <v>13.367000000000001</v>
      </c>
      <c r="G268" s="300">
        <v>65273.57</v>
      </c>
      <c r="H268" s="297"/>
      <c r="I268" s="299"/>
      <c r="J268" s="299">
        <v>1</v>
      </c>
      <c r="K268" s="299"/>
      <c r="L268" s="298"/>
      <c r="M268" s="298"/>
      <c r="N268" s="298"/>
      <c r="O268" s="298"/>
      <c r="P268" s="409">
        <f t="shared" si="22"/>
        <v>1</v>
      </c>
      <c r="Q268" s="66"/>
    </row>
    <row r="269" spans="1:17" ht="27.6" outlineLevel="1" x14ac:dyDescent="0.3">
      <c r="A269" s="606"/>
      <c r="B269" s="547">
        <v>15</v>
      </c>
      <c r="C269" s="546" t="s">
        <v>29</v>
      </c>
      <c r="D269" s="260" t="s">
        <v>33</v>
      </c>
      <c r="E269" s="260">
        <v>0</v>
      </c>
      <c r="F269" s="300"/>
      <c r="G269" s="300"/>
      <c r="H269" s="297"/>
      <c r="I269" s="299">
        <v>0</v>
      </c>
      <c r="J269" s="299">
        <v>0</v>
      </c>
      <c r="K269" s="299">
        <v>0</v>
      </c>
      <c r="L269" s="298"/>
      <c r="M269" s="298"/>
      <c r="N269" s="298"/>
      <c r="O269" s="298"/>
      <c r="P269" s="409">
        <f t="shared" si="22"/>
        <v>0</v>
      </c>
      <c r="Q269" s="66"/>
    </row>
    <row r="270" spans="1:17" ht="27.6" outlineLevel="1" x14ac:dyDescent="0.3">
      <c r="A270" s="606"/>
      <c r="B270" s="547">
        <v>16</v>
      </c>
      <c r="C270" s="546" t="s">
        <v>30</v>
      </c>
      <c r="D270" s="260" t="s">
        <v>33</v>
      </c>
      <c r="E270" s="260">
        <v>0</v>
      </c>
      <c r="F270" s="300"/>
      <c r="G270" s="300"/>
      <c r="H270" s="297"/>
      <c r="I270" s="299">
        <v>0</v>
      </c>
      <c r="J270" s="299">
        <v>0</v>
      </c>
      <c r="K270" s="299">
        <v>0</v>
      </c>
      <c r="L270" s="298"/>
      <c r="M270" s="298"/>
      <c r="N270" s="298"/>
      <c r="O270" s="298"/>
      <c r="P270" s="409">
        <f t="shared" si="22"/>
        <v>0</v>
      </c>
      <c r="Q270" s="66"/>
    </row>
    <row r="271" spans="1:17" ht="14.4" outlineLevel="1" x14ac:dyDescent="0.3">
      <c r="A271" s="606"/>
      <c r="B271" s="276">
        <v>17</v>
      </c>
      <c r="C271" s="257" t="s">
        <v>10</v>
      </c>
      <c r="D271" s="255" t="s">
        <v>33</v>
      </c>
      <c r="E271" s="255">
        <v>0</v>
      </c>
      <c r="F271" s="300">
        <v>16</v>
      </c>
      <c r="G271" s="300"/>
      <c r="H271" s="297"/>
      <c r="I271" s="299">
        <v>1</v>
      </c>
      <c r="J271" s="299">
        <v>0</v>
      </c>
      <c r="K271" s="299">
        <v>0</v>
      </c>
      <c r="L271" s="298"/>
      <c r="M271" s="298"/>
      <c r="N271" s="298"/>
      <c r="O271" s="298"/>
      <c r="P271" s="409">
        <f t="shared" si="22"/>
        <v>1</v>
      </c>
      <c r="Q271" s="66"/>
    </row>
    <row r="272" spans="1:17" ht="14.4" outlineLevel="1" x14ac:dyDescent="0.3">
      <c r="A272" s="606"/>
      <c r="B272" s="276"/>
      <c r="C272" s="258" t="s">
        <v>255</v>
      </c>
      <c r="D272" s="255" t="s">
        <v>251</v>
      </c>
      <c r="E272" s="255"/>
      <c r="F272" s="300"/>
      <c r="G272" s="300"/>
      <c r="H272" s="297"/>
      <c r="I272" s="298"/>
      <c r="J272" s="298"/>
      <c r="K272" s="298"/>
      <c r="L272" s="298"/>
      <c r="M272" s="298"/>
      <c r="N272" s="298"/>
      <c r="O272" s="298"/>
      <c r="P272" s="409"/>
      <c r="Q272" s="66"/>
    </row>
    <row r="273" spans="1:17" ht="14.4" outlineLevel="1" x14ac:dyDescent="0.3">
      <c r="A273" s="606"/>
      <c r="B273" s="276"/>
      <c r="C273" s="596"/>
      <c r="D273" s="596"/>
      <c r="E273" s="270"/>
      <c r="F273" s="300"/>
      <c r="G273" s="300"/>
      <c r="H273" s="297"/>
      <c r="I273" s="298"/>
      <c r="J273" s="298"/>
      <c r="K273" s="298"/>
      <c r="L273" s="298"/>
      <c r="M273" s="298"/>
      <c r="N273" s="298"/>
      <c r="O273" s="298"/>
      <c r="P273" s="409"/>
      <c r="Q273" s="66"/>
    </row>
    <row r="274" spans="1:17" ht="14.4" outlineLevel="1" x14ac:dyDescent="0.3">
      <c r="A274" s="606"/>
      <c r="B274" s="276"/>
      <c r="C274" s="596"/>
      <c r="D274" s="596"/>
      <c r="E274" s="270"/>
      <c r="F274" s="300"/>
      <c r="G274" s="300"/>
      <c r="H274" s="297"/>
      <c r="I274" s="298"/>
      <c r="J274" s="298"/>
      <c r="K274" s="298"/>
      <c r="L274" s="298"/>
      <c r="M274" s="298"/>
      <c r="N274" s="298"/>
      <c r="O274" s="298"/>
      <c r="P274" s="409"/>
      <c r="Q274" s="66"/>
    </row>
    <row r="275" spans="1:17" ht="14.4" outlineLevel="1" x14ac:dyDescent="0.3">
      <c r="A275" s="606"/>
      <c r="B275" s="276"/>
      <c r="C275" s="596"/>
      <c r="D275" s="596"/>
      <c r="E275" s="270"/>
      <c r="F275" s="300"/>
      <c r="G275" s="300"/>
      <c r="H275" s="297"/>
      <c r="I275" s="298"/>
      <c r="J275" s="298"/>
      <c r="K275" s="298"/>
      <c r="L275" s="298"/>
      <c r="M275" s="298"/>
      <c r="N275" s="298"/>
      <c r="O275" s="298"/>
      <c r="P275" s="409"/>
      <c r="Q275" s="66"/>
    </row>
    <row r="276" spans="1:17" s="42" customFormat="1" ht="14.4" outlineLevel="1" x14ac:dyDescent="0.3">
      <c r="A276" s="606"/>
      <c r="B276" s="387"/>
      <c r="C276" s="607" t="s">
        <v>11</v>
      </c>
      <c r="D276" s="607"/>
      <c r="E276" s="388"/>
      <c r="F276" s="389"/>
      <c r="G276" s="389"/>
      <c r="H276" s="389"/>
      <c r="I276" s="389"/>
      <c r="J276" s="389"/>
      <c r="K276" s="389"/>
      <c r="L276" s="389"/>
      <c r="M276" s="389"/>
      <c r="N276" s="389"/>
      <c r="O276" s="389"/>
      <c r="P276" s="390"/>
      <c r="Q276" s="150"/>
    </row>
    <row r="277" spans="1:17" ht="14.4" outlineLevel="1" x14ac:dyDescent="0.3">
      <c r="A277" s="606"/>
      <c r="B277" s="151">
        <v>18</v>
      </c>
      <c r="C277" s="257" t="s">
        <v>12</v>
      </c>
      <c r="D277" s="255" t="s">
        <v>33</v>
      </c>
      <c r="E277" s="255">
        <v>12</v>
      </c>
      <c r="F277" s="300"/>
      <c r="G277" s="300"/>
      <c r="H277" s="297"/>
      <c r="I277" s="298"/>
      <c r="J277" s="299">
        <v>0</v>
      </c>
      <c r="K277" s="299">
        <v>0</v>
      </c>
      <c r="L277" s="298"/>
      <c r="M277" s="298"/>
      <c r="N277" s="298"/>
      <c r="O277" s="298"/>
      <c r="P277" s="409">
        <f t="shared" ref="P277:P281" si="23">SUM(H277:O277)</f>
        <v>0</v>
      </c>
      <c r="Q277" s="66"/>
    </row>
    <row r="278" spans="1:17" ht="14.4" outlineLevel="1" x14ac:dyDescent="0.3">
      <c r="A278" s="606"/>
      <c r="B278" s="151">
        <v>19</v>
      </c>
      <c r="C278" s="257" t="s">
        <v>13</v>
      </c>
      <c r="D278" s="255" t="s">
        <v>33</v>
      </c>
      <c r="E278" s="255">
        <v>12</v>
      </c>
      <c r="F278" s="300"/>
      <c r="G278" s="300"/>
      <c r="H278" s="297"/>
      <c r="I278" s="298"/>
      <c r="J278" s="299">
        <v>0</v>
      </c>
      <c r="K278" s="299">
        <v>0</v>
      </c>
      <c r="L278" s="298"/>
      <c r="M278" s="298"/>
      <c r="N278" s="298"/>
      <c r="O278" s="298"/>
      <c r="P278" s="409">
        <f t="shared" si="23"/>
        <v>0</v>
      </c>
      <c r="Q278" s="66"/>
    </row>
    <row r="279" spans="1:17" ht="14.4" outlineLevel="1" x14ac:dyDescent="0.3">
      <c r="A279" s="606"/>
      <c r="B279" s="151">
        <v>20</v>
      </c>
      <c r="C279" s="257" t="s">
        <v>14</v>
      </c>
      <c r="D279" s="255" t="s">
        <v>33</v>
      </c>
      <c r="E279" s="255">
        <v>12</v>
      </c>
      <c r="F279" s="300"/>
      <c r="G279" s="300"/>
      <c r="H279" s="297"/>
      <c r="I279" s="298"/>
      <c r="J279" s="299">
        <v>0</v>
      </c>
      <c r="K279" s="299">
        <v>0</v>
      </c>
      <c r="L279" s="298"/>
      <c r="M279" s="298"/>
      <c r="N279" s="298"/>
      <c r="O279" s="298"/>
      <c r="P279" s="409">
        <f t="shared" si="23"/>
        <v>0</v>
      </c>
      <c r="Q279" s="66"/>
    </row>
    <row r="280" spans="1:17" ht="14.4" outlineLevel="1" x14ac:dyDescent="0.3">
      <c r="A280" s="606"/>
      <c r="B280" s="151">
        <v>21</v>
      </c>
      <c r="C280" s="259" t="s">
        <v>26</v>
      </c>
      <c r="D280" s="255" t="s">
        <v>33</v>
      </c>
      <c r="E280" s="255">
        <v>12</v>
      </c>
      <c r="F280" s="300"/>
      <c r="G280" s="300"/>
      <c r="H280" s="297"/>
      <c r="I280" s="298"/>
      <c r="J280" s="299">
        <v>0</v>
      </c>
      <c r="K280" s="299">
        <v>0</v>
      </c>
      <c r="L280" s="298"/>
      <c r="M280" s="298"/>
      <c r="N280" s="298"/>
      <c r="O280" s="298"/>
      <c r="P280" s="409">
        <f t="shared" si="23"/>
        <v>0</v>
      </c>
      <c r="Q280" s="66"/>
    </row>
    <row r="281" spans="1:17" ht="14.4" outlineLevel="1" x14ac:dyDescent="0.3">
      <c r="A281" s="606"/>
      <c r="B281" s="151">
        <v>22</v>
      </c>
      <c r="C281" s="546" t="s">
        <v>10</v>
      </c>
      <c r="D281" s="260" t="s">
        <v>33</v>
      </c>
      <c r="E281" s="260">
        <v>0</v>
      </c>
      <c r="F281" s="300">
        <v>545.57799999999997</v>
      </c>
      <c r="G281" s="300"/>
      <c r="H281" s="297"/>
      <c r="I281" s="298"/>
      <c r="J281" s="299">
        <v>1</v>
      </c>
      <c r="K281" s="299"/>
      <c r="L281" s="298"/>
      <c r="M281" s="298"/>
      <c r="N281" s="298"/>
      <c r="O281" s="298"/>
      <c r="P281" s="409">
        <f t="shared" si="23"/>
        <v>1</v>
      </c>
      <c r="Q281" s="66"/>
    </row>
    <row r="282" spans="1:17" ht="14.4" outlineLevel="1" x14ac:dyDescent="0.3">
      <c r="A282" s="606"/>
      <c r="B282" s="151"/>
      <c r="C282" s="506" t="s">
        <v>255</v>
      </c>
      <c r="D282" s="260" t="s">
        <v>251</v>
      </c>
      <c r="E282" s="260"/>
      <c r="F282" s="300"/>
      <c r="G282" s="300"/>
      <c r="H282" s="297"/>
      <c r="I282" s="298"/>
      <c r="J282" s="298"/>
      <c r="K282" s="298"/>
      <c r="L282" s="298"/>
      <c r="M282" s="298"/>
      <c r="N282" s="298"/>
      <c r="O282" s="298"/>
      <c r="P282" s="409"/>
      <c r="Q282" s="66"/>
    </row>
    <row r="283" spans="1:17" ht="14.4" outlineLevel="1" x14ac:dyDescent="0.3">
      <c r="A283" s="606"/>
      <c r="B283" s="151"/>
      <c r="C283" s="611"/>
      <c r="D283" s="611"/>
      <c r="E283" s="548"/>
      <c r="F283" s="300"/>
      <c r="G283" s="300"/>
      <c r="H283" s="297"/>
      <c r="I283" s="298"/>
      <c r="J283" s="298"/>
      <c r="K283" s="298"/>
      <c r="L283" s="298"/>
      <c r="M283" s="298"/>
      <c r="N283" s="298"/>
      <c r="O283" s="298"/>
      <c r="P283" s="409"/>
      <c r="Q283" s="66"/>
    </row>
    <row r="284" spans="1:17" ht="14.4" outlineLevel="1" x14ac:dyDescent="0.3">
      <c r="A284" s="606"/>
      <c r="B284" s="151"/>
      <c r="C284" s="596"/>
      <c r="D284" s="596"/>
      <c r="E284" s="270"/>
      <c r="F284" s="300"/>
      <c r="G284" s="300"/>
      <c r="H284" s="297"/>
      <c r="I284" s="298"/>
      <c r="J284" s="298"/>
      <c r="K284" s="298"/>
      <c r="L284" s="298"/>
      <c r="M284" s="298"/>
      <c r="N284" s="298"/>
      <c r="O284" s="298"/>
      <c r="P284" s="409"/>
      <c r="Q284" s="66"/>
    </row>
    <row r="285" spans="1:17" ht="14.4" outlineLevel="1" x14ac:dyDescent="0.3">
      <c r="A285" s="606"/>
      <c r="B285" s="151"/>
      <c r="C285" s="596"/>
      <c r="D285" s="596"/>
      <c r="E285" s="270"/>
      <c r="F285" s="300"/>
      <c r="G285" s="300"/>
      <c r="H285" s="297"/>
      <c r="I285" s="298"/>
      <c r="J285" s="298"/>
      <c r="K285" s="298"/>
      <c r="L285" s="298"/>
      <c r="M285" s="298"/>
      <c r="N285" s="298"/>
      <c r="O285" s="298"/>
      <c r="P285" s="409"/>
      <c r="Q285" s="66"/>
    </row>
    <row r="286" spans="1:17" s="42" customFormat="1" ht="14.4" outlineLevel="1" x14ac:dyDescent="0.3">
      <c r="A286" s="606"/>
      <c r="B286" s="387"/>
      <c r="C286" s="607" t="s">
        <v>15</v>
      </c>
      <c r="D286" s="607"/>
      <c r="E286" s="388"/>
      <c r="F286" s="389"/>
      <c r="G286" s="389"/>
      <c r="H286" s="389"/>
      <c r="I286" s="389"/>
      <c r="J286" s="389"/>
      <c r="K286" s="389"/>
      <c r="L286" s="389"/>
      <c r="M286" s="389"/>
      <c r="N286" s="389"/>
      <c r="O286" s="389"/>
      <c r="P286" s="390"/>
      <c r="Q286" s="150"/>
    </row>
    <row r="287" spans="1:17" ht="14.4" outlineLevel="1" x14ac:dyDescent="0.3">
      <c r="A287" s="606"/>
      <c r="B287" s="276">
        <v>23</v>
      </c>
      <c r="C287" s="257" t="s">
        <v>15</v>
      </c>
      <c r="D287" s="255" t="s">
        <v>33</v>
      </c>
      <c r="E287" s="255"/>
      <c r="F287" s="300"/>
      <c r="G287" s="300">
        <v>125.125</v>
      </c>
      <c r="H287" s="299">
        <v>1</v>
      </c>
      <c r="I287" s="298"/>
      <c r="J287" s="298"/>
      <c r="K287" s="298"/>
      <c r="L287" s="298"/>
      <c r="M287" s="298"/>
      <c r="N287" s="298"/>
      <c r="O287" s="298"/>
      <c r="P287" s="409">
        <f t="shared" ref="P287" si="24">SUM(H287:O287)</f>
        <v>1</v>
      </c>
      <c r="Q287" s="66"/>
    </row>
    <row r="288" spans="1:17" ht="14.4" outlineLevel="1" x14ac:dyDescent="0.3">
      <c r="A288" s="606"/>
      <c r="B288" s="276"/>
      <c r="C288" s="258" t="s">
        <v>255</v>
      </c>
      <c r="D288" s="255" t="s">
        <v>251</v>
      </c>
      <c r="E288" s="255"/>
      <c r="F288" s="300"/>
      <c r="G288" s="300"/>
      <c r="H288" s="297"/>
      <c r="I288" s="298"/>
      <c r="J288" s="298"/>
      <c r="K288" s="298"/>
      <c r="L288" s="298"/>
      <c r="M288" s="298"/>
      <c r="N288" s="298"/>
      <c r="O288" s="298"/>
      <c r="P288" s="409"/>
      <c r="Q288" s="66"/>
    </row>
    <row r="289" spans="1:17" ht="14.4" outlineLevel="1" x14ac:dyDescent="0.3">
      <c r="A289" s="606"/>
      <c r="B289" s="276"/>
      <c r="C289" s="596"/>
      <c r="D289" s="596"/>
      <c r="E289" s="270"/>
      <c r="F289" s="300"/>
      <c r="G289" s="300"/>
      <c r="H289" s="297"/>
      <c r="I289" s="298"/>
      <c r="J289" s="298"/>
      <c r="K289" s="298"/>
      <c r="L289" s="298"/>
      <c r="M289" s="298"/>
      <c r="N289" s="298"/>
      <c r="O289" s="298"/>
      <c r="P289" s="409"/>
      <c r="Q289" s="66"/>
    </row>
    <row r="290" spans="1:17" ht="14.4" outlineLevel="1" x14ac:dyDescent="0.3">
      <c r="A290" s="606"/>
      <c r="B290" s="276"/>
      <c r="C290" s="596"/>
      <c r="D290" s="596"/>
      <c r="E290" s="270"/>
      <c r="F290" s="300"/>
      <c r="G290" s="300"/>
      <c r="H290" s="297"/>
      <c r="I290" s="298"/>
      <c r="J290" s="298"/>
      <c r="K290" s="298"/>
      <c r="L290" s="298"/>
      <c r="M290" s="298"/>
      <c r="N290" s="298"/>
      <c r="O290" s="298"/>
      <c r="P290" s="409"/>
      <c r="Q290" s="66"/>
    </row>
    <row r="291" spans="1:17" s="42" customFormat="1" ht="14.4" outlineLevel="1" x14ac:dyDescent="0.3">
      <c r="A291" s="606"/>
      <c r="B291" s="387"/>
      <c r="C291" s="607" t="s">
        <v>16</v>
      </c>
      <c r="D291" s="607"/>
      <c r="E291" s="388"/>
      <c r="F291" s="389"/>
      <c r="G291" s="389"/>
      <c r="H291" s="389"/>
      <c r="I291" s="389"/>
      <c r="J291" s="389"/>
      <c r="K291" s="389"/>
      <c r="L291" s="389"/>
      <c r="M291" s="389"/>
      <c r="N291" s="389"/>
      <c r="O291" s="389"/>
      <c r="P291" s="390"/>
      <c r="Q291" s="150"/>
    </row>
    <row r="292" spans="1:17" ht="14.4" outlineLevel="1" x14ac:dyDescent="0.3">
      <c r="A292" s="606"/>
      <c r="B292" s="276">
        <v>24</v>
      </c>
      <c r="C292" s="257" t="s">
        <v>17</v>
      </c>
      <c r="D292" s="255" t="s">
        <v>33</v>
      </c>
      <c r="E292" s="255"/>
      <c r="F292" s="300"/>
      <c r="G292" s="300"/>
      <c r="H292" s="297"/>
      <c r="I292" s="298"/>
      <c r="J292" s="299">
        <v>0</v>
      </c>
      <c r="K292" s="299">
        <v>0</v>
      </c>
      <c r="L292" s="298"/>
      <c r="M292" s="298"/>
      <c r="N292" s="298"/>
      <c r="O292" s="298"/>
      <c r="P292" s="409">
        <f t="shared" ref="P292:P296" si="25">SUM(H292:O292)</f>
        <v>0</v>
      </c>
      <c r="Q292" s="66"/>
    </row>
    <row r="293" spans="1:17" ht="14.4" outlineLevel="1" x14ac:dyDescent="0.3">
      <c r="A293" s="606"/>
      <c r="B293" s="276">
        <v>25</v>
      </c>
      <c r="C293" s="257" t="s">
        <v>18</v>
      </c>
      <c r="D293" s="255" t="s">
        <v>33</v>
      </c>
      <c r="E293" s="255"/>
      <c r="F293" s="300"/>
      <c r="G293" s="300"/>
      <c r="H293" s="297"/>
      <c r="I293" s="298"/>
      <c r="J293" s="299">
        <v>0</v>
      </c>
      <c r="K293" s="299">
        <v>0</v>
      </c>
      <c r="L293" s="298"/>
      <c r="M293" s="298"/>
      <c r="N293" s="298"/>
      <c r="O293" s="298"/>
      <c r="P293" s="409">
        <f t="shared" si="25"/>
        <v>0</v>
      </c>
      <c r="Q293" s="66"/>
    </row>
    <row r="294" spans="1:17" ht="14.4" outlineLevel="1" x14ac:dyDescent="0.3">
      <c r="A294" s="606"/>
      <c r="B294" s="276">
        <v>26</v>
      </c>
      <c r="C294" s="257" t="s">
        <v>19</v>
      </c>
      <c r="D294" s="255" t="s">
        <v>33</v>
      </c>
      <c r="E294" s="255"/>
      <c r="F294" s="300"/>
      <c r="G294" s="300"/>
      <c r="H294" s="297"/>
      <c r="I294" s="298"/>
      <c r="J294" s="299">
        <v>0</v>
      </c>
      <c r="K294" s="299">
        <v>0</v>
      </c>
      <c r="L294" s="298"/>
      <c r="M294" s="298"/>
      <c r="N294" s="298"/>
      <c r="O294" s="298"/>
      <c r="P294" s="409">
        <f t="shared" si="25"/>
        <v>0</v>
      </c>
      <c r="Q294" s="66"/>
    </row>
    <row r="295" spans="1:17" ht="14.4" outlineLevel="1" x14ac:dyDescent="0.3">
      <c r="A295" s="606"/>
      <c r="B295" s="276">
        <v>27</v>
      </c>
      <c r="C295" s="257" t="s">
        <v>20</v>
      </c>
      <c r="D295" s="255" t="s">
        <v>33</v>
      </c>
      <c r="E295" s="255"/>
      <c r="F295" s="300"/>
      <c r="G295" s="300"/>
      <c r="H295" s="297"/>
      <c r="I295" s="298"/>
      <c r="J295" s="299">
        <v>0</v>
      </c>
      <c r="K295" s="299">
        <v>0</v>
      </c>
      <c r="L295" s="298"/>
      <c r="M295" s="298"/>
      <c r="N295" s="298"/>
      <c r="O295" s="298"/>
      <c r="P295" s="409">
        <f t="shared" si="25"/>
        <v>0</v>
      </c>
      <c r="Q295" s="66"/>
    </row>
    <row r="296" spans="1:17" ht="14.4" outlineLevel="1" x14ac:dyDescent="0.3">
      <c r="A296" s="606"/>
      <c r="B296" s="276">
        <v>28</v>
      </c>
      <c r="C296" s="257" t="s">
        <v>104</v>
      </c>
      <c r="D296" s="255" t="s">
        <v>33</v>
      </c>
      <c r="E296" s="255"/>
      <c r="F296" s="300"/>
      <c r="G296" s="300"/>
      <c r="H296" s="297"/>
      <c r="I296" s="298"/>
      <c r="J296" s="299">
        <v>0</v>
      </c>
      <c r="K296" s="299">
        <v>0</v>
      </c>
      <c r="L296" s="298"/>
      <c r="M296" s="298"/>
      <c r="N296" s="298"/>
      <c r="O296" s="298"/>
      <c r="P296" s="409">
        <f t="shared" si="25"/>
        <v>0</v>
      </c>
      <c r="Q296" s="66"/>
    </row>
    <row r="297" spans="1:17" ht="14.4" outlineLevel="1" x14ac:dyDescent="0.3">
      <c r="A297" s="606"/>
      <c r="B297" s="276"/>
      <c r="C297" s="258" t="s">
        <v>255</v>
      </c>
      <c r="D297" s="255" t="s">
        <v>251</v>
      </c>
      <c r="E297" s="255"/>
      <c r="F297" s="300"/>
      <c r="G297" s="300"/>
      <c r="H297" s="297"/>
      <c r="I297" s="298"/>
      <c r="J297" s="298"/>
      <c r="K297" s="298"/>
      <c r="L297" s="298"/>
      <c r="M297" s="298"/>
      <c r="N297" s="298"/>
      <c r="O297" s="298"/>
      <c r="P297" s="409"/>
      <c r="Q297" s="66"/>
    </row>
    <row r="298" spans="1:17" ht="14.4" outlineLevel="1" x14ac:dyDescent="0.3">
      <c r="A298" s="606"/>
      <c r="B298" s="276"/>
      <c r="C298" s="596"/>
      <c r="D298" s="596"/>
      <c r="E298" s="270"/>
      <c r="F298" s="300"/>
      <c r="G298" s="300"/>
      <c r="H298" s="297"/>
      <c r="I298" s="298"/>
      <c r="J298" s="298"/>
      <c r="K298" s="298"/>
      <c r="L298" s="298"/>
      <c r="M298" s="298"/>
      <c r="N298" s="298"/>
      <c r="O298" s="298"/>
      <c r="P298" s="409"/>
      <c r="Q298" s="66"/>
    </row>
    <row r="299" spans="1:17" ht="14.4" outlineLevel="1" x14ac:dyDescent="0.3">
      <c r="A299" s="606"/>
      <c r="B299" s="276"/>
      <c r="C299" s="596"/>
      <c r="D299" s="596"/>
      <c r="E299" s="270"/>
      <c r="F299" s="300"/>
      <c r="G299" s="300"/>
      <c r="H299" s="297"/>
      <c r="I299" s="298"/>
      <c r="J299" s="298"/>
      <c r="K299" s="298"/>
      <c r="L299" s="298"/>
      <c r="M299" s="298"/>
      <c r="N299" s="298"/>
      <c r="O299" s="298"/>
      <c r="P299" s="409"/>
      <c r="Q299" s="66"/>
    </row>
    <row r="300" spans="1:17" ht="14.4" outlineLevel="1" x14ac:dyDescent="0.3">
      <c r="A300" s="606"/>
      <c r="B300" s="276"/>
      <c r="C300" s="596"/>
      <c r="D300" s="596"/>
      <c r="E300" s="270"/>
      <c r="F300" s="300"/>
      <c r="G300" s="300"/>
      <c r="H300" s="297"/>
      <c r="I300" s="298"/>
      <c r="J300" s="298"/>
      <c r="K300" s="298"/>
      <c r="L300" s="298"/>
      <c r="M300" s="298"/>
      <c r="N300" s="298"/>
      <c r="O300" s="298"/>
      <c r="P300" s="409"/>
      <c r="Q300" s="66"/>
    </row>
    <row r="301" spans="1:17" s="42" customFormat="1" ht="14.4" outlineLevel="1" x14ac:dyDescent="0.3">
      <c r="A301" s="606"/>
      <c r="B301" s="387"/>
      <c r="C301" s="607" t="s">
        <v>105</v>
      </c>
      <c r="D301" s="607"/>
      <c r="E301" s="388"/>
      <c r="F301" s="389"/>
      <c r="G301" s="389"/>
      <c r="H301" s="389"/>
      <c r="I301" s="389"/>
      <c r="J301" s="389"/>
      <c r="K301" s="389"/>
      <c r="L301" s="389"/>
      <c r="M301" s="389"/>
      <c r="N301" s="389"/>
      <c r="O301" s="389"/>
      <c r="P301" s="390"/>
      <c r="Q301" s="150"/>
    </row>
    <row r="302" spans="1:17" ht="14.4" outlineLevel="1" x14ac:dyDescent="0.3">
      <c r="A302" s="606"/>
      <c r="B302" s="151">
        <v>29</v>
      </c>
      <c r="C302" s="257" t="s">
        <v>107</v>
      </c>
      <c r="D302" s="255" t="s">
        <v>33</v>
      </c>
      <c r="E302" s="255"/>
      <c r="F302" s="300"/>
      <c r="G302" s="300"/>
      <c r="H302" s="297"/>
      <c r="I302" s="298"/>
      <c r="J302" s="298"/>
      <c r="K302" s="298"/>
      <c r="L302" s="298"/>
      <c r="M302" s="298"/>
      <c r="N302" s="298"/>
      <c r="O302" s="298"/>
      <c r="P302" s="409">
        <f t="shared" ref="P302:P303" si="26">SUM(H302:O302)</f>
        <v>0</v>
      </c>
      <c r="Q302" s="66"/>
    </row>
    <row r="303" spans="1:17" ht="14.4" outlineLevel="1" x14ac:dyDescent="0.3">
      <c r="A303" s="606"/>
      <c r="B303" s="151">
        <v>30</v>
      </c>
      <c r="C303" s="257" t="s">
        <v>106</v>
      </c>
      <c r="D303" s="255" t="s">
        <v>33</v>
      </c>
      <c r="E303" s="255"/>
      <c r="F303" s="300">
        <v>68</v>
      </c>
      <c r="G303" s="300"/>
      <c r="H303" s="297">
        <v>1</v>
      </c>
      <c r="I303" s="298"/>
      <c r="J303" s="298"/>
      <c r="K303" s="298"/>
      <c r="L303" s="298"/>
      <c r="M303" s="298"/>
      <c r="N303" s="298"/>
      <c r="O303" s="298"/>
      <c r="P303" s="409">
        <f t="shared" si="26"/>
        <v>1</v>
      </c>
      <c r="Q303" s="66"/>
    </row>
    <row r="304" spans="1:17" ht="14.4" outlineLevel="1" x14ac:dyDescent="0.3">
      <c r="A304" s="606"/>
      <c r="B304" s="151"/>
      <c r="C304" s="258" t="s">
        <v>255</v>
      </c>
      <c r="D304" s="255" t="s">
        <v>251</v>
      </c>
      <c r="E304" s="255"/>
      <c r="F304" s="300"/>
      <c r="G304" s="300"/>
      <c r="H304" s="297"/>
      <c r="I304" s="298"/>
      <c r="J304" s="298"/>
      <c r="K304" s="298"/>
      <c r="L304" s="298"/>
      <c r="M304" s="298"/>
      <c r="N304" s="298"/>
      <c r="O304" s="298"/>
      <c r="P304" s="409"/>
      <c r="Q304" s="66"/>
    </row>
    <row r="305" spans="1:17" ht="14.4" outlineLevel="1" x14ac:dyDescent="0.3">
      <c r="A305" s="606"/>
      <c r="B305" s="151"/>
      <c r="C305" s="596"/>
      <c r="D305" s="596"/>
      <c r="E305" s="270"/>
      <c r="F305" s="300"/>
      <c r="G305" s="300"/>
      <c r="H305" s="297"/>
      <c r="I305" s="298"/>
      <c r="J305" s="298"/>
      <c r="K305" s="298"/>
      <c r="L305" s="298"/>
      <c r="M305" s="298"/>
      <c r="N305" s="298"/>
      <c r="O305" s="298"/>
      <c r="P305" s="409"/>
      <c r="Q305" s="66"/>
    </row>
    <row r="306" spans="1:17" s="42" customFormat="1" ht="14.4" outlineLevel="1" x14ac:dyDescent="0.3">
      <c r="A306" s="606"/>
      <c r="B306" s="152"/>
      <c r="C306" s="596"/>
      <c r="D306" s="596"/>
      <c r="E306" s="270"/>
      <c r="F306" s="300"/>
      <c r="G306" s="300"/>
      <c r="H306" s="406"/>
      <c r="I306" s="407"/>
      <c r="J306" s="407"/>
      <c r="K306" s="407"/>
      <c r="L306" s="407"/>
      <c r="M306" s="407"/>
      <c r="N306" s="407"/>
      <c r="O306" s="407"/>
      <c r="P306" s="410"/>
      <c r="Q306" s="150"/>
    </row>
    <row r="307" spans="1:17" ht="14.4" x14ac:dyDescent="0.3">
      <c r="A307" s="606"/>
      <c r="B307" s="357"/>
      <c r="C307" s="595" t="s">
        <v>219</v>
      </c>
      <c r="D307" s="595"/>
      <c r="E307" s="358"/>
      <c r="F307" s="359">
        <f>SUM(F250:F306)</f>
        <v>998.90599999999995</v>
      </c>
      <c r="G307" s="359">
        <f>SUM(G250:G306)</f>
        <v>1815063.939</v>
      </c>
      <c r="H307" s="360">
        <f>SUM(G250*H250,G251*H251,G252*H252,G253*H253,G254*H254,G255*H255,G258*H258,G287*H287,G256*H256,G257*H257)</f>
        <v>272174.82400000002</v>
      </c>
      <c r="I307" s="360">
        <f>SUM(G264*I264,G265*I265,G267*I267,G268*I268,G269*I269,G270*I270,G271*I271,G266*I266)</f>
        <v>1464571.3185629998</v>
      </c>
      <c r="J307" s="361"/>
      <c r="K307" s="358"/>
      <c r="L307" s="358"/>
      <c r="M307" s="358"/>
      <c r="N307" s="360"/>
      <c r="O307" s="358"/>
      <c r="P307" s="362">
        <f>SUM(H307:O307)</f>
        <v>1736746.1425629999</v>
      </c>
      <c r="Q307" s="66"/>
    </row>
    <row r="308" spans="1:17" ht="14.4" x14ac:dyDescent="0.3">
      <c r="A308" s="606"/>
      <c r="B308" s="499"/>
      <c r="C308" s="500" t="s">
        <v>499</v>
      </c>
      <c r="D308" s="500"/>
      <c r="E308" s="501"/>
      <c r="F308" s="502"/>
      <c r="G308" s="502"/>
      <c r="H308" s="503">
        <f>H307-SUM(G256*H256,G257*H257)</f>
        <v>272174.82400000002</v>
      </c>
      <c r="I308" s="503">
        <f>I307-SUM(G269*I269,G270*I270,G271*I271)</f>
        <v>1464571.3185629998</v>
      </c>
      <c r="J308" s="504"/>
      <c r="K308" s="501"/>
      <c r="L308" s="501"/>
      <c r="M308" s="501"/>
      <c r="N308" s="501"/>
      <c r="O308" s="501"/>
      <c r="P308" s="505"/>
      <c r="Q308" s="66"/>
    </row>
    <row r="309" spans="1:17" ht="14.4" x14ac:dyDescent="0.3">
      <c r="A309" s="606"/>
      <c r="B309" s="277"/>
      <c r="C309" s="596" t="s">
        <v>316</v>
      </c>
      <c r="D309" s="596"/>
      <c r="E309" s="271"/>
      <c r="F309" s="269"/>
      <c r="G309" s="269"/>
      <c r="H309" s="271"/>
      <c r="I309" s="271"/>
      <c r="J309" s="272">
        <f>SUM($E$264*$F$264*J264,$E$265*$F$265*J265,$E$266*$F$266*J266,$E$267*$F$267*J267,$E$268*$F$268*J268,$E$277*$F$277*J277,$E$278*$F$278*J278,$E$279*$F$279*J279,$E$280*$F$280*J280,$F$292*J292,$F$293*J293,$F$294*J294,$F$295*J295,$F$296*J296)</f>
        <v>182.97283199999998</v>
      </c>
      <c r="K309" s="272">
        <f>SUM($E$264*$F$264*K264,$E$265*$F$265*K265,$E$266*$F$266*K266,$E$267*$F$267*K267,$E$268*$F$268*K268,$E$277*$F$277*K277,$E$278*$F$278*K278,$E$279*$F$279*K279,$E$280*$F$280*K280,$F$292*K292,$F$293*K293,$F$294*K294,$F$295*K295,$F$296*K296)</f>
        <v>0</v>
      </c>
      <c r="L309" s="272"/>
      <c r="M309" s="272"/>
      <c r="N309" s="271"/>
      <c r="O309" s="271"/>
      <c r="P309" s="278">
        <f>SUM(H309:O309)</f>
        <v>182.97283199999998</v>
      </c>
      <c r="Q309" s="66"/>
    </row>
    <row r="310" spans="1:17" ht="14.4" x14ac:dyDescent="0.3">
      <c r="A310" s="606"/>
      <c r="B310" s="277"/>
      <c r="C310" s="596" t="s">
        <v>495</v>
      </c>
      <c r="D310" s="596"/>
      <c r="E310" s="271"/>
      <c r="F310" s="269"/>
      <c r="G310" s="269"/>
      <c r="H310" s="271"/>
      <c r="I310" s="271"/>
      <c r="J310" s="272">
        <f>J309-($E$266*$F$266*J266)</f>
        <v>182.97283199999998</v>
      </c>
      <c r="K310" s="272">
        <f>K309-($E$266*$F$266*K266)</f>
        <v>0</v>
      </c>
      <c r="L310" s="271"/>
      <c r="M310" s="271"/>
      <c r="N310" s="271"/>
      <c r="O310" s="271"/>
      <c r="P310" s="278"/>
      <c r="Q310" s="66"/>
    </row>
    <row r="311" spans="1:17" ht="14.4" x14ac:dyDescent="0.3">
      <c r="A311" s="606"/>
      <c r="B311" s="279"/>
      <c r="C311" s="520"/>
      <c r="D311" s="264"/>
      <c r="E311" s="264"/>
      <c r="F311" s="262"/>
      <c r="G311" s="262"/>
      <c r="H311" s="264"/>
      <c r="I311" s="264"/>
      <c r="J311" s="264"/>
      <c r="K311" s="264"/>
      <c r="L311" s="264"/>
      <c r="M311" s="264"/>
      <c r="N311" s="264"/>
      <c r="O311" s="264"/>
      <c r="P311" s="280"/>
      <c r="Q311" s="66"/>
    </row>
    <row r="312" spans="1:17" ht="14.4" x14ac:dyDescent="0.3">
      <c r="A312" s="606"/>
      <c r="B312" s="385"/>
      <c r="C312" s="598" t="s">
        <v>321</v>
      </c>
      <c r="D312" s="598"/>
      <c r="E312" s="255"/>
      <c r="F312" s="266"/>
      <c r="G312" s="255"/>
      <c r="H312" s="267">
        <f>'3.  Distribution Rates'!H33</f>
        <v>1.4133333333333333E-2</v>
      </c>
      <c r="I312" s="267">
        <f>'3.  Distribution Rates'!H34</f>
        <v>1.83E-2</v>
      </c>
      <c r="J312" s="267">
        <f>'3.  Distribution Rates'!H35</f>
        <v>3.5259999999999998</v>
      </c>
      <c r="K312" s="267">
        <f>'3.  Distribution Rates'!H36</f>
        <v>2.7814333333333336</v>
      </c>
      <c r="L312" s="267">
        <f>'3.  Distribution Rates'!H37</f>
        <v>1.0366666666666666E-2</v>
      </c>
      <c r="M312" s="267">
        <f>'3.  Distribution Rates'!H38</f>
        <v>11.895200000000001</v>
      </c>
      <c r="N312" s="267">
        <f>'3.  Distribution Rates'!H39</f>
        <v>8.8458999999999985</v>
      </c>
      <c r="O312" s="267"/>
      <c r="P312" s="386"/>
      <c r="Q312" s="66"/>
    </row>
    <row r="313" spans="1:17" ht="14.4" x14ac:dyDescent="0.3">
      <c r="A313" s="606"/>
      <c r="B313" s="385"/>
      <c r="C313" s="598" t="s">
        <v>236</v>
      </c>
      <c r="D313" s="598"/>
      <c r="E313" s="264"/>
      <c r="F313" s="266"/>
      <c r="G313" s="266"/>
      <c r="H313" s="382">
        <f>H77*H312</f>
        <v>2232.4761199015384</v>
      </c>
      <c r="I313" s="382">
        <f t="shared" ref="I313:N313" si="27">I77*I312</f>
        <v>7374.8893500756922</v>
      </c>
      <c r="J313" s="382">
        <f t="shared" si="27"/>
        <v>397.71179350855891</v>
      </c>
      <c r="K313" s="382">
        <f t="shared" si="27"/>
        <v>8.4828529111310065</v>
      </c>
      <c r="L313" s="382">
        <f t="shared" si="27"/>
        <v>0</v>
      </c>
      <c r="M313" s="382">
        <f t="shared" si="27"/>
        <v>0</v>
      </c>
      <c r="N313" s="382">
        <f t="shared" si="27"/>
        <v>0</v>
      </c>
      <c r="O313" s="255"/>
      <c r="P313" s="281">
        <f>SUM(H313:O313)</f>
        <v>10013.56011639692</v>
      </c>
      <c r="Q313" s="66"/>
    </row>
    <row r="314" spans="1:17" ht="14.4" x14ac:dyDescent="0.3">
      <c r="A314" s="606"/>
      <c r="B314" s="385"/>
      <c r="C314" s="598" t="s">
        <v>237</v>
      </c>
      <c r="D314" s="598"/>
      <c r="E314" s="264"/>
      <c r="F314" s="266"/>
      <c r="G314" s="266"/>
      <c r="H314" s="382">
        <f>H156*H312</f>
        <v>1649.5116688514663</v>
      </c>
      <c r="I314" s="382">
        <f t="shared" ref="I314:N314" si="28">I156*I312</f>
        <v>10136.571884093755</v>
      </c>
      <c r="J314" s="382">
        <f t="shared" si="28"/>
        <v>995.97692131199983</v>
      </c>
      <c r="K314" s="382">
        <f t="shared" si="28"/>
        <v>0</v>
      </c>
      <c r="L314" s="382">
        <f t="shared" si="28"/>
        <v>0</v>
      </c>
      <c r="M314" s="382">
        <f t="shared" si="28"/>
        <v>0</v>
      </c>
      <c r="N314" s="382">
        <f t="shared" si="28"/>
        <v>0</v>
      </c>
      <c r="O314" s="255"/>
      <c r="P314" s="281">
        <f>SUM(H314:O314)</f>
        <v>12782.060474257221</v>
      </c>
      <c r="Q314" s="66"/>
    </row>
    <row r="315" spans="1:17" ht="14.4" x14ac:dyDescent="0.3">
      <c r="A315" s="606"/>
      <c r="B315" s="385"/>
      <c r="C315" s="598" t="s">
        <v>238</v>
      </c>
      <c r="D315" s="598"/>
      <c r="E315" s="264"/>
      <c r="F315" s="266"/>
      <c r="G315" s="266"/>
      <c r="H315" s="382">
        <f>H236*H312</f>
        <v>1685.9671930256413</v>
      </c>
      <c r="I315" s="382">
        <f t="shared" ref="I315:N315" si="29">I236*I312</f>
        <v>4752.29303016418</v>
      </c>
      <c r="J315" s="382">
        <f t="shared" si="29"/>
        <v>807.21962902196537</v>
      </c>
      <c r="K315" s="382">
        <f t="shared" si="29"/>
        <v>0</v>
      </c>
      <c r="L315" s="382">
        <f t="shared" si="29"/>
        <v>0</v>
      </c>
      <c r="M315" s="382">
        <f t="shared" si="29"/>
        <v>0</v>
      </c>
      <c r="N315" s="382">
        <f t="shared" si="29"/>
        <v>0</v>
      </c>
      <c r="O315" s="255"/>
      <c r="P315" s="281">
        <f t="shared" ref="P315" si="30">SUM(H315:O315)</f>
        <v>7245.4798522117871</v>
      </c>
      <c r="Q315" s="66"/>
    </row>
    <row r="316" spans="1:17" ht="14.4" x14ac:dyDescent="0.3">
      <c r="A316" s="606"/>
      <c r="B316" s="385"/>
      <c r="C316" s="598" t="s">
        <v>239</v>
      </c>
      <c r="D316" s="598"/>
      <c r="E316" s="264"/>
      <c r="F316" s="266"/>
      <c r="G316" s="266"/>
      <c r="H316" s="382">
        <f>H307*H312</f>
        <v>3846.7375125333333</v>
      </c>
      <c r="I316" s="382">
        <f>I307*I312</f>
        <v>26801.655129702896</v>
      </c>
      <c r="J316" s="382">
        <f>J309*J312</f>
        <v>645.16220563199988</v>
      </c>
      <c r="K316" s="382">
        <f>K309*K312</f>
        <v>0</v>
      </c>
      <c r="L316" s="382">
        <f>L309*L312</f>
        <v>0</v>
      </c>
      <c r="M316" s="382">
        <f>M309*M312</f>
        <v>0</v>
      </c>
      <c r="N316" s="382">
        <f>N307*N312</f>
        <v>0</v>
      </c>
      <c r="O316" s="255"/>
      <c r="P316" s="281">
        <f>SUM(H316:O316)</f>
        <v>31293.554847868232</v>
      </c>
      <c r="Q316" s="66"/>
    </row>
    <row r="317" spans="1:17" ht="14.4" x14ac:dyDescent="0.3">
      <c r="A317" s="606"/>
      <c r="B317" s="279"/>
      <c r="C317" s="383" t="s">
        <v>204</v>
      </c>
      <c r="D317" s="264"/>
      <c r="E317" s="264"/>
      <c r="F317" s="262"/>
      <c r="G317" s="262"/>
      <c r="H317" s="268">
        <f>SUM(H313:H316)</f>
        <v>9414.6924943119793</v>
      </c>
      <c r="I317" s="268">
        <f>SUM(I313:I316)</f>
        <v>49065.409394036527</v>
      </c>
      <c r="J317" s="268">
        <f>SUM(J313:J316)</f>
        <v>2846.0705494745239</v>
      </c>
      <c r="K317" s="268">
        <f>SUM(K313:K316)</f>
        <v>8.4828529111310065</v>
      </c>
      <c r="L317" s="268">
        <f t="shared" ref="L317:N317" si="31">SUM(L313:L316)</f>
        <v>0</v>
      </c>
      <c r="M317" s="268">
        <f t="shared" si="31"/>
        <v>0</v>
      </c>
      <c r="N317" s="268">
        <f t="shared" si="31"/>
        <v>0</v>
      </c>
      <c r="O317" s="264"/>
      <c r="P317" s="282">
        <f>SUM(P313:P316)</f>
        <v>61334.655290734161</v>
      </c>
      <c r="Q317" s="66"/>
    </row>
    <row r="318" spans="1:17" x14ac:dyDescent="0.3">
      <c r="B318" s="411"/>
      <c r="C318" s="598" t="s">
        <v>431</v>
      </c>
      <c r="D318" s="598"/>
      <c r="E318" s="54"/>
      <c r="F318" s="44"/>
      <c r="G318" s="44"/>
      <c r="H318" s="255">
        <f>$H$308*'6.  Persistence Rates'!$H$28</f>
        <v>0</v>
      </c>
      <c r="I318" s="255">
        <f>I308*'6.  Persistence Rates'!$H$28</f>
        <v>0</v>
      </c>
      <c r="J318" s="255">
        <f>$J$310*'6.  Persistence Rates'!$T$28</f>
        <v>0</v>
      </c>
      <c r="K318" s="255">
        <f>$K$310*'6.  Persistence Rates'!$T$28</f>
        <v>0</v>
      </c>
      <c r="L318" s="255">
        <f>$L$309*'6.  Persistence Rates'!$T$28</f>
        <v>0</v>
      </c>
      <c r="M318" s="255">
        <f>$M$309*'6.  Persistence Rates'!$T$28</f>
        <v>0</v>
      </c>
      <c r="N318" s="255">
        <f>$N$307*'6.  Persistence Rates'!$H$28</f>
        <v>0</v>
      </c>
      <c r="O318" s="44"/>
      <c r="P318" s="412"/>
    </row>
    <row r="319" spans="1:17" x14ac:dyDescent="0.3">
      <c r="B319" s="411"/>
      <c r="C319" s="598" t="s">
        <v>432</v>
      </c>
      <c r="D319" s="598"/>
      <c r="E319" s="54"/>
      <c r="F319" s="44"/>
      <c r="G319" s="44"/>
      <c r="H319" s="255">
        <f>$H$308*'6.  Persistence Rates'!$I$28</f>
        <v>0</v>
      </c>
      <c r="I319" s="255">
        <f>$I$308*'6.  Persistence Rates'!$I$28</f>
        <v>0</v>
      </c>
      <c r="J319" s="255">
        <f>$J$310*'6.  Persistence Rates'!$U$28</f>
        <v>0</v>
      </c>
      <c r="K319" s="255">
        <f>$K$310*'6.  Persistence Rates'!$U$28</f>
        <v>0</v>
      </c>
      <c r="L319" s="255">
        <f>$L$309*'6.  Persistence Rates'!$U$28</f>
        <v>0</v>
      </c>
      <c r="M319" s="255">
        <f>$M$309*'6.  Persistence Rates'!$U$28</f>
        <v>0</v>
      </c>
      <c r="N319" s="255">
        <f>$N$307*'6.  Persistence Rates'!$I$28</f>
        <v>0</v>
      </c>
      <c r="O319" s="44"/>
      <c r="P319" s="412"/>
    </row>
    <row r="320" spans="1:17" x14ac:dyDescent="0.3">
      <c r="B320" s="411"/>
      <c r="C320" s="598" t="s">
        <v>433</v>
      </c>
      <c r="D320" s="598"/>
      <c r="E320" s="54"/>
      <c r="F320" s="44"/>
      <c r="G320" s="44"/>
      <c r="H320" s="255">
        <f>$H$308*'6.  Persistence Rates'!$J$28</f>
        <v>0</v>
      </c>
      <c r="I320" s="255">
        <f>$I$308*'6.  Persistence Rates'!$J$28</f>
        <v>0</v>
      </c>
      <c r="J320" s="255">
        <f>$J$310*'6.  Persistence Rates'!$V$28</f>
        <v>0</v>
      </c>
      <c r="K320" s="255">
        <f>$K$310*'6.  Persistence Rates'!$V$28</f>
        <v>0</v>
      </c>
      <c r="L320" s="255">
        <f>$L$309*'6.  Persistence Rates'!$V$28</f>
        <v>0</v>
      </c>
      <c r="M320" s="255">
        <f>$M$309*'6.  Persistence Rates'!$V$28</f>
        <v>0</v>
      </c>
      <c r="N320" s="255">
        <f>$N$307*'6.  Persistence Rates'!$J$28</f>
        <v>0</v>
      </c>
      <c r="O320" s="44"/>
      <c r="P320" s="412"/>
    </row>
    <row r="321" spans="2:16" x14ac:dyDescent="0.3">
      <c r="B321" s="411"/>
      <c r="C321" s="598" t="s">
        <v>434</v>
      </c>
      <c r="D321" s="598"/>
      <c r="E321" s="54"/>
      <c r="F321" s="44"/>
      <c r="G321" s="44"/>
      <c r="H321" s="255">
        <f>$H$308*'6.  Persistence Rates'!$K$28</f>
        <v>0</v>
      </c>
      <c r="I321" s="255">
        <f>$I$308*'6.  Persistence Rates'!$K$28</f>
        <v>0</v>
      </c>
      <c r="J321" s="255">
        <f>$J$310*'6.  Persistence Rates'!$W$28</f>
        <v>0</v>
      </c>
      <c r="K321" s="255">
        <f>$K$310*'6.  Persistence Rates'!$W$28</f>
        <v>0</v>
      </c>
      <c r="L321" s="255">
        <f>$L$309*'6.  Persistence Rates'!$W$28</f>
        <v>0</v>
      </c>
      <c r="M321" s="255">
        <f>$M$309*'6.  Persistence Rates'!$W$28</f>
        <v>0</v>
      </c>
      <c r="N321" s="255">
        <f>$N$307*'6.  Persistence Rates'!$K$28</f>
        <v>0</v>
      </c>
      <c r="O321" s="44"/>
      <c r="P321" s="412"/>
    </row>
    <row r="322" spans="2:16" x14ac:dyDescent="0.3">
      <c r="B322" s="411"/>
      <c r="C322" s="598" t="s">
        <v>435</v>
      </c>
      <c r="D322" s="598"/>
      <c r="E322" s="54"/>
      <c r="F322" s="44"/>
      <c r="G322" s="44"/>
      <c r="H322" s="255">
        <f>$H$308*'6.  Persistence Rates'!$L$28</f>
        <v>0</v>
      </c>
      <c r="I322" s="255">
        <f>$I$308*'6.  Persistence Rates'!$L$28</f>
        <v>0</v>
      </c>
      <c r="J322" s="255">
        <f>$J$310*'6.  Persistence Rates'!$X$28</f>
        <v>0</v>
      </c>
      <c r="K322" s="255">
        <f>$K$310*'6.  Persistence Rates'!$X$28</f>
        <v>0</v>
      </c>
      <c r="L322" s="255">
        <f>$L$309*'6.  Persistence Rates'!$X$28</f>
        <v>0</v>
      </c>
      <c r="M322" s="255">
        <f>$M$309*'6.  Persistence Rates'!$X$28</f>
        <v>0</v>
      </c>
      <c r="N322" s="255">
        <f>$N$307*'6.  Persistence Rates'!$L$28</f>
        <v>0</v>
      </c>
      <c r="O322" s="44"/>
      <c r="P322" s="412"/>
    </row>
    <row r="323" spans="2:16" x14ac:dyDescent="0.3">
      <c r="B323" s="413"/>
      <c r="C323" s="610" t="s">
        <v>436</v>
      </c>
      <c r="D323" s="610"/>
      <c r="E323" s="414"/>
      <c r="F323" s="112"/>
      <c r="G323" s="112"/>
      <c r="H323" s="529">
        <f>$H$308*'6.  Persistence Rates'!$M$28</f>
        <v>0</v>
      </c>
      <c r="I323" s="529">
        <f>$I$308*'6.  Persistence Rates'!$M$28</f>
        <v>0</v>
      </c>
      <c r="J323" s="529">
        <f>$J$310*'6.  Persistence Rates'!$Y$28</f>
        <v>0</v>
      </c>
      <c r="K323" s="529">
        <f>$K$310*'6.  Persistence Rates'!$Y$28</f>
        <v>0</v>
      </c>
      <c r="L323" s="529">
        <f>$L$309*'6.  Persistence Rates'!$Y$28</f>
        <v>0</v>
      </c>
      <c r="M323" s="529">
        <f>$M$309*'6.  Persistence Rates'!$Y$28</f>
        <v>0</v>
      </c>
      <c r="N323" s="529">
        <f>$N$307*'6.  Persistence Rates'!$M$28</f>
        <v>0</v>
      </c>
      <c r="O323" s="112"/>
      <c r="P323" s="415"/>
    </row>
  </sheetData>
  <mergeCells count="158">
    <mergeCell ref="C322:D322"/>
    <mergeCell ref="C323:D323"/>
    <mergeCell ref="C310:D310"/>
    <mergeCell ref="C260:D260"/>
    <mergeCell ref="C261:D261"/>
    <mergeCell ref="C262:D262"/>
    <mergeCell ref="C273:D273"/>
    <mergeCell ref="C274:D274"/>
    <mergeCell ref="C275:D275"/>
    <mergeCell ref="C283:D283"/>
    <mergeCell ref="C284:D284"/>
    <mergeCell ref="C285:D285"/>
    <mergeCell ref="C289:D289"/>
    <mergeCell ref="C290:D290"/>
    <mergeCell ref="C298:D298"/>
    <mergeCell ref="C242:D242"/>
    <mergeCell ref="C318:D318"/>
    <mergeCell ref="C319:D319"/>
    <mergeCell ref="C320:D320"/>
    <mergeCell ref="C321:D321"/>
    <mergeCell ref="C299:D299"/>
    <mergeCell ref="C300:D300"/>
    <mergeCell ref="C305:D305"/>
    <mergeCell ref="C306:D306"/>
    <mergeCell ref="C309:D309"/>
    <mergeCell ref="C312:D312"/>
    <mergeCell ref="C316:D316"/>
    <mergeCell ref="B245:P245"/>
    <mergeCell ref="H247:P247"/>
    <mergeCell ref="B247:B248"/>
    <mergeCell ref="C247:C248"/>
    <mergeCell ref="C194:D194"/>
    <mergeCell ref="C195:D195"/>
    <mergeCell ref="C237:D237"/>
    <mergeCell ref="C238:D238"/>
    <mergeCell ref="C239:D239"/>
    <mergeCell ref="C240:D240"/>
    <mergeCell ref="C241:D241"/>
    <mergeCell ref="C218:D218"/>
    <mergeCell ref="C219:D219"/>
    <mergeCell ref="C224:D224"/>
    <mergeCell ref="C225:D225"/>
    <mergeCell ref="C229:D229"/>
    <mergeCell ref="C138:D138"/>
    <mergeCell ref="C139:D139"/>
    <mergeCell ref="C144:D144"/>
    <mergeCell ref="C145:D145"/>
    <mergeCell ref="C180:D180"/>
    <mergeCell ref="C123:D123"/>
    <mergeCell ref="C124:D124"/>
    <mergeCell ref="C128:D128"/>
    <mergeCell ref="C129:D129"/>
    <mergeCell ref="C137:D137"/>
    <mergeCell ref="C122:D122"/>
    <mergeCell ref="C65:D65"/>
    <mergeCell ref="C66:D66"/>
    <mergeCell ref="C67:D67"/>
    <mergeCell ref="C101:D101"/>
    <mergeCell ref="C102:D102"/>
    <mergeCell ref="C103:D103"/>
    <mergeCell ref="C115:D115"/>
    <mergeCell ref="C75:D75"/>
    <mergeCell ref="A169:A236"/>
    <mergeCell ref="A249:A317"/>
    <mergeCell ref="C152:D152"/>
    <mergeCell ref="C155:D155"/>
    <mergeCell ref="C156:D156"/>
    <mergeCell ref="B165:P165"/>
    <mergeCell ref="B167:B168"/>
    <mergeCell ref="C167:C168"/>
    <mergeCell ref="C169:D169"/>
    <mergeCell ref="D167:D168"/>
    <mergeCell ref="H167:P167"/>
    <mergeCell ref="C183:D183"/>
    <mergeCell ref="C196:D196"/>
    <mergeCell ref="C206:D206"/>
    <mergeCell ref="C211:D211"/>
    <mergeCell ref="C220:D220"/>
    <mergeCell ref="C203:D203"/>
    <mergeCell ref="C204:D204"/>
    <mergeCell ref="C205:D205"/>
    <mergeCell ref="C209:D209"/>
    <mergeCell ref="C210:D210"/>
    <mergeCell ref="C181:D181"/>
    <mergeCell ref="C182:D182"/>
    <mergeCell ref="C193:D193"/>
    <mergeCell ref="A91:A156"/>
    <mergeCell ref="A21:A77"/>
    <mergeCell ref="C315:D315"/>
    <mergeCell ref="C314:D314"/>
    <mergeCell ref="C313:D313"/>
    <mergeCell ref="C276:D276"/>
    <mergeCell ref="C286:D286"/>
    <mergeCell ref="C291:D291"/>
    <mergeCell ref="C301:D301"/>
    <mergeCell ref="C307:D307"/>
    <mergeCell ref="C249:D249"/>
    <mergeCell ref="C263:D263"/>
    <mergeCell ref="C234:D234"/>
    <mergeCell ref="C233:D233"/>
    <mergeCell ref="C232:D232"/>
    <mergeCell ref="C236:D236"/>
    <mergeCell ref="B86:P86"/>
    <mergeCell ref="C148:D148"/>
    <mergeCell ref="C149:D149"/>
    <mergeCell ref="C150:D150"/>
    <mergeCell ref="B88:B89"/>
    <mergeCell ref="C88:C89"/>
    <mergeCell ref="H88:P88"/>
    <mergeCell ref="C77:D77"/>
    <mergeCell ref="E19:E20"/>
    <mergeCell ref="C151:D151"/>
    <mergeCell ref="C153:D153"/>
    <mergeCell ref="C125:D125"/>
    <mergeCell ref="C130:D130"/>
    <mergeCell ref="C90:D90"/>
    <mergeCell ref="C140:D140"/>
    <mergeCell ref="C43:D43"/>
    <mergeCell ref="C44:D44"/>
    <mergeCell ref="C52:D52"/>
    <mergeCell ref="C53:D53"/>
    <mergeCell ref="C57:D57"/>
    <mergeCell ref="C58:D58"/>
    <mergeCell ref="E88:E89"/>
    <mergeCell ref="D88:D89"/>
    <mergeCell ref="C76:D76"/>
    <mergeCell ref="C19:C20"/>
    <mergeCell ref="C21:D21"/>
    <mergeCell ref="C34:D34"/>
    <mergeCell ref="C73:D73"/>
    <mergeCell ref="C74:D74"/>
    <mergeCell ref="C68:D68"/>
    <mergeCell ref="C113:D113"/>
    <mergeCell ref="C114:D114"/>
    <mergeCell ref="B19:B20"/>
    <mergeCell ref="D13:E13"/>
    <mergeCell ref="D14:E14"/>
    <mergeCell ref="B3:P3"/>
    <mergeCell ref="C12:C14"/>
    <mergeCell ref="D247:D248"/>
    <mergeCell ref="E167:E168"/>
    <mergeCell ref="E247:E248"/>
    <mergeCell ref="C226:D226"/>
    <mergeCell ref="C228:D228"/>
    <mergeCell ref="C230:D230"/>
    <mergeCell ref="C231:D231"/>
    <mergeCell ref="C71:D71"/>
    <mergeCell ref="C45:D45"/>
    <mergeCell ref="D19:D20"/>
    <mergeCell ref="C54:D54"/>
    <mergeCell ref="C59:D59"/>
    <mergeCell ref="H19:P19"/>
    <mergeCell ref="B17:P17"/>
    <mergeCell ref="C70:D70"/>
    <mergeCell ref="C72:D72"/>
    <mergeCell ref="C31:D31"/>
    <mergeCell ref="C33:D33"/>
    <mergeCell ref="C146:D146"/>
  </mergeCells>
  <pageMargins left="0.23622047244094491" right="0.23622047244094491" top="0.47244094488188981" bottom="0.47244094488188981" header="0.15748031496062992" footer="0.15748031496062992"/>
  <pageSetup scale="48"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2"/>
  <sheetViews>
    <sheetView topLeftCell="B13" zoomScale="90" zoomScaleNormal="90" workbookViewId="0">
      <pane xSplit="6" ySplit="6" topLeftCell="H115" activePane="bottomRight" state="frozen"/>
      <selection activeCell="B13" sqref="B13"/>
      <selection pane="topRight" activeCell="H13" sqref="H13"/>
      <selection pane="bottomLeft" activeCell="B19" sqref="B19"/>
      <selection pane="bottomRight" activeCell="H61" sqref="H61"/>
    </sheetView>
  </sheetViews>
  <sheetFormatPr defaultColWidth="9.109375" defaultRowHeight="14.4" outlineLevelRow="1" x14ac:dyDescent="0.3"/>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1" spans="1:18" ht="167.25" customHeight="1" x14ac:dyDescent="0.3">
      <c r="A1" s="612"/>
      <c r="B1" s="612"/>
      <c r="C1" s="612"/>
      <c r="D1" s="612"/>
      <c r="E1" s="612"/>
      <c r="F1" s="612"/>
      <c r="G1" s="612"/>
      <c r="H1" s="612"/>
      <c r="I1" s="612"/>
      <c r="J1" s="612"/>
      <c r="K1" s="612"/>
      <c r="L1" s="612"/>
      <c r="M1" s="612"/>
      <c r="N1" s="612"/>
      <c r="O1" s="612"/>
    </row>
    <row r="2" spans="1:18" ht="20.25" x14ac:dyDescent="0.3">
      <c r="B2" s="626" t="s">
        <v>262</v>
      </c>
      <c r="C2" s="626"/>
      <c r="D2" s="626"/>
      <c r="E2" s="626"/>
      <c r="F2" s="626"/>
      <c r="G2" s="626"/>
      <c r="H2" s="626"/>
      <c r="I2" s="626"/>
      <c r="J2" s="626"/>
      <c r="K2" s="626"/>
      <c r="L2" s="626"/>
      <c r="M2" s="626"/>
      <c r="N2" s="626"/>
      <c r="O2" s="626"/>
      <c r="P2" s="626"/>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397</v>
      </c>
      <c r="D4" s="395"/>
      <c r="E4" s="618" t="s">
        <v>491</v>
      </c>
      <c r="F4" s="618"/>
      <c r="G4" s="618"/>
      <c r="H4" s="618"/>
      <c r="I4" s="618"/>
      <c r="J4" s="618"/>
      <c r="K4" s="618"/>
      <c r="L4" s="618"/>
      <c r="M4" s="618"/>
      <c r="N4" s="618"/>
      <c r="O4" s="618"/>
      <c r="P4" s="618"/>
    </row>
    <row r="5" spans="1:18" ht="36" customHeight="1" outlineLevel="1" x14ac:dyDescent="0.3">
      <c r="A5" s="65"/>
      <c r="B5" s="473"/>
      <c r="C5" s="373"/>
      <c r="D5" s="395"/>
      <c r="E5" s="618" t="s">
        <v>492</v>
      </c>
      <c r="F5" s="618"/>
      <c r="G5" s="618"/>
      <c r="H5" s="618"/>
      <c r="I5" s="618"/>
      <c r="J5" s="618"/>
      <c r="K5" s="618"/>
      <c r="L5" s="618"/>
      <c r="M5" s="618"/>
      <c r="N5" s="618"/>
      <c r="O5" s="618"/>
      <c r="P5" s="618"/>
    </row>
    <row r="6" spans="1:18" ht="18.75" outlineLevel="1" x14ac:dyDescent="0.3">
      <c r="B6" s="63"/>
      <c r="C6" s="396"/>
      <c r="D6" s="395"/>
      <c r="E6" s="633" t="s">
        <v>354</v>
      </c>
      <c r="F6" s="633"/>
      <c r="G6" s="633"/>
      <c r="H6" s="633"/>
      <c r="I6" s="633"/>
      <c r="J6" s="633"/>
      <c r="K6" s="633"/>
      <c r="L6" s="633"/>
      <c r="M6" s="633"/>
      <c r="N6" s="633"/>
      <c r="O6" s="633"/>
      <c r="P6" s="633"/>
    </row>
    <row r="7" spans="1:18" ht="18.75" outlineLevel="1" x14ac:dyDescent="0.3">
      <c r="B7" s="242"/>
      <c r="C7" s="396"/>
      <c r="D7" s="395"/>
      <c r="E7" s="633" t="s">
        <v>355</v>
      </c>
      <c r="F7" s="633"/>
      <c r="G7" s="633"/>
      <c r="H7" s="633"/>
      <c r="I7" s="633"/>
      <c r="J7" s="633"/>
      <c r="K7" s="633"/>
      <c r="L7" s="633"/>
      <c r="M7" s="633"/>
      <c r="N7" s="633"/>
      <c r="O7" s="633"/>
      <c r="P7" s="633"/>
    </row>
    <row r="8" spans="1:18" ht="18.75" outlineLevel="1" x14ac:dyDescent="0.3">
      <c r="B8" s="63"/>
      <c r="C8" s="396"/>
      <c r="D8" s="395"/>
      <c r="E8" s="633" t="s">
        <v>481</v>
      </c>
      <c r="F8" s="633"/>
      <c r="G8" s="633"/>
      <c r="H8" s="633"/>
      <c r="I8" s="633"/>
      <c r="J8" s="633"/>
      <c r="K8" s="633"/>
      <c r="L8" s="633"/>
      <c r="M8" s="633"/>
      <c r="N8" s="633"/>
      <c r="O8" s="633"/>
      <c r="P8" s="633"/>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334</v>
      </c>
      <c r="D11" s="63"/>
      <c r="E11" s="627" t="s">
        <v>361</v>
      </c>
      <c r="F11" s="627"/>
      <c r="G11" s="63"/>
      <c r="H11" s="63"/>
      <c r="I11" s="63"/>
      <c r="J11" s="63"/>
      <c r="K11" s="63"/>
      <c r="L11" s="63"/>
      <c r="M11" s="63"/>
      <c r="N11" s="63"/>
      <c r="O11" s="63"/>
      <c r="P11" s="63"/>
      <c r="R11" s="82"/>
    </row>
    <row r="12" spans="1:18" ht="14.25" customHeight="1" outlineLevel="1" x14ac:dyDescent="0.3">
      <c r="B12" s="63"/>
      <c r="C12" s="63"/>
      <c r="D12" s="63"/>
      <c r="E12" s="561" t="s">
        <v>335</v>
      </c>
      <c r="F12" s="561"/>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469</v>
      </c>
      <c r="C14" s="49"/>
      <c r="D14" s="51"/>
      <c r="E14" s="51"/>
    </row>
    <row r="15" spans="1:18" ht="41.4" x14ac:dyDescent="0.3">
      <c r="B15" s="622" t="s">
        <v>58</v>
      </c>
      <c r="C15" s="613" t="s">
        <v>0</v>
      </c>
      <c r="D15" s="613" t="s">
        <v>44</v>
      </c>
      <c r="E15" s="613" t="s">
        <v>203</v>
      </c>
      <c r="F15" s="431" t="s">
        <v>200</v>
      </c>
      <c r="G15" s="431" t="s">
        <v>45</v>
      </c>
      <c r="H15" s="624" t="s">
        <v>59</v>
      </c>
      <c r="I15" s="624"/>
      <c r="J15" s="624"/>
      <c r="K15" s="624"/>
      <c r="L15" s="624"/>
      <c r="M15" s="624"/>
      <c r="N15" s="624"/>
      <c r="O15" s="624"/>
      <c r="P15" s="625"/>
    </row>
    <row r="16" spans="1:18" ht="55.2" x14ac:dyDescent="0.3">
      <c r="B16" s="623"/>
      <c r="C16" s="614"/>
      <c r="D16" s="614"/>
      <c r="E16" s="614"/>
      <c r="F16" s="179" t="s">
        <v>211</v>
      </c>
      <c r="G16" s="179" t="s">
        <v>212</v>
      </c>
      <c r="H16" s="141" t="s">
        <v>37</v>
      </c>
      <c r="I16" s="141" t="s">
        <v>503</v>
      </c>
      <c r="J16" s="141" t="s">
        <v>504</v>
      </c>
      <c r="K16" s="141" t="s">
        <v>505</v>
      </c>
      <c r="L16" s="141" t="s">
        <v>42</v>
      </c>
      <c r="M16" s="141" t="s">
        <v>40</v>
      </c>
      <c r="N16" s="141" t="s">
        <v>500</v>
      </c>
      <c r="O16" s="141" t="s">
        <v>105</v>
      </c>
      <c r="P16" s="432" t="s">
        <v>34</v>
      </c>
    </row>
    <row r="17" spans="1:16" ht="22.5" customHeight="1" x14ac:dyDescent="0.25">
      <c r="B17" s="619" t="s">
        <v>139</v>
      </c>
      <c r="C17" s="620"/>
      <c r="D17" s="620"/>
      <c r="E17" s="620"/>
      <c r="F17" s="620"/>
      <c r="G17" s="620"/>
      <c r="H17" s="620"/>
      <c r="I17" s="620"/>
      <c r="J17" s="620"/>
      <c r="K17" s="620"/>
      <c r="L17" s="620"/>
      <c r="M17" s="620"/>
      <c r="N17" s="620"/>
      <c r="O17" s="620"/>
      <c r="P17" s="621"/>
    </row>
    <row r="18" spans="1:16" ht="26.25" customHeight="1" x14ac:dyDescent="0.25">
      <c r="A18" s="34"/>
      <c r="B18" s="628" t="s">
        <v>140</v>
      </c>
      <c r="C18" s="629"/>
      <c r="D18" s="629"/>
      <c r="E18" s="629"/>
      <c r="F18" s="629"/>
      <c r="G18" s="629"/>
      <c r="H18" s="629"/>
      <c r="I18" s="629"/>
      <c r="J18" s="629"/>
      <c r="K18" s="629"/>
      <c r="L18" s="629"/>
      <c r="M18" s="629"/>
      <c r="N18" s="629"/>
      <c r="O18" s="629"/>
      <c r="P18" s="630"/>
    </row>
    <row r="19" spans="1:16" ht="15" customHeight="1" x14ac:dyDescent="0.25">
      <c r="A19" s="34"/>
      <c r="B19" s="433">
        <v>1</v>
      </c>
      <c r="C19" s="418" t="s">
        <v>141</v>
      </c>
      <c r="D19" s="255" t="s">
        <v>33</v>
      </c>
      <c r="E19" s="419"/>
      <c r="F19" s="300">
        <v>56404</v>
      </c>
      <c r="G19" s="300">
        <v>4</v>
      </c>
      <c r="H19" s="430">
        <v>1</v>
      </c>
      <c r="I19" s="420"/>
      <c r="J19" s="420"/>
      <c r="K19" s="420"/>
      <c r="L19" s="420"/>
      <c r="M19" s="420"/>
      <c r="N19" s="420"/>
      <c r="O19" s="420"/>
      <c r="P19" s="434">
        <f>SUM(H19:O19)</f>
        <v>1</v>
      </c>
    </row>
    <row r="20" spans="1:16" ht="15" x14ac:dyDescent="0.25">
      <c r="A20" s="8"/>
      <c r="B20" s="433">
        <v>2</v>
      </c>
      <c r="C20" s="418" t="s">
        <v>142</v>
      </c>
      <c r="D20" s="255" t="s">
        <v>33</v>
      </c>
      <c r="E20" s="421"/>
      <c r="F20" s="300">
        <v>104202</v>
      </c>
      <c r="G20" s="300">
        <v>7</v>
      </c>
      <c r="H20" s="430">
        <v>1</v>
      </c>
      <c r="I20" s="420"/>
      <c r="J20" s="420"/>
      <c r="K20" s="420"/>
      <c r="L20" s="420"/>
      <c r="M20" s="420"/>
      <c r="N20" s="420"/>
      <c r="O20" s="420"/>
      <c r="P20" s="434">
        <f t="shared" ref="P20:P81" si="0">SUM(H20:O20)</f>
        <v>1</v>
      </c>
    </row>
    <row r="21" spans="1:16" ht="15" x14ac:dyDescent="0.25">
      <c r="A21" s="34"/>
      <c r="B21" s="433">
        <v>3</v>
      </c>
      <c r="C21" s="418" t="s">
        <v>143</v>
      </c>
      <c r="D21" s="255" t="s">
        <v>33</v>
      </c>
      <c r="E21" s="421"/>
      <c r="F21" s="300">
        <v>17118</v>
      </c>
      <c r="G21" s="300">
        <v>3</v>
      </c>
      <c r="H21" s="430">
        <v>1</v>
      </c>
      <c r="I21" s="420"/>
      <c r="J21" s="420"/>
      <c r="K21" s="420"/>
      <c r="L21" s="420"/>
      <c r="M21" s="420"/>
      <c r="N21" s="420"/>
      <c r="O21" s="420"/>
      <c r="P21" s="434">
        <f t="shared" si="0"/>
        <v>1</v>
      </c>
    </row>
    <row r="22" spans="1:16" ht="15" x14ac:dyDescent="0.25">
      <c r="A22" s="34"/>
      <c r="B22" s="433">
        <v>4</v>
      </c>
      <c r="C22" s="418" t="s">
        <v>144</v>
      </c>
      <c r="D22" s="255" t="s">
        <v>33</v>
      </c>
      <c r="E22" s="421"/>
      <c r="F22" s="300"/>
      <c r="G22" s="300"/>
      <c r="H22" s="430"/>
      <c r="I22" s="420"/>
      <c r="J22" s="420"/>
      <c r="K22" s="420"/>
      <c r="L22" s="420"/>
      <c r="M22" s="420"/>
      <c r="N22" s="420"/>
      <c r="O22" s="420"/>
      <c r="P22" s="434">
        <f t="shared" si="0"/>
        <v>0</v>
      </c>
    </row>
    <row r="23" spans="1:16" ht="15" x14ac:dyDescent="0.25">
      <c r="A23" s="34"/>
      <c r="B23" s="433">
        <v>5</v>
      </c>
      <c r="C23" s="418" t="s">
        <v>145</v>
      </c>
      <c r="D23" s="255" t="s">
        <v>33</v>
      </c>
      <c r="E23" s="421"/>
      <c r="F23" s="300">
        <v>93268</v>
      </c>
      <c r="G23" s="300">
        <v>49</v>
      </c>
      <c r="H23" s="430">
        <v>1</v>
      </c>
      <c r="I23" s="420"/>
      <c r="J23" s="420"/>
      <c r="K23" s="420"/>
      <c r="L23" s="420"/>
      <c r="M23" s="420"/>
      <c r="N23" s="420"/>
      <c r="O23" s="420"/>
      <c r="P23" s="434">
        <f t="shared" si="0"/>
        <v>1</v>
      </c>
    </row>
    <row r="24" spans="1:16" ht="28.5" x14ac:dyDescent="0.25">
      <c r="A24" s="34"/>
      <c r="B24" s="433">
        <v>6</v>
      </c>
      <c r="C24" s="418" t="s">
        <v>146</v>
      </c>
      <c r="D24" s="255" t="s">
        <v>33</v>
      </c>
      <c r="E24" s="421"/>
      <c r="F24" s="300"/>
      <c r="G24" s="300"/>
      <c r="H24" s="430"/>
      <c r="I24" s="420"/>
      <c r="J24" s="420"/>
      <c r="K24" s="420"/>
      <c r="L24" s="420"/>
      <c r="M24" s="420"/>
      <c r="N24" s="420"/>
      <c r="O24" s="420"/>
      <c r="P24" s="434">
        <f t="shared" si="0"/>
        <v>0</v>
      </c>
    </row>
    <row r="25" spans="1:16" ht="15" x14ac:dyDescent="0.25">
      <c r="A25" s="34"/>
      <c r="B25" s="435" t="s">
        <v>256</v>
      </c>
      <c r="C25" s="507"/>
      <c r="D25" s="255" t="s">
        <v>251</v>
      </c>
      <c r="E25" s="421"/>
      <c r="F25" s="300"/>
      <c r="G25" s="300"/>
      <c r="H25" s="430"/>
      <c r="I25" s="420"/>
      <c r="J25" s="420"/>
      <c r="K25" s="420"/>
      <c r="L25" s="420"/>
      <c r="M25" s="420"/>
      <c r="N25" s="420"/>
      <c r="O25" s="420"/>
      <c r="P25" s="434"/>
    </row>
    <row r="26" spans="1:16" ht="15" x14ac:dyDescent="0.25">
      <c r="A26" s="34"/>
      <c r="B26" s="433"/>
      <c r="C26" s="596"/>
      <c r="D26" s="596"/>
      <c r="E26" s="270"/>
      <c r="F26" s="300"/>
      <c r="G26" s="300"/>
      <c r="H26" s="430"/>
      <c r="I26" s="420"/>
      <c r="J26" s="420"/>
      <c r="K26" s="420"/>
      <c r="L26" s="420"/>
      <c r="M26" s="420"/>
      <c r="N26" s="420"/>
      <c r="O26" s="420"/>
      <c r="P26" s="434"/>
    </row>
    <row r="27" spans="1:16" ht="15" x14ac:dyDescent="0.25">
      <c r="A27" s="34"/>
      <c r="B27" s="433"/>
      <c r="C27" s="596"/>
      <c r="D27" s="596"/>
      <c r="E27" s="270"/>
      <c r="F27" s="300"/>
      <c r="G27" s="300"/>
      <c r="H27" s="430"/>
      <c r="I27" s="420"/>
      <c r="J27" s="420"/>
      <c r="K27" s="420"/>
      <c r="L27" s="420"/>
      <c r="M27" s="420"/>
      <c r="N27" s="420"/>
      <c r="O27" s="420"/>
      <c r="P27" s="434"/>
    </row>
    <row r="28" spans="1:16" ht="15" x14ac:dyDescent="0.25">
      <c r="A28" s="34"/>
      <c r="B28" s="433"/>
      <c r="C28" s="596"/>
      <c r="D28" s="596"/>
      <c r="E28" s="270"/>
      <c r="F28" s="300"/>
      <c r="G28" s="300"/>
      <c r="H28" s="430"/>
      <c r="I28" s="420"/>
      <c r="J28" s="420"/>
      <c r="K28" s="420"/>
      <c r="L28" s="420"/>
      <c r="M28" s="420"/>
      <c r="N28" s="420"/>
      <c r="O28" s="420"/>
      <c r="P28" s="434"/>
    </row>
    <row r="29" spans="1:16" ht="25.5" customHeight="1" x14ac:dyDescent="0.25">
      <c r="A29" s="34"/>
      <c r="B29" s="628" t="s">
        <v>147</v>
      </c>
      <c r="C29" s="629"/>
      <c r="D29" s="629"/>
      <c r="E29" s="629"/>
      <c r="F29" s="629"/>
      <c r="G29" s="629"/>
      <c r="H29" s="629"/>
      <c r="I29" s="629"/>
      <c r="J29" s="629"/>
      <c r="K29" s="629"/>
      <c r="L29" s="629"/>
      <c r="M29" s="629"/>
      <c r="N29" s="629"/>
      <c r="O29" s="629"/>
      <c r="P29" s="630"/>
    </row>
    <row r="30" spans="1:16" ht="15" x14ac:dyDescent="0.25">
      <c r="A30" s="34"/>
      <c r="B30" s="433">
        <v>7</v>
      </c>
      <c r="C30" s="418" t="s">
        <v>148</v>
      </c>
      <c r="D30" s="255" t="s">
        <v>33</v>
      </c>
      <c r="E30" s="421">
        <v>12</v>
      </c>
      <c r="F30" s="300">
        <v>71271</v>
      </c>
      <c r="G30" s="300">
        <v>15</v>
      </c>
      <c r="H30" s="420"/>
      <c r="I30" s="430"/>
      <c r="J30" s="430">
        <v>1</v>
      </c>
      <c r="K30" s="430"/>
      <c r="L30" s="420"/>
      <c r="M30" s="420"/>
      <c r="N30" s="420"/>
      <c r="O30" s="420"/>
      <c r="P30" s="434">
        <f t="shared" si="0"/>
        <v>1</v>
      </c>
    </row>
    <row r="31" spans="1:16" ht="28.5" x14ac:dyDescent="0.25">
      <c r="A31" s="34"/>
      <c r="B31" s="433">
        <v>8</v>
      </c>
      <c r="C31" s="507" t="s">
        <v>149</v>
      </c>
      <c r="D31" s="260" t="s">
        <v>33</v>
      </c>
      <c r="E31" s="542">
        <v>12</v>
      </c>
      <c r="F31" s="300">
        <v>1217787</v>
      </c>
      <c r="G31" s="300">
        <v>322</v>
      </c>
      <c r="H31" s="420"/>
      <c r="I31" s="430">
        <v>0.08</v>
      </c>
      <c r="J31" s="430">
        <v>0.52</v>
      </c>
      <c r="K31" s="430"/>
      <c r="L31" s="430"/>
      <c r="M31" s="430"/>
      <c r="N31" s="430">
        <v>0.43</v>
      </c>
      <c r="O31" s="420"/>
      <c r="P31" s="434">
        <f>SUM(H31:O31)</f>
        <v>1.03</v>
      </c>
    </row>
    <row r="32" spans="1:16" ht="28.5" x14ac:dyDescent="0.25">
      <c r="A32" s="34"/>
      <c r="B32" s="433">
        <v>9</v>
      </c>
      <c r="C32" s="507" t="s">
        <v>150</v>
      </c>
      <c r="D32" s="260" t="s">
        <v>33</v>
      </c>
      <c r="E32" s="542">
        <v>12</v>
      </c>
      <c r="F32" s="300">
        <v>143587</v>
      </c>
      <c r="G32" s="300">
        <v>32</v>
      </c>
      <c r="H32" s="420"/>
      <c r="I32" s="430">
        <v>1</v>
      </c>
      <c r="J32" s="430"/>
      <c r="K32" s="430"/>
      <c r="L32" s="420"/>
      <c r="M32" s="420"/>
      <c r="N32" s="420"/>
      <c r="O32" s="420"/>
      <c r="P32" s="434">
        <f t="shared" si="0"/>
        <v>1</v>
      </c>
    </row>
    <row r="33" spans="1:16" ht="28.5" x14ac:dyDescent="0.25">
      <c r="A33" s="34"/>
      <c r="B33" s="433">
        <v>10</v>
      </c>
      <c r="C33" s="418" t="s">
        <v>151</v>
      </c>
      <c r="D33" s="255" t="s">
        <v>33</v>
      </c>
      <c r="E33" s="421">
        <v>12</v>
      </c>
      <c r="F33" s="300"/>
      <c r="G33" s="300"/>
      <c r="H33" s="420"/>
      <c r="I33" s="430"/>
      <c r="J33" s="430"/>
      <c r="K33" s="430"/>
      <c r="L33" s="420"/>
      <c r="M33" s="420"/>
      <c r="N33" s="420"/>
      <c r="O33" s="420"/>
      <c r="P33" s="434">
        <f t="shared" si="0"/>
        <v>0</v>
      </c>
    </row>
    <row r="34" spans="1:16" ht="28.5" x14ac:dyDescent="0.25">
      <c r="A34" s="34"/>
      <c r="B34" s="433">
        <v>11</v>
      </c>
      <c r="C34" s="418" t="s">
        <v>152</v>
      </c>
      <c r="D34" s="255" t="s">
        <v>33</v>
      </c>
      <c r="E34" s="421">
        <v>3</v>
      </c>
      <c r="F34" s="300"/>
      <c r="G34" s="300"/>
      <c r="H34" s="420"/>
      <c r="I34" s="430"/>
      <c r="J34" s="430"/>
      <c r="K34" s="430"/>
      <c r="L34" s="420"/>
      <c r="M34" s="420"/>
      <c r="N34" s="420"/>
      <c r="O34" s="420"/>
      <c r="P34" s="434">
        <f t="shared" si="0"/>
        <v>0</v>
      </c>
    </row>
    <row r="35" spans="1:16" ht="15" x14ac:dyDescent="0.25">
      <c r="A35" s="34"/>
      <c r="B35" s="435" t="s">
        <v>256</v>
      </c>
      <c r="C35" s="418"/>
      <c r="D35" s="255" t="s">
        <v>251</v>
      </c>
      <c r="E35" s="421"/>
      <c r="F35" s="300"/>
      <c r="G35" s="300"/>
      <c r="H35" s="420"/>
      <c r="I35" s="420"/>
      <c r="J35" s="420"/>
      <c r="K35" s="420"/>
      <c r="L35" s="420"/>
      <c r="M35" s="420"/>
      <c r="N35" s="420"/>
      <c r="O35" s="420"/>
      <c r="P35" s="434"/>
    </row>
    <row r="36" spans="1:16" ht="15" x14ac:dyDescent="0.25">
      <c r="A36" s="34"/>
      <c r="B36" s="433"/>
      <c r="C36" s="596"/>
      <c r="D36" s="596"/>
      <c r="E36" s="270"/>
      <c r="F36" s="300"/>
      <c r="G36" s="300"/>
      <c r="H36" s="420"/>
      <c r="I36" s="420"/>
      <c r="J36" s="420"/>
      <c r="K36" s="420"/>
      <c r="L36" s="420"/>
      <c r="M36" s="420"/>
      <c r="N36" s="420"/>
      <c r="O36" s="420"/>
      <c r="P36" s="434"/>
    </row>
    <row r="37" spans="1:16" ht="15" x14ac:dyDescent="0.25">
      <c r="A37" s="34"/>
      <c r="B37" s="433"/>
      <c r="C37" s="596"/>
      <c r="D37" s="596"/>
      <c r="E37" s="270"/>
      <c r="F37" s="300"/>
      <c r="G37" s="300"/>
      <c r="H37" s="420"/>
      <c r="I37" s="420"/>
      <c r="J37" s="420"/>
      <c r="K37" s="420"/>
      <c r="L37" s="420"/>
      <c r="M37" s="420"/>
      <c r="N37" s="420"/>
      <c r="O37" s="420"/>
      <c r="P37" s="434"/>
    </row>
    <row r="38" spans="1:16" ht="15" x14ac:dyDescent="0.25">
      <c r="A38" s="34"/>
      <c r="B38" s="433"/>
      <c r="C38" s="596"/>
      <c r="D38" s="596"/>
      <c r="E38" s="270"/>
      <c r="F38" s="300"/>
      <c r="G38" s="300"/>
      <c r="H38" s="420"/>
      <c r="I38" s="420"/>
      <c r="J38" s="420"/>
      <c r="K38" s="420"/>
      <c r="L38" s="420"/>
      <c r="M38" s="420"/>
      <c r="N38" s="420"/>
      <c r="O38" s="420"/>
      <c r="P38" s="434"/>
    </row>
    <row r="39" spans="1:16" ht="26.25" customHeight="1" x14ac:dyDescent="0.25">
      <c r="A39" s="34"/>
      <c r="B39" s="628" t="s">
        <v>11</v>
      </c>
      <c r="C39" s="629"/>
      <c r="D39" s="629"/>
      <c r="E39" s="629"/>
      <c r="F39" s="629"/>
      <c r="G39" s="629"/>
      <c r="H39" s="629"/>
      <c r="I39" s="629"/>
      <c r="J39" s="629"/>
      <c r="K39" s="629"/>
      <c r="L39" s="629"/>
      <c r="M39" s="629"/>
      <c r="N39" s="629"/>
      <c r="O39" s="629"/>
      <c r="P39" s="630"/>
    </row>
    <row r="40" spans="1:16" ht="28.5" x14ac:dyDescent="0.25">
      <c r="A40" s="34"/>
      <c r="B40" s="433">
        <v>12</v>
      </c>
      <c r="C40" s="418" t="s">
        <v>153</v>
      </c>
      <c r="D40" s="255" t="s">
        <v>33</v>
      </c>
      <c r="E40" s="421">
        <v>12</v>
      </c>
      <c r="F40" s="300"/>
      <c r="G40" s="300"/>
      <c r="H40" s="420"/>
      <c r="I40" s="420"/>
      <c r="J40" s="430"/>
      <c r="K40" s="430"/>
      <c r="L40" s="420"/>
      <c r="M40" s="420"/>
      <c r="N40" s="420"/>
      <c r="O40" s="420"/>
      <c r="P40" s="434">
        <f t="shared" si="0"/>
        <v>0</v>
      </c>
    </row>
    <row r="41" spans="1:16" ht="28.5" x14ac:dyDescent="0.25">
      <c r="A41" s="34"/>
      <c r="B41" s="433">
        <v>13</v>
      </c>
      <c r="C41" s="418" t="s">
        <v>154</v>
      </c>
      <c r="D41" s="255" t="s">
        <v>33</v>
      </c>
      <c r="E41" s="421">
        <v>12</v>
      </c>
      <c r="F41" s="300"/>
      <c r="G41" s="300"/>
      <c r="H41" s="420"/>
      <c r="I41" s="420"/>
      <c r="J41" s="430"/>
      <c r="K41" s="430"/>
      <c r="L41" s="420"/>
      <c r="M41" s="420"/>
      <c r="N41" s="420"/>
      <c r="O41" s="420"/>
      <c r="P41" s="434">
        <f t="shared" si="0"/>
        <v>0</v>
      </c>
    </row>
    <row r="42" spans="1:16" ht="28.5" x14ac:dyDescent="0.25">
      <c r="A42" s="34"/>
      <c r="B42" s="433">
        <v>14</v>
      </c>
      <c r="C42" s="418" t="s">
        <v>155</v>
      </c>
      <c r="D42" s="255" t="s">
        <v>33</v>
      </c>
      <c r="E42" s="421">
        <v>12</v>
      </c>
      <c r="F42" s="300"/>
      <c r="G42" s="300"/>
      <c r="H42" s="420"/>
      <c r="I42" s="420"/>
      <c r="J42" s="430"/>
      <c r="K42" s="430"/>
      <c r="L42" s="420"/>
      <c r="M42" s="420"/>
      <c r="N42" s="420"/>
      <c r="O42" s="420"/>
      <c r="P42" s="434">
        <f t="shared" si="0"/>
        <v>0</v>
      </c>
    </row>
    <row r="43" spans="1:16" ht="15" x14ac:dyDescent="0.25">
      <c r="A43" s="34"/>
      <c r="B43" s="435" t="s">
        <v>256</v>
      </c>
      <c r="C43" s="418"/>
      <c r="D43" s="255" t="s">
        <v>251</v>
      </c>
      <c r="E43" s="421"/>
      <c r="F43" s="300"/>
      <c r="G43" s="300"/>
      <c r="H43" s="420"/>
      <c r="I43" s="420"/>
      <c r="J43" s="420"/>
      <c r="K43" s="420"/>
      <c r="L43" s="420"/>
      <c r="M43" s="420"/>
      <c r="N43" s="420"/>
      <c r="O43" s="420"/>
      <c r="P43" s="434"/>
    </row>
    <row r="44" spans="1:16" ht="15" x14ac:dyDescent="0.25">
      <c r="A44" s="34"/>
      <c r="B44" s="433"/>
      <c r="C44" s="596"/>
      <c r="D44" s="596"/>
      <c r="E44" s="270"/>
      <c r="F44" s="300"/>
      <c r="G44" s="300"/>
      <c r="H44" s="420"/>
      <c r="I44" s="420"/>
      <c r="J44" s="420"/>
      <c r="K44" s="420"/>
      <c r="L44" s="420"/>
      <c r="M44" s="420"/>
      <c r="N44" s="420"/>
      <c r="O44" s="420"/>
      <c r="P44" s="434"/>
    </row>
    <row r="45" spans="1:16" ht="15" x14ac:dyDescent="0.25">
      <c r="A45" s="34"/>
      <c r="B45" s="433"/>
      <c r="C45" s="596"/>
      <c r="D45" s="596"/>
      <c r="E45" s="270"/>
      <c r="F45" s="300"/>
      <c r="G45" s="300"/>
      <c r="H45" s="420"/>
      <c r="I45" s="420"/>
      <c r="J45" s="420"/>
      <c r="K45" s="420"/>
      <c r="L45" s="420"/>
      <c r="M45" s="420"/>
      <c r="N45" s="420"/>
      <c r="O45" s="420"/>
      <c r="P45" s="434"/>
    </row>
    <row r="46" spans="1:16" ht="15" x14ac:dyDescent="0.25">
      <c r="A46" s="34"/>
      <c r="B46" s="433"/>
      <c r="C46" s="596"/>
      <c r="D46" s="596"/>
      <c r="E46" s="270"/>
      <c r="F46" s="300"/>
      <c r="G46" s="300"/>
      <c r="H46" s="420"/>
      <c r="I46" s="420"/>
      <c r="J46" s="420"/>
      <c r="K46" s="420"/>
      <c r="L46" s="420"/>
      <c r="M46" s="420"/>
      <c r="N46" s="420"/>
      <c r="O46" s="420"/>
      <c r="P46" s="434"/>
    </row>
    <row r="47" spans="1:16" ht="24" customHeight="1" x14ac:dyDescent="0.25">
      <c r="A47" s="34"/>
      <c r="B47" s="628" t="s">
        <v>156</v>
      </c>
      <c r="C47" s="629"/>
      <c r="D47" s="629"/>
      <c r="E47" s="629"/>
      <c r="F47" s="629"/>
      <c r="G47" s="629"/>
      <c r="H47" s="629"/>
      <c r="I47" s="629"/>
      <c r="J47" s="629"/>
      <c r="K47" s="629"/>
      <c r="L47" s="629"/>
      <c r="M47" s="629"/>
      <c r="N47" s="629"/>
      <c r="O47" s="629"/>
      <c r="P47" s="630"/>
    </row>
    <row r="48" spans="1:16" ht="15" x14ac:dyDescent="0.25">
      <c r="A48" s="34"/>
      <c r="B48" s="433">
        <v>15</v>
      </c>
      <c r="C48" s="418" t="s">
        <v>157</v>
      </c>
      <c r="D48" s="255" t="s">
        <v>33</v>
      </c>
      <c r="E48" s="421"/>
      <c r="F48" s="300">
        <v>17069</v>
      </c>
      <c r="G48" s="300">
        <v>1</v>
      </c>
      <c r="H48" s="430">
        <v>1</v>
      </c>
      <c r="I48" s="420"/>
      <c r="J48" s="420"/>
      <c r="K48" s="420"/>
      <c r="L48" s="420"/>
      <c r="M48" s="420"/>
      <c r="N48" s="420"/>
      <c r="O48" s="420"/>
      <c r="P48" s="434">
        <f t="shared" si="0"/>
        <v>1</v>
      </c>
    </row>
    <row r="49" spans="1:16" ht="15" x14ac:dyDescent="0.25">
      <c r="A49" s="34"/>
      <c r="B49" s="435" t="s">
        <v>256</v>
      </c>
      <c r="C49" s="418"/>
      <c r="D49" s="255" t="s">
        <v>251</v>
      </c>
      <c r="E49" s="421"/>
      <c r="F49" s="300"/>
      <c r="G49" s="300"/>
      <c r="H49" s="430"/>
      <c r="I49" s="420"/>
      <c r="J49" s="420"/>
      <c r="K49" s="420"/>
      <c r="L49" s="420"/>
      <c r="M49" s="420"/>
      <c r="N49" s="420"/>
      <c r="O49" s="420"/>
      <c r="P49" s="434">
        <f t="shared" si="0"/>
        <v>0</v>
      </c>
    </row>
    <row r="50" spans="1:16" ht="15" x14ac:dyDescent="0.25">
      <c r="A50" s="34"/>
      <c r="B50" s="433"/>
      <c r="C50" s="596"/>
      <c r="D50" s="596"/>
      <c r="E50" s="270"/>
      <c r="F50" s="300"/>
      <c r="G50" s="300"/>
      <c r="H50" s="430"/>
      <c r="I50" s="420"/>
      <c r="J50" s="420"/>
      <c r="K50" s="420"/>
      <c r="L50" s="420"/>
      <c r="M50" s="420"/>
      <c r="N50" s="420"/>
      <c r="O50" s="420"/>
      <c r="P50" s="434">
        <f t="shared" si="0"/>
        <v>0</v>
      </c>
    </row>
    <row r="51" spans="1:16" ht="15" x14ac:dyDescent="0.25">
      <c r="A51" s="34"/>
      <c r="B51" s="433"/>
      <c r="C51" s="596"/>
      <c r="D51" s="596"/>
      <c r="E51" s="270"/>
      <c r="F51" s="300"/>
      <c r="G51" s="300"/>
      <c r="H51" s="430"/>
      <c r="I51" s="420"/>
      <c r="J51" s="420"/>
      <c r="K51" s="420"/>
      <c r="L51" s="420"/>
      <c r="M51" s="420"/>
      <c r="N51" s="420"/>
      <c r="O51" s="420"/>
      <c r="P51" s="434"/>
    </row>
    <row r="52" spans="1:16" ht="15" x14ac:dyDescent="0.25">
      <c r="A52" s="34"/>
      <c r="B52" s="433"/>
      <c r="C52" s="596"/>
      <c r="D52" s="596"/>
      <c r="E52" s="270"/>
      <c r="F52" s="300"/>
      <c r="G52" s="300"/>
      <c r="H52" s="430"/>
      <c r="I52" s="420"/>
      <c r="J52" s="420"/>
      <c r="K52" s="420"/>
      <c r="L52" s="420"/>
      <c r="M52" s="420"/>
      <c r="N52" s="420"/>
      <c r="O52" s="420"/>
      <c r="P52" s="434">
        <f t="shared" si="0"/>
        <v>0</v>
      </c>
    </row>
    <row r="53" spans="1:16" ht="21" customHeight="1" x14ac:dyDescent="0.25">
      <c r="A53" s="33"/>
      <c r="B53" s="628" t="s">
        <v>158</v>
      </c>
      <c r="C53" s="629"/>
      <c r="D53" s="629"/>
      <c r="E53" s="629"/>
      <c r="F53" s="629"/>
      <c r="G53" s="629"/>
      <c r="H53" s="629"/>
      <c r="I53" s="629"/>
      <c r="J53" s="629"/>
      <c r="K53" s="629"/>
      <c r="L53" s="629"/>
      <c r="M53" s="629"/>
      <c r="N53" s="629"/>
      <c r="O53" s="629"/>
      <c r="P53" s="630"/>
    </row>
    <row r="54" spans="1:16" ht="15" x14ac:dyDescent="0.25">
      <c r="A54" s="34"/>
      <c r="B54" s="433">
        <v>16</v>
      </c>
      <c r="C54" s="418" t="s">
        <v>159</v>
      </c>
      <c r="D54" s="255" t="s">
        <v>33</v>
      </c>
      <c r="E54" s="421"/>
      <c r="F54" s="300"/>
      <c r="G54" s="300"/>
      <c r="H54" s="420"/>
      <c r="I54" s="420"/>
      <c r="J54" s="420"/>
      <c r="K54" s="420"/>
      <c r="L54" s="420"/>
      <c r="M54" s="420"/>
      <c r="N54" s="420"/>
      <c r="O54" s="420"/>
      <c r="P54" s="434">
        <f t="shared" si="0"/>
        <v>0</v>
      </c>
    </row>
    <row r="55" spans="1:16" ht="15" x14ac:dyDescent="0.25">
      <c r="A55" s="34"/>
      <c r="B55" s="433">
        <v>17</v>
      </c>
      <c r="C55" s="418" t="s">
        <v>160</v>
      </c>
      <c r="D55" s="255" t="s">
        <v>33</v>
      </c>
      <c r="E55" s="421"/>
      <c r="F55" s="300"/>
      <c r="G55" s="300"/>
      <c r="H55" s="420"/>
      <c r="I55" s="420"/>
      <c r="J55" s="420"/>
      <c r="K55" s="420"/>
      <c r="L55" s="420"/>
      <c r="M55" s="420"/>
      <c r="N55" s="420"/>
      <c r="O55" s="420"/>
      <c r="P55" s="434">
        <f t="shared" si="0"/>
        <v>0</v>
      </c>
    </row>
    <row r="56" spans="1:16" ht="15" x14ac:dyDescent="0.25">
      <c r="A56" s="34"/>
      <c r="B56" s="433">
        <v>18</v>
      </c>
      <c r="C56" s="418" t="s">
        <v>161</v>
      </c>
      <c r="D56" s="255" t="s">
        <v>33</v>
      </c>
      <c r="E56" s="421"/>
      <c r="F56" s="300"/>
      <c r="G56" s="300"/>
      <c r="H56" s="420"/>
      <c r="I56" s="420"/>
      <c r="J56" s="420"/>
      <c r="K56" s="420"/>
      <c r="L56" s="420"/>
      <c r="M56" s="420"/>
      <c r="N56" s="420"/>
      <c r="O56" s="420"/>
      <c r="P56" s="434">
        <f t="shared" si="0"/>
        <v>0</v>
      </c>
    </row>
    <row r="57" spans="1:16" ht="15" x14ac:dyDescent="0.25">
      <c r="A57" s="34"/>
      <c r="B57" s="433">
        <v>19</v>
      </c>
      <c r="C57" s="418" t="s">
        <v>162</v>
      </c>
      <c r="D57" s="255" t="s">
        <v>33</v>
      </c>
      <c r="E57" s="421"/>
      <c r="F57" s="300"/>
      <c r="G57" s="300"/>
      <c r="H57" s="420"/>
      <c r="I57" s="420"/>
      <c r="J57" s="420"/>
      <c r="K57" s="420"/>
      <c r="L57" s="420"/>
      <c r="M57" s="420"/>
      <c r="N57" s="420"/>
      <c r="O57" s="420"/>
      <c r="P57" s="434">
        <f t="shared" si="0"/>
        <v>0</v>
      </c>
    </row>
    <row r="58" spans="1:16" ht="15" x14ac:dyDescent="0.25">
      <c r="A58" s="34"/>
      <c r="B58" s="435" t="s">
        <v>256</v>
      </c>
      <c r="C58" s="418"/>
      <c r="D58" s="255" t="s">
        <v>251</v>
      </c>
      <c r="E58" s="421"/>
      <c r="F58" s="300"/>
      <c r="G58" s="300"/>
      <c r="H58" s="420"/>
      <c r="I58" s="420"/>
      <c r="J58" s="420"/>
      <c r="K58" s="420"/>
      <c r="L58" s="420"/>
      <c r="M58" s="420"/>
      <c r="N58" s="420"/>
      <c r="O58" s="420"/>
      <c r="P58" s="434">
        <f t="shared" si="0"/>
        <v>0</v>
      </c>
    </row>
    <row r="59" spans="1:16" ht="15" x14ac:dyDescent="0.25">
      <c r="A59" s="34"/>
      <c r="B59" s="435"/>
      <c r="C59" s="596"/>
      <c r="D59" s="596"/>
      <c r="E59" s="270"/>
      <c r="F59" s="300"/>
      <c r="G59" s="300"/>
      <c r="H59" s="420"/>
      <c r="I59" s="420"/>
      <c r="J59" s="420"/>
      <c r="K59" s="420"/>
      <c r="L59" s="420"/>
      <c r="M59" s="420"/>
      <c r="N59" s="420"/>
      <c r="O59" s="420"/>
      <c r="P59" s="434"/>
    </row>
    <row r="60" spans="1:16" ht="15" x14ac:dyDescent="0.25">
      <c r="A60" s="34"/>
      <c r="B60" s="435"/>
      <c r="C60" s="596"/>
      <c r="D60" s="596"/>
      <c r="E60" s="270"/>
      <c r="F60" s="300"/>
      <c r="G60" s="300"/>
      <c r="H60" s="420"/>
      <c r="I60" s="420"/>
      <c r="J60" s="420"/>
      <c r="K60" s="420"/>
      <c r="L60" s="420"/>
      <c r="M60" s="420"/>
      <c r="N60" s="420"/>
      <c r="O60" s="420"/>
      <c r="P60" s="434"/>
    </row>
    <row r="61" spans="1:16" ht="15" x14ac:dyDescent="0.25">
      <c r="A61" s="33"/>
      <c r="B61" s="436"/>
      <c r="C61" s="596"/>
      <c r="D61" s="596"/>
      <c r="E61" s="270"/>
      <c r="F61" s="300"/>
      <c r="G61" s="300"/>
      <c r="H61" s="424"/>
      <c r="I61" s="424"/>
      <c r="J61" s="424"/>
      <c r="K61" s="424"/>
      <c r="L61" s="424"/>
      <c r="M61" s="424"/>
      <c r="N61" s="424"/>
      <c r="O61" s="424"/>
      <c r="P61" s="434"/>
    </row>
    <row r="62" spans="1:16" ht="27" customHeight="1" x14ac:dyDescent="0.25">
      <c r="B62" s="615" t="s">
        <v>163</v>
      </c>
      <c r="C62" s="616"/>
      <c r="D62" s="616"/>
      <c r="E62" s="616"/>
      <c r="F62" s="616"/>
      <c r="G62" s="616"/>
      <c r="H62" s="616"/>
      <c r="I62" s="616"/>
      <c r="J62" s="616"/>
      <c r="K62" s="616"/>
      <c r="L62" s="616"/>
      <c r="M62" s="616"/>
      <c r="N62" s="616"/>
      <c r="O62" s="616"/>
      <c r="P62" s="617"/>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31" t="s">
        <v>164</v>
      </c>
      <c r="C64" s="607"/>
      <c r="D64" s="607"/>
      <c r="E64" s="607"/>
      <c r="F64" s="607"/>
      <c r="G64" s="607"/>
      <c r="H64" s="607"/>
      <c r="I64" s="607"/>
      <c r="J64" s="607"/>
      <c r="K64" s="607"/>
      <c r="L64" s="607"/>
      <c r="M64" s="607"/>
      <c r="N64" s="607"/>
      <c r="O64" s="607"/>
      <c r="P64" s="632"/>
    </row>
    <row r="65" spans="1:16" ht="15" x14ac:dyDescent="0.25">
      <c r="A65" s="34"/>
      <c r="B65" s="433">
        <v>21</v>
      </c>
      <c r="C65" s="418" t="s">
        <v>165</v>
      </c>
      <c r="D65" s="255" t="s">
        <v>33</v>
      </c>
      <c r="E65" s="421"/>
      <c r="F65" s="300"/>
      <c r="G65" s="300"/>
      <c r="H65" s="430"/>
      <c r="I65" s="420"/>
      <c r="J65" s="420"/>
      <c r="K65" s="420"/>
      <c r="L65" s="420"/>
      <c r="M65" s="420"/>
      <c r="N65" s="420"/>
      <c r="O65" s="420"/>
      <c r="P65" s="434">
        <f t="shared" si="0"/>
        <v>0</v>
      </c>
    </row>
    <row r="66" spans="1:16" ht="28.5" x14ac:dyDescent="0.25">
      <c r="A66" s="34"/>
      <c r="B66" s="433">
        <v>22</v>
      </c>
      <c r="C66" s="418" t="s">
        <v>166</v>
      </c>
      <c r="D66" s="255" t="s">
        <v>33</v>
      </c>
      <c r="E66" s="421"/>
      <c r="F66" s="300"/>
      <c r="G66" s="300"/>
      <c r="H66" s="430"/>
      <c r="I66" s="420"/>
      <c r="J66" s="420"/>
      <c r="K66" s="420"/>
      <c r="L66" s="420"/>
      <c r="M66" s="420"/>
      <c r="N66" s="420"/>
      <c r="O66" s="420"/>
      <c r="P66" s="434">
        <f t="shared" si="0"/>
        <v>0</v>
      </c>
    </row>
    <row r="67" spans="1:16" ht="15" x14ac:dyDescent="0.25">
      <c r="A67" s="34"/>
      <c r="B67" s="433">
        <v>23</v>
      </c>
      <c r="C67" s="418" t="s">
        <v>167</v>
      </c>
      <c r="D67" s="255" t="s">
        <v>33</v>
      </c>
      <c r="E67" s="421"/>
      <c r="F67" s="300"/>
      <c r="G67" s="300"/>
      <c r="H67" s="430"/>
      <c r="I67" s="420"/>
      <c r="J67" s="420"/>
      <c r="K67" s="420"/>
      <c r="L67" s="420"/>
      <c r="M67" s="420"/>
      <c r="N67" s="420"/>
      <c r="O67" s="420"/>
      <c r="P67" s="434">
        <f t="shared" si="0"/>
        <v>0</v>
      </c>
    </row>
    <row r="68" spans="1:16" ht="15" x14ac:dyDescent="0.25">
      <c r="A68" s="34"/>
      <c r="B68" s="433">
        <v>24</v>
      </c>
      <c r="C68" s="418" t="s">
        <v>168</v>
      </c>
      <c r="D68" s="255" t="s">
        <v>33</v>
      </c>
      <c r="E68" s="421"/>
      <c r="F68" s="300"/>
      <c r="G68" s="300"/>
      <c r="H68" s="430"/>
      <c r="I68" s="420"/>
      <c r="J68" s="420"/>
      <c r="K68" s="420"/>
      <c r="L68" s="420"/>
      <c r="M68" s="420"/>
      <c r="N68" s="420"/>
      <c r="O68" s="420"/>
      <c r="P68" s="434">
        <f t="shared" si="0"/>
        <v>0</v>
      </c>
    </row>
    <row r="69" spans="1:16" ht="15" x14ac:dyDescent="0.25">
      <c r="A69" s="34"/>
      <c r="B69" s="435" t="s">
        <v>256</v>
      </c>
      <c r="C69" s="418"/>
      <c r="D69" s="255" t="s">
        <v>251</v>
      </c>
      <c r="E69" s="421"/>
      <c r="F69" s="300"/>
      <c r="G69" s="300"/>
      <c r="H69" s="430"/>
      <c r="I69" s="420"/>
      <c r="J69" s="420"/>
      <c r="K69" s="420"/>
      <c r="L69" s="420"/>
      <c r="M69" s="420"/>
      <c r="N69" s="420"/>
      <c r="O69" s="420"/>
      <c r="P69" s="434"/>
    </row>
    <row r="70" spans="1:16" ht="15" x14ac:dyDescent="0.25">
      <c r="A70" s="34"/>
      <c r="B70" s="433"/>
      <c r="C70" s="596"/>
      <c r="D70" s="596"/>
      <c r="E70" s="270"/>
      <c r="F70" s="300"/>
      <c r="G70" s="300"/>
      <c r="H70" s="430"/>
      <c r="I70" s="420"/>
      <c r="J70" s="420"/>
      <c r="K70" s="420"/>
      <c r="L70" s="420"/>
      <c r="M70" s="420"/>
      <c r="N70" s="420"/>
      <c r="O70" s="420"/>
      <c r="P70" s="434"/>
    </row>
    <row r="71" spans="1:16" ht="15" x14ac:dyDescent="0.25">
      <c r="A71" s="34"/>
      <c r="B71" s="433"/>
      <c r="C71" s="596"/>
      <c r="D71" s="596"/>
      <c r="E71" s="270"/>
      <c r="F71" s="300"/>
      <c r="G71" s="300"/>
      <c r="H71" s="430"/>
      <c r="I71" s="420"/>
      <c r="J71" s="420"/>
      <c r="K71" s="420"/>
      <c r="L71" s="420"/>
      <c r="M71" s="420"/>
      <c r="N71" s="420"/>
      <c r="O71" s="420"/>
      <c r="P71" s="434"/>
    </row>
    <row r="72" spans="1:16" ht="15" x14ac:dyDescent="0.25">
      <c r="A72" s="34"/>
      <c r="B72" s="433"/>
      <c r="C72" s="596"/>
      <c r="D72" s="596"/>
      <c r="E72" s="270"/>
      <c r="F72" s="300"/>
      <c r="G72" s="300"/>
      <c r="H72" s="420"/>
      <c r="I72" s="420"/>
      <c r="J72" s="420"/>
      <c r="K72" s="420"/>
      <c r="L72" s="420"/>
      <c r="M72" s="420"/>
      <c r="N72" s="420"/>
      <c r="O72" s="420"/>
      <c r="P72" s="434"/>
    </row>
    <row r="73" spans="1:16" ht="28.5" customHeight="1" x14ac:dyDescent="0.25">
      <c r="A73" s="34"/>
      <c r="B73" s="631" t="s">
        <v>169</v>
      </c>
      <c r="C73" s="607"/>
      <c r="D73" s="607"/>
      <c r="E73" s="607"/>
      <c r="F73" s="607"/>
      <c r="G73" s="607"/>
      <c r="H73" s="607"/>
      <c r="I73" s="607"/>
      <c r="J73" s="607"/>
      <c r="K73" s="607"/>
      <c r="L73" s="607"/>
      <c r="M73" s="607"/>
      <c r="N73" s="607"/>
      <c r="O73" s="607"/>
      <c r="P73" s="632"/>
    </row>
    <row r="74" spans="1:16" ht="15" x14ac:dyDescent="0.25">
      <c r="A74" s="34"/>
      <c r="B74" s="433">
        <v>25</v>
      </c>
      <c r="C74" s="418" t="s">
        <v>170</v>
      </c>
      <c r="D74" s="255" t="s">
        <v>33</v>
      </c>
      <c r="E74" s="421">
        <v>12</v>
      </c>
      <c r="F74" s="300"/>
      <c r="G74" s="300"/>
      <c r="H74" s="420"/>
      <c r="I74" s="430"/>
      <c r="J74" s="430"/>
      <c r="K74" s="430"/>
      <c r="L74" s="420"/>
      <c r="M74" s="420"/>
      <c r="N74" s="420"/>
      <c r="O74" s="420"/>
      <c r="P74" s="434">
        <f t="shared" si="0"/>
        <v>0</v>
      </c>
    </row>
    <row r="75" spans="1:16" ht="15" x14ac:dyDescent="0.25">
      <c r="A75" s="34"/>
      <c r="B75" s="433">
        <v>26</v>
      </c>
      <c r="C75" s="418" t="s">
        <v>171</v>
      </c>
      <c r="D75" s="255" t="s">
        <v>33</v>
      </c>
      <c r="E75" s="421">
        <v>12</v>
      </c>
      <c r="F75" s="300"/>
      <c r="G75" s="300"/>
      <c r="H75" s="420"/>
      <c r="I75" s="430"/>
      <c r="J75" s="430"/>
      <c r="K75" s="430"/>
      <c r="L75" s="420"/>
      <c r="M75" s="420"/>
      <c r="N75" s="420"/>
      <c r="O75" s="420"/>
      <c r="P75" s="434">
        <f t="shared" si="0"/>
        <v>0</v>
      </c>
    </row>
    <row r="76" spans="1:16" ht="28.5" x14ac:dyDescent="0.25">
      <c r="A76" s="34"/>
      <c r="B76" s="433">
        <v>27</v>
      </c>
      <c r="C76" s="418" t="s">
        <v>172</v>
      </c>
      <c r="D76" s="255" t="s">
        <v>33</v>
      </c>
      <c r="E76" s="421">
        <v>12</v>
      </c>
      <c r="F76" s="300"/>
      <c r="G76" s="300"/>
      <c r="H76" s="420"/>
      <c r="I76" s="430"/>
      <c r="J76" s="430"/>
      <c r="K76" s="430"/>
      <c r="L76" s="420"/>
      <c r="M76" s="420"/>
      <c r="N76" s="420"/>
      <c r="O76" s="420"/>
      <c r="P76" s="434">
        <f t="shared" si="0"/>
        <v>0</v>
      </c>
    </row>
    <row r="77" spans="1:16" ht="28.5" x14ac:dyDescent="0.25">
      <c r="A77" s="34"/>
      <c r="B77" s="433">
        <v>28</v>
      </c>
      <c r="C77" s="418" t="s">
        <v>173</v>
      </c>
      <c r="D77" s="255" t="s">
        <v>33</v>
      </c>
      <c r="E77" s="421">
        <v>12</v>
      </c>
      <c r="F77" s="300"/>
      <c r="G77" s="300"/>
      <c r="H77" s="420"/>
      <c r="I77" s="430"/>
      <c r="J77" s="430"/>
      <c r="K77" s="430"/>
      <c r="L77" s="420"/>
      <c r="M77" s="420"/>
      <c r="N77" s="420"/>
      <c r="O77" s="420"/>
      <c r="P77" s="434">
        <f t="shared" si="0"/>
        <v>0</v>
      </c>
    </row>
    <row r="78" spans="1:16" ht="28.5" x14ac:dyDescent="0.25">
      <c r="A78" s="34"/>
      <c r="B78" s="433">
        <v>29</v>
      </c>
      <c r="C78" s="418" t="s">
        <v>174</v>
      </c>
      <c r="D78" s="255" t="s">
        <v>33</v>
      </c>
      <c r="E78" s="421">
        <v>3</v>
      </c>
      <c r="F78" s="300"/>
      <c r="G78" s="300"/>
      <c r="H78" s="420"/>
      <c r="I78" s="430"/>
      <c r="J78" s="430"/>
      <c r="K78" s="430"/>
      <c r="L78" s="420"/>
      <c r="M78" s="420"/>
      <c r="N78" s="420"/>
      <c r="O78" s="420"/>
      <c r="P78" s="434">
        <f t="shared" si="0"/>
        <v>0</v>
      </c>
    </row>
    <row r="79" spans="1:16" ht="28.5" x14ac:dyDescent="0.25">
      <c r="A79" s="34"/>
      <c r="B79" s="433">
        <v>30</v>
      </c>
      <c r="C79" s="418" t="s">
        <v>175</v>
      </c>
      <c r="D79" s="255" t="s">
        <v>33</v>
      </c>
      <c r="E79" s="421">
        <v>12</v>
      </c>
      <c r="F79" s="300"/>
      <c r="G79" s="300"/>
      <c r="H79" s="420"/>
      <c r="I79" s="430"/>
      <c r="J79" s="430"/>
      <c r="K79" s="430"/>
      <c r="L79" s="420"/>
      <c r="M79" s="420"/>
      <c r="N79" s="420"/>
      <c r="O79" s="420"/>
      <c r="P79" s="434">
        <f t="shared" si="0"/>
        <v>0</v>
      </c>
    </row>
    <row r="80" spans="1:16" ht="28.5" x14ac:dyDescent="0.25">
      <c r="A80" s="34"/>
      <c r="B80" s="433">
        <v>31</v>
      </c>
      <c r="C80" s="418" t="s">
        <v>176</v>
      </c>
      <c r="D80" s="255" t="s">
        <v>33</v>
      </c>
      <c r="E80" s="421">
        <v>12</v>
      </c>
      <c r="F80" s="300"/>
      <c r="G80" s="300"/>
      <c r="H80" s="420"/>
      <c r="I80" s="430"/>
      <c r="J80" s="430"/>
      <c r="K80" s="430"/>
      <c r="L80" s="420"/>
      <c r="M80" s="420"/>
      <c r="N80" s="420"/>
      <c r="O80" s="420"/>
      <c r="P80" s="434">
        <f t="shared" si="0"/>
        <v>0</v>
      </c>
    </row>
    <row r="81" spans="1:16" ht="15" x14ac:dyDescent="0.25">
      <c r="A81" s="34"/>
      <c r="B81" s="433">
        <v>32</v>
      </c>
      <c r="C81" s="418" t="s">
        <v>177</v>
      </c>
      <c r="D81" s="255" t="s">
        <v>33</v>
      </c>
      <c r="E81" s="421">
        <v>12</v>
      </c>
      <c r="F81" s="300"/>
      <c r="G81" s="300"/>
      <c r="H81" s="420"/>
      <c r="I81" s="430"/>
      <c r="J81" s="430"/>
      <c r="K81" s="430"/>
      <c r="L81" s="420"/>
      <c r="M81" s="420"/>
      <c r="N81" s="420"/>
      <c r="O81" s="420"/>
      <c r="P81" s="434">
        <f t="shared" si="0"/>
        <v>0</v>
      </c>
    </row>
    <row r="82" spans="1:16" ht="15" x14ac:dyDescent="0.25">
      <c r="A82" s="34"/>
      <c r="B82" s="435" t="s">
        <v>256</v>
      </c>
      <c r="C82" s="418"/>
      <c r="D82" s="255" t="s">
        <v>251</v>
      </c>
      <c r="E82" s="421"/>
      <c r="F82" s="300"/>
      <c r="G82" s="300"/>
      <c r="H82" s="420"/>
      <c r="I82" s="420"/>
      <c r="J82" s="420"/>
      <c r="K82" s="420"/>
      <c r="L82" s="420"/>
      <c r="M82" s="420"/>
      <c r="N82" s="420"/>
      <c r="O82" s="420"/>
      <c r="P82" s="434"/>
    </row>
    <row r="83" spans="1:16" ht="15" x14ac:dyDescent="0.25">
      <c r="A83" s="34"/>
      <c r="B83" s="433"/>
      <c r="C83" s="596"/>
      <c r="D83" s="596"/>
      <c r="E83" s="270"/>
      <c r="F83" s="300"/>
      <c r="G83" s="300"/>
      <c r="H83" s="420"/>
      <c r="I83" s="420"/>
      <c r="J83" s="420"/>
      <c r="K83" s="420"/>
      <c r="L83" s="420"/>
      <c r="M83" s="420"/>
      <c r="N83" s="420"/>
      <c r="O83" s="420"/>
      <c r="P83" s="434"/>
    </row>
    <row r="84" spans="1:16" ht="15" x14ac:dyDescent="0.25">
      <c r="A84" s="34"/>
      <c r="B84" s="433"/>
      <c r="C84" s="596"/>
      <c r="D84" s="596"/>
      <c r="E84" s="270"/>
      <c r="F84" s="300"/>
      <c r="G84" s="300"/>
      <c r="H84" s="420"/>
      <c r="I84" s="420"/>
      <c r="J84" s="420"/>
      <c r="K84" s="420"/>
      <c r="L84" s="420"/>
      <c r="M84" s="420"/>
      <c r="N84" s="420"/>
      <c r="O84" s="420"/>
      <c r="P84" s="434"/>
    </row>
    <row r="85" spans="1:16" ht="15" x14ac:dyDescent="0.25">
      <c r="A85" s="34"/>
      <c r="B85" s="433"/>
      <c r="C85" s="596"/>
      <c r="D85" s="596"/>
      <c r="E85" s="270"/>
      <c r="F85" s="300"/>
      <c r="G85" s="300"/>
      <c r="H85" s="420"/>
      <c r="I85" s="420"/>
      <c r="J85" s="420"/>
      <c r="K85" s="420"/>
      <c r="L85" s="420"/>
      <c r="M85" s="420"/>
      <c r="N85" s="420"/>
      <c r="O85" s="420"/>
      <c r="P85" s="434"/>
    </row>
    <row r="86" spans="1:16" ht="25.5" customHeight="1" x14ac:dyDescent="0.25">
      <c r="A86" s="34"/>
      <c r="B86" s="631" t="s">
        <v>178</v>
      </c>
      <c r="C86" s="607"/>
      <c r="D86" s="607"/>
      <c r="E86" s="607"/>
      <c r="F86" s="607"/>
      <c r="G86" s="607"/>
      <c r="H86" s="607"/>
      <c r="I86" s="607"/>
      <c r="J86" s="607"/>
      <c r="K86" s="607"/>
      <c r="L86" s="607"/>
      <c r="M86" s="607"/>
      <c r="N86" s="607"/>
      <c r="O86" s="607"/>
      <c r="P86" s="632"/>
    </row>
    <row r="87" spans="1:16" ht="15" x14ac:dyDescent="0.25">
      <c r="A87" s="34"/>
      <c r="B87" s="433">
        <v>33</v>
      </c>
      <c r="C87" s="418" t="s">
        <v>179</v>
      </c>
      <c r="D87" s="255" t="s">
        <v>33</v>
      </c>
      <c r="E87" s="421">
        <v>12</v>
      </c>
      <c r="F87" s="300"/>
      <c r="G87" s="300"/>
      <c r="H87" s="426"/>
      <c r="I87" s="426"/>
      <c r="J87" s="426"/>
      <c r="K87" s="426"/>
      <c r="L87" s="426"/>
      <c r="M87" s="426"/>
      <c r="N87" s="426"/>
      <c r="O87" s="426"/>
      <c r="P87" s="434">
        <f t="shared" ref="P87:P108" si="1">SUM(H87:O87)</f>
        <v>0</v>
      </c>
    </row>
    <row r="88" spans="1:16" ht="15" x14ac:dyDescent="0.25">
      <c r="A88" s="34"/>
      <c r="B88" s="433">
        <v>34</v>
      </c>
      <c r="C88" s="418" t="s">
        <v>180</v>
      </c>
      <c r="D88" s="255" t="s">
        <v>33</v>
      </c>
      <c r="E88" s="421"/>
      <c r="F88" s="300"/>
      <c r="G88" s="300"/>
      <c r="H88" s="426"/>
      <c r="I88" s="426"/>
      <c r="J88" s="426"/>
      <c r="K88" s="426"/>
      <c r="L88" s="426"/>
      <c r="M88" s="426"/>
      <c r="N88" s="426"/>
      <c r="O88" s="426"/>
      <c r="P88" s="434">
        <f t="shared" si="1"/>
        <v>0</v>
      </c>
    </row>
    <row r="89" spans="1:16" ht="15" x14ac:dyDescent="0.25">
      <c r="A89" s="34"/>
      <c r="B89" s="433">
        <v>35</v>
      </c>
      <c r="C89" s="418" t="s">
        <v>181</v>
      </c>
      <c r="D89" s="255" t="s">
        <v>33</v>
      </c>
      <c r="E89" s="421"/>
      <c r="F89" s="300"/>
      <c r="G89" s="300"/>
      <c r="H89" s="426"/>
      <c r="I89" s="426"/>
      <c r="J89" s="426"/>
      <c r="K89" s="426"/>
      <c r="L89" s="426"/>
      <c r="M89" s="426"/>
      <c r="N89" s="426"/>
      <c r="O89" s="426"/>
      <c r="P89" s="434">
        <f t="shared" si="1"/>
        <v>0</v>
      </c>
    </row>
    <row r="90" spans="1:16" ht="15" x14ac:dyDescent="0.25">
      <c r="A90" s="34"/>
      <c r="B90" s="435" t="s">
        <v>256</v>
      </c>
      <c r="C90" s="418"/>
      <c r="D90" s="255" t="s">
        <v>251</v>
      </c>
      <c r="E90" s="421"/>
      <c r="F90" s="300"/>
      <c r="G90" s="300"/>
      <c r="H90" s="426"/>
      <c r="I90" s="426"/>
      <c r="J90" s="426"/>
      <c r="K90" s="426"/>
      <c r="L90" s="426"/>
      <c r="M90" s="426"/>
      <c r="N90" s="426"/>
      <c r="O90" s="426"/>
      <c r="P90" s="434"/>
    </row>
    <row r="91" spans="1:16" ht="15" x14ac:dyDescent="0.25">
      <c r="A91" s="34"/>
      <c r="B91" s="433"/>
      <c r="C91" s="596"/>
      <c r="D91" s="596"/>
      <c r="E91" s="270"/>
      <c r="F91" s="300"/>
      <c r="G91" s="300"/>
      <c r="H91" s="426"/>
      <c r="I91" s="426"/>
      <c r="J91" s="426"/>
      <c r="K91" s="426"/>
      <c r="L91" s="426"/>
      <c r="M91" s="426"/>
      <c r="N91" s="426"/>
      <c r="O91" s="426"/>
      <c r="P91" s="434"/>
    </row>
    <row r="92" spans="1:16" ht="15" x14ac:dyDescent="0.25">
      <c r="A92" s="34"/>
      <c r="B92" s="433"/>
      <c r="C92" s="596"/>
      <c r="D92" s="596"/>
      <c r="E92" s="270"/>
      <c r="F92" s="300"/>
      <c r="G92" s="300"/>
      <c r="H92" s="426"/>
      <c r="I92" s="426"/>
      <c r="J92" s="426"/>
      <c r="K92" s="426"/>
      <c r="L92" s="426"/>
      <c r="M92" s="426"/>
      <c r="N92" s="426"/>
      <c r="O92" s="426"/>
      <c r="P92" s="434"/>
    </row>
    <row r="93" spans="1:16" ht="15" x14ac:dyDescent="0.25">
      <c r="A93" s="34"/>
      <c r="B93" s="433"/>
      <c r="C93" s="596"/>
      <c r="D93" s="596"/>
      <c r="E93" s="270"/>
      <c r="F93" s="300"/>
      <c r="G93" s="300"/>
      <c r="H93" s="426"/>
      <c r="I93" s="426"/>
      <c r="J93" s="426"/>
      <c r="K93" s="426"/>
      <c r="L93" s="426"/>
      <c r="M93" s="426"/>
      <c r="N93" s="426"/>
      <c r="O93" s="426"/>
      <c r="P93" s="434"/>
    </row>
    <row r="94" spans="1:16" ht="24" customHeight="1" x14ac:dyDescent="0.25">
      <c r="A94" s="34"/>
      <c r="B94" s="631" t="s">
        <v>182</v>
      </c>
      <c r="C94" s="607"/>
      <c r="D94" s="607"/>
      <c r="E94" s="607"/>
      <c r="F94" s="607"/>
      <c r="G94" s="607"/>
      <c r="H94" s="607"/>
      <c r="I94" s="607"/>
      <c r="J94" s="607"/>
      <c r="K94" s="607"/>
      <c r="L94" s="607"/>
      <c r="M94" s="607"/>
      <c r="N94" s="607"/>
      <c r="O94" s="607"/>
      <c r="P94" s="632"/>
    </row>
    <row r="95" spans="1:16" ht="42.75" x14ac:dyDescent="0.25">
      <c r="A95" s="34"/>
      <c r="B95" s="433">
        <v>36</v>
      </c>
      <c r="C95" s="418" t="s">
        <v>183</v>
      </c>
      <c r="D95" s="255" t="s">
        <v>33</v>
      </c>
      <c r="E95" s="421"/>
      <c r="F95" s="300"/>
      <c r="G95" s="300"/>
      <c r="H95" s="426"/>
      <c r="I95" s="426"/>
      <c r="J95" s="426"/>
      <c r="K95" s="426"/>
      <c r="L95" s="426"/>
      <c r="M95" s="426"/>
      <c r="N95" s="426"/>
      <c r="O95" s="426"/>
      <c r="P95" s="434">
        <f t="shared" si="1"/>
        <v>0</v>
      </c>
    </row>
    <row r="96" spans="1:16" ht="28.5" x14ac:dyDescent="0.25">
      <c r="A96" s="34"/>
      <c r="B96" s="433">
        <v>37</v>
      </c>
      <c r="C96" s="418" t="s">
        <v>184</v>
      </c>
      <c r="D96" s="255" t="s">
        <v>33</v>
      </c>
      <c r="E96" s="421"/>
      <c r="F96" s="300"/>
      <c r="G96" s="300"/>
      <c r="H96" s="426"/>
      <c r="I96" s="426"/>
      <c r="J96" s="426"/>
      <c r="K96" s="426"/>
      <c r="L96" s="426"/>
      <c r="M96" s="426"/>
      <c r="N96" s="426"/>
      <c r="O96" s="426"/>
      <c r="P96" s="434">
        <f t="shared" si="1"/>
        <v>0</v>
      </c>
    </row>
    <row r="97" spans="1:16" ht="15" x14ac:dyDescent="0.25">
      <c r="A97" s="34"/>
      <c r="B97" s="433">
        <v>38</v>
      </c>
      <c r="C97" s="418" t="s">
        <v>185</v>
      </c>
      <c r="D97" s="255" t="s">
        <v>33</v>
      </c>
      <c r="E97" s="421"/>
      <c r="F97" s="300"/>
      <c r="G97" s="300"/>
      <c r="H97" s="426"/>
      <c r="I97" s="426"/>
      <c r="J97" s="426"/>
      <c r="K97" s="426"/>
      <c r="L97" s="426"/>
      <c r="M97" s="426"/>
      <c r="N97" s="426"/>
      <c r="O97" s="426"/>
      <c r="P97" s="434">
        <f t="shared" si="1"/>
        <v>0</v>
      </c>
    </row>
    <row r="98" spans="1:16" ht="28.5" x14ac:dyDescent="0.25">
      <c r="A98" s="34"/>
      <c r="B98" s="433">
        <v>39</v>
      </c>
      <c r="C98" s="418" t="s">
        <v>186</v>
      </c>
      <c r="D98" s="255" t="s">
        <v>33</v>
      </c>
      <c r="E98" s="421"/>
      <c r="F98" s="300"/>
      <c r="G98" s="300"/>
      <c r="H98" s="426"/>
      <c r="I98" s="426"/>
      <c r="J98" s="426"/>
      <c r="K98" s="426"/>
      <c r="L98" s="426"/>
      <c r="M98" s="426"/>
      <c r="N98" s="426"/>
      <c r="O98" s="426"/>
      <c r="P98" s="434">
        <f t="shared" si="1"/>
        <v>0</v>
      </c>
    </row>
    <row r="99" spans="1:16" ht="28.5" x14ac:dyDescent="0.25">
      <c r="A99" s="34"/>
      <c r="B99" s="433">
        <v>40</v>
      </c>
      <c r="C99" s="418" t="s">
        <v>187</v>
      </c>
      <c r="D99" s="255" t="s">
        <v>33</v>
      </c>
      <c r="E99" s="421"/>
      <c r="F99" s="300"/>
      <c r="G99" s="300"/>
      <c r="H99" s="426"/>
      <c r="I99" s="426"/>
      <c r="J99" s="426"/>
      <c r="K99" s="426"/>
      <c r="L99" s="426"/>
      <c r="M99" s="426"/>
      <c r="N99" s="426"/>
      <c r="O99" s="426"/>
      <c r="P99" s="434">
        <f t="shared" si="1"/>
        <v>0</v>
      </c>
    </row>
    <row r="100" spans="1:16" ht="28.5" x14ac:dyDescent="0.25">
      <c r="A100" s="34"/>
      <c r="B100" s="433">
        <v>41</v>
      </c>
      <c r="C100" s="418" t="s">
        <v>188</v>
      </c>
      <c r="D100" s="255" t="s">
        <v>33</v>
      </c>
      <c r="E100" s="421"/>
      <c r="F100" s="300"/>
      <c r="G100" s="300"/>
      <c r="H100" s="426"/>
      <c r="I100" s="426"/>
      <c r="J100" s="426"/>
      <c r="K100" s="426"/>
      <c r="L100" s="426"/>
      <c r="M100" s="426"/>
      <c r="N100" s="426"/>
      <c r="O100" s="426"/>
      <c r="P100" s="434">
        <f t="shared" si="1"/>
        <v>0</v>
      </c>
    </row>
    <row r="101" spans="1:16" ht="28.5" x14ac:dyDescent="0.25">
      <c r="A101" s="34"/>
      <c r="B101" s="433">
        <v>42</v>
      </c>
      <c r="C101" s="418" t="s">
        <v>189</v>
      </c>
      <c r="D101" s="255" t="s">
        <v>33</v>
      </c>
      <c r="E101" s="421"/>
      <c r="F101" s="300"/>
      <c r="G101" s="300"/>
      <c r="H101" s="426"/>
      <c r="I101" s="426"/>
      <c r="J101" s="426"/>
      <c r="K101" s="426"/>
      <c r="L101" s="426"/>
      <c r="M101" s="426"/>
      <c r="N101" s="426"/>
      <c r="O101" s="426"/>
      <c r="P101" s="434">
        <f t="shared" si="1"/>
        <v>0</v>
      </c>
    </row>
    <row r="102" spans="1:16" ht="15" x14ac:dyDescent="0.25">
      <c r="A102" s="34"/>
      <c r="B102" s="433">
        <v>43</v>
      </c>
      <c r="C102" s="418" t="s">
        <v>190</v>
      </c>
      <c r="D102" s="255" t="s">
        <v>33</v>
      </c>
      <c r="E102" s="421"/>
      <c r="F102" s="300"/>
      <c r="G102" s="300"/>
      <c r="H102" s="426"/>
      <c r="I102" s="426"/>
      <c r="J102" s="426"/>
      <c r="K102" s="426"/>
      <c r="L102" s="426"/>
      <c r="M102" s="426"/>
      <c r="N102" s="426"/>
      <c r="O102" s="426"/>
      <c r="P102" s="434">
        <f t="shared" si="1"/>
        <v>0</v>
      </c>
    </row>
    <row r="103" spans="1:16" ht="42.75" x14ac:dyDescent="0.25">
      <c r="A103" s="34"/>
      <c r="B103" s="433">
        <v>44</v>
      </c>
      <c r="C103" s="418" t="s">
        <v>191</v>
      </c>
      <c r="D103" s="255" t="s">
        <v>33</v>
      </c>
      <c r="E103" s="421"/>
      <c r="F103" s="300"/>
      <c r="G103" s="300"/>
      <c r="H103" s="426"/>
      <c r="I103" s="426"/>
      <c r="J103" s="426"/>
      <c r="K103" s="426"/>
      <c r="L103" s="426"/>
      <c r="M103" s="426"/>
      <c r="N103" s="426"/>
      <c r="O103" s="426"/>
      <c r="P103" s="434">
        <f t="shared" si="1"/>
        <v>0</v>
      </c>
    </row>
    <row r="104" spans="1:16" ht="28.5" x14ac:dyDescent="0.25">
      <c r="A104" s="34"/>
      <c r="B104" s="433">
        <v>45</v>
      </c>
      <c r="C104" s="418" t="s">
        <v>192</v>
      </c>
      <c r="D104" s="255" t="s">
        <v>33</v>
      </c>
      <c r="E104" s="421"/>
      <c r="F104" s="300"/>
      <c r="G104" s="300"/>
      <c r="H104" s="426"/>
      <c r="I104" s="426"/>
      <c r="J104" s="426"/>
      <c r="K104" s="426"/>
      <c r="L104" s="426"/>
      <c r="M104" s="426"/>
      <c r="N104" s="426"/>
      <c r="O104" s="426"/>
      <c r="P104" s="434">
        <f t="shared" si="1"/>
        <v>0</v>
      </c>
    </row>
    <row r="105" spans="1:16" ht="28.5" x14ac:dyDescent="0.25">
      <c r="A105" s="34"/>
      <c r="B105" s="433">
        <v>46</v>
      </c>
      <c r="C105" s="418" t="s">
        <v>193</v>
      </c>
      <c r="D105" s="255" t="s">
        <v>33</v>
      </c>
      <c r="E105" s="421"/>
      <c r="F105" s="300"/>
      <c r="G105" s="300"/>
      <c r="H105" s="426"/>
      <c r="I105" s="426"/>
      <c r="J105" s="426"/>
      <c r="K105" s="426"/>
      <c r="L105" s="426"/>
      <c r="M105" s="426"/>
      <c r="N105" s="426"/>
      <c r="O105" s="426"/>
      <c r="P105" s="434">
        <f t="shared" si="1"/>
        <v>0</v>
      </c>
    </row>
    <row r="106" spans="1:16" ht="28.5" x14ac:dyDescent="0.25">
      <c r="A106" s="34"/>
      <c r="B106" s="433">
        <v>47</v>
      </c>
      <c r="C106" s="418" t="s">
        <v>194</v>
      </c>
      <c r="D106" s="255" t="s">
        <v>33</v>
      </c>
      <c r="E106" s="421"/>
      <c r="F106" s="300"/>
      <c r="G106" s="300"/>
      <c r="H106" s="426"/>
      <c r="I106" s="426"/>
      <c r="J106" s="426"/>
      <c r="K106" s="426"/>
      <c r="L106" s="426"/>
      <c r="M106" s="426"/>
      <c r="N106" s="426"/>
      <c r="O106" s="426"/>
      <c r="P106" s="434">
        <f t="shared" si="1"/>
        <v>0</v>
      </c>
    </row>
    <row r="107" spans="1:16" ht="28.5" x14ac:dyDescent="0.25">
      <c r="A107" s="34"/>
      <c r="B107" s="433">
        <v>48</v>
      </c>
      <c r="C107" s="418" t="s">
        <v>195</v>
      </c>
      <c r="D107" s="255" t="s">
        <v>33</v>
      </c>
      <c r="E107" s="421"/>
      <c r="F107" s="300"/>
      <c r="G107" s="300"/>
      <c r="H107" s="426"/>
      <c r="I107" s="426"/>
      <c r="J107" s="426"/>
      <c r="K107" s="426"/>
      <c r="L107" s="426"/>
      <c r="M107" s="426"/>
      <c r="N107" s="426"/>
      <c r="O107" s="426"/>
      <c r="P107" s="434">
        <f t="shared" si="1"/>
        <v>0</v>
      </c>
    </row>
    <row r="108" spans="1:16" ht="28.5" x14ac:dyDescent="0.25">
      <c r="A108" s="34"/>
      <c r="B108" s="433">
        <v>49</v>
      </c>
      <c r="C108" s="418" t="s">
        <v>196</v>
      </c>
      <c r="D108" s="255" t="s">
        <v>33</v>
      </c>
      <c r="E108" s="421"/>
      <c r="F108" s="300"/>
      <c r="G108" s="300"/>
      <c r="H108" s="426"/>
      <c r="I108" s="426"/>
      <c r="J108" s="426"/>
      <c r="K108" s="426"/>
      <c r="L108" s="426"/>
      <c r="M108" s="426"/>
      <c r="N108" s="426"/>
      <c r="O108" s="426"/>
      <c r="P108" s="434">
        <f t="shared" si="1"/>
        <v>0</v>
      </c>
    </row>
    <row r="109" spans="1:16" ht="15" x14ac:dyDescent="0.25">
      <c r="A109" s="34"/>
      <c r="B109" s="435" t="s">
        <v>256</v>
      </c>
      <c r="C109" s="418"/>
      <c r="D109" s="255" t="s">
        <v>251</v>
      </c>
      <c r="E109" s="421"/>
      <c r="F109" s="300"/>
      <c r="G109" s="300"/>
      <c r="H109" s="426"/>
      <c r="I109" s="426"/>
      <c r="J109" s="426"/>
      <c r="K109" s="426"/>
      <c r="L109" s="426"/>
      <c r="M109" s="426"/>
      <c r="N109" s="426"/>
      <c r="O109" s="426"/>
      <c r="P109" s="434"/>
    </row>
    <row r="110" spans="1:16" ht="15" x14ac:dyDescent="0.25">
      <c r="A110" s="34"/>
      <c r="B110" s="433"/>
      <c r="C110" s="596"/>
      <c r="D110" s="596"/>
      <c r="E110" s="270"/>
      <c r="F110" s="300"/>
      <c r="G110" s="300"/>
      <c r="H110" s="426"/>
      <c r="I110" s="426"/>
      <c r="J110" s="426"/>
      <c r="K110" s="426"/>
      <c r="L110" s="426"/>
      <c r="M110" s="426"/>
      <c r="N110" s="426"/>
      <c r="O110" s="426"/>
      <c r="P110" s="434"/>
    </row>
    <row r="111" spans="1:16" ht="15" x14ac:dyDescent="0.25">
      <c r="A111" s="34"/>
      <c r="B111" s="433"/>
      <c r="C111" s="596"/>
      <c r="D111" s="596"/>
      <c r="E111" s="270"/>
      <c r="F111" s="300"/>
      <c r="G111" s="300"/>
      <c r="H111" s="426"/>
      <c r="I111" s="426"/>
      <c r="J111" s="426"/>
      <c r="K111" s="426"/>
      <c r="L111" s="426"/>
      <c r="M111" s="426"/>
      <c r="N111" s="426"/>
      <c r="O111" s="426"/>
      <c r="P111" s="434"/>
    </row>
    <row r="112" spans="1:16" ht="15" x14ac:dyDescent="0.25">
      <c r="A112" s="34"/>
      <c r="B112" s="439"/>
      <c r="C112" s="596"/>
      <c r="D112" s="596"/>
      <c r="E112" s="270"/>
      <c r="F112" s="408"/>
      <c r="G112" s="408"/>
      <c r="H112" s="440"/>
      <c r="I112" s="440"/>
      <c r="J112" s="440"/>
      <c r="K112" s="440"/>
      <c r="L112" s="440"/>
      <c r="M112" s="440"/>
      <c r="N112" s="440"/>
      <c r="O112" s="440"/>
      <c r="P112" s="441"/>
    </row>
    <row r="113" spans="2:17" ht="15" x14ac:dyDescent="0.25">
      <c r="B113" s="357"/>
      <c r="C113" s="595" t="s">
        <v>219</v>
      </c>
      <c r="D113" s="595"/>
      <c r="E113" s="358"/>
      <c r="F113" s="359"/>
      <c r="G113" s="359"/>
      <c r="H113" s="360">
        <f>SUM($F$19*H19,$F$20*H20,$F$21*H21,$F$22*H22,$F$23*H23,$F$24*H24,$F$48*H48,$F$65*H65,$F$66*H66,$F$67*H67,$F$68*H68)</f>
        <v>288061</v>
      </c>
      <c r="I113" s="360">
        <f>SUM($F$19*I19,$F$20*I20,$F$21*I21,$F$22*I22,$F$23*I23,$F$24*I24,$F$48*I48,$F$65*I65,$F$66*I66,$F$67*I67,$F$68*I68,$F$30*I30,$F$31*I31,$F$32*I32)</f>
        <v>241009.96000000002</v>
      </c>
      <c r="J113" s="360"/>
      <c r="K113" s="360"/>
      <c r="L113" s="360"/>
      <c r="M113" s="360"/>
      <c r="N113" s="360"/>
      <c r="O113" s="360"/>
      <c r="P113" s="362">
        <f>SUM(H113:O113)</f>
        <v>529070.96</v>
      </c>
    </row>
    <row r="114" spans="2:17" x14ac:dyDescent="0.3">
      <c r="B114" s="499"/>
      <c r="C114" s="500" t="s">
        <v>517</v>
      </c>
      <c r="D114" s="500"/>
      <c r="E114" s="501"/>
      <c r="F114" s="502"/>
      <c r="G114" s="502"/>
      <c r="H114" s="503"/>
      <c r="I114" s="503"/>
      <c r="J114" s="503"/>
      <c r="K114" s="503"/>
      <c r="L114" s="503"/>
      <c r="M114" s="503"/>
      <c r="N114" s="503">
        <f>(N31*$F$31)/4014</f>
        <v>130.4555082212257</v>
      </c>
      <c r="O114" s="503">
        <f>O31*$G$31</f>
        <v>0</v>
      </c>
      <c r="P114" s="362">
        <f t="shared" ref="P114:P115" si="2">SUM(H114:O114)</f>
        <v>130.4555082212257</v>
      </c>
    </row>
    <row r="115" spans="2:17" ht="15" customHeight="1" x14ac:dyDescent="0.3">
      <c r="B115" s="277"/>
      <c r="C115" s="596" t="s">
        <v>258</v>
      </c>
      <c r="D115" s="596"/>
      <c r="E115" s="271"/>
      <c r="F115" s="269"/>
      <c r="G115" s="269"/>
      <c r="H115" s="271"/>
      <c r="I115" s="271"/>
      <c r="J115" s="272">
        <f>SUM($E$30*$G$30*J30,$E$31*$G$31*J31,$E$32*$G$32*J32,$E$33*$G$33*J33,$E$34*$G$34*J34,$E$40*$G$40*J40,$E$41*$G$41*J41,$E$42*$G$42*J42,$E$74*$G$74*J74,$E$75*$G$75*J75,$E$76*$G$76*J76,$E$77*$G$77*J77,$E$78*$G$78*J78,$E$79*$G$79*J79,$E$80*$G$80*J80,$E$81*$G$81*J81)</f>
        <v>2189.2799999999997</v>
      </c>
      <c r="K115" s="272">
        <f>SUM($E$30*$G$30*K30,$E$31*$G$31*K31,$E$32*$G$32*K32,$E$33*$G$33*K33,$E$34*$G$34*K34,$E$40*$G$40*K40,$E$41*$G$41*K41,$E$42*$G$42*K42,$E$74*$G$74*K74,$E$75*$G$75*K75,$E$76*$G$76*K76,$E$77*$G$77*K77,$E$78*$G$78*K78,$E$79*$G$79*K79,$E$80*$G$80*K80,$E$81*$G$81*K81)</f>
        <v>0</v>
      </c>
      <c r="L115" s="272"/>
      <c r="M115" s="272"/>
      <c r="N115" s="271"/>
      <c r="O115" s="271"/>
      <c r="P115" s="362">
        <f t="shared" si="2"/>
        <v>2189.2799999999997</v>
      </c>
    </row>
    <row r="116" spans="2:17" x14ac:dyDescent="0.3">
      <c r="B116" s="277"/>
      <c r="C116" s="596" t="s">
        <v>495</v>
      </c>
      <c r="D116" s="596"/>
      <c r="E116" s="271"/>
      <c r="F116" s="269"/>
      <c r="G116" s="269"/>
      <c r="H116" s="271"/>
      <c r="I116" s="271"/>
      <c r="J116" s="272">
        <f>J115-SUM($E$34*$G$34*J34,$E$78*$G$78*J78)</f>
        <v>2189.2799999999997</v>
      </c>
      <c r="K116" s="272">
        <f>K115-SUM($E$34*$G$34*K34,$E$78*$G$78*K78)</f>
        <v>0</v>
      </c>
      <c r="L116" s="271"/>
      <c r="M116" s="271"/>
      <c r="N116" s="271"/>
      <c r="O116" s="271"/>
      <c r="P116" s="278"/>
    </row>
    <row r="117" spans="2:17" x14ac:dyDescent="0.3">
      <c r="B117" s="279"/>
      <c r="C117" s="540"/>
      <c r="D117" s="540"/>
      <c r="E117" s="264"/>
      <c r="F117" s="262"/>
      <c r="G117" s="262"/>
      <c r="H117" s="264"/>
      <c r="I117" s="264"/>
      <c r="J117" s="543"/>
      <c r="K117" s="543"/>
      <c r="L117" s="264"/>
      <c r="M117" s="264"/>
      <c r="N117" s="264"/>
      <c r="O117" s="264"/>
      <c r="P117" s="280"/>
    </row>
    <row r="118" spans="2:17" ht="15" x14ac:dyDescent="0.25">
      <c r="B118" s="279"/>
      <c r="C118" s="597"/>
      <c r="D118" s="597"/>
      <c r="E118" s="264"/>
      <c r="F118" s="262"/>
      <c r="G118" s="262"/>
      <c r="H118" s="264"/>
      <c r="I118" s="264"/>
      <c r="J118" s="264"/>
      <c r="K118" s="264"/>
      <c r="L118" s="264"/>
      <c r="M118" s="264"/>
      <c r="N118" s="264"/>
      <c r="O118" s="264"/>
      <c r="P118" s="280"/>
    </row>
    <row r="119" spans="2:17" ht="15" x14ac:dyDescent="0.25">
      <c r="B119" s="279"/>
      <c r="C119" s="520"/>
      <c r="D119" s="264"/>
      <c r="E119" s="264"/>
      <c r="F119" s="262"/>
      <c r="G119" s="262"/>
      <c r="H119" s="264"/>
      <c r="I119" s="264"/>
      <c r="J119" s="264"/>
      <c r="K119" s="264"/>
      <c r="L119" s="264"/>
      <c r="M119" s="264"/>
      <c r="N119" s="264"/>
      <c r="O119" s="264"/>
      <c r="P119" s="280"/>
    </row>
    <row r="120" spans="2:17" ht="15" x14ac:dyDescent="0.25">
      <c r="B120" s="385"/>
      <c r="C120" s="598" t="s">
        <v>322</v>
      </c>
      <c r="D120" s="598"/>
      <c r="E120" s="255"/>
      <c r="F120" s="266"/>
      <c r="G120" s="255"/>
      <c r="H120" s="267">
        <f>'3.  Distribution Rates'!I33</f>
        <v>1.4333333333333332E-2</v>
      </c>
      <c r="I120" s="267">
        <f>'3.  Distribution Rates'!I34</f>
        <v>1.8533333333333332E-2</v>
      </c>
      <c r="J120" s="267">
        <f>'3.  Distribution Rates'!I35</f>
        <v>3.5729666666666664</v>
      </c>
      <c r="K120" s="267">
        <f>'3.  Distribution Rates'!I36</f>
        <v>2.8185000000000002</v>
      </c>
      <c r="L120" s="267">
        <f>'3.  Distribution Rates'!I37</f>
        <v>1.0466666666666666E-2</v>
      </c>
      <c r="M120" s="267">
        <f>'3.  Distribution Rates'!I38</f>
        <v>12.053800000000001</v>
      </c>
      <c r="N120" s="267">
        <f>'3.  Distribution Rates'!I39</f>
        <v>8.9637999999999991</v>
      </c>
      <c r="O120" s="267"/>
      <c r="P120" s="386"/>
    </row>
    <row r="121" spans="2:17" ht="15" x14ac:dyDescent="0.25">
      <c r="B121" s="385"/>
      <c r="C121" s="598" t="s">
        <v>226</v>
      </c>
      <c r="D121" s="598"/>
      <c r="E121" s="264"/>
      <c r="F121" s="266"/>
      <c r="G121" s="266"/>
      <c r="H121" s="382">
        <f>'4.  2011-14 LRAM'!H$78*H120</f>
        <v>0</v>
      </c>
      <c r="I121" s="382">
        <f>'4.  2011-14 LRAM'!I$78*I120</f>
        <v>0</v>
      </c>
      <c r="J121" s="382">
        <f>'4.  2011-14 LRAM'!J$78*J120</f>
        <v>0</v>
      </c>
      <c r="K121" s="382">
        <f>'4.  2011-14 LRAM'!K$78*K120</f>
        <v>0</v>
      </c>
      <c r="L121" s="382">
        <f>'4.  2011-14 LRAM'!L$78*L120</f>
        <v>0</v>
      </c>
      <c r="M121" s="382">
        <f>'4.  2011-14 LRAM'!M$78*M120</f>
        <v>0</v>
      </c>
      <c r="N121" s="382">
        <f>'4.  2011-14 LRAM'!N$78*N120</f>
        <v>0</v>
      </c>
      <c r="O121" s="255"/>
      <c r="P121" s="281">
        <f>SUM(H121:O121)</f>
        <v>0</v>
      </c>
      <c r="Q121" s="17"/>
    </row>
    <row r="122" spans="2:17" ht="15" x14ac:dyDescent="0.25">
      <c r="B122" s="385"/>
      <c r="C122" s="598" t="s">
        <v>227</v>
      </c>
      <c r="D122" s="598"/>
      <c r="E122" s="264"/>
      <c r="F122" s="266"/>
      <c r="G122" s="266"/>
      <c r="H122" s="382">
        <f>'4.  2011-14 LRAM'!H$157*H120</f>
        <v>0</v>
      </c>
      <c r="I122" s="382">
        <f>'4.  2011-14 LRAM'!I$157*I120</f>
        <v>0</v>
      </c>
      <c r="J122" s="382">
        <f>'4.  2011-14 LRAM'!J$157*J120</f>
        <v>0</v>
      </c>
      <c r="K122" s="382">
        <f>'4.  2011-14 LRAM'!K$157*K120</f>
        <v>0</v>
      </c>
      <c r="L122" s="382">
        <f>'4.  2011-14 LRAM'!L$157*L120</f>
        <v>0</v>
      </c>
      <c r="M122" s="382">
        <f>'4.  2011-14 LRAM'!M$157*M120</f>
        <v>0</v>
      </c>
      <c r="N122" s="382">
        <f>'4.  2011-14 LRAM'!N$157*N120</f>
        <v>0</v>
      </c>
      <c r="O122" s="255"/>
      <c r="P122" s="281">
        <f>SUM(H122:O122)</f>
        <v>0</v>
      </c>
    </row>
    <row r="123" spans="2:17" ht="15" x14ac:dyDescent="0.25">
      <c r="B123" s="385"/>
      <c r="C123" s="598" t="s">
        <v>228</v>
      </c>
      <c r="D123" s="598"/>
      <c r="E123" s="264"/>
      <c r="F123" s="266"/>
      <c r="G123" s="266"/>
      <c r="H123" s="382">
        <f>'4.  2011-14 LRAM'!H$237*H120</f>
        <v>0</v>
      </c>
      <c r="I123" s="382">
        <f>'4.  2011-14 LRAM'!I$237*I120</f>
        <v>0</v>
      </c>
      <c r="J123" s="382">
        <f>'4.  2011-14 LRAM'!J$237*J120</f>
        <v>0</v>
      </c>
      <c r="K123" s="382">
        <f>'4.  2011-14 LRAM'!K$237*K120</f>
        <v>0</v>
      </c>
      <c r="L123" s="382">
        <f>'4.  2011-14 LRAM'!L$237*L120</f>
        <v>0</v>
      </c>
      <c r="M123" s="382">
        <f>'4.  2011-14 LRAM'!M$237*M120</f>
        <v>0</v>
      </c>
      <c r="N123" s="382">
        <f>'4.  2011-14 LRAM'!N$237*N120</f>
        <v>0</v>
      </c>
      <c r="O123" s="255"/>
      <c r="P123" s="281">
        <f t="shared" ref="P123" si="3">SUM(H123:O123)</f>
        <v>0</v>
      </c>
    </row>
    <row r="124" spans="2:17" ht="15" x14ac:dyDescent="0.25">
      <c r="B124" s="385"/>
      <c r="C124" s="598" t="s">
        <v>229</v>
      </c>
      <c r="D124" s="598"/>
      <c r="E124" s="264"/>
      <c r="F124" s="266"/>
      <c r="G124" s="266"/>
      <c r="H124" s="382">
        <f>'4.  2011-14 LRAM'!H$318*H120</f>
        <v>0</v>
      </c>
      <c r="I124" s="382">
        <f>'4.  2011-14 LRAM'!I$318*I120</f>
        <v>0</v>
      </c>
      <c r="J124" s="382">
        <f>'4.  2011-14 LRAM'!J$318*J120</f>
        <v>0</v>
      </c>
      <c r="K124" s="382">
        <f>'4.  2011-14 LRAM'!K$318*K120</f>
        <v>0</v>
      </c>
      <c r="L124" s="382">
        <f>'4.  2011-14 LRAM'!L$318*L120</f>
        <v>0</v>
      </c>
      <c r="M124" s="382">
        <f>'4.  2011-14 LRAM'!M$318*M120</f>
        <v>0</v>
      </c>
      <c r="N124" s="382">
        <f>'4.  2011-14 LRAM'!N$318*N120</f>
        <v>0</v>
      </c>
      <c r="O124" s="255"/>
      <c r="P124" s="281">
        <f>SUM(H124:O124)</f>
        <v>0</v>
      </c>
    </row>
    <row r="125" spans="2:17" ht="15" x14ac:dyDescent="0.25">
      <c r="B125" s="385"/>
      <c r="C125" s="598" t="s">
        <v>230</v>
      </c>
      <c r="D125" s="598"/>
      <c r="E125" s="264"/>
      <c r="F125" s="266"/>
      <c r="G125" s="266"/>
      <c r="H125" s="382">
        <f>H113*H120</f>
        <v>4128.8743333333332</v>
      </c>
      <c r="I125" s="382">
        <f>I113*I120</f>
        <v>4466.7179253333334</v>
      </c>
      <c r="J125" s="382">
        <f>J115*J120</f>
        <v>7822.2244639999981</v>
      </c>
      <c r="K125" s="382">
        <f>K115*K120</f>
        <v>0</v>
      </c>
      <c r="L125" s="382">
        <f>L115*L120</f>
        <v>0</v>
      </c>
      <c r="M125" s="382">
        <f>M115*M120</f>
        <v>0</v>
      </c>
      <c r="N125" s="382">
        <f>N114*N120</f>
        <v>1169.3770845934228</v>
      </c>
      <c r="O125" s="255"/>
      <c r="P125" s="281">
        <f>SUM(H125:O125)</f>
        <v>17587.19380726009</v>
      </c>
    </row>
    <row r="126" spans="2:17" ht="15" x14ac:dyDescent="0.25">
      <c r="B126" s="279"/>
      <c r="C126" s="383" t="s">
        <v>220</v>
      </c>
      <c r="D126" s="264"/>
      <c r="E126" s="264"/>
      <c r="F126" s="262"/>
      <c r="G126" s="262"/>
      <c r="H126" s="268">
        <f>SUM(H121:H125)</f>
        <v>4128.8743333333332</v>
      </c>
      <c r="I126" s="268">
        <f>SUM(I121:I125)</f>
        <v>4466.7179253333334</v>
      </c>
      <c r="J126" s="268">
        <f t="shared" ref="J126:L126" si="4">SUM(J121:J125)</f>
        <v>7822.2244639999981</v>
      </c>
      <c r="K126" s="268">
        <f t="shared" si="4"/>
        <v>0</v>
      </c>
      <c r="L126" s="268">
        <f t="shared" si="4"/>
        <v>0</v>
      </c>
      <c r="M126" s="268">
        <f>SUM(M121:M125)</f>
        <v>0</v>
      </c>
      <c r="N126" s="268">
        <f>SUM(N121:N125)</f>
        <v>1169.3770845934228</v>
      </c>
      <c r="O126" s="264"/>
      <c r="P126" s="282">
        <f>SUM(P121:P125)</f>
        <v>17587.19380726009</v>
      </c>
    </row>
    <row r="127" spans="2:17" ht="15" x14ac:dyDescent="0.25">
      <c r="B127" s="283"/>
      <c r="C127" s="457"/>
      <c r="D127" s="284"/>
      <c r="E127" s="284"/>
      <c r="F127" s="285"/>
      <c r="G127" s="285"/>
      <c r="H127" s="458"/>
      <c r="I127" s="458"/>
      <c r="J127" s="458"/>
      <c r="K127" s="458"/>
      <c r="L127" s="458"/>
      <c r="M127" s="458"/>
      <c r="N127" s="458"/>
      <c r="O127" s="284"/>
      <c r="P127" s="459"/>
    </row>
    <row r="128" spans="2:17" ht="15" hidden="1" x14ac:dyDescent="0.25">
      <c r="B128" s="427"/>
      <c r="C128" s="598" t="s">
        <v>221</v>
      </c>
      <c r="D128" s="598"/>
      <c r="E128" s="419"/>
      <c r="F128" s="160"/>
      <c r="G128" s="160"/>
      <c r="H128" s="508">
        <f>$H$113*'6.  Persistence Rates'!$E$44</f>
        <v>281560.35625783837</v>
      </c>
      <c r="I128" s="508">
        <f>I113*'6.  Persistence Rates'!$E$44</f>
        <v>235571.11236608698</v>
      </c>
      <c r="J128" s="508">
        <f>$J$116*'6.  Persistence Rates'!$R$44</f>
        <v>2095.3194849785405</v>
      </c>
      <c r="K128" s="508">
        <f>$K$116*'6.  Persistence Rates'!$R$44</f>
        <v>0</v>
      </c>
      <c r="L128" s="508">
        <f>$L$115*'6.  Persistence Rates'!$R$44</f>
        <v>0</v>
      </c>
      <c r="M128" s="508">
        <f>$M$115*'6.  Persistence Rates'!$R$44</f>
        <v>0</v>
      </c>
      <c r="N128" s="508">
        <f>$N$113*'6.  Persistence Rates'!$E$44</f>
        <v>0</v>
      </c>
      <c r="O128" s="160"/>
      <c r="P128" s="354"/>
      <c r="Q128" s="17"/>
    </row>
    <row r="129" spans="2:16" ht="15" hidden="1" x14ac:dyDescent="0.25">
      <c r="B129" s="427"/>
      <c r="C129" s="598" t="s">
        <v>222</v>
      </c>
      <c r="D129" s="598"/>
      <c r="E129" s="419"/>
      <c r="F129" s="160"/>
      <c r="G129" s="160"/>
      <c r="H129" s="508">
        <f>H113*'6.  Persistence Rates'!F$44</f>
        <v>279628.29348767304</v>
      </c>
      <c r="I129" s="508">
        <f>I113*'6.  Persistence Rates'!F$44</f>
        <v>233954.62706972603</v>
      </c>
      <c r="J129" s="508">
        <f>$J$116*'6.  Persistence Rates'!$S$44</f>
        <v>2095.3194849785405</v>
      </c>
      <c r="K129" s="508">
        <f>$K$116*'6.  Persistence Rates'!$S$44</f>
        <v>0</v>
      </c>
      <c r="L129" s="508">
        <f>$L$115*'6.  Persistence Rates'!$S$44</f>
        <v>0</v>
      </c>
      <c r="M129" s="508">
        <f>$M$115*'6.  Persistence Rates'!$S$44</f>
        <v>0</v>
      </c>
      <c r="N129" s="508">
        <f>$N$113*'6.  Persistence Rates'!$F$44</f>
        <v>0</v>
      </c>
      <c r="O129" s="160"/>
      <c r="P129" s="354"/>
    </row>
    <row r="130" spans="2:16" ht="15" hidden="1" x14ac:dyDescent="0.25">
      <c r="B130" s="427"/>
      <c r="C130" s="598" t="s">
        <v>223</v>
      </c>
      <c r="D130" s="598"/>
      <c r="E130" s="419"/>
      <c r="F130" s="160"/>
      <c r="G130" s="160"/>
      <c r="H130" s="508">
        <f>H113*'6.  Persistence Rates'!G$44</f>
        <v>279474.77979213186</v>
      </c>
      <c r="I130" s="508">
        <f>I113*'6.  Persistence Rates'!G$44</f>
        <v>233826.18785156793</v>
      </c>
      <c r="J130" s="508">
        <f>$J$116*'6.  Persistence Rates'!$T$44</f>
        <v>1944.9826609442057</v>
      </c>
      <c r="K130" s="508">
        <f>$K$116*'6.  Persistence Rates'!$T$44</f>
        <v>0</v>
      </c>
      <c r="L130" s="508">
        <f>$L$115*'6.  Persistence Rates'!$T$44</f>
        <v>0</v>
      </c>
      <c r="M130" s="508">
        <f>$M$115*'6.  Persistence Rates'!$T$44</f>
        <v>0</v>
      </c>
      <c r="N130" s="508">
        <f>$N$113*'6.  Persistence Rates'!$G$44</f>
        <v>0</v>
      </c>
      <c r="O130" s="160"/>
      <c r="P130" s="354"/>
    </row>
    <row r="131" spans="2:16" ht="15" hidden="1" x14ac:dyDescent="0.25">
      <c r="B131" s="427"/>
      <c r="C131" s="598" t="s">
        <v>224</v>
      </c>
      <c r="D131" s="598"/>
      <c r="E131" s="419"/>
      <c r="F131" s="160"/>
      <c r="G131" s="160"/>
      <c r="H131" s="508">
        <f>H113*'6.  Persistence Rates'!H$44</f>
        <v>266585.32125941326</v>
      </c>
      <c r="I131" s="508">
        <f>I113*'6.  Persistence Rates'!H$44</f>
        <v>223042.05572194204</v>
      </c>
      <c r="J131" s="508">
        <f>$J$116*'6.  Persistence Rates'!$U$44</f>
        <v>1926.190557939914</v>
      </c>
      <c r="K131" s="508">
        <f>$K$116*'6.  Persistence Rates'!$U$44</f>
        <v>0</v>
      </c>
      <c r="L131" s="508">
        <f>$L$115*'6.  Persistence Rates'!$U$44</f>
        <v>0</v>
      </c>
      <c r="M131" s="508">
        <f>$M$115*'6.  Persistence Rates'!$U$44</f>
        <v>0</v>
      </c>
      <c r="N131" s="508">
        <f>$N$113*'6.  Persistence Rates'!$H$44</f>
        <v>0</v>
      </c>
      <c r="O131" s="160"/>
      <c r="P131" s="354"/>
    </row>
    <row r="132" spans="2:16" ht="15" hidden="1" x14ac:dyDescent="0.25">
      <c r="B132" s="428"/>
      <c r="C132" s="610" t="s">
        <v>225</v>
      </c>
      <c r="D132" s="610"/>
      <c r="E132" s="429"/>
      <c r="F132" s="334"/>
      <c r="G132" s="334"/>
      <c r="H132" s="508">
        <f>H113*'6.  Persistence Rates'!I$44</f>
        <v>264677.70014633529</v>
      </c>
      <c r="I132" s="508">
        <f>I113*'6.  Persistence Rates'!I$44</f>
        <v>221446.0198539902</v>
      </c>
      <c r="J132" s="508">
        <f>$J$116*'6.  Persistence Rates'!$V$44</f>
        <v>1879.2103004291844</v>
      </c>
      <c r="K132" s="508">
        <f>$K$116*'6.  Persistence Rates'!$V$44</f>
        <v>0</v>
      </c>
      <c r="L132" s="508">
        <f>$L$115*'6.  Persistence Rates'!$V$44</f>
        <v>0</v>
      </c>
      <c r="M132" s="508">
        <f>$M$115*'6.  Persistence Rates'!$V$44</f>
        <v>0</v>
      </c>
      <c r="N132" s="508">
        <f>$N$113*'6.  Persistence Rates'!$I$44</f>
        <v>0</v>
      </c>
      <c r="O132" s="334"/>
      <c r="P132" s="404"/>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2:D132"/>
    <mergeCell ref="C115:D115"/>
    <mergeCell ref="C116:D116"/>
    <mergeCell ref="C125:D125"/>
    <mergeCell ref="C121:D121"/>
    <mergeCell ref="C128:D128"/>
    <mergeCell ref="C129:D129"/>
    <mergeCell ref="C130:D130"/>
    <mergeCell ref="C131:D131"/>
    <mergeCell ref="C118:D118"/>
    <mergeCell ref="C120:D120"/>
    <mergeCell ref="C124:D124"/>
    <mergeCell ref="C123:D123"/>
    <mergeCell ref="C122:D122"/>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09375" defaultRowHeight="14.4" outlineLevelRow="1" x14ac:dyDescent="0.3"/>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1" spans="1:18" ht="19.5" customHeight="1" x14ac:dyDescent="0.25"/>
    <row r="2" spans="1:18" ht="18.75" customHeight="1" x14ac:dyDescent="0.3">
      <c r="B2" s="626" t="s">
        <v>263</v>
      </c>
      <c r="C2" s="626"/>
      <c r="D2" s="626"/>
      <c r="E2" s="626"/>
      <c r="F2" s="626"/>
      <c r="G2" s="626"/>
      <c r="H2" s="626"/>
      <c r="I2" s="626"/>
      <c r="J2" s="626"/>
      <c r="K2" s="626"/>
      <c r="L2" s="626"/>
      <c r="M2" s="626"/>
      <c r="N2" s="626"/>
      <c r="O2" s="626"/>
      <c r="P2" s="626"/>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397</v>
      </c>
      <c r="D4" s="395"/>
      <c r="E4" s="579" t="s">
        <v>360</v>
      </c>
      <c r="F4" s="579"/>
      <c r="G4" s="579"/>
      <c r="H4" s="579"/>
      <c r="I4" s="579"/>
      <c r="J4" s="579"/>
      <c r="K4" s="579"/>
      <c r="L4" s="579"/>
      <c r="M4" s="579"/>
      <c r="N4" s="579"/>
      <c r="O4" s="579"/>
      <c r="P4" s="579"/>
    </row>
    <row r="5" spans="1:18" ht="18.75" customHeight="1" outlineLevel="1" x14ac:dyDescent="0.3">
      <c r="A5" s="47"/>
      <c r="B5" s="395"/>
      <c r="C5" s="396"/>
      <c r="D5" s="395"/>
      <c r="E5" s="376" t="s">
        <v>354</v>
      </c>
      <c r="F5" s="395"/>
      <c r="G5" s="395"/>
      <c r="H5" s="395"/>
      <c r="I5" s="395"/>
      <c r="J5" s="395"/>
      <c r="K5" s="395"/>
      <c r="L5" s="395"/>
      <c r="M5" s="395"/>
      <c r="N5" s="395"/>
      <c r="O5" s="395"/>
      <c r="P5" s="395"/>
    </row>
    <row r="6" spans="1:18" ht="18.75" customHeight="1" outlineLevel="1" x14ac:dyDescent="0.3">
      <c r="A6" s="47"/>
      <c r="B6" s="395"/>
      <c r="C6" s="396"/>
      <c r="D6" s="395"/>
      <c r="E6" s="376" t="s">
        <v>355</v>
      </c>
      <c r="F6" s="395"/>
      <c r="G6" s="395"/>
      <c r="H6" s="395"/>
      <c r="I6" s="395"/>
      <c r="J6" s="395"/>
      <c r="K6" s="395"/>
      <c r="L6" s="395"/>
      <c r="M6" s="395"/>
      <c r="N6" s="395"/>
      <c r="O6" s="395"/>
      <c r="P6" s="395"/>
    </row>
    <row r="7" spans="1:18" ht="18.75" customHeight="1" outlineLevel="1" x14ac:dyDescent="0.3">
      <c r="A7" s="47"/>
      <c r="B7" s="395"/>
      <c r="C7" s="396"/>
      <c r="D7" s="395"/>
      <c r="E7" s="376" t="s">
        <v>412</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334</v>
      </c>
      <c r="D9" s="395"/>
      <c r="E9" s="640" t="s">
        <v>361</v>
      </c>
      <c r="F9" s="640"/>
      <c r="G9" s="395"/>
      <c r="H9" s="395"/>
      <c r="I9" s="395"/>
      <c r="J9" s="395"/>
      <c r="K9" s="395"/>
      <c r="L9" s="395"/>
      <c r="M9" s="395"/>
      <c r="N9" s="395"/>
      <c r="O9" s="395"/>
      <c r="P9" s="395"/>
      <c r="R9" s="82"/>
    </row>
    <row r="10" spans="1:18" ht="18.75" customHeight="1" outlineLevel="1" x14ac:dyDescent="0.3">
      <c r="A10" s="47"/>
      <c r="B10" s="395"/>
      <c r="C10" s="396"/>
      <c r="D10" s="395"/>
      <c r="E10" s="641" t="s">
        <v>335</v>
      </c>
      <c r="F10" s="641"/>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470</v>
      </c>
      <c r="C12" s="63"/>
      <c r="D12" s="63"/>
      <c r="E12" s="171"/>
      <c r="F12" s="63"/>
      <c r="G12" s="63"/>
      <c r="H12" s="63"/>
      <c r="I12" s="63"/>
      <c r="J12" s="63"/>
      <c r="K12" s="63"/>
      <c r="L12" s="63"/>
      <c r="M12" s="63"/>
      <c r="N12" s="63"/>
      <c r="O12" s="63"/>
      <c r="P12" s="63"/>
    </row>
    <row r="13" spans="1:18" ht="41.4" x14ac:dyDescent="0.3">
      <c r="B13" s="634" t="s">
        <v>58</v>
      </c>
      <c r="C13" s="636" t="s">
        <v>0</v>
      </c>
      <c r="D13" s="636" t="s">
        <v>44</v>
      </c>
      <c r="E13" s="636" t="s">
        <v>203</v>
      </c>
      <c r="F13" s="240" t="s">
        <v>200</v>
      </c>
      <c r="G13" s="240" t="s">
        <v>45</v>
      </c>
      <c r="H13" s="638" t="s">
        <v>59</v>
      </c>
      <c r="I13" s="638"/>
      <c r="J13" s="638"/>
      <c r="K13" s="638"/>
      <c r="L13" s="638"/>
      <c r="M13" s="638"/>
      <c r="N13" s="638"/>
      <c r="O13" s="638"/>
      <c r="P13" s="639"/>
    </row>
    <row r="14" spans="1:18" ht="55.2" x14ac:dyDescent="0.3">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ht="15" x14ac:dyDescent="0.25">
      <c r="A17" s="34"/>
      <c r="B17" s="433">
        <v>1</v>
      </c>
      <c r="C17" s="418" t="s">
        <v>141</v>
      </c>
      <c r="D17" s="255" t="s">
        <v>33</v>
      </c>
      <c r="E17" s="419"/>
      <c r="F17" s="300"/>
      <c r="G17" s="300"/>
      <c r="H17" s="430">
        <v>1</v>
      </c>
      <c r="I17" s="420"/>
      <c r="J17" s="420"/>
      <c r="K17" s="420"/>
      <c r="L17" s="420"/>
      <c r="M17" s="420"/>
      <c r="N17" s="420"/>
      <c r="O17" s="420"/>
      <c r="P17" s="434">
        <f>SUM(H17:O17)</f>
        <v>1</v>
      </c>
    </row>
    <row r="18" spans="1:16" ht="15" x14ac:dyDescent="0.25">
      <c r="A18" s="8"/>
      <c r="B18" s="433">
        <v>2</v>
      </c>
      <c r="C18" s="418" t="s">
        <v>142</v>
      </c>
      <c r="D18" s="255" t="s">
        <v>33</v>
      </c>
      <c r="E18" s="421"/>
      <c r="F18" s="300"/>
      <c r="G18" s="300"/>
      <c r="H18" s="430">
        <v>1</v>
      </c>
      <c r="I18" s="420"/>
      <c r="J18" s="420"/>
      <c r="K18" s="420"/>
      <c r="L18" s="420"/>
      <c r="M18" s="420"/>
      <c r="N18" s="420"/>
      <c r="O18" s="420"/>
      <c r="P18" s="434">
        <f t="shared" ref="P18:P79" si="0">SUM(H18:O18)</f>
        <v>1</v>
      </c>
    </row>
    <row r="19" spans="1:16" ht="15" x14ac:dyDescent="0.25">
      <c r="A19" s="34"/>
      <c r="B19" s="433">
        <v>3</v>
      </c>
      <c r="C19" s="418" t="s">
        <v>143</v>
      </c>
      <c r="D19" s="255" t="s">
        <v>33</v>
      </c>
      <c r="E19" s="421"/>
      <c r="F19" s="300"/>
      <c r="G19" s="300"/>
      <c r="H19" s="430">
        <v>1</v>
      </c>
      <c r="I19" s="420"/>
      <c r="J19" s="420"/>
      <c r="K19" s="420"/>
      <c r="L19" s="420"/>
      <c r="M19" s="420"/>
      <c r="N19" s="420"/>
      <c r="O19" s="420"/>
      <c r="P19" s="434">
        <f t="shared" si="0"/>
        <v>1</v>
      </c>
    </row>
    <row r="20" spans="1:16" ht="15" x14ac:dyDescent="0.25">
      <c r="A20" s="34"/>
      <c r="B20" s="433">
        <v>4</v>
      </c>
      <c r="C20" s="418" t="s">
        <v>144</v>
      </c>
      <c r="D20" s="255" t="s">
        <v>33</v>
      </c>
      <c r="E20" s="421"/>
      <c r="F20" s="300"/>
      <c r="G20" s="300"/>
      <c r="H20" s="430">
        <v>1</v>
      </c>
      <c r="I20" s="420"/>
      <c r="J20" s="420"/>
      <c r="K20" s="420"/>
      <c r="L20" s="420"/>
      <c r="M20" s="420"/>
      <c r="N20" s="420"/>
      <c r="O20" s="420"/>
      <c r="P20" s="434">
        <f t="shared" si="0"/>
        <v>1</v>
      </c>
    </row>
    <row r="21" spans="1:16" ht="15" x14ac:dyDescent="0.25">
      <c r="A21" s="34"/>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34"/>
      <c r="B22" s="433">
        <v>6</v>
      </c>
      <c r="C22" s="418" t="s">
        <v>146</v>
      </c>
      <c r="D22" s="255" t="s">
        <v>33</v>
      </c>
      <c r="E22" s="421"/>
      <c r="F22" s="300"/>
      <c r="G22" s="300"/>
      <c r="H22" s="430">
        <v>1</v>
      </c>
      <c r="I22" s="420"/>
      <c r="J22" s="420"/>
      <c r="K22" s="420"/>
      <c r="L22" s="420"/>
      <c r="M22" s="420"/>
      <c r="N22" s="420"/>
      <c r="O22" s="420"/>
      <c r="P22" s="434">
        <f t="shared" si="0"/>
        <v>1</v>
      </c>
    </row>
    <row r="23" spans="1:16" ht="15" x14ac:dyDescent="0.25">
      <c r="A23" s="34"/>
      <c r="B23" s="435" t="s">
        <v>261</v>
      </c>
      <c r="C23" s="418"/>
      <c r="D23" s="255" t="s">
        <v>251</v>
      </c>
      <c r="E23" s="421"/>
      <c r="F23" s="300"/>
      <c r="G23" s="300"/>
      <c r="H23" s="430"/>
      <c r="I23" s="420"/>
      <c r="J23" s="420"/>
      <c r="K23" s="420"/>
      <c r="L23" s="420"/>
      <c r="M23" s="420"/>
      <c r="N23" s="420"/>
      <c r="O23" s="420"/>
      <c r="P23" s="434">
        <f t="shared" si="0"/>
        <v>0</v>
      </c>
    </row>
    <row r="24" spans="1:16" ht="15" x14ac:dyDescent="0.25">
      <c r="A24" s="34"/>
      <c r="B24" s="433"/>
      <c r="C24" s="596"/>
      <c r="D24" s="596"/>
      <c r="E24" s="270"/>
      <c r="F24" s="300"/>
      <c r="G24" s="300"/>
      <c r="H24" s="430"/>
      <c r="I24" s="420"/>
      <c r="J24" s="420"/>
      <c r="K24" s="420"/>
      <c r="L24" s="420"/>
      <c r="M24" s="420"/>
      <c r="N24" s="420"/>
      <c r="O24" s="420"/>
      <c r="P24" s="434">
        <f t="shared" si="0"/>
        <v>0</v>
      </c>
    </row>
    <row r="25" spans="1:16" ht="15" x14ac:dyDescent="0.25">
      <c r="A25" s="34"/>
      <c r="B25" s="433"/>
      <c r="C25" s="596"/>
      <c r="D25" s="596"/>
      <c r="E25" s="270"/>
      <c r="F25" s="300"/>
      <c r="G25" s="300"/>
      <c r="H25" s="430"/>
      <c r="I25" s="420"/>
      <c r="J25" s="420"/>
      <c r="K25" s="420"/>
      <c r="L25" s="420"/>
      <c r="M25" s="420"/>
      <c r="N25" s="420"/>
      <c r="O25" s="420"/>
      <c r="P25" s="434">
        <f t="shared" si="0"/>
        <v>0</v>
      </c>
    </row>
    <row r="26" spans="1:16" ht="15" x14ac:dyDescent="0.25">
      <c r="A26" s="34"/>
      <c r="B26" s="433"/>
      <c r="C26" s="596"/>
      <c r="D26" s="596"/>
      <c r="E26" s="270"/>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ht="15" x14ac:dyDescent="0.25">
      <c r="A28" s="34"/>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34"/>
      <c r="B32" s="433">
        <v>11</v>
      </c>
      <c r="C32" s="418" t="s">
        <v>152</v>
      </c>
      <c r="D32" s="255" t="s">
        <v>33</v>
      </c>
      <c r="E32" s="421">
        <v>3</v>
      </c>
      <c r="F32" s="300"/>
      <c r="G32" s="300"/>
      <c r="H32" s="420"/>
      <c r="I32" s="420"/>
      <c r="J32" s="430">
        <v>0.9</v>
      </c>
      <c r="K32" s="430">
        <v>0.1</v>
      </c>
      <c r="L32" s="420"/>
      <c r="M32" s="420"/>
      <c r="N32" s="420"/>
      <c r="O32" s="420"/>
      <c r="P32" s="434">
        <f t="shared" si="0"/>
        <v>1</v>
      </c>
    </row>
    <row r="33" spans="1:16" ht="15" x14ac:dyDescent="0.25">
      <c r="A33" s="34"/>
      <c r="B33" s="435" t="s">
        <v>261</v>
      </c>
      <c r="C33" s="418"/>
      <c r="D33" s="255" t="s">
        <v>251</v>
      </c>
      <c r="E33" s="421"/>
      <c r="F33" s="300"/>
      <c r="G33" s="300"/>
      <c r="H33" s="420"/>
      <c r="I33" s="420"/>
      <c r="J33" s="420"/>
      <c r="K33" s="420"/>
      <c r="L33" s="420"/>
      <c r="M33" s="420"/>
      <c r="N33" s="420"/>
      <c r="O33" s="420"/>
      <c r="P33" s="434">
        <f t="shared" si="0"/>
        <v>0</v>
      </c>
    </row>
    <row r="34" spans="1:16" ht="15" x14ac:dyDescent="0.25">
      <c r="A34" s="34"/>
      <c r="B34" s="433"/>
      <c r="C34" s="596"/>
      <c r="D34" s="596"/>
      <c r="E34" s="270"/>
      <c r="F34" s="300"/>
      <c r="G34" s="300"/>
      <c r="H34" s="420"/>
      <c r="I34" s="420"/>
      <c r="J34" s="420"/>
      <c r="K34" s="420"/>
      <c r="L34" s="420"/>
      <c r="M34" s="420"/>
      <c r="N34" s="420"/>
      <c r="O34" s="420"/>
      <c r="P34" s="434">
        <f t="shared" si="0"/>
        <v>0</v>
      </c>
    </row>
    <row r="35" spans="1:16" ht="15" x14ac:dyDescent="0.25">
      <c r="A35" s="34"/>
      <c r="B35" s="433"/>
      <c r="C35" s="596"/>
      <c r="D35" s="596"/>
      <c r="E35" s="270"/>
      <c r="F35" s="300"/>
      <c r="G35" s="300"/>
      <c r="H35" s="420"/>
      <c r="I35" s="420"/>
      <c r="J35" s="420"/>
      <c r="K35" s="420"/>
      <c r="L35" s="420"/>
      <c r="M35" s="420"/>
      <c r="N35" s="420"/>
      <c r="O35" s="420"/>
      <c r="P35" s="434">
        <f t="shared" si="0"/>
        <v>0</v>
      </c>
    </row>
    <row r="36" spans="1:16" ht="15" x14ac:dyDescent="0.25">
      <c r="A36" s="34"/>
      <c r="B36" s="433"/>
      <c r="C36" s="596"/>
      <c r="D36" s="596"/>
      <c r="E36" s="270"/>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ht="28.5" x14ac:dyDescent="0.25">
      <c r="A38" s="34"/>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34"/>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34"/>
      <c r="B40" s="433">
        <v>14</v>
      </c>
      <c r="C40" s="418" t="s">
        <v>155</v>
      </c>
      <c r="D40" s="255" t="s">
        <v>33</v>
      </c>
      <c r="E40" s="421">
        <v>12</v>
      </c>
      <c r="F40" s="300"/>
      <c r="G40" s="300"/>
      <c r="H40" s="420"/>
      <c r="I40" s="420"/>
      <c r="J40" s="430">
        <v>1</v>
      </c>
      <c r="K40" s="420"/>
      <c r="L40" s="420"/>
      <c r="M40" s="420"/>
      <c r="N40" s="420"/>
      <c r="O40" s="420"/>
      <c r="P40" s="434">
        <f t="shared" si="0"/>
        <v>1</v>
      </c>
    </row>
    <row r="41" spans="1:16" ht="15" x14ac:dyDescent="0.25">
      <c r="A41" s="34"/>
      <c r="B41" s="435" t="s">
        <v>261</v>
      </c>
      <c r="C41" s="418"/>
      <c r="D41" s="255" t="s">
        <v>251</v>
      </c>
      <c r="E41" s="421"/>
      <c r="F41" s="300"/>
      <c r="G41" s="300"/>
      <c r="H41" s="420"/>
      <c r="I41" s="420"/>
      <c r="J41" s="420"/>
      <c r="K41" s="420"/>
      <c r="L41" s="420"/>
      <c r="M41" s="420"/>
      <c r="N41" s="420"/>
      <c r="O41" s="420"/>
      <c r="P41" s="434">
        <f t="shared" si="0"/>
        <v>0</v>
      </c>
    </row>
    <row r="42" spans="1:16" ht="15" x14ac:dyDescent="0.25">
      <c r="A42" s="34"/>
      <c r="B42" s="433"/>
      <c r="C42" s="596"/>
      <c r="D42" s="596"/>
      <c r="E42" s="270"/>
      <c r="F42" s="300"/>
      <c r="G42" s="300"/>
      <c r="H42" s="420"/>
      <c r="I42" s="420"/>
      <c r="J42" s="420"/>
      <c r="K42" s="420"/>
      <c r="L42" s="420"/>
      <c r="M42" s="420"/>
      <c r="N42" s="420"/>
      <c r="O42" s="420"/>
      <c r="P42" s="434">
        <f t="shared" si="0"/>
        <v>0</v>
      </c>
    </row>
    <row r="43" spans="1:16" x14ac:dyDescent="0.3">
      <c r="A43" s="34"/>
      <c r="B43" s="433"/>
      <c r="C43" s="596"/>
      <c r="D43" s="596"/>
      <c r="E43" s="270"/>
      <c r="F43" s="300"/>
      <c r="G43" s="300"/>
      <c r="H43" s="420"/>
      <c r="I43" s="420"/>
      <c r="J43" s="420"/>
      <c r="K43" s="420"/>
      <c r="L43" s="420"/>
      <c r="M43" s="420"/>
      <c r="N43" s="420"/>
      <c r="O43" s="420"/>
      <c r="P43" s="434">
        <f t="shared" si="0"/>
        <v>0</v>
      </c>
    </row>
    <row r="44" spans="1:16" x14ac:dyDescent="0.3">
      <c r="A44" s="34"/>
      <c r="B44" s="433"/>
      <c r="C44" s="596"/>
      <c r="D44" s="596"/>
      <c r="E44" s="270"/>
      <c r="F44" s="300"/>
      <c r="G44" s="300"/>
      <c r="H44" s="420"/>
      <c r="I44" s="420"/>
      <c r="J44" s="420"/>
      <c r="K44" s="420"/>
      <c r="L44" s="420"/>
      <c r="M44" s="420"/>
      <c r="N44" s="420"/>
      <c r="O44" s="420"/>
      <c r="P44" s="434">
        <f t="shared" si="0"/>
        <v>0</v>
      </c>
    </row>
    <row r="45" spans="1:16" ht="24" customHeight="1" x14ac:dyDescent="0.3">
      <c r="A45" s="50"/>
      <c r="B45" s="628" t="s">
        <v>156</v>
      </c>
      <c r="C45" s="629"/>
      <c r="D45" s="629"/>
      <c r="E45" s="629"/>
      <c r="F45" s="629"/>
      <c r="G45" s="629"/>
      <c r="H45" s="629"/>
      <c r="I45" s="629"/>
      <c r="J45" s="629"/>
      <c r="K45" s="629"/>
      <c r="L45" s="629"/>
      <c r="M45" s="629"/>
      <c r="N45" s="629"/>
      <c r="O45" s="629"/>
      <c r="P45" s="630"/>
    </row>
    <row r="46" spans="1:16" x14ac:dyDescent="0.3">
      <c r="A46" s="34"/>
      <c r="B46" s="433">
        <v>15</v>
      </c>
      <c r="C46" s="418" t="s">
        <v>157</v>
      </c>
      <c r="D46" s="255" t="s">
        <v>33</v>
      </c>
      <c r="E46" s="421"/>
      <c r="F46" s="300"/>
      <c r="G46" s="300"/>
      <c r="H46" s="430">
        <v>1</v>
      </c>
      <c r="I46" s="420"/>
      <c r="J46" s="420"/>
      <c r="K46" s="420"/>
      <c r="L46" s="420"/>
      <c r="M46" s="420"/>
      <c r="N46" s="420"/>
      <c r="O46" s="420"/>
      <c r="P46" s="434">
        <f t="shared" si="0"/>
        <v>1</v>
      </c>
    </row>
    <row r="47" spans="1:16" x14ac:dyDescent="0.3">
      <c r="A47" s="34"/>
      <c r="B47" s="435" t="s">
        <v>261</v>
      </c>
      <c r="C47" s="418"/>
      <c r="D47" s="255" t="s">
        <v>251</v>
      </c>
      <c r="E47" s="421"/>
      <c r="F47" s="300"/>
      <c r="G47" s="300"/>
      <c r="H47" s="430"/>
      <c r="I47" s="420"/>
      <c r="J47" s="420"/>
      <c r="K47" s="420"/>
      <c r="L47" s="420"/>
      <c r="M47" s="420"/>
      <c r="N47" s="420"/>
      <c r="O47" s="420"/>
      <c r="P47" s="434">
        <f t="shared" si="0"/>
        <v>0</v>
      </c>
    </row>
    <row r="48" spans="1:16" x14ac:dyDescent="0.3">
      <c r="A48" s="34"/>
      <c r="B48" s="433"/>
      <c r="C48" s="596"/>
      <c r="D48" s="596"/>
      <c r="E48" s="270"/>
      <c r="F48" s="300"/>
      <c r="G48" s="300"/>
      <c r="H48" s="430"/>
      <c r="I48" s="420"/>
      <c r="J48" s="420"/>
      <c r="K48" s="420"/>
      <c r="L48" s="420"/>
      <c r="M48" s="420"/>
      <c r="N48" s="420"/>
      <c r="O48" s="420"/>
      <c r="P48" s="434">
        <f t="shared" si="0"/>
        <v>0</v>
      </c>
    </row>
    <row r="49" spans="1:16" x14ac:dyDescent="0.3">
      <c r="A49" s="34"/>
      <c r="B49" s="433"/>
      <c r="C49" s="596"/>
      <c r="D49" s="596"/>
      <c r="E49" s="270"/>
      <c r="F49" s="300"/>
      <c r="G49" s="300"/>
      <c r="H49" s="430"/>
      <c r="I49" s="420"/>
      <c r="J49" s="420"/>
      <c r="K49" s="420"/>
      <c r="L49" s="420"/>
      <c r="M49" s="420"/>
      <c r="N49" s="420"/>
      <c r="O49" s="420"/>
      <c r="P49" s="434"/>
    </row>
    <row r="50" spans="1:16" x14ac:dyDescent="0.3">
      <c r="A50" s="34"/>
      <c r="B50" s="433"/>
      <c r="C50" s="596"/>
      <c r="D50" s="596"/>
      <c r="E50" s="270"/>
      <c r="F50" s="300"/>
      <c r="G50" s="300"/>
      <c r="H50" s="430"/>
      <c r="I50" s="420"/>
      <c r="J50" s="420"/>
      <c r="K50" s="420"/>
      <c r="L50" s="420"/>
      <c r="M50" s="420"/>
      <c r="N50" s="420"/>
      <c r="O50" s="420"/>
      <c r="P50" s="434">
        <f t="shared" si="0"/>
        <v>0</v>
      </c>
    </row>
    <row r="51" spans="1:16" ht="21" customHeight="1" x14ac:dyDescent="0.3">
      <c r="A51" s="48"/>
      <c r="B51" s="628" t="s">
        <v>158</v>
      </c>
      <c r="C51" s="629"/>
      <c r="D51" s="629"/>
      <c r="E51" s="629"/>
      <c r="F51" s="629"/>
      <c r="G51" s="629"/>
      <c r="H51" s="629"/>
      <c r="I51" s="629"/>
      <c r="J51" s="629"/>
      <c r="K51" s="629"/>
      <c r="L51" s="629"/>
      <c r="M51" s="629"/>
      <c r="N51" s="629"/>
      <c r="O51" s="629"/>
      <c r="P51" s="630"/>
    </row>
    <row r="52" spans="1:16" x14ac:dyDescent="0.3">
      <c r="A52" s="34"/>
      <c r="B52" s="433">
        <v>16</v>
      </c>
      <c r="C52" s="418" t="s">
        <v>159</v>
      </c>
      <c r="D52" s="255" t="s">
        <v>33</v>
      </c>
      <c r="E52" s="421"/>
      <c r="F52" s="300"/>
      <c r="G52" s="300"/>
      <c r="H52" s="420"/>
      <c r="I52" s="420"/>
      <c r="J52" s="420"/>
      <c r="K52" s="420"/>
      <c r="L52" s="420"/>
      <c r="M52" s="420"/>
      <c r="N52" s="420"/>
      <c r="O52" s="420"/>
      <c r="P52" s="434">
        <f t="shared" si="0"/>
        <v>0</v>
      </c>
    </row>
    <row r="53" spans="1:16" x14ac:dyDescent="0.3">
      <c r="A53" s="34"/>
      <c r="B53" s="433">
        <v>17</v>
      </c>
      <c r="C53" s="418" t="s">
        <v>160</v>
      </c>
      <c r="D53" s="255" t="s">
        <v>33</v>
      </c>
      <c r="E53" s="421"/>
      <c r="F53" s="300"/>
      <c r="G53" s="300"/>
      <c r="H53" s="420"/>
      <c r="I53" s="420"/>
      <c r="J53" s="420"/>
      <c r="K53" s="420"/>
      <c r="L53" s="420"/>
      <c r="M53" s="420"/>
      <c r="N53" s="420"/>
      <c r="O53" s="420"/>
      <c r="P53" s="434">
        <f t="shared" si="0"/>
        <v>0</v>
      </c>
    </row>
    <row r="54" spans="1:16" x14ac:dyDescent="0.3">
      <c r="A54" s="34"/>
      <c r="B54" s="433">
        <v>18</v>
      </c>
      <c r="C54" s="418" t="s">
        <v>161</v>
      </c>
      <c r="D54" s="255" t="s">
        <v>33</v>
      </c>
      <c r="E54" s="421"/>
      <c r="F54" s="300"/>
      <c r="G54" s="300"/>
      <c r="H54" s="420"/>
      <c r="I54" s="420"/>
      <c r="J54" s="420"/>
      <c r="K54" s="420"/>
      <c r="L54" s="420"/>
      <c r="M54" s="420"/>
      <c r="N54" s="420"/>
      <c r="O54" s="420"/>
      <c r="P54" s="434">
        <f t="shared" si="0"/>
        <v>0</v>
      </c>
    </row>
    <row r="55" spans="1:16" x14ac:dyDescent="0.3">
      <c r="A55" s="34"/>
      <c r="B55" s="433">
        <v>19</v>
      </c>
      <c r="C55" s="418" t="s">
        <v>162</v>
      </c>
      <c r="D55" s="255" t="s">
        <v>33</v>
      </c>
      <c r="E55" s="421"/>
      <c r="F55" s="300"/>
      <c r="G55" s="300"/>
      <c r="H55" s="420"/>
      <c r="I55" s="420"/>
      <c r="J55" s="420"/>
      <c r="K55" s="420"/>
      <c r="L55" s="420"/>
      <c r="M55" s="420"/>
      <c r="N55" s="420"/>
      <c r="O55" s="420"/>
      <c r="P55" s="434">
        <f t="shared" si="0"/>
        <v>0</v>
      </c>
    </row>
    <row r="56" spans="1:16" x14ac:dyDescent="0.3">
      <c r="A56" s="34"/>
      <c r="B56" s="435" t="s">
        <v>261</v>
      </c>
      <c r="C56" s="418"/>
      <c r="D56" s="255" t="s">
        <v>251</v>
      </c>
      <c r="E56" s="421"/>
      <c r="F56" s="300"/>
      <c r="G56" s="300"/>
      <c r="H56" s="420"/>
      <c r="I56" s="420"/>
      <c r="J56" s="420"/>
      <c r="K56" s="420"/>
      <c r="L56" s="420"/>
      <c r="M56" s="420"/>
      <c r="N56" s="420"/>
      <c r="O56" s="420"/>
      <c r="P56" s="434">
        <f t="shared" si="0"/>
        <v>0</v>
      </c>
    </row>
    <row r="57" spans="1:16" x14ac:dyDescent="0.3">
      <c r="A57" s="34"/>
      <c r="B57" s="435"/>
      <c r="C57" s="596"/>
      <c r="D57" s="596"/>
      <c r="E57" s="270"/>
      <c r="F57" s="300"/>
      <c r="G57" s="300"/>
      <c r="H57" s="420"/>
      <c r="I57" s="420"/>
      <c r="J57" s="420"/>
      <c r="K57" s="420"/>
      <c r="L57" s="420"/>
      <c r="M57" s="420"/>
      <c r="N57" s="420"/>
      <c r="O57" s="420"/>
      <c r="P57" s="434"/>
    </row>
    <row r="58" spans="1:16" x14ac:dyDescent="0.3">
      <c r="A58" s="34"/>
      <c r="B58" s="435"/>
      <c r="C58" s="596"/>
      <c r="D58" s="596"/>
      <c r="E58" s="270"/>
      <c r="F58" s="300"/>
      <c r="G58" s="300"/>
      <c r="H58" s="420"/>
      <c r="I58" s="420"/>
      <c r="J58" s="420"/>
      <c r="K58" s="420"/>
      <c r="L58" s="420"/>
      <c r="M58" s="420"/>
      <c r="N58" s="420"/>
      <c r="O58" s="420"/>
      <c r="P58" s="434"/>
    </row>
    <row r="59" spans="1:16" x14ac:dyDescent="0.3">
      <c r="A59" s="33"/>
      <c r="B59" s="436"/>
      <c r="C59" s="596"/>
      <c r="D59" s="596"/>
      <c r="E59" s="270"/>
      <c r="F59" s="300"/>
      <c r="G59" s="300"/>
      <c r="H59" s="424"/>
      <c r="I59" s="424"/>
      <c r="J59" s="424"/>
      <c r="K59" s="424"/>
      <c r="L59" s="424"/>
      <c r="M59" s="424"/>
      <c r="N59" s="424"/>
      <c r="O59" s="424"/>
      <c r="P59" s="434"/>
    </row>
    <row r="60" spans="1:16" ht="27" customHeight="1" x14ac:dyDescent="0.3">
      <c r="B60" s="615" t="s">
        <v>163</v>
      </c>
      <c r="C60" s="616"/>
      <c r="D60" s="616"/>
      <c r="E60" s="616"/>
      <c r="F60" s="616"/>
      <c r="G60" s="616"/>
      <c r="H60" s="616"/>
      <c r="I60" s="616"/>
      <c r="J60" s="616"/>
      <c r="K60" s="616"/>
      <c r="L60" s="616"/>
      <c r="M60" s="616"/>
      <c r="N60" s="616"/>
      <c r="O60" s="616"/>
      <c r="P60" s="617"/>
    </row>
    <row r="61" spans="1:16" ht="16.8" x14ac:dyDescent="0.3">
      <c r="B61" s="437"/>
      <c r="C61" s="418"/>
      <c r="D61" s="421"/>
      <c r="E61" s="421"/>
      <c r="F61" s="417"/>
      <c r="G61" s="417"/>
      <c r="H61" s="417"/>
      <c r="I61" s="417"/>
      <c r="J61" s="417"/>
      <c r="K61" s="417"/>
      <c r="L61" s="417"/>
      <c r="M61" s="417"/>
      <c r="N61" s="417"/>
      <c r="O61" s="417"/>
      <c r="P61" s="438"/>
    </row>
    <row r="62" spans="1:16" ht="25.5" customHeight="1" x14ac:dyDescent="0.3">
      <c r="A62" s="50"/>
      <c r="B62" s="631" t="s">
        <v>164</v>
      </c>
      <c r="C62" s="607"/>
      <c r="D62" s="607"/>
      <c r="E62" s="607"/>
      <c r="F62" s="607"/>
      <c r="G62" s="607"/>
      <c r="H62" s="607"/>
      <c r="I62" s="607"/>
      <c r="J62" s="607"/>
      <c r="K62" s="607"/>
      <c r="L62" s="607"/>
      <c r="M62" s="607"/>
      <c r="N62" s="607"/>
      <c r="O62" s="607"/>
      <c r="P62" s="632"/>
    </row>
    <row r="63" spans="1:16" x14ac:dyDescent="0.3">
      <c r="A63" s="34"/>
      <c r="B63" s="433">
        <v>21</v>
      </c>
      <c r="C63" s="418" t="s">
        <v>165</v>
      </c>
      <c r="D63" s="255" t="s">
        <v>33</v>
      </c>
      <c r="E63" s="421"/>
      <c r="F63" s="300"/>
      <c r="G63" s="300"/>
      <c r="H63" s="430">
        <v>1</v>
      </c>
      <c r="I63" s="420"/>
      <c r="J63" s="420"/>
      <c r="K63" s="420"/>
      <c r="L63" s="420"/>
      <c r="M63" s="420"/>
      <c r="N63" s="420"/>
      <c r="O63" s="420"/>
      <c r="P63" s="434">
        <f t="shared" si="0"/>
        <v>1</v>
      </c>
    </row>
    <row r="64" spans="1:16" x14ac:dyDescent="0.3">
      <c r="A64" s="34"/>
      <c r="B64" s="433">
        <v>22</v>
      </c>
      <c r="C64" s="418" t="s">
        <v>166</v>
      </c>
      <c r="D64" s="255" t="s">
        <v>33</v>
      </c>
      <c r="E64" s="421"/>
      <c r="F64" s="300"/>
      <c r="G64" s="300"/>
      <c r="H64" s="430">
        <v>1</v>
      </c>
      <c r="I64" s="420"/>
      <c r="J64" s="420"/>
      <c r="K64" s="420"/>
      <c r="L64" s="420"/>
      <c r="M64" s="420"/>
      <c r="N64" s="420"/>
      <c r="O64" s="420"/>
      <c r="P64" s="434">
        <f t="shared" si="0"/>
        <v>1</v>
      </c>
    </row>
    <row r="65" spans="1:16" x14ac:dyDescent="0.3">
      <c r="A65" s="34"/>
      <c r="B65" s="433">
        <v>23</v>
      </c>
      <c r="C65" s="418" t="s">
        <v>167</v>
      </c>
      <c r="D65" s="255" t="s">
        <v>33</v>
      </c>
      <c r="E65" s="421"/>
      <c r="F65" s="300"/>
      <c r="G65" s="300"/>
      <c r="H65" s="430">
        <v>1</v>
      </c>
      <c r="I65" s="420"/>
      <c r="J65" s="420"/>
      <c r="K65" s="420"/>
      <c r="L65" s="420"/>
      <c r="M65" s="420"/>
      <c r="N65" s="420"/>
      <c r="O65" s="420"/>
      <c r="P65" s="434">
        <f t="shared" si="0"/>
        <v>1</v>
      </c>
    </row>
    <row r="66" spans="1:16" x14ac:dyDescent="0.3">
      <c r="A66" s="34"/>
      <c r="B66" s="433">
        <v>24</v>
      </c>
      <c r="C66" s="418" t="s">
        <v>168</v>
      </c>
      <c r="D66" s="255" t="s">
        <v>33</v>
      </c>
      <c r="E66" s="421"/>
      <c r="F66" s="300"/>
      <c r="G66" s="300"/>
      <c r="H66" s="430">
        <v>1</v>
      </c>
      <c r="I66" s="420"/>
      <c r="J66" s="420"/>
      <c r="K66" s="420"/>
      <c r="L66" s="420"/>
      <c r="M66" s="420"/>
      <c r="N66" s="420"/>
      <c r="O66" s="420"/>
      <c r="P66" s="434">
        <f t="shared" si="0"/>
        <v>1</v>
      </c>
    </row>
    <row r="67" spans="1:16" x14ac:dyDescent="0.3">
      <c r="A67" s="34"/>
      <c r="B67" s="435" t="s">
        <v>261</v>
      </c>
      <c r="C67" s="418"/>
      <c r="D67" s="255" t="s">
        <v>251</v>
      </c>
      <c r="E67" s="421"/>
      <c r="F67" s="300"/>
      <c r="G67" s="300"/>
      <c r="H67" s="430"/>
      <c r="I67" s="420"/>
      <c r="J67" s="420"/>
      <c r="K67" s="420"/>
      <c r="L67" s="420"/>
      <c r="M67" s="420"/>
      <c r="N67" s="420"/>
      <c r="O67" s="420"/>
      <c r="P67" s="434"/>
    </row>
    <row r="68" spans="1:16" x14ac:dyDescent="0.3">
      <c r="A68" s="34"/>
      <c r="B68" s="433"/>
      <c r="C68" s="596"/>
      <c r="D68" s="596"/>
      <c r="E68" s="270"/>
      <c r="F68" s="300"/>
      <c r="G68" s="300"/>
      <c r="H68" s="430"/>
      <c r="I68" s="420"/>
      <c r="J68" s="420"/>
      <c r="K68" s="420"/>
      <c r="L68" s="420"/>
      <c r="M68" s="420"/>
      <c r="N68" s="420"/>
      <c r="O68" s="420"/>
      <c r="P68" s="434"/>
    </row>
    <row r="69" spans="1:16" x14ac:dyDescent="0.3">
      <c r="A69" s="34"/>
      <c r="B69" s="433"/>
      <c r="C69" s="596"/>
      <c r="D69" s="596"/>
      <c r="E69" s="270"/>
      <c r="F69" s="300"/>
      <c r="G69" s="300"/>
      <c r="H69" s="430"/>
      <c r="I69" s="420"/>
      <c r="J69" s="420"/>
      <c r="K69" s="420"/>
      <c r="L69" s="420"/>
      <c r="M69" s="420"/>
      <c r="N69" s="420"/>
      <c r="O69" s="420"/>
      <c r="P69" s="434"/>
    </row>
    <row r="70" spans="1:16" x14ac:dyDescent="0.3">
      <c r="A70" s="34"/>
      <c r="B70" s="433"/>
      <c r="C70" s="596"/>
      <c r="D70" s="596"/>
      <c r="E70" s="270"/>
      <c r="F70" s="300"/>
      <c r="G70" s="300"/>
      <c r="H70" s="420"/>
      <c r="I70" s="420"/>
      <c r="J70" s="420"/>
      <c r="K70" s="420"/>
      <c r="L70" s="420"/>
      <c r="M70" s="420"/>
      <c r="N70" s="420"/>
      <c r="O70" s="420"/>
      <c r="P70" s="434">
        <f t="shared" si="0"/>
        <v>0</v>
      </c>
    </row>
    <row r="71" spans="1:16" ht="28.5" customHeight="1" x14ac:dyDescent="0.3">
      <c r="A71" s="50"/>
      <c r="B71" s="631" t="s">
        <v>169</v>
      </c>
      <c r="C71" s="607"/>
      <c r="D71" s="607"/>
      <c r="E71" s="607"/>
      <c r="F71" s="607"/>
      <c r="G71" s="607"/>
      <c r="H71" s="607"/>
      <c r="I71" s="607"/>
      <c r="J71" s="607"/>
      <c r="K71" s="607"/>
      <c r="L71" s="607"/>
      <c r="M71" s="607"/>
      <c r="N71" s="607"/>
      <c r="O71" s="607"/>
      <c r="P71" s="632"/>
    </row>
    <row r="72" spans="1:16" x14ac:dyDescent="0.3">
      <c r="A72" s="34"/>
      <c r="B72" s="433">
        <v>25</v>
      </c>
      <c r="C72" s="418" t="s">
        <v>170</v>
      </c>
      <c r="D72" s="255" t="s">
        <v>33</v>
      </c>
      <c r="E72" s="421"/>
      <c r="F72" s="300"/>
      <c r="G72" s="300"/>
      <c r="H72" s="420"/>
      <c r="I72" s="430">
        <v>1</v>
      </c>
      <c r="J72" s="420"/>
      <c r="K72" s="420"/>
      <c r="L72" s="420"/>
      <c r="M72" s="420"/>
      <c r="N72" s="420"/>
      <c r="O72" s="420"/>
      <c r="P72" s="434">
        <f t="shared" si="0"/>
        <v>1</v>
      </c>
    </row>
    <row r="73" spans="1:16" x14ac:dyDescent="0.3">
      <c r="A73" s="34"/>
      <c r="B73" s="433">
        <v>26</v>
      </c>
      <c r="C73" s="418" t="s">
        <v>171</v>
      </c>
      <c r="D73" s="255" t="s">
        <v>33</v>
      </c>
      <c r="E73" s="421"/>
      <c r="F73" s="300"/>
      <c r="G73" s="300"/>
      <c r="H73" s="420"/>
      <c r="I73" s="430">
        <v>1</v>
      </c>
      <c r="J73" s="420"/>
      <c r="K73" s="420"/>
      <c r="L73" s="420"/>
      <c r="M73" s="420"/>
      <c r="N73" s="420"/>
      <c r="O73" s="420"/>
      <c r="P73" s="434">
        <f t="shared" si="0"/>
        <v>1</v>
      </c>
    </row>
    <row r="74" spans="1:16" ht="27.6" x14ac:dyDescent="0.3">
      <c r="A74" s="34"/>
      <c r="B74" s="433">
        <v>27</v>
      </c>
      <c r="C74" s="418" t="s">
        <v>172</v>
      </c>
      <c r="D74" s="255" t="s">
        <v>33</v>
      </c>
      <c r="E74" s="421"/>
      <c r="F74" s="300"/>
      <c r="G74" s="300"/>
      <c r="H74" s="420"/>
      <c r="I74" s="430">
        <v>0.8</v>
      </c>
      <c r="J74" s="430">
        <v>0.2</v>
      </c>
      <c r="K74" s="420"/>
      <c r="L74" s="420"/>
      <c r="M74" s="420"/>
      <c r="N74" s="420"/>
      <c r="O74" s="420"/>
      <c r="P74" s="434">
        <f t="shared" si="0"/>
        <v>1</v>
      </c>
    </row>
    <row r="75" spans="1:16" ht="27.6" x14ac:dyDescent="0.3">
      <c r="A75" s="34"/>
      <c r="B75" s="433">
        <v>28</v>
      </c>
      <c r="C75" s="418" t="s">
        <v>173</v>
      </c>
      <c r="D75" s="255" t="s">
        <v>33</v>
      </c>
      <c r="E75" s="421"/>
      <c r="F75" s="300"/>
      <c r="G75" s="300"/>
      <c r="H75" s="420"/>
      <c r="I75" s="420"/>
      <c r="J75" s="420"/>
      <c r="K75" s="420"/>
      <c r="L75" s="420"/>
      <c r="M75" s="420"/>
      <c r="N75" s="420"/>
      <c r="O75" s="420"/>
      <c r="P75" s="434">
        <f t="shared" si="0"/>
        <v>0</v>
      </c>
    </row>
    <row r="76" spans="1:16" ht="27.6" x14ac:dyDescent="0.3">
      <c r="A76" s="34"/>
      <c r="B76" s="433">
        <v>29</v>
      </c>
      <c r="C76" s="418" t="s">
        <v>174</v>
      </c>
      <c r="D76" s="255" t="s">
        <v>33</v>
      </c>
      <c r="E76" s="421"/>
      <c r="F76" s="300"/>
      <c r="G76" s="300"/>
      <c r="H76" s="420"/>
      <c r="I76" s="420"/>
      <c r="J76" s="420"/>
      <c r="K76" s="420"/>
      <c r="L76" s="420"/>
      <c r="M76" s="420"/>
      <c r="N76" s="420"/>
      <c r="O76" s="420"/>
      <c r="P76" s="434">
        <f t="shared" si="0"/>
        <v>0</v>
      </c>
    </row>
    <row r="77" spans="1:16" ht="27.6" x14ac:dyDescent="0.3">
      <c r="A77" s="34"/>
      <c r="B77" s="433">
        <v>30</v>
      </c>
      <c r="C77" s="418" t="s">
        <v>175</v>
      </c>
      <c r="D77" s="255" t="s">
        <v>33</v>
      </c>
      <c r="E77" s="421"/>
      <c r="F77" s="300"/>
      <c r="G77" s="300"/>
      <c r="H77" s="420"/>
      <c r="I77" s="420"/>
      <c r="J77" s="420"/>
      <c r="K77" s="420"/>
      <c r="L77" s="420"/>
      <c r="M77" s="420"/>
      <c r="N77" s="420"/>
      <c r="O77" s="420"/>
      <c r="P77" s="434">
        <f t="shared" si="0"/>
        <v>0</v>
      </c>
    </row>
    <row r="78" spans="1:16" ht="27.6" x14ac:dyDescent="0.3">
      <c r="A78" s="34"/>
      <c r="B78" s="433">
        <v>31</v>
      </c>
      <c r="C78" s="418" t="s">
        <v>176</v>
      </c>
      <c r="D78" s="255" t="s">
        <v>33</v>
      </c>
      <c r="E78" s="421"/>
      <c r="F78" s="300"/>
      <c r="G78" s="300"/>
      <c r="H78" s="420"/>
      <c r="I78" s="420"/>
      <c r="J78" s="420"/>
      <c r="K78" s="420"/>
      <c r="L78" s="420"/>
      <c r="M78" s="420"/>
      <c r="N78" s="420"/>
      <c r="O78" s="420"/>
      <c r="P78" s="434">
        <f t="shared" si="0"/>
        <v>0</v>
      </c>
    </row>
    <row r="79" spans="1:16" x14ac:dyDescent="0.3">
      <c r="A79" s="34"/>
      <c r="B79" s="433">
        <v>32</v>
      </c>
      <c r="C79" s="418" t="s">
        <v>177</v>
      </c>
      <c r="D79" s="255" t="s">
        <v>33</v>
      </c>
      <c r="E79" s="421"/>
      <c r="F79" s="300"/>
      <c r="G79" s="300"/>
      <c r="H79" s="420"/>
      <c r="I79" s="420"/>
      <c r="J79" s="420"/>
      <c r="K79" s="420"/>
      <c r="L79" s="420"/>
      <c r="M79" s="420"/>
      <c r="N79" s="420"/>
      <c r="O79" s="420"/>
      <c r="P79" s="434">
        <f t="shared" si="0"/>
        <v>0</v>
      </c>
    </row>
    <row r="80" spans="1:16" x14ac:dyDescent="0.3">
      <c r="A80" s="34"/>
      <c r="B80" s="435" t="s">
        <v>261</v>
      </c>
      <c r="C80" s="418"/>
      <c r="D80" s="255" t="s">
        <v>251</v>
      </c>
      <c r="E80" s="421"/>
      <c r="F80" s="300"/>
      <c r="G80" s="300"/>
      <c r="H80" s="420"/>
      <c r="I80" s="420"/>
      <c r="J80" s="420"/>
      <c r="K80" s="420"/>
      <c r="L80" s="420"/>
      <c r="M80" s="420"/>
      <c r="N80" s="420"/>
      <c r="O80" s="420"/>
      <c r="P80" s="434"/>
    </row>
    <row r="81" spans="1:16" x14ac:dyDescent="0.3">
      <c r="A81" s="34"/>
      <c r="B81" s="433"/>
      <c r="C81" s="596"/>
      <c r="D81" s="596"/>
      <c r="E81" s="270"/>
      <c r="F81" s="300"/>
      <c r="G81" s="300"/>
      <c r="H81" s="420"/>
      <c r="I81" s="420"/>
      <c r="J81" s="420"/>
      <c r="K81" s="420"/>
      <c r="L81" s="420"/>
      <c r="M81" s="420"/>
      <c r="N81" s="420"/>
      <c r="O81" s="420"/>
      <c r="P81" s="434"/>
    </row>
    <row r="82" spans="1:16" x14ac:dyDescent="0.3">
      <c r="A82" s="34"/>
      <c r="B82" s="433"/>
      <c r="C82" s="596"/>
      <c r="D82" s="596"/>
      <c r="E82" s="270"/>
      <c r="F82" s="300"/>
      <c r="G82" s="300"/>
      <c r="H82" s="420"/>
      <c r="I82" s="420"/>
      <c r="J82" s="420"/>
      <c r="K82" s="420"/>
      <c r="L82" s="420"/>
      <c r="M82" s="420"/>
      <c r="N82" s="420"/>
      <c r="O82" s="420"/>
      <c r="P82" s="434"/>
    </row>
    <row r="83" spans="1:16" x14ac:dyDescent="0.3">
      <c r="A83" s="34"/>
      <c r="B83" s="433"/>
      <c r="C83" s="596"/>
      <c r="D83" s="596"/>
      <c r="E83" s="270"/>
      <c r="F83" s="300"/>
      <c r="G83" s="300"/>
      <c r="H83" s="420"/>
      <c r="I83" s="420"/>
      <c r="J83" s="420"/>
      <c r="K83" s="420"/>
      <c r="L83" s="420"/>
      <c r="M83" s="420"/>
      <c r="N83" s="420"/>
      <c r="O83" s="420"/>
      <c r="P83" s="434">
        <f t="shared" ref="P83:P106" si="1">SUM(H83:O83)</f>
        <v>0</v>
      </c>
    </row>
    <row r="84" spans="1:16" ht="25.5" customHeight="1" x14ac:dyDescent="0.3">
      <c r="A84" s="50"/>
      <c r="B84" s="631" t="s">
        <v>178</v>
      </c>
      <c r="C84" s="607"/>
      <c r="D84" s="607"/>
      <c r="E84" s="607"/>
      <c r="F84" s="607"/>
      <c r="G84" s="607"/>
      <c r="H84" s="607"/>
      <c r="I84" s="607"/>
      <c r="J84" s="607"/>
      <c r="K84" s="607"/>
      <c r="L84" s="607"/>
      <c r="M84" s="607"/>
      <c r="N84" s="607"/>
      <c r="O84" s="607"/>
      <c r="P84" s="632"/>
    </row>
    <row r="85" spans="1:16" x14ac:dyDescent="0.3">
      <c r="A85" s="34"/>
      <c r="B85" s="433">
        <v>33</v>
      </c>
      <c r="C85" s="418" t="s">
        <v>179</v>
      </c>
      <c r="D85" s="255" t="s">
        <v>33</v>
      </c>
      <c r="E85" s="421"/>
      <c r="F85" s="300"/>
      <c r="G85" s="300"/>
      <c r="H85" s="426"/>
      <c r="I85" s="426"/>
      <c r="J85" s="426"/>
      <c r="K85" s="426"/>
      <c r="L85" s="426"/>
      <c r="M85" s="426"/>
      <c r="N85" s="426"/>
      <c r="O85" s="426"/>
      <c r="P85" s="434">
        <f t="shared" si="1"/>
        <v>0</v>
      </c>
    </row>
    <row r="86" spans="1:16" x14ac:dyDescent="0.3">
      <c r="A86" s="34"/>
      <c r="B86" s="433">
        <v>34</v>
      </c>
      <c r="C86" s="418" t="s">
        <v>180</v>
      </c>
      <c r="D86" s="255" t="s">
        <v>33</v>
      </c>
      <c r="E86" s="421"/>
      <c r="F86" s="300"/>
      <c r="G86" s="300"/>
      <c r="H86" s="426"/>
      <c r="I86" s="426"/>
      <c r="J86" s="426"/>
      <c r="K86" s="426"/>
      <c r="L86" s="426"/>
      <c r="M86" s="426"/>
      <c r="N86" s="426"/>
      <c r="O86" s="426"/>
      <c r="P86" s="434">
        <f t="shared" si="1"/>
        <v>0</v>
      </c>
    </row>
    <row r="87" spans="1:16" x14ac:dyDescent="0.3">
      <c r="A87" s="34"/>
      <c r="B87" s="433">
        <v>35</v>
      </c>
      <c r="C87" s="418" t="s">
        <v>181</v>
      </c>
      <c r="D87" s="255" t="s">
        <v>33</v>
      </c>
      <c r="E87" s="421"/>
      <c r="F87" s="300"/>
      <c r="G87" s="300"/>
      <c r="H87" s="426"/>
      <c r="I87" s="426"/>
      <c r="J87" s="426"/>
      <c r="K87" s="426"/>
      <c r="L87" s="426"/>
      <c r="M87" s="426"/>
      <c r="N87" s="426"/>
      <c r="O87" s="426"/>
      <c r="P87" s="434">
        <f t="shared" si="1"/>
        <v>0</v>
      </c>
    </row>
    <row r="88" spans="1:16" x14ac:dyDescent="0.3">
      <c r="A88" s="34"/>
      <c r="B88" s="435" t="s">
        <v>261</v>
      </c>
      <c r="C88" s="418"/>
      <c r="D88" s="255" t="s">
        <v>251</v>
      </c>
      <c r="E88" s="421"/>
      <c r="F88" s="300"/>
      <c r="G88" s="300"/>
      <c r="H88" s="426"/>
      <c r="I88" s="426"/>
      <c r="J88" s="426"/>
      <c r="K88" s="426"/>
      <c r="L88" s="426"/>
      <c r="M88" s="426"/>
      <c r="N88" s="426"/>
      <c r="O88" s="426"/>
      <c r="P88" s="434"/>
    </row>
    <row r="89" spans="1:16" x14ac:dyDescent="0.3">
      <c r="A89" s="34"/>
      <c r="B89" s="433"/>
      <c r="C89" s="596"/>
      <c r="D89" s="596"/>
      <c r="E89" s="270"/>
      <c r="F89" s="300"/>
      <c r="G89" s="300"/>
      <c r="H89" s="426"/>
      <c r="I89" s="426"/>
      <c r="J89" s="426"/>
      <c r="K89" s="426"/>
      <c r="L89" s="426"/>
      <c r="M89" s="426"/>
      <c r="N89" s="426"/>
      <c r="O89" s="426"/>
      <c r="P89" s="434"/>
    </row>
    <row r="90" spans="1:16" x14ac:dyDescent="0.3">
      <c r="A90" s="34"/>
      <c r="B90" s="433"/>
      <c r="C90" s="596"/>
      <c r="D90" s="596"/>
      <c r="E90" s="270"/>
      <c r="F90" s="300"/>
      <c r="G90" s="300"/>
      <c r="H90" s="426"/>
      <c r="I90" s="426"/>
      <c r="J90" s="426"/>
      <c r="K90" s="426"/>
      <c r="L90" s="426"/>
      <c r="M90" s="426"/>
      <c r="N90" s="426"/>
      <c r="O90" s="426"/>
      <c r="P90" s="434"/>
    </row>
    <row r="91" spans="1:16" x14ac:dyDescent="0.3">
      <c r="A91" s="34"/>
      <c r="B91" s="433"/>
      <c r="C91" s="596"/>
      <c r="D91" s="596"/>
      <c r="E91" s="270"/>
      <c r="F91" s="300"/>
      <c r="G91" s="300"/>
      <c r="H91" s="426"/>
      <c r="I91" s="426"/>
      <c r="J91" s="426"/>
      <c r="K91" s="426"/>
      <c r="L91" s="426"/>
      <c r="M91" s="426"/>
      <c r="N91" s="426"/>
      <c r="O91" s="426"/>
      <c r="P91" s="434">
        <f t="shared" si="1"/>
        <v>0</v>
      </c>
    </row>
    <row r="92" spans="1:16" ht="24" customHeight="1" x14ac:dyDescent="0.3">
      <c r="A92" s="50"/>
      <c r="B92" s="631" t="s">
        <v>182</v>
      </c>
      <c r="C92" s="607"/>
      <c r="D92" s="607"/>
      <c r="E92" s="607"/>
      <c r="F92" s="607"/>
      <c r="G92" s="607"/>
      <c r="H92" s="607"/>
      <c r="I92" s="607"/>
      <c r="J92" s="607"/>
      <c r="K92" s="607"/>
      <c r="L92" s="607"/>
      <c r="M92" s="607"/>
      <c r="N92" s="607"/>
      <c r="O92" s="607"/>
      <c r="P92" s="632"/>
    </row>
    <row r="93" spans="1:16" ht="41.4" x14ac:dyDescent="0.3">
      <c r="A93" s="34"/>
      <c r="B93" s="433">
        <v>36</v>
      </c>
      <c r="C93" s="418" t="s">
        <v>183</v>
      </c>
      <c r="D93" s="255" t="s">
        <v>33</v>
      </c>
      <c r="E93" s="421"/>
      <c r="F93" s="300"/>
      <c r="G93" s="300"/>
      <c r="H93" s="426"/>
      <c r="I93" s="426"/>
      <c r="J93" s="426"/>
      <c r="K93" s="426"/>
      <c r="L93" s="426"/>
      <c r="M93" s="426"/>
      <c r="N93" s="426"/>
      <c r="O93" s="426"/>
      <c r="P93" s="434">
        <f t="shared" si="1"/>
        <v>0</v>
      </c>
    </row>
    <row r="94" spans="1:16" x14ac:dyDescent="0.3">
      <c r="A94" s="34"/>
      <c r="B94" s="433">
        <v>37</v>
      </c>
      <c r="C94" s="418" t="s">
        <v>184</v>
      </c>
      <c r="D94" s="255" t="s">
        <v>33</v>
      </c>
      <c r="E94" s="421"/>
      <c r="F94" s="300"/>
      <c r="G94" s="300"/>
      <c r="H94" s="426"/>
      <c r="I94" s="426"/>
      <c r="J94" s="426"/>
      <c r="K94" s="426"/>
      <c r="L94" s="426"/>
      <c r="M94" s="426"/>
      <c r="N94" s="426"/>
      <c r="O94" s="426"/>
      <c r="P94" s="434">
        <f t="shared" si="1"/>
        <v>0</v>
      </c>
    </row>
    <row r="95" spans="1:16" x14ac:dyDescent="0.3">
      <c r="A95" s="34"/>
      <c r="B95" s="433">
        <v>38</v>
      </c>
      <c r="C95" s="418" t="s">
        <v>185</v>
      </c>
      <c r="D95" s="255" t="s">
        <v>33</v>
      </c>
      <c r="E95" s="421"/>
      <c r="F95" s="300"/>
      <c r="G95" s="300"/>
      <c r="H95" s="426"/>
      <c r="I95" s="426"/>
      <c r="J95" s="426"/>
      <c r="K95" s="426"/>
      <c r="L95" s="426"/>
      <c r="M95" s="426"/>
      <c r="N95" s="426"/>
      <c r="O95" s="426"/>
      <c r="P95" s="434">
        <f t="shared" si="1"/>
        <v>0</v>
      </c>
    </row>
    <row r="96" spans="1:16" ht="27.6" x14ac:dyDescent="0.3">
      <c r="A96" s="34"/>
      <c r="B96" s="433">
        <v>39</v>
      </c>
      <c r="C96" s="418" t="s">
        <v>186</v>
      </c>
      <c r="D96" s="255" t="s">
        <v>33</v>
      </c>
      <c r="E96" s="421"/>
      <c r="F96" s="300"/>
      <c r="G96" s="300"/>
      <c r="H96" s="426"/>
      <c r="I96" s="426"/>
      <c r="J96" s="426"/>
      <c r="K96" s="426"/>
      <c r="L96" s="426"/>
      <c r="M96" s="426"/>
      <c r="N96" s="426"/>
      <c r="O96" s="426"/>
      <c r="P96" s="434">
        <f t="shared" si="1"/>
        <v>0</v>
      </c>
    </row>
    <row r="97" spans="1:16" ht="27.6" x14ac:dyDescent="0.3">
      <c r="A97" s="34"/>
      <c r="B97" s="433">
        <v>40</v>
      </c>
      <c r="C97" s="418" t="s">
        <v>187</v>
      </c>
      <c r="D97" s="255" t="s">
        <v>33</v>
      </c>
      <c r="E97" s="421"/>
      <c r="F97" s="300"/>
      <c r="G97" s="300"/>
      <c r="H97" s="426"/>
      <c r="I97" s="426"/>
      <c r="J97" s="426"/>
      <c r="K97" s="426"/>
      <c r="L97" s="426"/>
      <c r="M97" s="426"/>
      <c r="N97" s="426"/>
      <c r="O97" s="426"/>
      <c r="P97" s="434">
        <f t="shared" si="1"/>
        <v>0</v>
      </c>
    </row>
    <row r="98" spans="1:16" ht="27.6" x14ac:dyDescent="0.3">
      <c r="A98" s="34"/>
      <c r="B98" s="433">
        <v>41</v>
      </c>
      <c r="C98" s="418" t="s">
        <v>188</v>
      </c>
      <c r="D98" s="255" t="s">
        <v>33</v>
      </c>
      <c r="E98" s="421"/>
      <c r="F98" s="300"/>
      <c r="G98" s="300"/>
      <c r="H98" s="426"/>
      <c r="I98" s="426"/>
      <c r="J98" s="426"/>
      <c r="K98" s="426"/>
      <c r="L98" s="426"/>
      <c r="M98" s="426"/>
      <c r="N98" s="426"/>
      <c r="O98" s="426"/>
      <c r="P98" s="434">
        <f t="shared" si="1"/>
        <v>0</v>
      </c>
    </row>
    <row r="99" spans="1:16" ht="27.6" x14ac:dyDescent="0.3">
      <c r="A99" s="34"/>
      <c r="B99" s="433">
        <v>42</v>
      </c>
      <c r="C99" s="418" t="s">
        <v>189</v>
      </c>
      <c r="D99" s="255" t="s">
        <v>33</v>
      </c>
      <c r="E99" s="421"/>
      <c r="F99" s="300"/>
      <c r="G99" s="300"/>
      <c r="H99" s="426"/>
      <c r="I99" s="426"/>
      <c r="J99" s="426"/>
      <c r="K99" s="426"/>
      <c r="L99" s="426"/>
      <c r="M99" s="426"/>
      <c r="N99" s="426"/>
      <c r="O99" s="426"/>
      <c r="P99" s="434">
        <f t="shared" si="1"/>
        <v>0</v>
      </c>
    </row>
    <row r="100" spans="1:16" x14ac:dyDescent="0.3">
      <c r="A100" s="34"/>
      <c r="B100" s="433">
        <v>43</v>
      </c>
      <c r="C100" s="418" t="s">
        <v>190</v>
      </c>
      <c r="D100" s="255" t="s">
        <v>33</v>
      </c>
      <c r="E100" s="421"/>
      <c r="F100" s="300"/>
      <c r="G100" s="300"/>
      <c r="H100" s="426"/>
      <c r="I100" s="426"/>
      <c r="J100" s="426"/>
      <c r="K100" s="426"/>
      <c r="L100" s="426"/>
      <c r="M100" s="426"/>
      <c r="N100" s="426"/>
      <c r="O100" s="426"/>
      <c r="P100" s="434">
        <f t="shared" si="1"/>
        <v>0</v>
      </c>
    </row>
    <row r="101" spans="1:16" ht="41.4" x14ac:dyDescent="0.3">
      <c r="A101" s="34"/>
      <c r="B101" s="433">
        <v>44</v>
      </c>
      <c r="C101" s="418" t="s">
        <v>191</v>
      </c>
      <c r="D101" s="255" t="s">
        <v>33</v>
      </c>
      <c r="E101" s="421"/>
      <c r="F101" s="300"/>
      <c r="G101" s="300"/>
      <c r="H101" s="426"/>
      <c r="I101" s="426"/>
      <c r="J101" s="426"/>
      <c r="K101" s="426"/>
      <c r="L101" s="426"/>
      <c r="M101" s="426"/>
      <c r="N101" s="426"/>
      <c r="O101" s="426"/>
      <c r="P101" s="434">
        <f t="shared" si="1"/>
        <v>0</v>
      </c>
    </row>
    <row r="102" spans="1:16" ht="27.6" x14ac:dyDescent="0.3">
      <c r="A102" s="34"/>
      <c r="B102" s="433">
        <v>45</v>
      </c>
      <c r="C102" s="418" t="s">
        <v>192</v>
      </c>
      <c r="D102" s="255" t="s">
        <v>33</v>
      </c>
      <c r="E102" s="421"/>
      <c r="F102" s="300"/>
      <c r="G102" s="300"/>
      <c r="H102" s="426"/>
      <c r="I102" s="426"/>
      <c r="J102" s="426"/>
      <c r="K102" s="426"/>
      <c r="L102" s="426"/>
      <c r="M102" s="426"/>
      <c r="N102" s="426"/>
      <c r="O102" s="426"/>
      <c r="P102" s="434">
        <f t="shared" si="1"/>
        <v>0</v>
      </c>
    </row>
    <row r="103" spans="1:16" ht="27.6" x14ac:dyDescent="0.3">
      <c r="A103" s="34"/>
      <c r="B103" s="433">
        <v>46</v>
      </c>
      <c r="C103" s="418" t="s">
        <v>193</v>
      </c>
      <c r="D103" s="255" t="s">
        <v>33</v>
      </c>
      <c r="E103" s="421"/>
      <c r="F103" s="300"/>
      <c r="G103" s="300"/>
      <c r="H103" s="426"/>
      <c r="I103" s="426"/>
      <c r="J103" s="426"/>
      <c r="K103" s="426"/>
      <c r="L103" s="426"/>
      <c r="M103" s="426"/>
      <c r="N103" s="426"/>
      <c r="O103" s="426"/>
      <c r="P103" s="434">
        <f t="shared" si="1"/>
        <v>0</v>
      </c>
    </row>
    <row r="104" spans="1:16" ht="27.6" x14ac:dyDescent="0.3">
      <c r="A104" s="34"/>
      <c r="B104" s="433">
        <v>47</v>
      </c>
      <c r="C104" s="418" t="s">
        <v>194</v>
      </c>
      <c r="D104" s="255" t="s">
        <v>33</v>
      </c>
      <c r="E104" s="421"/>
      <c r="F104" s="300"/>
      <c r="G104" s="300"/>
      <c r="H104" s="426"/>
      <c r="I104" s="426"/>
      <c r="J104" s="426"/>
      <c r="K104" s="426"/>
      <c r="L104" s="426"/>
      <c r="M104" s="426"/>
      <c r="N104" s="426"/>
      <c r="O104" s="426"/>
      <c r="P104" s="434">
        <f t="shared" si="1"/>
        <v>0</v>
      </c>
    </row>
    <row r="105" spans="1:16" ht="27.6" x14ac:dyDescent="0.3">
      <c r="A105" s="34"/>
      <c r="B105" s="433">
        <v>48</v>
      </c>
      <c r="C105" s="418" t="s">
        <v>195</v>
      </c>
      <c r="D105" s="255" t="s">
        <v>33</v>
      </c>
      <c r="E105" s="421"/>
      <c r="F105" s="300"/>
      <c r="G105" s="300"/>
      <c r="H105" s="426"/>
      <c r="I105" s="426"/>
      <c r="J105" s="426"/>
      <c r="K105" s="426"/>
      <c r="L105" s="426"/>
      <c r="M105" s="426"/>
      <c r="N105" s="426"/>
      <c r="O105" s="426"/>
      <c r="P105" s="434">
        <f t="shared" si="1"/>
        <v>0</v>
      </c>
    </row>
    <row r="106" spans="1:16" ht="27.6" x14ac:dyDescent="0.3">
      <c r="A106" s="34"/>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
      <c r="A107" s="34"/>
      <c r="B107" s="435" t="s">
        <v>261</v>
      </c>
      <c r="C107" s="418"/>
      <c r="D107" s="255" t="s">
        <v>251</v>
      </c>
      <c r="E107" s="421"/>
      <c r="F107" s="300"/>
      <c r="G107" s="300"/>
      <c r="H107" s="426"/>
      <c r="I107" s="426"/>
      <c r="J107" s="426"/>
      <c r="K107" s="426"/>
      <c r="L107" s="426"/>
      <c r="M107" s="426"/>
      <c r="N107" s="426"/>
      <c r="O107" s="426"/>
      <c r="P107" s="434"/>
    </row>
    <row r="108" spans="1:16" x14ac:dyDescent="0.3">
      <c r="A108" s="34"/>
      <c r="B108" s="433"/>
      <c r="C108" s="596"/>
      <c r="D108" s="596"/>
      <c r="E108" s="270"/>
      <c r="F108" s="300"/>
      <c r="G108" s="300"/>
      <c r="H108" s="426"/>
      <c r="I108" s="426"/>
      <c r="J108" s="426"/>
      <c r="K108" s="426"/>
      <c r="L108" s="426"/>
      <c r="M108" s="426"/>
      <c r="N108" s="426"/>
      <c r="O108" s="426"/>
      <c r="P108" s="434"/>
    </row>
    <row r="109" spans="1:16" x14ac:dyDescent="0.3">
      <c r="A109" s="34"/>
      <c r="B109" s="433"/>
      <c r="C109" s="596"/>
      <c r="D109" s="596"/>
      <c r="E109" s="270"/>
      <c r="F109" s="300"/>
      <c r="G109" s="300"/>
      <c r="H109" s="426"/>
      <c r="I109" s="426"/>
      <c r="J109" s="426"/>
      <c r="K109" s="426"/>
      <c r="L109" s="426"/>
      <c r="M109" s="426"/>
      <c r="N109" s="426"/>
      <c r="O109" s="426"/>
      <c r="P109" s="434"/>
    </row>
    <row r="110" spans="1:16" x14ac:dyDescent="0.3">
      <c r="A110" s="34"/>
      <c r="B110" s="433"/>
      <c r="C110" s="596"/>
      <c r="D110" s="596"/>
      <c r="E110" s="270"/>
      <c r="F110" s="300"/>
      <c r="G110" s="300"/>
      <c r="H110" s="426"/>
      <c r="I110" s="426"/>
      <c r="J110" s="426"/>
      <c r="K110" s="426"/>
      <c r="L110" s="426"/>
      <c r="M110" s="426"/>
      <c r="N110" s="426"/>
      <c r="O110" s="426"/>
      <c r="P110" s="434"/>
    </row>
    <row r="111" spans="1:16" x14ac:dyDescent="0.3">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
      <c r="B112" s="277"/>
      <c r="C112" s="596" t="s">
        <v>258</v>
      </c>
      <c r="D112" s="596"/>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3">
      <c r="B113" s="277"/>
      <c r="C113" s="596" t="s">
        <v>259</v>
      </c>
      <c r="D113" s="596"/>
      <c r="E113" s="271"/>
      <c r="F113" s="269"/>
      <c r="G113" s="269"/>
      <c r="H113" s="271"/>
      <c r="I113" s="271"/>
      <c r="J113" s="272">
        <f>J112-(E32*G32*J32)</f>
        <v>300</v>
      </c>
      <c r="K113" s="271">
        <f>K112-(E32*G32*K32)</f>
        <v>180</v>
      </c>
      <c r="L113" s="271"/>
      <c r="M113" s="271"/>
      <c r="N113" s="271"/>
      <c r="O113" s="271"/>
      <c r="P113" s="278"/>
    </row>
    <row r="114" spans="2:16" x14ac:dyDescent="0.3">
      <c r="B114" s="279"/>
      <c r="C114" s="597"/>
      <c r="D114" s="597"/>
      <c r="E114" s="264"/>
      <c r="F114" s="262"/>
      <c r="G114" s="262"/>
      <c r="H114" s="264"/>
      <c r="I114" s="264"/>
      <c r="J114" s="264"/>
      <c r="K114" s="264"/>
      <c r="L114" s="264"/>
      <c r="M114" s="264"/>
      <c r="N114" s="264"/>
      <c r="O114" s="264"/>
      <c r="P114" s="280"/>
    </row>
    <row r="115" spans="2:16" x14ac:dyDescent="0.3">
      <c r="B115" s="279"/>
      <c r="C115" s="263"/>
      <c r="D115" s="264"/>
      <c r="E115" s="264"/>
      <c r="F115" s="262"/>
      <c r="G115" s="262"/>
      <c r="H115" s="264"/>
      <c r="I115" s="264"/>
      <c r="J115" s="264"/>
      <c r="K115" s="264"/>
      <c r="L115" s="264"/>
      <c r="M115" s="264"/>
      <c r="N115" s="264"/>
      <c r="O115" s="264"/>
      <c r="P115" s="280"/>
    </row>
    <row r="116" spans="2:16" x14ac:dyDescent="0.3">
      <c r="B116" s="385"/>
      <c r="C116" s="598" t="s">
        <v>323</v>
      </c>
      <c r="D116" s="598"/>
      <c r="E116" s="255"/>
      <c r="F116" s="266"/>
      <c r="G116" s="255"/>
      <c r="H116" s="267">
        <f>'3.  Distribution Rates'!$J33</f>
        <v>1.2133333333333335E-2</v>
      </c>
      <c r="I116" s="267">
        <f>'3.  Distribution Rates'!J34</f>
        <v>1.8800000000000001E-2</v>
      </c>
      <c r="J116" s="267">
        <f>'3.  Distribution Rates'!J35</f>
        <v>3.6313666666666666</v>
      </c>
      <c r="K116" s="267">
        <f>'3.  Distribution Rates'!J36</f>
        <v>2.8645999999999998</v>
      </c>
      <c r="L116" s="267">
        <f>'3.  Distribution Rates'!J37</f>
        <v>1.0633333333333333E-2</v>
      </c>
      <c r="M116" s="267">
        <f>'3.  Distribution Rates'!J38</f>
        <v>12.250866666666667</v>
      </c>
      <c r="N116" s="267">
        <f>'3.  Distribution Rates'!J39</f>
        <v>9.1103000000000005</v>
      </c>
      <c r="O116" s="267"/>
      <c r="P116" s="386"/>
    </row>
    <row r="117" spans="2:16" x14ac:dyDescent="0.3">
      <c r="B117" s="385"/>
      <c r="C117" s="598" t="s">
        <v>240</v>
      </c>
      <c r="D117" s="598"/>
      <c r="E117" s="264"/>
      <c r="F117" s="266"/>
      <c r="G117" s="266"/>
      <c r="H117" s="300"/>
      <c r="I117" s="300"/>
      <c r="J117" s="300"/>
      <c r="K117" s="300"/>
      <c r="L117" s="300"/>
      <c r="M117" s="300"/>
      <c r="N117" s="300"/>
      <c r="O117" s="255"/>
      <c r="P117" s="281">
        <f>SUM(H117:O117)</f>
        <v>0</v>
      </c>
    </row>
    <row r="118" spans="2:16" x14ac:dyDescent="0.3">
      <c r="B118" s="385"/>
      <c r="C118" s="598" t="s">
        <v>241</v>
      </c>
      <c r="D118" s="598"/>
      <c r="E118" s="264"/>
      <c r="F118" s="266"/>
      <c r="G118" s="266"/>
      <c r="H118" s="300"/>
      <c r="I118" s="300"/>
      <c r="J118" s="300"/>
      <c r="K118" s="300"/>
      <c r="L118" s="300"/>
      <c r="M118" s="300"/>
      <c r="N118" s="300"/>
      <c r="O118" s="255"/>
      <c r="P118" s="281">
        <f>SUM(H118:O118)</f>
        <v>0</v>
      </c>
    </row>
    <row r="119" spans="2:16" x14ac:dyDescent="0.3">
      <c r="B119" s="385"/>
      <c r="C119" s="598" t="s">
        <v>242</v>
      </c>
      <c r="D119" s="598"/>
      <c r="E119" s="264"/>
      <c r="F119" s="266"/>
      <c r="G119" s="266"/>
      <c r="H119" s="300"/>
      <c r="I119" s="300"/>
      <c r="J119" s="300"/>
      <c r="K119" s="300"/>
      <c r="L119" s="300"/>
      <c r="M119" s="300"/>
      <c r="N119" s="300"/>
      <c r="O119" s="255"/>
      <c r="P119" s="281">
        <f>SUM(H119:O119)</f>
        <v>0</v>
      </c>
    </row>
    <row r="120" spans="2:16" x14ac:dyDescent="0.3">
      <c r="B120" s="385"/>
      <c r="C120" s="598" t="s">
        <v>243</v>
      </c>
      <c r="D120" s="598"/>
      <c r="E120" s="264"/>
      <c r="F120" s="266"/>
      <c r="G120" s="266"/>
      <c r="H120" s="300"/>
      <c r="I120" s="300"/>
      <c r="J120" s="300"/>
      <c r="K120" s="300"/>
      <c r="L120" s="300"/>
      <c r="M120" s="300"/>
      <c r="N120" s="300"/>
      <c r="O120" s="255"/>
      <c r="P120" s="281">
        <f>SUM(H120:O120)</f>
        <v>0</v>
      </c>
    </row>
    <row r="121" spans="2:16" x14ac:dyDescent="0.3">
      <c r="B121" s="385"/>
      <c r="C121" s="598" t="s">
        <v>244</v>
      </c>
      <c r="D121" s="598"/>
      <c r="E121" s="264"/>
      <c r="F121" s="266"/>
      <c r="G121" s="266"/>
      <c r="H121" s="382">
        <f>'5.  2015 LRAM'!H128*H116</f>
        <v>3416.2656559284392</v>
      </c>
      <c r="I121" s="382">
        <f>'5.  2015 LRAM'!I128*I116</f>
        <v>4428.7369124824354</v>
      </c>
      <c r="J121" s="382">
        <f>'5.  2015 LRAM'!J128*J116</f>
        <v>7608.8733337682388</v>
      </c>
      <c r="K121" s="382">
        <f>'5.  2015 LRAM'!K128*K116</f>
        <v>0</v>
      </c>
      <c r="L121" s="382">
        <f>'5.  2015 LRAM'!L128*L116</f>
        <v>0</v>
      </c>
      <c r="M121" s="382">
        <f>'5.  2015 LRAM'!M128*M116</f>
        <v>0</v>
      </c>
      <c r="N121" s="382">
        <f>'5.  2015 LRAM'!N128*N116</f>
        <v>0</v>
      </c>
      <c r="O121" s="255"/>
      <c r="P121" s="281">
        <f t="shared" ref="P121:P122" si="2">SUM(H121:O121)</f>
        <v>15453.875902179114</v>
      </c>
    </row>
    <row r="122" spans="2:16" x14ac:dyDescent="0.3">
      <c r="B122" s="385"/>
      <c r="C122" s="598" t="s">
        <v>250</v>
      </c>
      <c r="D122" s="598"/>
      <c r="E122" s="264"/>
      <c r="F122" s="266"/>
      <c r="G122" s="266"/>
      <c r="H122" s="382">
        <f>H111*H116</f>
        <v>0</v>
      </c>
      <c r="I122" s="382">
        <f>I111*I116</f>
        <v>0</v>
      </c>
      <c r="J122" s="382">
        <f>J112*J116</f>
        <v>1089.4100000000001</v>
      </c>
      <c r="K122" s="382">
        <f>K112*K116</f>
        <v>515.62799999999993</v>
      </c>
      <c r="L122" s="382">
        <f>L112*L116</f>
        <v>0</v>
      </c>
      <c r="M122" s="382">
        <f>M112*M116</f>
        <v>0</v>
      </c>
      <c r="N122" s="382">
        <f>N111*N116</f>
        <v>0</v>
      </c>
      <c r="O122" s="255"/>
      <c r="P122" s="281">
        <f t="shared" si="2"/>
        <v>1605.038</v>
      </c>
    </row>
    <row r="123" spans="2:16" x14ac:dyDescent="0.3">
      <c r="B123" s="279"/>
      <c r="C123" s="383" t="s">
        <v>245</v>
      </c>
      <c r="D123" s="264"/>
      <c r="E123" s="264"/>
      <c r="F123" s="262"/>
      <c r="G123" s="262"/>
      <c r="H123" s="268">
        <f t="shared" ref="H123:N123" si="3">SUM(H117:H122)</f>
        <v>3416.2656559284392</v>
      </c>
      <c r="I123" s="268">
        <f t="shared" si="3"/>
        <v>4428.7369124824354</v>
      </c>
      <c r="J123" s="268">
        <f t="shared" si="3"/>
        <v>8698.2833337682387</v>
      </c>
      <c r="K123" s="268">
        <f t="shared" si="3"/>
        <v>515.62799999999993</v>
      </c>
      <c r="L123" s="268">
        <f t="shared" si="3"/>
        <v>0</v>
      </c>
      <c r="M123" s="268">
        <f t="shared" si="3"/>
        <v>0</v>
      </c>
      <c r="N123" s="268">
        <f t="shared" si="3"/>
        <v>0</v>
      </c>
      <c r="O123" s="264"/>
      <c r="P123" s="282">
        <f>SUM(P117:P122)</f>
        <v>17058.913902179112</v>
      </c>
    </row>
    <row r="124" spans="2:16" x14ac:dyDescent="0.3">
      <c r="B124" s="279"/>
      <c r="C124" s="383"/>
      <c r="D124" s="264"/>
      <c r="E124" s="264"/>
      <c r="F124" s="262"/>
      <c r="G124" s="262"/>
      <c r="H124" s="268"/>
      <c r="I124" s="268"/>
      <c r="J124" s="268"/>
      <c r="K124" s="268"/>
      <c r="L124" s="268"/>
      <c r="M124" s="268"/>
      <c r="N124" s="268"/>
      <c r="O124" s="264"/>
      <c r="P124" s="282"/>
    </row>
    <row r="125" spans="2:16" x14ac:dyDescent="0.3">
      <c r="B125" s="427"/>
      <c r="C125" s="598" t="s">
        <v>246</v>
      </c>
      <c r="D125" s="598"/>
      <c r="E125" s="419"/>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4"/>
    </row>
    <row r="126" spans="2:16" x14ac:dyDescent="0.3">
      <c r="B126" s="427"/>
      <c r="C126" s="598" t="s">
        <v>247</v>
      </c>
      <c r="D126" s="598"/>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3">
      <c r="B127" s="427"/>
      <c r="C127" s="598" t="s">
        <v>248</v>
      </c>
      <c r="D127" s="598"/>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3">
      <c r="B128" s="428"/>
      <c r="C128" s="610" t="s">
        <v>249</v>
      </c>
      <c r="D128" s="610"/>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3">
      <c r="B129" s="68"/>
      <c r="C129" s="444"/>
      <c r="D129" s="445"/>
      <c r="E129" s="445"/>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09375" defaultRowHeight="14.4" outlineLevelRow="1" x14ac:dyDescent="0.3"/>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2" spans="1:18" ht="20.25" x14ac:dyDescent="0.3">
      <c r="B2" s="626" t="s">
        <v>264</v>
      </c>
      <c r="C2" s="626"/>
      <c r="D2" s="626"/>
      <c r="E2" s="626"/>
      <c r="F2" s="626"/>
      <c r="G2" s="626"/>
      <c r="H2" s="626"/>
      <c r="I2" s="626"/>
      <c r="J2" s="626"/>
      <c r="K2" s="626"/>
      <c r="L2" s="626"/>
      <c r="M2" s="626"/>
      <c r="N2" s="626"/>
      <c r="O2" s="626"/>
      <c r="P2" s="626"/>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397</v>
      </c>
      <c r="D4" s="395"/>
      <c r="E4" s="579" t="s">
        <v>360</v>
      </c>
      <c r="F4" s="579"/>
      <c r="G4" s="579"/>
      <c r="H4" s="579"/>
      <c r="I4" s="579"/>
      <c r="J4" s="579"/>
      <c r="K4" s="579"/>
      <c r="L4" s="579"/>
      <c r="M4" s="579"/>
      <c r="N4" s="579"/>
      <c r="O4" s="579"/>
      <c r="P4" s="579"/>
    </row>
    <row r="5" spans="1:18" ht="18.75" customHeight="1" outlineLevel="1" x14ac:dyDescent="0.3">
      <c r="B5" s="395"/>
      <c r="C5" s="396"/>
      <c r="D5" s="395"/>
      <c r="E5" s="376" t="s">
        <v>354</v>
      </c>
      <c r="F5" s="395"/>
      <c r="G5" s="395"/>
      <c r="H5" s="395"/>
      <c r="I5" s="395"/>
      <c r="J5" s="395"/>
      <c r="K5" s="395"/>
      <c r="L5" s="395"/>
      <c r="M5" s="395"/>
      <c r="N5" s="395"/>
      <c r="O5" s="395"/>
      <c r="P5" s="395"/>
    </row>
    <row r="6" spans="1:18" ht="18.75" customHeight="1" outlineLevel="1" x14ac:dyDescent="0.3">
      <c r="B6" s="395"/>
      <c r="C6" s="396"/>
      <c r="D6" s="395"/>
      <c r="E6" s="376" t="s">
        <v>355</v>
      </c>
      <c r="F6" s="395"/>
      <c r="G6" s="395"/>
      <c r="H6" s="395"/>
      <c r="I6" s="395"/>
      <c r="J6" s="395"/>
      <c r="K6" s="395"/>
      <c r="L6" s="395"/>
      <c r="M6" s="395"/>
      <c r="N6" s="395"/>
      <c r="O6" s="395"/>
      <c r="P6" s="395"/>
    </row>
    <row r="7" spans="1:18" ht="18.75" customHeight="1" outlineLevel="1" x14ac:dyDescent="0.3">
      <c r="B7" s="395"/>
      <c r="C7" s="396"/>
      <c r="D7" s="395"/>
      <c r="E7" s="376" t="s">
        <v>412</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334</v>
      </c>
      <c r="D9" s="63"/>
      <c r="E9" s="627" t="s">
        <v>361</v>
      </c>
      <c r="F9" s="627"/>
      <c r="G9" s="63"/>
      <c r="H9" s="63"/>
      <c r="I9" s="63"/>
      <c r="J9" s="63"/>
      <c r="K9" s="63"/>
      <c r="L9" s="63"/>
      <c r="M9" s="63"/>
      <c r="N9" s="63"/>
      <c r="O9" s="63"/>
      <c r="P9" s="63"/>
      <c r="R9" s="82"/>
    </row>
    <row r="10" spans="1:18" ht="18.75" customHeight="1" outlineLevel="1" x14ac:dyDescent="0.3">
      <c r="B10" s="63"/>
      <c r="C10" s="63"/>
      <c r="D10" s="63"/>
      <c r="E10" s="561" t="s">
        <v>335</v>
      </c>
      <c r="F10" s="561"/>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471</v>
      </c>
      <c r="C12" s="46"/>
      <c r="D12" s="46"/>
      <c r="E12" s="46"/>
      <c r="F12" s="46"/>
      <c r="G12" s="46"/>
      <c r="H12" s="46"/>
      <c r="I12" s="46"/>
      <c r="J12" s="46"/>
      <c r="K12" s="46"/>
      <c r="L12" s="46"/>
      <c r="M12" s="46"/>
      <c r="N12" s="46"/>
      <c r="O12" s="46"/>
      <c r="P12" s="46"/>
    </row>
    <row r="13" spans="1:18" ht="41.4" x14ac:dyDescent="0.3">
      <c r="B13" s="634" t="s">
        <v>58</v>
      </c>
      <c r="C13" s="636" t="s">
        <v>0</v>
      </c>
      <c r="D13" s="636" t="s">
        <v>44</v>
      </c>
      <c r="E13" s="636" t="s">
        <v>203</v>
      </c>
      <c r="F13" s="240" t="s">
        <v>200</v>
      </c>
      <c r="G13" s="240" t="s">
        <v>45</v>
      </c>
      <c r="H13" s="638" t="s">
        <v>59</v>
      </c>
      <c r="I13" s="638"/>
      <c r="J13" s="638"/>
      <c r="K13" s="638"/>
      <c r="L13" s="638"/>
      <c r="M13" s="638"/>
      <c r="N13" s="638"/>
      <c r="O13" s="638"/>
      <c r="P13" s="639"/>
    </row>
    <row r="14" spans="1:18" ht="55.2" x14ac:dyDescent="0.3">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ht="15" x14ac:dyDescent="0.25">
      <c r="A17" s="50"/>
      <c r="B17" s="433">
        <v>1</v>
      </c>
      <c r="C17" s="418" t="s">
        <v>141</v>
      </c>
      <c r="D17" s="255" t="s">
        <v>33</v>
      </c>
      <c r="E17" s="419"/>
      <c r="F17" s="300"/>
      <c r="G17" s="300"/>
      <c r="H17" s="430">
        <v>1</v>
      </c>
      <c r="I17" s="420"/>
      <c r="J17" s="420"/>
      <c r="K17" s="420"/>
      <c r="L17" s="420"/>
      <c r="M17" s="420"/>
      <c r="N17" s="420"/>
      <c r="O17" s="420"/>
      <c r="P17" s="434">
        <f>SUM(H17:O17)</f>
        <v>1</v>
      </c>
    </row>
    <row r="18" spans="1:16" ht="15" x14ac:dyDescent="0.25">
      <c r="A18" s="47"/>
      <c r="B18" s="433">
        <v>2</v>
      </c>
      <c r="C18" s="418" t="s">
        <v>142</v>
      </c>
      <c r="D18" s="255" t="s">
        <v>33</v>
      </c>
      <c r="E18" s="421"/>
      <c r="F18" s="300"/>
      <c r="G18" s="300"/>
      <c r="H18" s="430">
        <v>1</v>
      </c>
      <c r="I18" s="420"/>
      <c r="J18" s="420"/>
      <c r="K18" s="420"/>
      <c r="L18" s="420"/>
      <c r="M18" s="420"/>
      <c r="N18" s="420"/>
      <c r="O18" s="420"/>
      <c r="P18" s="434">
        <f t="shared" ref="P18:P80" si="0">SUM(H18:O18)</f>
        <v>1</v>
      </c>
    </row>
    <row r="19" spans="1:16" ht="15" x14ac:dyDescent="0.25">
      <c r="A19" s="50"/>
      <c r="B19" s="433">
        <v>3</v>
      </c>
      <c r="C19" s="418" t="s">
        <v>143</v>
      </c>
      <c r="D19" s="255" t="s">
        <v>33</v>
      </c>
      <c r="E19" s="421"/>
      <c r="F19" s="300"/>
      <c r="G19" s="300"/>
      <c r="H19" s="430">
        <v>1</v>
      </c>
      <c r="I19" s="420"/>
      <c r="J19" s="420"/>
      <c r="K19" s="420"/>
      <c r="L19" s="420"/>
      <c r="M19" s="420"/>
      <c r="N19" s="420"/>
      <c r="O19" s="420"/>
      <c r="P19" s="434">
        <f t="shared" si="0"/>
        <v>1</v>
      </c>
    </row>
    <row r="20" spans="1:16" ht="15" x14ac:dyDescent="0.25">
      <c r="A20" s="50"/>
      <c r="B20" s="433">
        <v>4</v>
      </c>
      <c r="C20" s="418" t="s">
        <v>144</v>
      </c>
      <c r="D20" s="255" t="s">
        <v>33</v>
      </c>
      <c r="E20" s="421"/>
      <c r="F20" s="300"/>
      <c r="G20" s="300"/>
      <c r="H20" s="430">
        <v>1</v>
      </c>
      <c r="I20" s="420"/>
      <c r="J20" s="420"/>
      <c r="K20" s="420"/>
      <c r="L20" s="420"/>
      <c r="M20" s="420"/>
      <c r="N20" s="420"/>
      <c r="O20" s="420"/>
      <c r="P20" s="434">
        <f t="shared" si="0"/>
        <v>1</v>
      </c>
    </row>
    <row r="21" spans="1:16" ht="15" x14ac:dyDescent="0.25">
      <c r="A21" s="50"/>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146</v>
      </c>
      <c r="D22" s="255" t="s">
        <v>33</v>
      </c>
      <c r="E22" s="421"/>
      <c r="F22" s="300"/>
      <c r="G22" s="300"/>
      <c r="H22" s="430">
        <v>1</v>
      </c>
      <c r="I22" s="420"/>
      <c r="J22" s="420"/>
      <c r="K22" s="420"/>
      <c r="L22" s="420"/>
      <c r="M22" s="420"/>
      <c r="N22" s="420"/>
      <c r="O22" s="420"/>
      <c r="P22" s="434">
        <f t="shared" si="0"/>
        <v>1</v>
      </c>
    </row>
    <row r="23" spans="1:16" ht="15" x14ac:dyDescent="0.25">
      <c r="A23" s="50"/>
      <c r="B23" s="435" t="s">
        <v>265</v>
      </c>
      <c r="C23" s="418"/>
      <c r="D23" s="255" t="s">
        <v>251</v>
      </c>
      <c r="E23" s="421"/>
      <c r="F23" s="300"/>
      <c r="G23" s="300"/>
      <c r="H23" s="430"/>
      <c r="I23" s="420"/>
      <c r="J23" s="420"/>
      <c r="K23" s="420"/>
      <c r="L23" s="420"/>
      <c r="M23" s="420"/>
      <c r="N23" s="420"/>
      <c r="O23" s="420"/>
      <c r="P23" s="434">
        <f t="shared" si="0"/>
        <v>0</v>
      </c>
    </row>
    <row r="24" spans="1:16" ht="15" x14ac:dyDescent="0.25">
      <c r="A24" s="50"/>
      <c r="B24" s="433"/>
      <c r="C24" s="596"/>
      <c r="D24" s="596"/>
      <c r="E24" s="270"/>
      <c r="F24" s="300"/>
      <c r="G24" s="300"/>
      <c r="H24" s="430"/>
      <c r="I24" s="420"/>
      <c r="J24" s="420"/>
      <c r="K24" s="420"/>
      <c r="L24" s="420"/>
      <c r="M24" s="420"/>
      <c r="N24" s="420"/>
      <c r="O24" s="420"/>
      <c r="P24" s="434">
        <f t="shared" si="0"/>
        <v>0</v>
      </c>
    </row>
    <row r="25" spans="1:16" ht="15" x14ac:dyDescent="0.25">
      <c r="A25" s="50"/>
      <c r="B25" s="433"/>
      <c r="C25" s="596"/>
      <c r="D25" s="596"/>
      <c r="E25" s="270"/>
      <c r="F25" s="300"/>
      <c r="G25" s="300"/>
      <c r="H25" s="430"/>
      <c r="I25" s="420"/>
      <c r="J25" s="420"/>
      <c r="K25" s="420"/>
      <c r="L25" s="420"/>
      <c r="M25" s="420"/>
      <c r="N25" s="420"/>
      <c r="O25" s="420"/>
      <c r="P25" s="434">
        <f t="shared" si="0"/>
        <v>0</v>
      </c>
    </row>
    <row r="26" spans="1:16" ht="15" x14ac:dyDescent="0.25">
      <c r="A26" s="50"/>
      <c r="B26" s="433"/>
      <c r="C26" s="596"/>
      <c r="D26" s="596"/>
      <c r="E26" s="270"/>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ht="15" x14ac:dyDescent="0.25">
      <c r="A28" s="50"/>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152</v>
      </c>
      <c r="D32" s="255" t="s">
        <v>33</v>
      </c>
      <c r="E32" s="421">
        <v>3</v>
      </c>
      <c r="F32" s="300"/>
      <c r="G32" s="300"/>
      <c r="H32" s="420"/>
      <c r="I32" s="420"/>
      <c r="J32" s="430">
        <v>1</v>
      </c>
      <c r="K32" s="420"/>
      <c r="L32" s="420"/>
      <c r="M32" s="420"/>
      <c r="N32" s="420"/>
      <c r="O32" s="420"/>
      <c r="P32" s="434">
        <f t="shared" si="0"/>
        <v>1</v>
      </c>
    </row>
    <row r="33" spans="1:16" ht="15" x14ac:dyDescent="0.25">
      <c r="A33" s="50"/>
      <c r="B33" s="435" t="s">
        <v>265</v>
      </c>
      <c r="C33" s="418"/>
      <c r="D33" s="255" t="s">
        <v>251</v>
      </c>
      <c r="E33" s="421"/>
      <c r="F33" s="300"/>
      <c r="G33" s="300"/>
      <c r="H33" s="420"/>
      <c r="I33" s="420"/>
      <c r="J33" s="420"/>
      <c r="K33" s="420"/>
      <c r="L33" s="420"/>
      <c r="M33" s="420"/>
      <c r="N33" s="420"/>
      <c r="O33" s="420"/>
      <c r="P33" s="434">
        <f t="shared" si="0"/>
        <v>0</v>
      </c>
    </row>
    <row r="34" spans="1:16" ht="15" x14ac:dyDescent="0.25">
      <c r="A34" s="50"/>
      <c r="B34" s="433"/>
      <c r="C34" s="596"/>
      <c r="D34" s="596"/>
      <c r="E34" s="270"/>
      <c r="F34" s="300"/>
      <c r="G34" s="300"/>
      <c r="H34" s="420"/>
      <c r="I34" s="420"/>
      <c r="J34" s="420"/>
      <c r="K34" s="420"/>
      <c r="L34" s="420"/>
      <c r="M34" s="420"/>
      <c r="N34" s="420"/>
      <c r="O34" s="420"/>
      <c r="P34" s="434">
        <f t="shared" si="0"/>
        <v>0</v>
      </c>
    </row>
    <row r="35" spans="1:16" ht="15" x14ac:dyDescent="0.25">
      <c r="A35" s="50"/>
      <c r="B35" s="433"/>
      <c r="C35" s="596"/>
      <c r="D35" s="596"/>
      <c r="E35" s="270"/>
      <c r="F35" s="300"/>
      <c r="G35" s="300"/>
      <c r="H35" s="420"/>
      <c r="I35" s="420"/>
      <c r="J35" s="420"/>
      <c r="K35" s="420"/>
      <c r="L35" s="420"/>
      <c r="M35" s="420"/>
      <c r="N35" s="420"/>
      <c r="O35" s="420"/>
      <c r="P35" s="434">
        <f t="shared" si="0"/>
        <v>0</v>
      </c>
    </row>
    <row r="36" spans="1:16" ht="15" x14ac:dyDescent="0.25">
      <c r="A36" s="50"/>
      <c r="B36" s="433"/>
      <c r="C36" s="596"/>
      <c r="D36" s="596"/>
      <c r="E36" s="270"/>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ht="15"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153</v>
      </c>
      <c r="D39" s="255" t="s">
        <v>33</v>
      </c>
      <c r="E39" s="421">
        <v>12</v>
      </c>
      <c r="F39" s="300"/>
      <c r="G39" s="300"/>
      <c r="H39" s="420"/>
      <c r="I39" s="420"/>
      <c r="J39" s="430">
        <v>1</v>
      </c>
      <c r="K39" s="420"/>
      <c r="L39" s="420"/>
      <c r="M39" s="420"/>
      <c r="N39" s="420"/>
      <c r="O39" s="420"/>
      <c r="P39" s="434">
        <f t="shared" si="0"/>
        <v>1</v>
      </c>
    </row>
    <row r="40" spans="1:16" ht="28.5" x14ac:dyDescent="0.25">
      <c r="A40" s="50"/>
      <c r="B40" s="433">
        <v>13</v>
      </c>
      <c r="C40" s="418" t="s">
        <v>154</v>
      </c>
      <c r="D40" s="255" t="s">
        <v>33</v>
      </c>
      <c r="E40" s="421">
        <v>12</v>
      </c>
      <c r="F40" s="300"/>
      <c r="G40" s="300"/>
      <c r="H40" s="420"/>
      <c r="I40" s="420"/>
      <c r="J40" s="430">
        <v>1</v>
      </c>
      <c r="K40" s="420"/>
      <c r="L40" s="420"/>
      <c r="M40" s="420"/>
      <c r="N40" s="420"/>
      <c r="O40" s="420"/>
      <c r="P40" s="434">
        <f t="shared" si="0"/>
        <v>1</v>
      </c>
    </row>
    <row r="41" spans="1:16" ht="28.5" x14ac:dyDescent="0.25">
      <c r="A41" s="50"/>
      <c r="B41" s="433">
        <v>14</v>
      </c>
      <c r="C41" s="418" t="s">
        <v>155</v>
      </c>
      <c r="D41" s="255" t="s">
        <v>33</v>
      </c>
      <c r="E41" s="421">
        <v>12</v>
      </c>
      <c r="F41" s="300"/>
      <c r="G41" s="300"/>
      <c r="H41" s="420"/>
      <c r="I41" s="420"/>
      <c r="J41" s="430">
        <v>1</v>
      </c>
      <c r="K41" s="420"/>
      <c r="L41" s="420"/>
      <c r="M41" s="420"/>
      <c r="N41" s="420"/>
      <c r="O41" s="420"/>
      <c r="P41" s="434">
        <f t="shared" si="0"/>
        <v>1</v>
      </c>
    </row>
    <row r="42" spans="1:16" x14ac:dyDescent="0.3">
      <c r="A42" s="50"/>
      <c r="B42" s="435" t="s">
        <v>265</v>
      </c>
      <c r="C42" s="418"/>
      <c r="D42" s="255" t="s">
        <v>251</v>
      </c>
      <c r="E42" s="421"/>
      <c r="F42" s="300"/>
      <c r="G42" s="300"/>
      <c r="H42" s="420"/>
      <c r="I42" s="420"/>
      <c r="J42" s="420"/>
      <c r="K42" s="420"/>
      <c r="L42" s="420"/>
      <c r="M42" s="420"/>
      <c r="N42" s="420"/>
      <c r="O42" s="420"/>
      <c r="P42" s="434">
        <f t="shared" si="0"/>
        <v>0</v>
      </c>
    </row>
    <row r="43" spans="1:16" x14ac:dyDescent="0.3">
      <c r="A43" s="50"/>
      <c r="B43" s="433"/>
      <c r="C43" s="596"/>
      <c r="D43" s="596"/>
      <c r="E43" s="270"/>
      <c r="F43" s="300"/>
      <c r="G43" s="300"/>
      <c r="H43" s="420"/>
      <c r="I43" s="420"/>
      <c r="J43" s="420"/>
      <c r="K43" s="420"/>
      <c r="L43" s="420"/>
      <c r="M43" s="420"/>
      <c r="N43" s="420"/>
      <c r="O43" s="420"/>
      <c r="P43" s="434">
        <f t="shared" si="0"/>
        <v>0</v>
      </c>
    </row>
    <row r="44" spans="1:16" x14ac:dyDescent="0.3">
      <c r="A44" s="50"/>
      <c r="B44" s="433"/>
      <c r="C44" s="596"/>
      <c r="D44" s="596"/>
      <c r="E44" s="270"/>
      <c r="F44" s="300"/>
      <c r="G44" s="300"/>
      <c r="H44" s="420"/>
      <c r="I44" s="420"/>
      <c r="J44" s="420"/>
      <c r="K44" s="420"/>
      <c r="L44" s="420"/>
      <c r="M44" s="420"/>
      <c r="N44" s="420"/>
      <c r="O44" s="420"/>
      <c r="P44" s="434">
        <f t="shared" si="0"/>
        <v>0</v>
      </c>
    </row>
    <row r="45" spans="1:16" x14ac:dyDescent="0.3">
      <c r="A45" s="50"/>
      <c r="B45" s="433"/>
      <c r="C45" s="596"/>
      <c r="D45" s="596"/>
      <c r="E45" s="270"/>
      <c r="F45" s="300"/>
      <c r="G45" s="300"/>
      <c r="H45" s="420"/>
      <c r="I45" s="420"/>
      <c r="J45" s="420"/>
      <c r="K45" s="420"/>
      <c r="L45" s="420"/>
      <c r="M45" s="420"/>
      <c r="N45" s="420"/>
      <c r="O45" s="420"/>
      <c r="P45" s="434">
        <f t="shared" si="0"/>
        <v>0</v>
      </c>
    </row>
    <row r="46" spans="1:16" ht="24" customHeight="1" x14ac:dyDescent="0.3">
      <c r="A46" s="50"/>
      <c r="B46" s="628" t="s">
        <v>156</v>
      </c>
      <c r="C46" s="629"/>
      <c r="D46" s="629"/>
      <c r="E46" s="629"/>
      <c r="F46" s="629"/>
      <c r="G46" s="629"/>
      <c r="H46" s="629"/>
      <c r="I46" s="629"/>
      <c r="J46" s="629"/>
      <c r="K46" s="629"/>
      <c r="L46" s="629"/>
      <c r="M46" s="629"/>
      <c r="N46" s="629"/>
      <c r="O46" s="629"/>
      <c r="P46" s="630"/>
    </row>
    <row r="47" spans="1:16" x14ac:dyDescent="0.3">
      <c r="A47" s="50"/>
      <c r="B47" s="433">
        <v>15</v>
      </c>
      <c r="C47" s="418" t="s">
        <v>157</v>
      </c>
      <c r="D47" s="255" t="s">
        <v>33</v>
      </c>
      <c r="E47" s="421"/>
      <c r="F47" s="300"/>
      <c r="G47" s="300"/>
      <c r="H47" s="430">
        <v>1</v>
      </c>
      <c r="I47" s="420"/>
      <c r="J47" s="420"/>
      <c r="K47" s="420"/>
      <c r="L47" s="420"/>
      <c r="M47" s="420"/>
      <c r="N47" s="420"/>
      <c r="O47" s="420"/>
      <c r="P47" s="434">
        <f t="shared" si="0"/>
        <v>1</v>
      </c>
    </row>
    <row r="48" spans="1:16" x14ac:dyDescent="0.3">
      <c r="A48" s="50"/>
      <c r="B48" s="435" t="s">
        <v>265</v>
      </c>
      <c r="C48" s="418"/>
      <c r="D48" s="255" t="s">
        <v>251</v>
      </c>
      <c r="E48" s="421"/>
      <c r="F48" s="300"/>
      <c r="G48" s="300"/>
      <c r="H48" s="430"/>
      <c r="I48" s="420"/>
      <c r="J48" s="420"/>
      <c r="K48" s="420"/>
      <c r="L48" s="420"/>
      <c r="M48" s="420"/>
      <c r="N48" s="420"/>
      <c r="O48" s="420"/>
      <c r="P48" s="434">
        <f t="shared" si="0"/>
        <v>0</v>
      </c>
    </row>
    <row r="49" spans="1:16" x14ac:dyDescent="0.3">
      <c r="A49" s="50"/>
      <c r="B49" s="433"/>
      <c r="C49" s="596"/>
      <c r="D49" s="596"/>
      <c r="E49" s="270"/>
      <c r="F49" s="300"/>
      <c r="G49" s="300"/>
      <c r="H49" s="430"/>
      <c r="I49" s="420"/>
      <c r="J49" s="420"/>
      <c r="K49" s="420"/>
      <c r="L49" s="420"/>
      <c r="M49" s="420"/>
      <c r="N49" s="420"/>
      <c r="O49" s="420"/>
      <c r="P49" s="434">
        <f t="shared" si="0"/>
        <v>0</v>
      </c>
    </row>
    <row r="50" spans="1:16" x14ac:dyDescent="0.3">
      <c r="A50" s="50"/>
      <c r="B50" s="433"/>
      <c r="C50" s="596"/>
      <c r="D50" s="596"/>
      <c r="E50" s="270"/>
      <c r="F50" s="300"/>
      <c r="G50" s="300"/>
      <c r="H50" s="430"/>
      <c r="I50" s="420"/>
      <c r="J50" s="420"/>
      <c r="K50" s="420"/>
      <c r="L50" s="420"/>
      <c r="M50" s="420"/>
      <c r="N50" s="420"/>
      <c r="O50" s="420"/>
      <c r="P50" s="434"/>
    </row>
    <row r="51" spans="1:16" x14ac:dyDescent="0.3">
      <c r="A51" s="50"/>
      <c r="B51" s="433"/>
      <c r="C51" s="596"/>
      <c r="D51" s="596"/>
      <c r="E51" s="270"/>
      <c r="F51" s="300"/>
      <c r="G51" s="300"/>
      <c r="H51" s="430"/>
      <c r="I51" s="420"/>
      <c r="J51" s="420"/>
      <c r="K51" s="420"/>
      <c r="L51" s="420"/>
      <c r="M51" s="420"/>
      <c r="N51" s="420"/>
      <c r="O51" s="420"/>
      <c r="P51" s="434">
        <f t="shared" si="0"/>
        <v>0</v>
      </c>
    </row>
    <row r="52" spans="1:16" ht="21" customHeight="1" x14ac:dyDescent="0.3">
      <c r="A52" s="48"/>
      <c r="B52" s="628" t="s">
        <v>158</v>
      </c>
      <c r="C52" s="629"/>
      <c r="D52" s="629"/>
      <c r="E52" s="629"/>
      <c r="F52" s="629"/>
      <c r="G52" s="629"/>
      <c r="H52" s="629"/>
      <c r="I52" s="629"/>
      <c r="J52" s="629"/>
      <c r="K52" s="629"/>
      <c r="L52" s="629"/>
      <c r="M52" s="629"/>
      <c r="N52" s="629"/>
      <c r="O52" s="629"/>
      <c r="P52" s="630"/>
    </row>
    <row r="53" spans="1:16" x14ac:dyDescent="0.3">
      <c r="A53" s="50"/>
      <c r="B53" s="433">
        <v>16</v>
      </c>
      <c r="C53" s="418" t="s">
        <v>159</v>
      </c>
      <c r="D53" s="255" t="s">
        <v>33</v>
      </c>
      <c r="E53" s="421"/>
      <c r="F53" s="300"/>
      <c r="G53" s="300"/>
      <c r="H53" s="420"/>
      <c r="I53" s="420"/>
      <c r="J53" s="420"/>
      <c r="K53" s="420"/>
      <c r="L53" s="420"/>
      <c r="M53" s="420"/>
      <c r="N53" s="420"/>
      <c r="O53" s="420"/>
      <c r="P53" s="434">
        <f t="shared" si="0"/>
        <v>0</v>
      </c>
    </row>
    <row r="54" spans="1:16" x14ac:dyDescent="0.3">
      <c r="A54" s="50"/>
      <c r="B54" s="433">
        <v>17</v>
      </c>
      <c r="C54" s="418" t="s">
        <v>160</v>
      </c>
      <c r="D54" s="255" t="s">
        <v>33</v>
      </c>
      <c r="E54" s="421"/>
      <c r="F54" s="300"/>
      <c r="G54" s="300"/>
      <c r="H54" s="420"/>
      <c r="I54" s="420"/>
      <c r="J54" s="420"/>
      <c r="K54" s="420"/>
      <c r="L54" s="420"/>
      <c r="M54" s="420"/>
      <c r="N54" s="420"/>
      <c r="O54" s="420"/>
      <c r="P54" s="434">
        <f t="shared" si="0"/>
        <v>0</v>
      </c>
    </row>
    <row r="55" spans="1:16" x14ac:dyDescent="0.3">
      <c r="A55" s="50"/>
      <c r="B55" s="433">
        <v>18</v>
      </c>
      <c r="C55" s="418" t="s">
        <v>161</v>
      </c>
      <c r="D55" s="255" t="s">
        <v>33</v>
      </c>
      <c r="E55" s="421"/>
      <c r="F55" s="300"/>
      <c r="G55" s="300"/>
      <c r="H55" s="420"/>
      <c r="I55" s="420"/>
      <c r="J55" s="420"/>
      <c r="K55" s="420"/>
      <c r="L55" s="420"/>
      <c r="M55" s="420"/>
      <c r="N55" s="420"/>
      <c r="O55" s="420"/>
      <c r="P55" s="434">
        <f t="shared" si="0"/>
        <v>0</v>
      </c>
    </row>
    <row r="56" spans="1:16" x14ac:dyDescent="0.3">
      <c r="A56" s="50"/>
      <c r="B56" s="433">
        <v>19</v>
      </c>
      <c r="C56" s="418" t="s">
        <v>162</v>
      </c>
      <c r="D56" s="255" t="s">
        <v>33</v>
      </c>
      <c r="E56" s="421"/>
      <c r="F56" s="300"/>
      <c r="G56" s="300"/>
      <c r="H56" s="420"/>
      <c r="I56" s="420"/>
      <c r="J56" s="420"/>
      <c r="K56" s="420"/>
      <c r="L56" s="420"/>
      <c r="M56" s="420"/>
      <c r="N56" s="420"/>
      <c r="O56" s="420"/>
      <c r="P56" s="434">
        <f t="shared" si="0"/>
        <v>0</v>
      </c>
    </row>
    <row r="57" spans="1:16" x14ac:dyDescent="0.3">
      <c r="A57" s="50"/>
      <c r="B57" s="435" t="s">
        <v>265</v>
      </c>
      <c r="C57" s="418"/>
      <c r="D57" s="255" t="s">
        <v>251</v>
      </c>
      <c r="E57" s="421"/>
      <c r="F57" s="300"/>
      <c r="G57" s="300"/>
      <c r="H57" s="420"/>
      <c r="I57" s="420"/>
      <c r="J57" s="420"/>
      <c r="K57" s="420"/>
      <c r="L57" s="420"/>
      <c r="M57" s="420"/>
      <c r="N57" s="420"/>
      <c r="O57" s="420"/>
      <c r="P57" s="434">
        <f t="shared" si="0"/>
        <v>0</v>
      </c>
    </row>
    <row r="58" spans="1:16" x14ac:dyDescent="0.3">
      <c r="A58" s="50"/>
      <c r="B58" s="435"/>
      <c r="C58" s="596"/>
      <c r="D58" s="596"/>
      <c r="E58" s="270"/>
      <c r="F58" s="300"/>
      <c r="G58" s="300"/>
      <c r="H58" s="420"/>
      <c r="I58" s="420"/>
      <c r="J58" s="420"/>
      <c r="K58" s="420"/>
      <c r="L58" s="420"/>
      <c r="M58" s="420"/>
      <c r="N58" s="420"/>
      <c r="O58" s="420"/>
      <c r="P58" s="434"/>
    </row>
    <row r="59" spans="1:16" x14ac:dyDescent="0.3">
      <c r="A59" s="50"/>
      <c r="B59" s="435"/>
      <c r="C59" s="596"/>
      <c r="D59" s="596"/>
      <c r="E59" s="270"/>
      <c r="F59" s="300"/>
      <c r="G59" s="300"/>
      <c r="H59" s="420"/>
      <c r="I59" s="420"/>
      <c r="J59" s="420"/>
      <c r="K59" s="420"/>
      <c r="L59" s="420"/>
      <c r="M59" s="420"/>
      <c r="N59" s="420"/>
      <c r="O59" s="420"/>
      <c r="P59" s="434"/>
    </row>
    <row r="60" spans="1:16" x14ac:dyDescent="0.3">
      <c r="A60" s="48"/>
      <c r="B60" s="436"/>
      <c r="C60" s="596"/>
      <c r="D60" s="596"/>
      <c r="E60" s="270"/>
      <c r="F60" s="300"/>
      <c r="G60" s="300"/>
      <c r="H60" s="424"/>
      <c r="I60" s="424"/>
      <c r="J60" s="424"/>
      <c r="K60" s="424"/>
      <c r="L60" s="424"/>
      <c r="M60" s="424"/>
      <c r="N60" s="424"/>
      <c r="O60" s="424"/>
      <c r="P60" s="434"/>
    </row>
    <row r="61" spans="1:16" ht="27" customHeight="1" x14ac:dyDescent="0.3">
      <c r="B61" s="615" t="s">
        <v>163</v>
      </c>
      <c r="C61" s="616"/>
      <c r="D61" s="616"/>
      <c r="E61" s="616"/>
      <c r="F61" s="616"/>
      <c r="G61" s="616"/>
      <c r="H61" s="616"/>
      <c r="I61" s="616"/>
      <c r="J61" s="616"/>
      <c r="K61" s="616"/>
      <c r="L61" s="616"/>
      <c r="M61" s="616"/>
      <c r="N61" s="616"/>
      <c r="O61" s="616"/>
      <c r="P61" s="617"/>
    </row>
    <row r="62" spans="1:16" ht="16.8" x14ac:dyDescent="0.3">
      <c r="B62" s="437"/>
      <c r="C62" s="418"/>
      <c r="D62" s="421"/>
      <c r="E62" s="421"/>
      <c r="F62" s="417"/>
      <c r="G62" s="417"/>
      <c r="H62" s="417"/>
      <c r="I62" s="417"/>
      <c r="J62" s="417"/>
      <c r="K62" s="417"/>
      <c r="L62" s="417"/>
      <c r="M62" s="417"/>
      <c r="N62" s="417"/>
      <c r="O62" s="417"/>
      <c r="P62" s="438"/>
    </row>
    <row r="63" spans="1:16" ht="25.5" customHeight="1" x14ac:dyDescent="0.3">
      <c r="A63" s="50"/>
      <c r="B63" s="631" t="s">
        <v>164</v>
      </c>
      <c r="C63" s="607"/>
      <c r="D63" s="607"/>
      <c r="E63" s="607"/>
      <c r="F63" s="607"/>
      <c r="G63" s="607"/>
      <c r="H63" s="607"/>
      <c r="I63" s="607"/>
      <c r="J63" s="607"/>
      <c r="K63" s="607"/>
      <c r="L63" s="607"/>
      <c r="M63" s="607"/>
      <c r="N63" s="607"/>
      <c r="O63" s="607"/>
      <c r="P63" s="632"/>
    </row>
    <row r="64" spans="1:16" x14ac:dyDescent="0.3">
      <c r="A64" s="50"/>
      <c r="B64" s="433">
        <v>21</v>
      </c>
      <c r="C64" s="418" t="s">
        <v>165</v>
      </c>
      <c r="D64" s="255" t="s">
        <v>33</v>
      </c>
      <c r="E64" s="421"/>
      <c r="F64" s="300"/>
      <c r="G64" s="300"/>
      <c r="H64" s="430">
        <v>1</v>
      </c>
      <c r="I64" s="420"/>
      <c r="J64" s="420"/>
      <c r="K64" s="420"/>
      <c r="L64" s="420"/>
      <c r="M64" s="420"/>
      <c r="N64" s="420"/>
      <c r="O64" s="420"/>
      <c r="P64" s="434">
        <f t="shared" si="0"/>
        <v>1</v>
      </c>
    </row>
    <row r="65" spans="1:16" x14ac:dyDescent="0.3">
      <c r="A65" s="50"/>
      <c r="B65" s="433">
        <v>22</v>
      </c>
      <c r="C65" s="418" t="s">
        <v>166</v>
      </c>
      <c r="D65" s="255" t="s">
        <v>33</v>
      </c>
      <c r="E65" s="421"/>
      <c r="F65" s="300"/>
      <c r="G65" s="300"/>
      <c r="H65" s="430">
        <v>1</v>
      </c>
      <c r="I65" s="420"/>
      <c r="J65" s="420"/>
      <c r="K65" s="420"/>
      <c r="L65" s="420"/>
      <c r="M65" s="420"/>
      <c r="N65" s="420"/>
      <c r="O65" s="420"/>
      <c r="P65" s="434">
        <f t="shared" si="0"/>
        <v>1</v>
      </c>
    </row>
    <row r="66" spans="1:16" x14ac:dyDescent="0.3">
      <c r="A66" s="50"/>
      <c r="B66" s="433">
        <v>23</v>
      </c>
      <c r="C66" s="418" t="s">
        <v>167</v>
      </c>
      <c r="D66" s="255" t="s">
        <v>33</v>
      </c>
      <c r="E66" s="421"/>
      <c r="F66" s="300"/>
      <c r="G66" s="300"/>
      <c r="H66" s="430">
        <v>1</v>
      </c>
      <c r="I66" s="420"/>
      <c r="J66" s="420"/>
      <c r="K66" s="420"/>
      <c r="L66" s="420"/>
      <c r="M66" s="420"/>
      <c r="N66" s="420"/>
      <c r="O66" s="420"/>
      <c r="P66" s="434">
        <f t="shared" si="0"/>
        <v>1</v>
      </c>
    </row>
    <row r="67" spans="1:16" x14ac:dyDescent="0.3">
      <c r="A67" s="50"/>
      <c r="B67" s="433">
        <v>24</v>
      </c>
      <c r="C67" s="418" t="s">
        <v>168</v>
      </c>
      <c r="D67" s="255" t="s">
        <v>33</v>
      </c>
      <c r="E67" s="421"/>
      <c r="F67" s="300"/>
      <c r="G67" s="300"/>
      <c r="H67" s="430">
        <v>1</v>
      </c>
      <c r="I67" s="420"/>
      <c r="J67" s="420"/>
      <c r="K67" s="420"/>
      <c r="L67" s="420"/>
      <c r="M67" s="420"/>
      <c r="N67" s="420"/>
      <c r="O67" s="420"/>
      <c r="P67" s="434">
        <f t="shared" si="0"/>
        <v>1</v>
      </c>
    </row>
    <row r="68" spans="1:16" x14ac:dyDescent="0.3">
      <c r="A68" s="50"/>
      <c r="B68" s="435" t="s">
        <v>265</v>
      </c>
      <c r="C68" s="418"/>
      <c r="D68" s="255" t="s">
        <v>251</v>
      </c>
      <c r="E68" s="421"/>
      <c r="F68" s="300"/>
      <c r="G68" s="300"/>
      <c r="H68" s="430"/>
      <c r="I68" s="420"/>
      <c r="J68" s="420"/>
      <c r="K68" s="420"/>
      <c r="L68" s="420"/>
      <c r="M68" s="420"/>
      <c r="N68" s="420"/>
      <c r="O68" s="420"/>
      <c r="P68" s="434"/>
    </row>
    <row r="69" spans="1:16" x14ac:dyDescent="0.3">
      <c r="A69" s="50"/>
      <c r="B69" s="433"/>
      <c r="C69" s="596"/>
      <c r="D69" s="596"/>
      <c r="E69" s="270"/>
      <c r="F69" s="300"/>
      <c r="G69" s="300"/>
      <c r="H69" s="430"/>
      <c r="I69" s="420"/>
      <c r="J69" s="420"/>
      <c r="K69" s="420"/>
      <c r="L69" s="420"/>
      <c r="M69" s="420"/>
      <c r="N69" s="420"/>
      <c r="O69" s="420"/>
      <c r="P69" s="434"/>
    </row>
    <row r="70" spans="1:16" x14ac:dyDescent="0.3">
      <c r="A70" s="50"/>
      <c r="B70" s="433"/>
      <c r="C70" s="596"/>
      <c r="D70" s="596"/>
      <c r="E70" s="270"/>
      <c r="F70" s="300"/>
      <c r="G70" s="300"/>
      <c r="H70" s="430"/>
      <c r="I70" s="420"/>
      <c r="J70" s="420"/>
      <c r="K70" s="420"/>
      <c r="L70" s="420"/>
      <c r="M70" s="420"/>
      <c r="N70" s="420"/>
      <c r="O70" s="420"/>
      <c r="P70" s="434"/>
    </row>
    <row r="71" spans="1:16" x14ac:dyDescent="0.3">
      <c r="A71" s="50"/>
      <c r="B71" s="433"/>
      <c r="C71" s="596"/>
      <c r="D71" s="596"/>
      <c r="E71" s="270"/>
      <c r="F71" s="300"/>
      <c r="G71" s="300"/>
      <c r="H71" s="420"/>
      <c r="I71" s="420"/>
      <c r="J71" s="420"/>
      <c r="K71" s="420"/>
      <c r="L71" s="420"/>
      <c r="M71" s="420"/>
      <c r="N71" s="420"/>
      <c r="O71" s="420"/>
      <c r="P71" s="434">
        <f t="shared" si="0"/>
        <v>0</v>
      </c>
    </row>
    <row r="72" spans="1:16" ht="28.5" customHeight="1" x14ac:dyDescent="0.3">
      <c r="A72" s="50"/>
      <c r="B72" s="631" t="s">
        <v>169</v>
      </c>
      <c r="C72" s="607"/>
      <c r="D72" s="607"/>
      <c r="E72" s="607"/>
      <c r="F72" s="607"/>
      <c r="G72" s="607"/>
      <c r="H72" s="607"/>
      <c r="I72" s="607"/>
      <c r="J72" s="607"/>
      <c r="K72" s="607"/>
      <c r="L72" s="607"/>
      <c r="M72" s="607"/>
      <c r="N72" s="607"/>
      <c r="O72" s="607"/>
      <c r="P72" s="632"/>
    </row>
    <row r="73" spans="1:16" x14ac:dyDescent="0.3">
      <c r="A73" s="50"/>
      <c r="B73" s="433">
        <v>25</v>
      </c>
      <c r="C73" s="418" t="s">
        <v>170</v>
      </c>
      <c r="D73" s="255" t="s">
        <v>33</v>
      </c>
      <c r="E73" s="421"/>
      <c r="F73" s="300"/>
      <c r="G73" s="300"/>
      <c r="H73" s="420"/>
      <c r="I73" s="430">
        <v>1</v>
      </c>
      <c r="J73" s="420"/>
      <c r="K73" s="420"/>
      <c r="L73" s="420"/>
      <c r="M73" s="420"/>
      <c r="N73" s="420"/>
      <c r="O73" s="420"/>
      <c r="P73" s="434">
        <f t="shared" si="0"/>
        <v>1</v>
      </c>
    </row>
    <row r="74" spans="1:16" x14ac:dyDescent="0.3">
      <c r="A74" s="50"/>
      <c r="B74" s="433">
        <v>26</v>
      </c>
      <c r="C74" s="418" t="s">
        <v>171</v>
      </c>
      <c r="D74" s="255" t="s">
        <v>33</v>
      </c>
      <c r="E74" s="421"/>
      <c r="F74" s="300"/>
      <c r="G74" s="300"/>
      <c r="H74" s="420"/>
      <c r="I74" s="430">
        <v>1</v>
      </c>
      <c r="J74" s="420"/>
      <c r="K74" s="420"/>
      <c r="L74" s="420"/>
      <c r="M74" s="420"/>
      <c r="N74" s="420"/>
      <c r="O74" s="420"/>
      <c r="P74" s="434">
        <f t="shared" si="0"/>
        <v>1</v>
      </c>
    </row>
    <row r="75" spans="1:16" ht="27.6" x14ac:dyDescent="0.3">
      <c r="A75" s="50"/>
      <c r="B75" s="433">
        <v>27</v>
      </c>
      <c r="C75" s="418" t="s">
        <v>172</v>
      </c>
      <c r="D75" s="255" t="s">
        <v>33</v>
      </c>
      <c r="E75" s="421"/>
      <c r="F75" s="300"/>
      <c r="G75" s="300"/>
      <c r="H75" s="420"/>
      <c r="I75" s="430">
        <v>0.8</v>
      </c>
      <c r="J75" s="430">
        <v>0.2</v>
      </c>
      <c r="K75" s="420"/>
      <c r="L75" s="420"/>
      <c r="M75" s="420"/>
      <c r="N75" s="420"/>
      <c r="O75" s="420"/>
      <c r="P75" s="434">
        <f t="shared" si="0"/>
        <v>1</v>
      </c>
    </row>
    <row r="76" spans="1:16" ht="27.6" x14ac:dyDescent="0.3">
      <c r="A76" s="50"/>
      <c r="B76" s="433">
        <v>28</v>
      </c>
      <c r="C76" s="418" t="s">
        <v>173</v>
      </c>
      <c r="D76" s="255" t="s">
        <v>33</v>
      </c>
      <c r="E76" s="421"/>
      <c r="F76" s="300"/>
      <c r="G76" s="300"/>
      <c r="H76" s="420"/>
      <c r="I76" s="420"/>
      <c r="J76" s="420"/>
      <c r="K76" s="420"/>
      <c r="L76" s="420"/>
      <c r="M76" s="420"/>
      <c r="N76" s="420"/>
      <c r="O76" s="420"/>
      <c r="P76" s="434">
        <f t="shared" si="0"/>
        <v>0</v>
      </c>
    </row>
    <row r="77" spans="1:16" ht="27.6" x14ac:dyDescent="0.3">
      <c r="A77" s="50"/>
      <c r="B77" s="433">
        <v>29</v>
      </c>
      <c r="C77" s="418" t="s">
        <v>174</v>
      </c>
      <c r="D77" s="255" t="s">
        <v>33</v>
      </c>
      <c r="E77" s="421"/>
      <c r="F77" s="300"/>
      <c r="G77" s="300"/>
      <c r="H77" s="420"/>
      <c r="I77" s="420"/>
      <c r="J77" s="420"/>
      <c r="K77" s="420"/>
      <c r="L77" s="420"/>
      <c r="M77" s="420"/>
      <c r="N77" s="420"/>
      <c r="O77" s="420"/>
      <c r="P77" s="434">
        <f t="shared" si="0"/>
        <v>0</v>
      </c>
    </row>
    <row r="78" spans="1:16" ht="27.6" x14ac:dyDescent="0.3">
      <c r="A78" s="50"/>
      <c r="B78" s="433">
        <v>30</v>
      </c>
      <c r="C78" s="418" t="s">
        <v>175</v>
      </c>
      <c r="D78" s="255" t="s">
        <v>33</v>
      </c>
      <c r="E78" s="421"/>
      <c r="F78" s="300"/>
      <c r="G78" s="300"/>
      <c r="H78" s="420"/>
      <c r="I78" s="420"/>
      <c r="J78" s="420"/>
      <c r="K78" s="420"/>
      <c r="L78" s="420"/>
      <c r="M78" s="420"/>
      <c r="N78" s="420"/>
      <c r="O78" s="420"/>
      <c r="P78" s="434">
        <f t="shared" si="0"/>
        <v>0</v>
      </c>
    </row>
    <row r="79" spans="1:16" ht="27.6" x14ac:dyDescent="0.3">
      <c r="A79" s="50"/>
      <c r="B79" s="433">
        <v>31</v>
      </c>
      <c r="C79" s="418" t="s">
        <v>176</v>
      </c>
      <c r="D79" s="255" t="s">
        <v>33</v>
      </c>
      <c r="E79" s="421"/>
      <c r="F79" s="300"/>
      <c r="G79" s="300"/>
      <c r="H79" s="420"/>
      <c r="I79" s="420"/>
      <c r="J79" s="420"/>
      <c r="K79" s="420"/>
      <c r="L79" s="420"/>
      <c r="M79" s="420"/>
      <c r="N79" s="420"/>
      <c r="O79" s="420"/>
      <c r="P79" s="434">
        <f t="shared" si="0"/>
        <v>0</v>
      </c>
    </row>
    <row r="80" spans="1:16" x14ac:dyDescent="0.3">
      <c r="A80" s="50"/>
      <c r="B80" s="433">
        <v>32</v>
      </c>
      <c r="C80" s="418" t="s">
        <v>177</v>
      </c>
      <c r="D80" s="255" t="s">
        <v>33</v>
      </c>
      <c r="E80" s="421"/>
      <c r="F80" s="300"/>
      <c r="G80" s="300"/>
      <c r="H80" s="420"/>
      <c r="I80" s="420"/>
      <c r="J80" s="420"/>
      <c r="K80" s="420"/>
      <c r="L80" s="420"/>
      <c r="M80" s="420"/>
      <c r="N80" s="420"/>
      <c r="O80" s="420"/>
      <c r="P80" s="434">
        <f t="shared" si="0"/>
        <v>0</v>
      </c>
    </row>
    <row r="81" spans="1:16" x14ac:dyDescent="0.3">
      <c r="A81" s="50"/>
      <c r="B81" s="435" t="s">
        <v>265</v>
      </c>
      <c r="C81" s="418"/>
      <c r="D81" s="255" t="s">
        <v>251</v>
      </c>
      <c r="E81" s="421"/>
      <c r="F81" s="300"/>
      <c r="G81" s="300"/>
      <c r="H81" s="420"/>
      <c r="I81" s="420"/>
      <c r="J81" s="420"/>
      <c r="K81" s="420"/>
      <c r="L81" s="420"/>
      <c r="M81" s="420"/>
      <c r="N81" s="420"/>
      <c r="O81" s="420"/>
      <c r="P81" s="434"/>
    </row>
    <row r="82" spans="1:16" x14ac:dyDescent="0.3">
      <c r="A82" s="50"/>
      <c r="B82" s="433"/>
      <c r="C82" s="596"/>
      <c r="D82" s="596"/>
      <c r="E82" s="270"/>
      <c r="F82" s="300"/>
      <c r="G82" s="300"/>
      <c r="H82" s="420"/>
      <c r="I82" s="420"/>
      <c r="J82" s="420"/>
      <c r="K82" s="420"/>
      <c r="L82" s="420"/>
      <c r="M82" s="420"/>
      <c r="N82" s="420"/>
      <c r="O82" s="420"/>
      <c r="P82" s="434"/>
    </row>
    <row r="83" spans="1:16" x14ac:dyDescent="0.3">
      <c r="A83" s="50"/>
      <c r="B83" s="433"/>
      <c r="C83" s="596"/>
      <c r="D83" s="596"/>
      <c r="E83" s="270"/>
      <c r="F83" s="300"/>
      <c r="G83" s="300"/>
      <c r="H83" s="420"/>
      <c r="I83" s="420"/>
      <c r="J83" s="420"/>
      <c r="K83" s="420"/>
      <c r="L83" s="420"/>
      <c r="M83" s="420"/>
      <c r="N83" s="420"/>
      <c r="O83" s="420"/>
      <c r="P83" s="434"/>
    </row>
    <row r="84" spans="1:16" x14ac:dyDescent="0.3">
      <c r="A84" s="50"/>
      <c r="B84" s="433"/>
      <c r="C84" s="596"/>
      <c r="D84" s="596"/>
      <c r="E84" s="270"/>
      <c r="F84" s="300"/>
      <c r="G84" s="300"/>
      <c r="H84" s="420"/>
      <c r="I84" s="420"/>
      <c r="J84" s="420"/>
      <c r="K84" s="420"/>
      <c r="L84" s="420"/>
      <c r="M84" s="420"/>
      <c r="N84" s="420"/>
      <c r="O84" s="420"/>
      <c r="P84" s="434">
        <f t="shared" ref="P84:P107" si="1">SUM(H84:O84)</f>
        <v>0</v>
      </c>
    </row>
    <row r="85" spans="1:16" ht="25.5" customHeight="1" x14ac:dyDescent="0.3">
      <c r="A85" s="50"/>
      <c r="B85" s="631" t="s">
        <v>178</v>
      </c>
      <c r="C85" s="607"/>
      <c r="D85" s="607"/>
      <c r="E85" s="607"/>
      <c r="F85" s="607"/>
      <c r="G85" s="607"/>
      <c r="H85" s="607"/>
      <c r="I85" s="607"/>
      <c r="J85" s="607"/>
      <c r="K85" s="607"/>
      <c r="L85" s="607"/>
      <c r="M85" s="607"/>
      <c r="N85" s="607"/>
      <c r="O85" s="607"/>
      <c r="P85" s="632"/>
    </row>
    <row r="86" spans="1:16" x14ac:dyDescent="0.3">
      <c r="A86" s="50"/>
      <c r="B86" s="433">
        <v>33</v>
      </c>
      <c r="C86" s="418" t="s">
        <v>179</v>
      </c>
      <c r="D86" s="255" t="s">
        <v>33</v>
      </c>
      <c r="E86" s="421"/>
      <c r="F86" s="300"/>
      <c r="G86" s="300"/>
      <c r="H86" s="426"/>
      <c r="I86" s="426"/>
      <c r="J86" s="426"/>
      <c r="K86" s="426"/>
      <c r="L86" s="426"/>
      <c r="M86" s="426"/>
      <c r="N86" s="426"/>
      <c r="O86" s="426"/>
      <c r="P86" s="434">
        <f t="shared" si="1"/>
        <v>0</v>
      </c>
    </row>
    <row r="87" spans="1:16" x14ac:dyDescent="0.3">
      <c r="A87" s="50"/>
      <c r="B87" s="433">
        <v>34</v>
      </c>
      <c r="C87" s="418" t="s">
        <v>180</v>
      </c>
      <c r="D87" s="255" t="s">
        <v>33</v>
      </c>
      <c r="E87" s="421"/>
      <c r="F87" s="300"/>
      <c r="G87" s="300"/>
      <c r="H87" s="426"/>
      <c r="I87" s="426"/>
      <c r="J87" s="426"/>
      <c r="K87" s="426"/>
      <c r="L87" s="426"/>
      <c r="M87" s="426"/>
      <c r="N87" s="426"/>
      <c r="O87" s="426"/>
      <c r="P87" s="434">
        <f t="shared" si="1"/>
        <v>0</v>
      </c>
    </row>
    <row r="88" spans="1:16" x14ac:dyDescent="0.3">
      <c r="A88" s="50"/>
      <c r="B88" s="433">
        <v>35</v>
      </c>
      <c r="C88" s="418" t="s">
        <v>181</v>
      </c>
      <c r="D88" s="255" t="s">
        <v>33</v>
      </c>
      <c r="E88" s="421"/>
      <c r="F88" s="300"/>
      <c r="G88" s="300"/>
      <c r="H88" s="426"/>
      <c r="I88" s="426"/>
      <c r="J88" s="426"/>
      <c r="K88" s="426"/>
      <c r="L88" s="426"/>
      <c r="M88" s="426"/>
      <c r="N88" s="426"/>
      <c r="O88" s="426"/>
      <c r="P88" s="434">
        <f t="shared" si="1"/>
        <v>0</v>
      </c>
    </row>
    <row r="89" spans="1:16" x14ac:dyDescent="0.3">
      <c r="A89" s="50"/>
      <c r="B89" s="435" t="s">
        <v>265</v>
      </c>
      <c r="C89" s="418"/>
      <c r="D89" s="255" t="s">
        <v>251</v>
      </c>
      <c r="E89" s="421"/>
      <c r="F89" s="300"/>
      <c r="G89" s="300"/>
      <c r="H89" s="426"/>
      <c r="I89" s="426"/>
      <c r="J89" s="426"/>
      <c r="K89" s="426"/>
      <c r="L89" s="426"/>
      <c r="M89" s="426"/>
      <c r="N89" s="426"/>
      <c r="O89" s="426"/>
      <c r="P89" s="434"/>
    </row>
    <row r="90" spans="1:16" x14ac:dyDescent="0.3">
      <c r="A90" s="50"/>
      <c r="B90" s="433"/>
      <c r="C90" s="596"/>
      <c r="D90" s="596"/>
      <c r="E90" s="270"/>
      <c r="F90" s="300"/>
      <c r="G90" s="300"/>
      <c r="H90" s="426"/>
      <c r="I90" s="426"/>
      <c r="J90" s="426"/>
      <c r="K90" s="426"/>
      <c r="L90" s="426"/>
      <c r="M90" s="426"/>
      <c r="N90" s="426"/>
      <c r="O90" s="426"/>
      <c r="P90" s="434"/>
    </row>
    <row r="91" spans="1:16" x14ac:dyDescent="0.3">
      <c r="A91" s="50"/>
      <c r="B91" s="433"/>
      <c r="C91" s="596"/>
      <c r="D91" s="596"/>
      <c r="E91" s="270"/>
      <c r="F91" s="300"/>
      <c r="G91" s="300"/>
      <c r="H91" s="426"/>
      <c r="I91" s="426"/>
      <c r="J91" s="426"/>
      <c r="K91" s="426"/>
      <c r="L91" s="426"/>
      <c r="M91" s="426"/>
      <c r="N91" s="426"/>
      <c r="O91" s="426"/>
      <c r="P91" s="434"/>
    </row>
    <row r="92" spans="1:16" x14ac:dyDescent="0.3">
      <c r="A92" s="50"/>
      <c r="B92" s="433"/>
      <c r="C92" s="596"/>
      <c r="D92" s="596"/>
      <c r="E92" s="270"/>
      <c r="F92" s="300"/>
      <c r="G92" s="300"/>
      <c r="H92" s="426"/>
      <c r="I92" s="426"/>
      <c r="J92" s="426"/>
      <c r="K92" s="426"/>
      <c r="L92" s="426"/>
      <c r="M92" s="426"/>
      <c r="N92" s="426"/>
      <c r="O92" s="426"/>
      <c r="P92" s="434">
        <f t="shared" si="1"/>
        <v>0</v>
      </c>
    </row>
    <row r="93" spans="1:16" ht="24" customHeight="1" x14ac:dyDescent="0.3">
      <c r="A93" s="50"/>
      <c r="B93" s="631" t="s">
        <v>182</v>
      </c>
      <c r="C93" s="607"/>
      <c r="D93" s="607"/>
      <c r="E93" s="607"/>
      <c r="F93" s="607"/>
      <c r="G93" s="607"/>
      <c r="H93" s="607"/>
      <c r="I93" s="607"/>
      <c r="J93" s="607"/>
      <c r="K93" s="607"/>
      <c r="L93" s="607"/>
      <c r="M93" s="607"/>
      <c r="N93" s="607"/>
      <c r="O93" s="607"/>
      <c r="P93" s="632"/>
    </row>
    <row r="94" spans="1:16" ht="41.4" x14ac:dyDescent="0.3">
      <c r="A94" s="50"/>
      <c r="B94" s="433">
        <v>36</v>
      </c>
      <c r="C94" s="418" t="s">
        <v>183</v>
      </c>
      <c r="D94" s="255" t="s">
        <v>33</v>
      </c>
      <c r="E94" s="421"/>
      <c r="F94" s="300"/>
      <c r="G94" s="300"/>
      <c r="H94" s="426"/>
      <c r="I94" s="426"/>
      <c r="J94" s="426"/>
      <c r="K94" s="426"/>
      <c r="L94" s="426"/>
      <c r="M94" s="426"/>
      <c r="N94" s="426"/>
      <c r="O94" s="426"/>
      <c r="P94" s="434">
        <f t="shared" si="1"/>
        <v>0</v>
      </c>
    </row>
    <row r="95" spans="1:16" x14ac:dyDescent="0.3">
      <c r="A95" s="50"/>
      <c r="B95" s="433">
        <v>37</v>
      </c>
      <c r="C95" s="418" t="s">
        <v>184</v>
      </c>
      <c r="D95" s="255" t="s">
        <v>33</v>
      </c>
      <c r="E95" s="421"/>
      <c r="F95" s="300"/>
      <c r="G95" s="300"/>
      <c r="H95" s="426"/>
      <c r="I95" s="426"/>
      <c r="J95" s="426"/>
      <c r="K95" s="426"/>
      <c r="L95" s="426"/>
      <c r="M95" s="426"/>
      <c r="N95" s="426"/>
      <c r="O95" s="426"/>
      <c r="P95" s="434">
        <f t="shared" si="1"/>
        <v>0</v>
      </c>
    </row>
    <row r="96" spans="1:16" x14ac:dyDescent="0.3">
      <c r="A96" s="50"/>
      <c r="B96" s="433">
        <v>38</v>
      </c>
      <c r="C96" s="418" t="s">
        <v>185</v>
      </c>
      <c r="D96" s="255" t="s">
        <v>33</v>
      </c>
      <c r="E96" s="421"/>
      <c r="F96" s="300"/>
      <c r="G96" s="300"/>
      <c r="H96" s="426"/>
      <c r="I96" s="426"/>
      <c r="J96" s="426"/>
      <c r="K96" s="426"/>
      <c r="L96" s="426"/>
      <c r="M96" s="426"/>
      <c r="N96" s="426"/>
      <c r="O96" s="426"/>
      <c r="P96" s="434">
        <f t="shared" si="1"/>
        <v>0</v>
      </c>
    </row>
    <row r="97" spans="1:16" ht="27.6" x14ac:dyDescent="0.3">
      <c r="A97" s="50"/>
      <c r="B97" s="433">
        <v>39</v>
      </c>
      <c r="C97" s="418" t="s">
        <v>186</v>
      </c>
      <c r="D97" s="255" t="s">
        <v>33</v>
      </c>
      <c r="E97" s="421"/>
      <c r="F97" s="300"/>
      <c r="G97" s="300"/>
      <c r="H97" s="426"/>
      <c r="I97" s="426"/>
      <c r="J97" s="426"/>
      <c r="K97" s="426"/>
      <c r="L97" s="426"/>
      <c r="M97" s="426"/>
      <c r="N97" s="426"/>
      <c r="O97" s="426"/>
      <c r="P97" s="434">
        <f t="shared" si="1"/>
        <v>0</v>
      </c>
    </row>
    <row r="98" spans="1:16" ht="27.6" x14ac:dyDescent="0.3">
      <c r="A98" s="50"/>
      <c r="B98" s="433">
        <v>40</v>
      </c>
      <c r="C98" s="418" t="s">
        <v>187</v>
      </c>
      <c r="D98" s="255" t="s">
        <v>33</v>
      </c>
      <c r="E98" s="421"/>
      <c r="F98" s="300"/>
      <c r="G98" s="300"/>
      <c r="H98" s="426"/>
      <c r="I98" s="426"/>
      <c r="J98" s="426"/>
      <c r="K98" s="426"/>
      <c r="L98" s="426"/>
      <c r="M98" s="426"/>
      <c r="N98" s="426"/>
      <c r="O98" s="426"/>
      <c r="P98" s="434">
        <f t="shared" si="1"/>
        <v>0</v>
      </c>
    </row>
    <row r="99" spans="1:16" ht="27.6" x14ac:dyDescent="0.3">
      <c r="A99" s="50"/>
      <c r="B99" s="433">
        <v>41</v>
      </c>
      <c r="C99" s="418" t="s">
        <v>188</v>
      </c>
      <c r="D99" s="255" t="s">
        <v>33</v>
      </c>
      <c r="E99" s="421"/>
      <c r="F99" s="300"/>
      <c r="G99" s="300"/>
      <c r="H99" s="426"/>
      <c r="I99" s="426"/>
      <c r="J99" s="426"/>
      <c r="K99" s="426"/>
      <c r="L99" s="426"/>
      <c r="M99" s="426"/>
      <c r="N99" s="426"/>
      <c r="O99" s="426"/>
      <c r="P99" s="434">
        <f t="shared" si="1"/>
        <v>0</v>
      </c>
    </row>
    <row r="100" spans="1:16" ht="27.6" x14ac:dyDescent="0.3">
      <c r="A100" s="50"/>
      <c r="B100" s="433">
        <v>42</v>
      </c>
      <c r="C100" s="418" t="s">
        <v>189</v>
      </c>
      <c r="D100" s="255" t="s">
        <v>33</v>
      </c>
      <c r="E100" s="421"/>
      <c r="F100" s="300"/>
      <c r="G100" s="300"/>
      <c r="H100" s="426"/>
      <c r="I100" s="426"/>
      <c r="J100" s="426"/>
      <c r="K100" s="426"/>
      <c r="L100" s="426"/>
      <c r="M100" s="426"/>
      <c r="N100" s="426"/>
      <c r="O100" s="426"/>
      <c r="P100" s="434">
        <f t="shared" si="1"/>
        <v>0</v>
      </c>
    </row>
    <row r="101" spans="1:16" x14ac:dyDescent="0.3">
      <c r="A101" s="50"/>
      <c r="B101" s="433">
        <v>43</v>
      </c>
      <c r="C101" s="418" t="s">
        <v>190</v>
      </c>
      <c r="D101" s="255" t="s">
        <v>33</v>
      </c>
      <c r="E101" s="421"/>
      <c r="F101" s="300"/>
      <c r="G101" s="300"/>
      <c r="H101" s="426"/>
      <c r="I101" s="426"/>
      <c r="J101" s="426"/>
      <c r="K101" s="426"/>
      <c r="L101" s="426"/>
      <c r="M101" s="426"/>
      <c r="N101" s="426"/>
      <c r="O101" s="426"/>
      <c r="P101" s="434">
        <f t="shared" si="1"/>
        <v>0</v>
      </c>
    </row>
    <row r="102" spans="1:16" ht="41.4" x14ac:dyDescent="0.3">
      <c r="A102" s="50"/>
      <c r="B102" s="433">
        <v>44</v>
      </c>
      <c r="C102" s="418" t="s">
        <v>191</v>
      </c>
      <c r="D102" s="255" t="s">
        <v>33</v>
      </c>
      <c r="E102" s="421"/>
      <c r="F102" s="300"/>
      <c r="G102" s="300"/>
      <c r="H102" s="426"/>
      <c r="I102" s="426"/>
      <c r="J102" s="426"/>
      <c r="K102" s="426"/>
      <c r="L102" s="426"/>
      <c r="M102" s="426"/>
      <c r="N102" s="426"/>
      <c r="O102" s="426"/>
      <c r="P102" s="434">
        <f t="shared" si="1"/>
        <v>0</v>
      </c>
    </row>
    <row r="103" spans="1:16" ht="27.6" x14ac:dyDescent="0.3">
      <c r="A103" s="50"/>
      <c r="B103" s="433">
        <v>45</v>
      </c>
      <c r="C103" s="418" t="s">
        <v>192</v>
      </c>
      <c r="D103" s="255" t="s">
        <v>33</v>
      </c>
      <c r="E103" s="421"/>
      <c r="F103" s="300"/>
      <c r="G103" s="300"/>
      <c r="H103" s="426"/>
      <c r="I103" s="426"/>
      <c r="J103" s="426"/>
      <c r="K103" s="426"/>
      <c r="L103" s="426"/>
      <c r="M103" s="426"/>
      <c r="N103" s="426"/>
      <c r="O103" s="426"/>
      <c r="P103" s="434">
        <f t="shared" si="1"/>
        <v>0</v>
      </c>
    </row>
    <row r="104" spans="1:16" ht="27.6" x14ac:dyDescent="0.3">
      <c r="A104" s="50"/>
      <c r="B104" s="433">
        <v>46</v>
      </c>
      <c r="C104" s="418" t="s">
        <v>193</v>
      </c>
      <c r="D104" s="255" t="s">
        <v>33</v>
      </c>
      <c r="E104" s="421"/>
      <c r="F104" s="300"/>
      <c r="G104" s="300"/>
      <c r="H104" s="426"/>
      <c r="I104" s="426"/>
      <c r="J104" s="426"/>
      <c r="K104" s="426"/>
      <c r="L104" s="426"/>
      <c r="M104" s="426"/>
      <c r="N104" s="426"/>
      <c r="O104" s="426"/>
      <c r="P104" s="434">
        <f t="shared" si="1"/>
        <v>0</v>
      </c>
    </row>
    <row r="105" spans="1:16" ht="27.6" x14ac:dyDescent="0.3">
      <c r="A105" s="50"/>
      <c r="B105" s="433">
        <v>47</v>
      </c>
      <c r="C105" s="418" t="s">
        <v>194</v>
      </c>
      <c r="D105" s="255" t="s">
        <v>33</v>
      </c>
      <c r="E105" s="421"/>
      <c r="F105" s="300"/>
      <c r="G105" s="300"/>
      <c r="H105" s="426"/>
      <c r="I105" s="426"/>
      <c r="J105" s="426"/>
      <c r="K105" s="426"/>
      <c r="L105" s="426"/>
      <c r="M105" s="426"/>
      <c r="N105" s="426"/>
      <c r="O105" s="426"/>
      <c r="P105" s="434">
        <f t="shared" si="1"/>
        <v>0</v>
      </c>
    </row>
    <row r="106" spans="1:16" ht="27.6" x14ac:dyDescent="0.3">
      <c r="A106" s="50"/>
      <c r="B106" s="433">
        <v>48</v>
      </c>
      <c r="C106" s="418" t="s">
        <v>195</v>
      </c>
      <c r="D106" s="255" t="s">
        <v>33</v>
      </c>
      <c r="E106" s="421"/>
      <c r="F106" s="300"/>
      <c r="G106" s="300"/>
      <c r="H106" s="426"/>
      <c r="I106" s="426"/>
      <c r="J106" s="426"/>
      <c r="K106" s="426"/>
      <c r="L106" s="426"/>
      <c r="M106" s="426"/>
      <c r="N106" s="426"/>
      <c r="O106" s="426"/>
      <c r="P106" s="434">
        <f t="shared" si="1"/>
        <v>0</v>
      </c>
    </row>
    <row r="107" spans="1:16" ht="27.6" x14ac:dyDescent="0.3">
      <c r="A107" s="50"/>
      <c r="B107" s="433">
        <v>49</v>
      </c>
      <c r="C107" s="418" t="s">
        <v>196</v>
      </c>
      <c r="D107" s="255" t="s">
        <v>33</v>
      </c>
      <c r="E107" s="421"/>
      <c r="F107" s="300"/>
      <c r="G107" s="300"/>
      <c r="H107" s="426"/>
      <c r="I107" s="426"/>
      <c r="J107" s="426"/>
      <c r="K107" s="426"/>
      <c r="L107" s="426"/>
      <c r="M107" s="426"/>
      <c r="N107" s="426"/>
      <c r="O107" s="426"/>
      <c r="P107" s="434">
        <f t="shared" si="1"/>
        <v>0</v>
      </c>
    </row>
    <row r="108" spans="1:16" x14ac:dyDescent="0.3">
      <c r="A108" s="50"/>
      <c r="B108" s="435" t="s">
        <v>265</v>
      </c>
      <c r="C108" s="418"/>
      <c r="D108" s="255" t="s">
        <v>251</v>
      </c>
      <c r="E108" s="421"/>
      <c r="F108" s="300"/>
      <c r="G108" s="300"/>
      <c r="H108" s="426"/>
      <c r="I108" s="426"/>
      <c r="J108" s="426"/>
      <c r="K108" s="426"/>
      <c r="L108" s="426"/>
      <c r="M108" s="426"/>
      <c r="N108" s="426"/>
      <c r="O108" s="426"/>
      <c r="P108" s="434"/>
    </row>
    <row r="109" spans="1:16" x14ac:dyDescent="0.3">
      <c r="A109" s="50"/>
      <c r="B109" s="433"/>
      <c r="C109" s="596"/>
      <c r="D109" s="596"/>
      <c r="E109" s="270"/>
      <c r="F109" s="300"/>
      <c r="G109" s="300"/>
      <c r="H109" s="426"/>
      <c r="I109" s="426"/>
      <c r="J109" s="426"/>
      <c r="K109" s="426"/>
      <c r="L109" s="426"/>
      <c r="M109" s="426"/>
      <c r="N109" s="426"/>
      <c r="O109" s="426"/>
      <c r="P109" s="434"/>
    </row>
    <row r="110" spans="1:16" x14ac:dyDescent="0.3">
      <c r="A110" s="50"/>
      <c r="B110" s="433"/>
      <c r="C110" s="596"/>
      <c r="D110" s="596"/>
      <c r="E110" s="270"/>
      <c r="F110" s="300"/>
      <c r="G110" s="300"/>
      <c r="H110" s="426"/>
      <c r="I110" s="426"/>
      <c r="J110" s="426"/>
      <c r="K110" s="426"/>
      <c r="L110" s="426"/>
      <c r="M110" s="426"/>
      <c r="N110" s="426"/>
      <c r="O110" s="426"/>
      <c r="P110" s="434"/>
    </row>
    <row r="111" spans="1:16" x14ac:dyDescent="0.3">
      <c r="A111" s="50"/>
      <c r="B111" s="433"/>
      <c r="C111" s="596"/>
      <c r="D111" s="596"/>
      <c r="E111" s="270"/>
      <c r="F111" s="300"/>
      <c r="G111" s="300"/>
      <c r="H111" s="426"/>
      <c r="I111" s="426"/>
      <c r="J111" s="426"/>
      <c r="K111" s="426"/>
      <c r="L111" s="426"/>
      <c r="M111" s="426"/>
      <c r="N111" s="426"/>
      <c r="O111" s="426"/>
      <c r="P111" s="434"/>
    </row>
    <row r="112" spans="1:16" x14ac:dyDescent="0.3">
      <c r="B112" s="357"/>
      <c r="C112" s="595" t="s">
        <v>219</v>
      </c>
      <c r="D112" s="595"/>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3">
      <c r="B113" s="277"/>
      <c r="C113" s="596" t="s">
        <v>258</v>
      </c>
      <c r="D113" s="596"/>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3">
      <c r="B114" s="277"/>
      <c r="C114" s="596" t="s">
        <v>259</v>
      </c>
      <c r="D114" s="596"/>
      <c r="E114" s="271"/>
      <c r="F114" s="269"/>
      <c r="G114" s="269"/>
      <c r="H114" s="271"/>
      <c r="I114" s="271"/>
      <c r="J114" s="272">
        <f>J113-(E32*G32*J32)</f>
        <v>300</v>
      </c>
      <c r="K114" s="271">
        <f>K113-(E32*G32*K32)</f>
        <v>180</v>
      </c>
      <c r="L114" s="271"/>
      <c r="M114" s="271"/>
      <c r="N114" s="271"/>
      <c r="O114" s="271"/>
      <c r="P114" s="278"/>
    </row>
    <row r="115" spans="2:16" x14ac:dyDescent="0.3">
      <c r="B115" s="279"/>
      <c r="C115" s="597"/>
      <c r="D115" s="597"/>
      <c r="E115" s="264"/>
      <c r="F115" s="262"/>
      <c r="G115" s="262"/>
      <c r="H115" s="264"/>
      <c r="I115" s="264"/>
      <c r="J115" s="264"/>
      <c r="K115" s="264"/>
      <c r="L115" s="264"/>
      <c r="M115" s="264"/>
      <c r="N115" s="264"/>
      <c r="O115" s="264"/>
      <c r="P115" s="280"/>
    </row>
    <row r="116" spans="2:16" x14ac:dyDescent="0.3">
      <c r="B116" s="279"/>
      <c r="C116" s="263"/>
      <c r="D116" s="264"/>
      <c r="E116" s="264"/>
      <c r="F116" s="262"/>
      <c r="G116" s="262"/>
      <c r="H116" s="264"/>
      <c r="I116" s="264"/>
      <c r="J116" s="264"/>
      <c r="K116" s="264"/>
      <c r="L116" s="264"/>
      <c r="M116" s="264"/>
      <c r="N116" s="264"/>
      <c r="O116" s="264"/>
      <c r="P116" s="280"/>
    </row>
    <row r="117" spans="2:16" x14ac:dyDescent="0.3">
      <c r="B117" s="385"/>
      <c r="C117" s="598" t="s">
        <v>324</v>
      </c>
      <c r="D117" s="598"/>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3">
      <c r="B118" s="385"/>
      <c r="C118" s="598" t="s">
        <v>266</v>
      </c>
      <c r="D118" s="598"/>
      <c r="E118" s="264"/>
      <c r="F118" s="266"/>
      <c r="G118" s="266"/>
      <c r="H118" s="300"/>
      <c r="I118" s="300"/>
      <c r="J118" s="300"/>
      <c r="K118" s="300"/>
      <c r="L118" s="300"/>
      <c r="M118" s="300"/>
      <c r="N118" s="300"/>
      <c r="O118" s="255"/>
      <c r="P118" s="281">
        <f>SUM(H118:O118)</f>
        <v>0</v>
      </c>
    </row>
    <row r="119" spans="2:16" x14ac:dyDescent="0.3">
      <c r="B119" s="385"/>
      <c r="C119" s="598" t="s">
        <v>267</v>
      </c>
      <c r="D119" s="598"/>
      <c r="E119" s="264"/>
      <c r="F119" s="266"/>
      <c r="G119" s="266"/>
      <c r="H119" s="300"/>
      <c r="I119" s="300"/>
      <c r="J119" s="300"/>
      <c r="K119" s="300"/>
      <c r="L119" s="300"/>
      <c r="M119" s="300"/>
      <c r="N119" s="300"/>
      <c r="O119" s="255"/>
      <c r="P119" s="281">
        <f>SUM(H119:O119)</f>
        <v>0</v>
      </c>
    </row>
    <row r="120" spans="2:16" x14ac:dyDescent="0.3">
      <c r="B120" s="385"/>
      <c r="C120" s="598" t="s">
        <v>268</v>
      </c>
      <c r="D120" s="598"/>
      <c r="E120" s="264"/>
      <c r="F120" s="266"/>
      <c r="G120" s="266"/>
      <c r="H120" s="300"/>
      <c r="I120" s="300"/>
      <c r="J120" s="300"/>
      <c r="K120" s="300"/>
      <c r="L120" s="300"/>
      <c r="M120" s="300"/>
      <c r="N120" s="300"/>
      <c r="O120" s="255"/>
      <c r="P120" s="281">
        <f t="shared" ref="P120" si="2">SUM(H120:O120)</f>
        <v>0</v>
      </c>
    </row>
    <row r="121" spans="2:16" x14ac:dyDescent="0.3">
      <c r="B121" s="385"/>
      <c r="C121" s="598" t="s">
        <v>269</v>
      </c>
      <c r="D121" s="598"/>
      <c r="E121" s="264"/>
      <c r="F121" s="266"/>
      <c r="G121" s="266"/>
      <c r="H121" s="300"/>
      <c r="I121" s="300"/>
      <c r="J121" s="300"/>
      <c r="K121" s="300"/>
      <c r="L121" s="300"/>
      <c r="M121" s="300"/>
      <c r="N121" s="300"/>
      <c r="O121" s="255"/>
      <c r="P121" s="281">
        <f>SUM(H121:O121)</f>
        <v>0</v>
      </c>
    </row>
    <row r="122" spans="2:16" x14ac:dyDescent="0.3">
      <c r="B122" s="385"/>
      <c r="C122" s="598" t="s">
        <v>270</v>
      </c>
      <c r="D122" s="598"/>
      <c r="E122" s="264"/>
      <c r="F122" s="266"/>
      <c r="G122" s="266"/>
      <c r="H122" s="382">
        <f>'5.  2015 LRAM'!H129*H117</f>
        <v>0</v>
      </c>
      <c r="I122" s="382">
        <f>'5.  2015 LRAM'!I129*I117</f>
        <v>0</v>
      </c>
      <c r="J122" s="382">
        <f>'5.  2015 LRAM'!J128*J117</f>
        <v>0</v>
      </c>
      <c r="K122" s="382">
        <f>'5.  2015 LRAM'!K128*K117</f>
        <v>0</v>
      </c>
      <c r="L122" s="382">
        <f>'5.  2015 LRAM'!L128*L117</f>
        <v>0</v>
      </c>
      <c r="M122" s="382">
        <f>'5.  2015 LRAM'!M128*M117</f>
        <v>0</v>
      </c>
      <c r="N122" s="382">
        <f>'5.  2015 LRAM'!N128*N117</f>
        <v>0</v>
      </c>
      <c r="O122" s="255"/>
      <c r="P122" s="281">
        <f t="shared" ref="P122:P123" si="3">SUM(H122:O122)</f>
        <v>0</v>
      </c>
    </row>
    <row r="123" spans="2:16" x14ac:dyDescent="0.3">
      <c r="B123" s="385"/>
      <c r="C123" s="598" t="s">
        <v>271</v>
      </c>
      <c r="D123" s="598"/>
      <c r="E123" s="264"/>
      <c r="F123" s="266"/>
      <c r="G123" s="266"/>
      <c r="H123" s="382" t="e">
        <f>'5-b. 2016 LRAM'!H125*H117</f>
        <v>#DIV/0!</v>
      </c>
      <c r="I123" s="382" t="e">
        <f>'5-b. 2016 LRAM'!I125*I117</f>
        <v>#DIV/0!</v>
      </c>
      <c r="J123" s="382" t="e">
        <f>'5-b. 2016 LRAM'!J125*J117</f>
        <v>#DIV/0!</v>
      </c>
      <c r="K123" s="382" t="e">
        <f>'5-b. 2016 LRAM'!K125*K117</f>
        <v>#DIV/0!</v>
      </c>
      <c r="L123" s="382">
        <f>'5-b. 2016 LRAM'!L125*L117</f>
        <v>0</v>
      </c>
      <c r="M123" s="382">
        <f>'5-b. 2016 LRAM'!M125*M117</f>
        <v>0</v>
      </c>
      <c r="N123" s="382" t="e">
        <f>'5-b. 2016 LRAM'!N125*N117</f>
        <v>#DIV/0!</v>
      </c>
      <c r="O123" s="255"/>
      <c r="P123" s="281" t="e">
        <f t="shared" si="3"/>
        <v>#DIV/0!</v>
      </c>
    </row>
    <row r="124" spans="2:16" x14ac:dyDescent="0.3">
      <c r="B124" s="385"/>
      <c r="C124" s="598" t="s">
        <v>276</v>
      </c>
      <c r="D124" s="598"/>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3">
      <c r="B125" s="279"/>
      <c r="C125" s="383" t="s">
        <v>272</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3">
      <c r="B126" s="279"/>
      <c r="C126" s="383"/>
      <c r="D126" s="264"/>
      <c r="E126" s="264"/>
      <c r="F126" s="262"/>
      <c r="G126" s="262"/>
      <c r="H126" s="268"/>
      <c r="I126" s="268"/>
      <c r="J126" s="268"/>
      <c r="K126" s="268"/>
      <c r="L126" s="268"/>
      <c r="M126" s="268"/>
      <c r="N126" s="268"/>
      <c r="O126" s="264"/>
      <c r="P126" s="282"/>
    </row>
    <row r="127" spans="2:16" x14ac:dyDescent="0.3">
      <c r="B127" s="427"/>
      <c r="C127" s="598" t="s">
        <v>273</v>
      </c>
      <c r="D127" s="598"/>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3">
      <c r="B128" s="427"/>
      <c r="C128" s="598" t="s">
        <v>274</v>
      </c>
      <c r="D128" s="598"/>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3">
      <c r="B129" s="428"/>
      <c r="C129" s="610" t="s">
        <v>275</v>
      </c>
      <c r="D129" s="610"/>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Heather Dowling</cp:lastModifiedBy>
  <cp:lastPrinted>2016-10-13T15:39:30Z</cp:lastPrinted>
  <dcterms:created xsi:type="dcterms:W3CDTF">2012-03-05T18:56:04Z</dcterms:created>
  <dcterms:modified xsi:type="dcterms:W3CDTF">2017-05-01T17:06:34Z</dcterms:modified>
</cp:coreProperties>
</file>