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115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Sheet1!$A$1:$L$88</definedName>
  </definedNames>
  <calcPr calcId="145621"/>
</workbook>
</file>

<file path=xl/calcChain.xml><?xml version="1.0" encoding="utf-8"?>
<calcChain xmlns="http://schemas.openxmlformats.org/spreadsheetml/2006/main">
  <c r="H84" i="1" l="1"/>
  <c r="I84" i="1" l="1"/>
  <c r="I82" i="1"/>
  <c r="H82" i="1"/>
  <c r="E84" i="1"/>
  <c r="E82" i="1"/>
  <c r="I76" i="1"/>
  <c r="I74" i="1"/>
  <c r="H76" i="1"/>
  <c r="H74" i="1"/>
  <c r="E76" i="1"/>
  <c r="E74" i="1"/>
  <c r="I68" i="1"/>
  <c r="I66" i="1"/>
  <c r="H68" i="1"/>
  <c r="H66" i="1"/>
  <c r="E68" i="1"/>
  <c r="E66" i="1"/>
  <c r="I60" i="1"/>
  <c r="I58" i="1"/>
  <c r="H60" i="1"/>
  <c r="H58" i="1"/>
  <c r="E60" i="1"/>
  <c r="E58" i="1"/>
  <c r="D60" i="1"/>
  <c r="D58" i="1"/>
  <c r="I52" i="1"/>
  <c r="I50" i="1"/>
  <c r="H52" i="1"/>
  <c r="H50" i="1"/>
  <c r="E52" i="1"/>
  <c r="E50" i="1"/>
  <c r="I44" i="1"/>
  <c r="I42" i="1"/>
  <c r="H44" i="1"/>
  <c r="H42" i="1"/>
  <c r="E44" i="1"/>
  <c r="E42" i="1"/>
  <c r="D44" i="1"/>
  <c r="D42" i="1"/>
  <c r="C44" i="1"/>
  <c r="C42" i="1"/>
  <c r="H59" i="1"/>
  <c r="E59" i="1"/>
  <c r="H83" i="1"/>
  <c r="I75" i="1"/>
  <c r="H75" i="1"/>
  <c r="E75" i="1"/>
  <c r="I67" i="1"/>
  <c r="H67" i="1"/>
  <c r="E67" i="1"/>
  <c r="I59" i="1"/>
  <c r="I51" i="1"/>
  <c r="H51" i="1"/>
  <c r="E51" i="1"/>
  <c r="D52" i="1"/>
  <c r="D51" i="1"/>
  <c r="I43" i="1"/>
  <c r="H43" i="1"/>
  <c r="E43" i="1"/>
  <c r="C43" i="1"/>
  <c r="G24" i="1" l="1"/>
  <c r="G20" i="1" l="1"/>
  <c r="C20" i="1"/>
  <c r="J11" i="1"/>
  <c r="F11" i="1"/>
  <c r="I70" i="1"/>
  <c r="H62" i="1"/>
  <c r="H61" i="1"/>
  <c r="I62" i="1"/>
  <c r="E62" i="1"/>
  <c r="D62" i="1"/>
  <c r="H54" i="1"/>
  <c r="H53" i="1"/>
  <c r="D53" i="1"/>
  <c r="I86" i="1"/>
  <c r="H86" i="1"/>
  <c r="E86" i="1"/>
  <c r="D86" i="1"/>
  <c r="I78" i="1"/>
  <c r="H78" i="1"/>
  <c r="E78" i="1"/>
  <c r="D78" i="1"/>
  <c r="D68" i="1"/>
  <c r="E70" i="1"/>
  <c r="J54" i="1"/>
  <c r="J53" i="1"/>
  <c r="J46" i="1"/>
  <c r="J45" i="1"/>
  <c r="J44" i="1"/>
  <c r="J43" i="1"/>
  <c r="J42" i="1"/>
  <c r="F44" i="1"/>
  <c r="F43" i="1"/>
  <c r="F42" i="1"/>
  <c r="J81" i="1"/>
  <c r="I81" i="1"/>
  <c r="H81" i="1"/>
  <c r="G81" i="1"/>
  <c r="L11" i="1" l="1"/>
  <c r="K11" i="1"/>
  <c r="K20" i="1"/>
  <c r="J20" i="1"/>
  <c r="F20" i="1"/>
  <c r="C29" i="1" l="1"/>
  <c r="G29" i="1"/>
  <c r="J29" i="1" s="1"/>
  <c r="G38" i="1" s="1"/>
  <c r="J38" i="1" s="1"/>
  <c r="L20" i="1"/>
  <c r="G19" i="1"/>
  <c r="G18" i="1"/>
  <c r="G17" i="1"/>
  <c r="G16" i="1"/>
  <c r="G15" i="1"/>
  <c r="C19" i="1"/>
  <c r="K19" i="1" s="1"/>
  <c r="C18" i="1"/>
  <c r="C17" i="1"/>
  <c r="C16" i="1"/>
  <c r="C15" i="1"/>
  <c r="L10" i="1"/>
  <c r="K10" i="1"/>
  <c r="L9" i="1"/>
  <c r="K9" i="1"/>
  <c r="L8" i="1"/>
  <c r="K8" i="1"/>
  <c r="L7" i="1"/>
  <c r="K7" i="1"/>
  <c r="L6" i="1"/>
  <c r="K6" i="1"/>
  <c r="J5" i="1"/>
  <c r="I5" i="1"/>
  <c r="H5" i="1"/>
  <c r="G5" i="1"/>
  <c r="G62" i="1"/>
  <c r="J62" i="1" s="1"/>
  <c r="G70" i="1" s="1"/>
  <c r="J70" i="1" s="1"/>
  <c r="G61" i="1"/>
  <c r="J61" i="1" s="1"/>
  <c r="G69" i="1" s="1"/>
  <c r="J69" i="1" s="1"/>
  <c r="G54" i="1"/>
  <c r="G53" i="1"/>
  <c r="G52" i="1"/>
  <c r="J52" i="1" s="1"/>
  <c r="G60" i="1" s="1"/>
  <c r="J60" i="1" s="1"/>
  <c r="G68" i="1" s="1"/>
  <c r="J68" i="1" s="1"/>
  <c r="G76" i="1" s="1"/>
  <c r="J76" i="1" s="1"/>
  <c r="G84" i="1" s="1"/>
  <c r="J84" i="1" s="1"/>
  <c r="G51" i="1"/>
  <c r="J51" i="1" s="1"/>
  <c r="G59" i="1" s="1"/>
  <c r="J59" i="1" s="1"/>
  <c r="G67" i="1" s="1"/>
  <c r="J67" i="1" s="1"/>
  <c r="G75" i="1" s="1"/>
  <c r="J75" i="1" s="1"/>
  <c r="G83" i="1" s="1"/>
  <c r="J83" i="1" s="1"/>
  <c r="G50" i="1"/>
  <c r="J50" i="1" s="1"/>
  <c r="G58" i="1" s="1"/>
  <c r="J58" i="1" s="1"/>
  <c r="G66" i="1" s="1"/>
  <c r="J66" i="1" s="1"/>
  <c r="G74" i="1" s="1"/>
  <c r="J74" i="1" s="1"/>
  <c r="G82" i="1" s="1"/>
  <c r="J82" i="1" s="1"/>
  <c r="G37" i="1"/>
  <c r="G36" i="1"/>
  <c r="G35" i="1"/>
  <c r="G34" i="1"/>
  <c r="G33" i="1"/>
  <c r="G28" i="1"/>
  <c r="K28" i="1" s="1"/>
  <c r="G27" i="1"/>
  <c r="K27" i="1" s="1"/>
  <c r="G26" i="1"/>
  <c r="G25" i="1"/>
  <c r="C52" i="1"/>
  <c r="F52" i="1" s="1"/>
  <c r="C60" i="1" s="1"/>
  <c r="F60" i="1" s="1"/>
  <c r="C51" i="1"/>
  <c r="F51" i="1" s="1"/>
  <c r="C50" i="1"/>
  <c r="F50" i="1" s="1"/>
  <c r="C58" i="1" s="1"/>
  <c r="F58" i="1" s="1"/>
  <c r="C37" i="1"/>
  <c r="C36" i="1"/>
  <c r="C35" i="1"/>
  <c r="C34" i="1"/>
  <c r="C33" i="1"/>
  <c r="C28" i="1"/>
  <c r="C27" i="1"/>
  <c r="C26" i="1"/>
  <c r="C25" i="1"/>
  <c r="L37" i="1"/>
  <c r="L36" i="1"/>
  <c r="L35" i="1"/>
  <c r="L34" i="1"/>
  <c r="L33" i="1"/>
  <c r="L28" i="1"/>
  <c r="C46" i="1" s="1"/>
  <c r="F46" i="1" s="1"/>
  <c r="C54" i="1" s="1"/>
  <c r="F54" i="1" s="1"/>
  <c r="L27" i="1"/>
  <c r="C45" i="1" s="1"/>
  <c r="F45" i="1" s="1"/>
  <c r="L45" i="1" s="1"/>
  <c r="L26" i="1"/>
  <c r="L25" i="1"/>
  <c r="L24" i="1"/>
  <c r="L19" i="1"/>
  <c r="L18" i="1"/>
  <c r="L17" i="1"/>
  <c r="L16" i="1"/>
  <c r="L15" i="1"/>
  <c r="L44" i="1"/>
  <c r="L43" i="1"/>
  <c r="J73" i="1"/>
  <c r="I73" i="1"/>
  <c r="H73" i="1"/>
  <c r="G73" i="1"/>
  <c r="J65" i="1"/>
  <c r="I65" i="1"/>
  <c r="H65" i="1"/>
  <c r="G65" i="1"/>
  <c r="J57" i="1"/>
  <c r="I57" i="1"/>
  <c r="H57" i="1"/>
  <c r="G57" i="1"/>
  <c r="J49" i="1"/>
  <c r="I49" i="1"/>
  <c r="H49" i="1"/>
  <c r="G49" i="1"/>
  <c r="L42" i="1"/>
  <c r="J41" i="1"/>
  <c r="I41" i="1"/>
  <c r="H41" i="1"/>
  <c r="G41" i="1"/>
  <c r="J32" i="1"/>
  <c r="I32" i="1"/>
  <c r="H32" i="1"/>
  <c r="G32" i="1"/>
  <c r="J23" i="1"/>
  <c r="I23" i="1"/>
  <c r="H23" i="1"/>
  <c r="G23" i="1"/>
  <c r="J14" i="1"/>
  <c r="I14" i="1"/>
  <c r="H14" i="1"/>
  <c r="G14" i="1"/>
  <c r="C66" i="1" l="1"/>
  <c r="F66" i="1" s="1"/>
  <c r="L58" i="1"/>
  <c r="L50" i="1"/>
  <c r="L51" i="1"/>
  <c r="L52" i="1"/>
  <c r="L60" i="1"/>
  <c r="C68" i="1"/>
  <c r="F68" i="1" s="1"/>
  <c r="C59" i="1"/>
  <c r="F59" i="1" s="1"/>
  <c r="K46" i="1"/>
  <c r="L46" i="1"/>
  <c r="C62" i="1"/>
  <c r="F62" i="1" s="1"/>
  <c r="C70" i="1" s="1"/>
  <c r="F70" i="1" s="1"/>
  <c r="C78" i="1" s="1"/>
  <c r="F78" i="1" s="1"/>
  <c r="L54" i="1"/>
  <c r="C53" i="1"/>
  <c r="F53" i="1" s="1"/>
  <c r="K45" i="1"/>
  <c r="K15" i="1"/>
  <c r="F29" i="1"/>
  <c r="K29" i="1"/>
  <c r="G78" i="1"/>
  <c r="J78" i="1" s="1"/>
  <c r="G86" i="1" s="1"/>
  <c r="J86" i="1" s="1"/>
  <c r="G77" i="1"/>
  <c r="J77" i="1" s="1"/>
  <c r="G85" i="1" s="1"/>
  <c r="J85" i="1" s="1"/>
  <c r="K59" i="1"/>
  <c r="K44" i="1"/>
  <c r="K26" i="1"/>
  <c r="K17" i="1"/>
  <c r="K18" i="1"/>
  <c r="K16" i="1"/>
  <c r="K54" i="1"/>
  <c r="K53" i="1"/>
  <c r="K58" i="1"/>
  <c r="K60" i="1"/>
  <c r="K50" i="1"/>
  <c r="K51" i="1"/>
  <c r="K52" i="1"/>
  <c r="K42" i="1"/>
  <c r="K43" i="1"/>
  <c r="K25" i="1"/>
  <c r="K24" i="1"/>
  <c r="K66" i="1" l="1"/>
  <c r="L66" i="1"/>
  <c r="C74" i="1"/>
  <c r="K68" i="1"/>
  <c r="C76" i="1"/>
  <c r="L68" i="1"/>
  <c r="C67" i="1"/>
  <c r="L59" i="1"/>
  <c r="L70" i="1"/>
  <c r="L29" i="1"/>
  <c r="C38" i="1"/>
  <c r="K70" i="1"/>
  <c r="L62" i="1"/>
  <c r="C61" i="1"/>
  <c r="L53" i="1"/>
  <c r="K62" i="1"/>
  <c r="K78" i="1"/>
  <c r="C86" i="1"/>
  <c r="L78" i="1"/>
  <c r="F74" i="1" l="1"/>
  <c r="K74" i="1"/>
  <c r="F76" i="1"/>
  <c r="K76" i="1"/>
  <c r="F67" i="1"/>
  <c r="K67" i="1"/>
  <c r="F38" i="1"/>
  <c r="L38" i="1" s="1"/>
  <c r="K38" i="1"/>
  <c r="K61" i="1"/>
  <c r="F61" i="1"/>
  <c r="F86" i="1"/>
  <c r="L86" i="1" s="1"/>
  <c r="K86" i="1"/>
  <c r="C82" i="1" l="1"/>
  <c r="L74" i="1"/>
  <c r="C84" i="1"/>
  <c r="L76" i="1"/>
  <c r="L67" i="1"/>
  <c r="C75" i="1"/>
  <c r="C69" i="1"/>
  <c r="L61" i="1"/>
  <c r="F82" i="1" l="1"/>
  <c r="L82" i="1" s="1"/>
  <c r="K82" i="1"/>
  <c r="F84" i="1"/>
  <c r="L84" i="1" s="1"/>
  <c r="K84" i="1"/>
  <c r="F75" i="1"/>
  <c r="K75" i="1"/>
  <c r="F69" i="1"/>
  <c r="K69" i="1"/>
  <c r="C83" i="1" l="1"/>
  <c r="L75" i="1"/>
  <c r="C77" i="1"/>
  <c r="L69" i="1"/>
  <c r="F83" i="1" l="1"/>
  <c r="L83" i="1" s="1"/>
  <c r="K83" i="1"/>
  <c r="K77" i="1"/>
  <c r="F77" i="1"/>
  <c r="C85" i="1" l="1"/>
  <c r="L77" i="1"/>
  <c r="F85" i="1" l="1"/>
  <c r="L85" i="1" s="1"/>
  <c r="K85" i="1"/>
</calcChain>
</file>

<file path=xl/sharedStrings.xml><?xml version="1.0" encoding="utf-8"?>
<sst xmlns="http://schemas.openxmlformats.org/spreadsheetml/2006/main" count="186" uniqueCount="26">
  <si>
    <t>Account 1860</t>
  </si>
  <si>
    <t>Conventional Meters</t>
  </si>
  <si>
    <t>Residential</t>
  </si>
  <si>
    <t>GS &lt; 50 kW</t>
  </si>
  <si>
    <t>Meters</t>
  </si>
  <si>
    <t>Smart Meters</t>
  </si>
  <si>
    <t>January 1 Opening Balance</t>
  </si>
  <si>
    <t>Additions</t>
  </si>
  <si>
    <t>Removals</t>
  </si>
  <si>
    <t>December 31 Closing Balance</t>
  </si>
  <si>
    <t>Gross Book Value</t>
  </si>
  <si>
    <t>Accumulated Depreciation</t>
  </si>
  <si>
    <t>Net Book Value</t>
  </si>
  <si>
    <t>Other Classes and Wholesale Meters (1)</t>
  </si>
  <si>
    <t>Note (1): If applicable for wholesale meters. Do not include Wholesale Meters whose costs are recorded in another account.</t>
  </si>
  <si>
    <t>Total 1860</t>
  </si>
  <si>
    <t>2008 - CGAAP</t>
  </si>
  <si>
    <t>2009 - CGAAP</t>
  </si>
  <si>
    <t>2010 - CGAAP</t>
  </si>
  <si>
    <t>2011 - CGAAP</t>
  </si>
  <si>
    <t>2011 - MIFRS</t>
  </si>
  <si>
    <t>2012 - MIFRS</t>
  </si>
  <si>
    <t>2013 - MIFRS</t>
  </si>
  <si>
    <t>2014 - MIFRS</t>
  </si>
  <si>
    <t>2015 - MIFRS</t>
  </si>
  <si>
    <t>2016 - MIFRS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</si>
</sst>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_-;_-@_-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vertical="top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0" xfId="0" applyBorder="1"/>
    <xf numFmtId="0" fontId="0" fillId="0" borderId="15" xfId="0" applyBorder="1"/>
    <xf numFmtId="0" fontId="0" fillId="0" borderId="10" xfId="0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0" xfId="0" applyBorder="1" applyAlignment="1">
      <alignment wrapText="1"/>
    </xf>
    <xf numFmtId="164" fontId="0" fillId="2" borderId="27" xfId="1" applyNumberFormat="1" applyFont="1" applyFill="1" applyBorder="1"/>
    <xf numFmtId="164" fontId="0" fillId="2" borderId="0" xfId="0" applyNumberFormat="1" applyFill="1" applyBorder="1"/>
    <xf numFmtId="164" fontId="0" fillId="2" borderId="28" xfId="0" applyNumberFormat="1" applyFill="1" applyBorder="1"/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16" xfId="1" applyNumberFormat="1" applyFont="1" applyBorder="1"/>
    <xf numFmtId="164" fontId="0" fillId="0" borderId="6" xfId="1" applyNumberFormat="1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15" xfId="1" applyNumberFormat="1" applyFont="1" applyBorder="1"/>
    <xf numFmtId="164" fontId="0" fillId="0" borderId="7" xfId="1" applyNumberFormat="1" applyFont="1" applyBorder="1"/>
    <xf numFmtId="164" fontId="0" fillId="0" borderId="22" xfId="1" applyNumberFormat="1" applyFont="1" applyBorder="1"/>
    <xf numFmtId="164" fontId="0" fillId="0" borderId="17" xfId="1" applyNumberFormat="1" applyFont="1" applyBorder="1"/>
    <xf numFmtId="164" fontId="0" fillId="0" borderId="19" xfId="1" applyNumberFormat="1" applyFont="1" applyBorder="1"/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4" fillId="0" borderId="10" xfId="0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164" fontId="4" fillId="0" borderId="21" xfId="1" applyNumberFormat="1" applyFont="1" applyBorder="1"/>
    <xf numFmtId="0" fontId="4" fillId="0" borderId="0" xfId="0" applyFont="1"/>
    <xf numFmtId="0" fontId="4" fillId="0" borderId="7" xfId="0" applyFont="1" applyBorder="1"/>
    <xf numFmtId="164" fontId="4" fillId="0" borderId="15" xfId="1" applyNumberFormat="1" applyFont="1" applyBorder="1"/>
    <xf numFmtId="164" fontId="4" fillId="0" borderId="22" xfId="1" applyNumberFormat="1" applyFont="1" applyBorder="1"/>
    <xf numFmtId="43" fontId="4" fillId="0" borderId="0" xfId="0" applyNumberFormat="1" applyFont="1"/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1" fillId="4" borderId="2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3" borderId="2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164" fontId="4" fillId="0" borderId="10" xfId="1" applyNumberFormat="1" applyFont="1" applyFill="1" applyBorder="1"/>
    <xf numFmtId="164" fontId="4" fillId="0" borderId="15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showGridLines="0" tabSelected="1" topLeftCell="A45" workbookViewId="0">
      <selection activeCell="G60" sqref="G60"/>
    </sheetView>
  </sheetViews>
  <sheetFormatPr defaultRowHeight="15" x14ac:dyDescent="0.25"/>
  <cols>
    <col min="1" max="1" width="17.140625" customWidth="1"/>
    <col min="2" max="2" width="15.85546875" customWidth="1"/>
    <col min="3" max="3" width="11.140625" customWidth="1"/>
    <col min="4" max="5" width="10.5703125" bestFit="1" customWidth="1"/>
    <col min="6" max="6" width="12.42578125" customWidth="1"/>
    <col min="7" max="7" width="10.7109375" bestFit="1" customWidth="1"/>
    <col min="8" max="9" width="10.5703125" bestFit="1" customWidth="1"/>
    <col min="10" max="10" width="12.28515625" customWidth="1"/>
    <col min="11" max="11" width="13.28515625" bestFit="1" customWidth="1"/>
    <col min="12" max="12" width="13" customWidth="1"/>
    <col min="14" max="14" width="13.28515625" bestFit="1" customWidth="1"/>
    <col min="15" max="15" width="10.5703125" bestFit="1" customWidth="1"/>
  </cols>
  <sheetData>
    <row r="1" spans="1:12" ht="18.75" x14ac:dyDescent="0.3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</row>
    <row r="2" spans="1:12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5">
      <c r="A3" s="2"/>
      <c r="B3" s="5"/>
      <c r="C3" s="61" t="s">
        <v>16</v>
      </c>
      <c r="D3" s="62"/>
      <c r="E3" s="62"/>
      <c r="F3" s="62"/>
      <c r="G3" s="62"/>
      <c r="H3" s="62"/>
      <c r="I3" s="62"/>
      <c r="J3" s="62"/>
      <c r="K3" s="62"/>
      <c r="L3" s="63"/>
    </row>
    <row r="4" spans="1:12" x14ac:dyDescent="0.25">
      <c r="A4" s="3"/>
      <c r="B4" s="6"/>
      <c r="C4" s="55" t="s">
        <v>10</v>
      </c>
      <c r="D4" s="56"/>
      <c r="E4" s="56"/>
      <c r="F4" s="57"/>
      <c r="G4" s="56" t="s">
        <v>11</v>
      </c>
      <c r="H4" s="56"/>
      <c r="I4" s="56"/>
      <c r="J4" s="57"/>
      <c r="K4" s="55" t="s">
        <v>12</v>
      </c>
      <c r="L4" s="58"/>
    </row>
    <row r="5" spans="1:12" ht="45" x14ac:dyDescent="0.25">
      <c r="A5" s="4"/>
      <c r="B5" s="7"/>
      <c r="C5" s="13" t="s">
        <v>6</v>
      </c>
      <c r="D5" s="14" t="s">
        <v>7</v>
      </c>
      <c r="E5" s="14" t="s">
        <v>8</v>
      </c>
      <c r="F5" s="12" t="s">
        <v>9</v>
      </c>
      <c r="G5" s="17" t="str">
        <f>C5</f>
        <v>January 1 Opening Balance</v>
      </c>
      <c r="H5" s="15" t="str">
        <f>D5</f>
        <v>Additions</v>
      </c>
      <c r="I5" s="15" t="str">
        <f>E5</f>
        <v>Removals</v>
      </c>
      <c r="J5" s="12" t="str">
        <f>F5</f>
        <v>December 31 Closing Balance</v>
      </c>
      <c r="K5" s="17" t="s">
        <v>6</v>
      </c>
      <c r="L5" s="21" t="s">
        <v>9</v>
      </c>
    </row>
    <row r="6" spans="1:12" x14ac:dyDescent="0.25">
      <c r="A6" s="59" t="s">
        <v>1</v>
      </c>
      <c r="B6" s="15" t="s">
        <v>2</v>
      </c>
      <c r="C6" s="15"/>
      <c r="D6" s="15"/>
      <c r="E6" s="15"/>
      <c r="F6" s="11"/>
      <c r="G6" s="15"/>
      <c r="H6" s="15"/>
      <c r="I6" s="15"/>
      <c r="J6" s="11"/>
      <c r="K6" s="15">
        <f>C6+G6</f>
        <v>0</v>
      </c>
      <c r="L6" s="15">
        <f>F6+J6</f>
        <v>0</v>
      </c>
    </row>
    <row r="7" spans="1:12" x14ac:dyDescent="0.25">
      <c r="A7" s="60"/>
      <c r="B7" s="7" t="s">
        <v>3</v>
      </c>
      <c r="C7" s="14"/>
      <c r="D7" s="14"/>
      <c r="E7" s="14"/>
      <c r="F7" s="7"/>
      <c r="G7" s="14"/>
      <c r="H7" s="14"/>
      <c r="I7" s="14"/>
      <c r="J7" s="7"/>
      <c r="K7" s="14">
        <f t="shared" ref="K7:K10" si="0">C7+G7</f>
        <v>0</v>
      </c>
      <c r="L7" s="18">
        <f t="shared" ref="L7:L10" si="1">F7+J7</f>
        <v>0</v>
      </c>
    </row>
    <row r="8" spans="1:12" ht="45" x14ac:dyDescent="0.25">
      <c r="A8" s="9" t="s">
        <v>4</v>
      </c>
      <c r="B8" s="10" t="s">
        <v>13</v>
      </c>
      <c r="C8" s="15"/>
      <c r="D8" s="15"/>
      <c r="E8" s="15"/>
      <c r="F8" s="11"/>
      <c r="G8" s="15"/>
      <c r="H8" s="15"/>
      <c r="I8" s="15"/>
      <c r="J8" s="11"/>
      <c r="K8" s="15">
        <f t="shared" si="0"/>
        <v>0</v>
      </c>
      <c r="L8" s="19">
        <f t="shared" si="1"/>
        <v>0</v>
      </c>
    </row>
    <row r="9" spans="1:12" x14ac:dyDescent="0.25">
      <c r="A9" s="64" t="s">
        <v>5</v>
      </c>
      <c r="B9" s="15" t="s">
        <v>2</v>
      </c>
      <c r="C9" s="15"/>
      <c r="D9" s="15"/>
      <c r="E9" s="15"/>
      <c r="F9" s="11"/>
      <c r="G9" s="15"/>
      <c r="H9" s="15"/>
      <c r="I9" s="15"/>
      <c r="J9" s="11"/>
      <c r="K9" s="15">
        <f t="shared" si="0"/>
        <v>0</v>
      </c>
      <c r="L9" s="19">
        <f t="shared" si="1"/>
        <v>0</v>
      </c>
    </row>
    <row r="10" spans="1:12" ht="15.75" thickBot="1" x14ac:dyDescent="0.3">
      <c r="A10" s="65"/>
      <c r="B10" s="8" t="s">
        <v>3</v>
      </c>
      <c r="C10" s="16"/>
      <c r="D10" s="16"/>
      <c r="E10" s="16"/>
      <c r="F10" s="8"/>
      <c r="G10" s="16"/>
      <c r="H10" s="16"/>
      <c r="I10" s="16"/>
      <c r="J10" s="8"/>
      <c r="K10" s="16">
        <f t="shared" si="0"/>
        <v>0</v>
      </c>
      <c r="L10" s="20">
        <f t="shared" si="1"/>
        <v>0</v>
      </c>
    </row>
    <row r="11" spans="1:12" ht="15.75" thickBot="1" x14ac:dyDescent="0.3">
      <c r="A11" s="25" t="s">
        <v>15</v>
      </c>
      <c r="B11" s="26"/>
      <c r="C11" s="22">
        <v>7755920.0700000003</v>
      </c>
      <c r="D11" s="22">
        <v>584418.6</v>
      </c>
      <c r="E11" s="22">
        <v>0</v>
      </c>
      <c r="F11" s="23">
        <f>SUM(C11:E11)</f>
        <v>8340338.6699999999</v>
      </c>
      <c r="G11" s="23">
        <v>-2830202.99</v>
      </c>
      <c r="H11" s="23">
        <v>-389007.35</v>
      </c>
      <c r="I11" s="23">
        <v>0</v>
      </c>
      <c r="J11" s="23">
        <f>SUM(G11:I11)</f>
        <v>-3219210.3400000003</v>
      </c>
      <c r="K11" s="23">
        <f>C11+G11</f>
        <v>4925717.08</v>
      </c>
      <c r="L11" s="24">
        <f>F11+J11</f>
        <v>5121128.33</v>
      </c>
    </row>
    <row r="12" spans="1:12" x14ac:dyDescent="0.25">
      <c r="A12" s="2"/>
      <c r="B12" s="5"/>
      <c r="C12" s="61" t="s">
        <v>17</v>
      </c>
      <c r="D12" s="62"/>
      <c r="E12" s="62"/>
      <c r="F12" s="62"/>
      <c r="G12" s="62"/>
      <c r="H12" s="62"/>
      <c r="I12" s="62"/>
      <c r="J12" s="62"/>
      <c r="K12" s="62"/>
      <c r="L12" s="63"/>
    </row>
    <row r="13" spans="1:12" x14ac:dyDescent="0.25">
      <c r="A13" s="3"/>
      <c r="B13" s="6"/>
      <c r="C13" s="55" t="s">
        <v>10</v>
      </c>
      <c r="D13" s="56"/>
      <c r="E13" s="56"/>
      <c r="F13" s="57"/>
      <c r="G13" s="56" t="s">
        <v>11</v>
      </c>
      <c r="H13" s="56"/>
      <c r="I13" s="56"/>
      <c r="J13" s="57"/>
      <c r="K13" s="55" t="s">
        <v>12</v>
      </c>
      <c r="L13" s="58"/>
    </row>
    <row r="14" spans="1:12" ht="45.75" customHeight="1" x14ac:dyDescent="0.25">
      <c r="A14" s="4"/>
      <c r="B14" s="7"/>
      <c r="C14" s="13" t="s">
        <v>6</v>
      </c>
      <c r="D14" s="14" t="s">
        <v>7</v>
      </c>
      <c r="E14" s="14" t="s">
        <v>8</v>
      </c>
      <c r="F14" s="12" t="s">
        <v>9</v>
      </c>
      <c r="G14" s="17" t="str">
        <f>C14</f>
        <v>January 1 Opening Balance</v>
      </c>
      <c r="H14" s="15" t="str">
        <f>D14</f>
        <v>Additions</v>
      </c>
      <c r="I14" s="15" t="str">
        <f>E14</f>
        <v>Removals</v>
      </c>
      <c r="J14" s="12" t="str">
        <f>F14</f>
        <v>December 31 Closing Balance</v>
      </c>
      <c r="K14" s="17" t="s">
        <v>6</v>
      </c>
      <c r="L14" s="21" t="s">
        <v>9</v>
      </c>
    </row>
    <row r="15" spans="1:12" x14ac:dyDescent="0.25">
      <c r="A15" s="59" t="s">
        <v>1</v>
      </c>
      <c r="B15" s="15" t="s">
        <v>2</v>
      </c>
      <c r="C15" s="15">
        <f t="shared" ref="C15:C20" si="2">F6</f>
        <v>0</v>
      </c>
      <c r="D15" s="15"/>
      <c r="E15" s="15"/>
      <c r="F15" s="11"/>
      <c r="G15" s="15">
        <f t="shared" ref="G15:G20" si="3">J6</f>
        <v>0</v>
      </c>
      <c r="H15" s="15"/>
      <c r="I15" s="15"/>
      <c r="J15" s="11"/>
      <c r="K15" s="15">
        <f>C15+G15</f>
        <v>0</v>
      </c>
      <c r="L15" s="15">
        <f>F15+J15</f>
        <v>0</v>
      </c>
    </row>
    <row r="16" spans="1:12" x14ac:dyDescent="0.25">
      <c r="A16" s="60"/>
      <c r="B16" s="7" t="s">
        <v>3</v>
      </c>
      <c r="C16" s="14">
        <f t="shared" si="2"/>
        <v>0</v>
      </c>
      <c r="D16" s="14"/>
      <c r="E16" s="14"/>
      <c r="F16" s="7"/>
      <c r="G16" s="14">
        <f t="shared" si="3"/>
        <v>0</v>
      </c>
      <c r="H16" s="14"/>
      <c r="I16" s="14"/>
      <c r="J16" s="7"/>
      <c r="K16" s="14">
        <f t="shared" ref="K16:K19" si="4">C16+G16</f>
        <v>0</v>
      </c>
      <c r="L16" s="18">
        <f t="shared" ref="L16:L19" si="5">F16+J16</f>
        <v>0</v>
      </c>
    </row>
    <row r="17" spans="1:13" ht="45" x14ac:dyDescent="0.25">
      <c r="A17" s="9" t="s">
        <v>4</v>
      </c>
      <c r="B17" s="10" t="s">
        <v>13</v>
      </c>
      <c r="C17" s="15">
        <f t="shared" si="2"/>
        <v>0</v>
      </c>
      <c r="D17" s="15"/>
      <c r="E17" s="15"/>
      <c r="F17" s="11"/>
      <c r="G17" s="15">
        <f t="shared" si="3"/>
        <v>0</v>
      </c>
      <c r="H17" s="15"/>
      <c r="I17" s="15"/>
      <c r="J17" s="11"/>
      <c r="K17" s="15">
        <f t="shared" si="4"/>
        <v>0</v>
      </c>
      <c r="L17" s="19">
        <f t="shared" si="5"/>
        <v>0</v>
      </c>
    </row>
    <row r="18" spans="1:13" x14ac:dyDescent="0.25">
      <c r="A18" s="64" t="s">
        <v>5</v>
      </c>
      <c r="B18" s="15" t="s">
        <v>2</v>
      </c>
      <c r="C18" s="15">
        <f t="shared" si="2"/>
        <v>0</v>
      </c>
      <c r="D18" s="15"/>
      <c r="E18" s="15"/>
      <c r="F18" s="11"/>
      <c r="G18" s="15">
        <f t="shared" si="3"/>
        <v>0</v>
      </c>
      <c r="H18" s="15"/>
      <c r="I18" s="15"/>
      <c r="J18" s="11"/>
      <c r="K18" s="15">
        <f t="shared" si="4"/>
        <v>0</v>
      </c>
      <c r="L18" s="19">
        <f t="shared" si="5"/>
        <v>0</v>
      </c>
    </row>
    <row r="19" spans="1:13" ht="15.75" thickBot="1" x14ac:dyDescent="0.3">
      <c r="A19" s="65"/>
      <c r="B19" s="8" t="s">
        <v>3</v>
      </c>
      <c r="C19" s="16">
        <f t="shared" si="2"/>
        <v>0</v>
      </c>
      <c r="D19" s="16"/>
      <c r="E19" s="16"/>
      <c r="F19" s="8"/>
      <c r="G19" s="16">
        <f t="shared" si="3"/>
        <v>0</v>
      </c>
      <c r="H19" s="16"/>
      <c r="I19" s="16"/>
      <c r="J19" s="8"/>
      <c r="K19" s="16">
        <f t="shared" si="4"/>
        <v>0</v>
      </c>
      <c r="L19" s="20">
        <f t="shared" si="5"/>
        <v>0</v>
      </c>
    </row>
    <row r="20" spans="1:13" ht="15.75" thickBot="1" x14ac:dyDescent="0.3">
      <c r="A20" s="25" t="s">
        <v>15</v>
      </c>
      <c r="B20" s="26"/>
      <c r="C20" s="22">
        <f t="shared" si="2"/>
        <v>8340338.6699999999</v>
      </c>
      <c r="D20" s="22">
        <v>208939.51</v>
      </c>
      <c r="E20" s="22">
        <v>-2259.46</v>
      </c>
      <c r="F20" s="23">
        <f>SUM(C20:E20)</f>
        <v>8547018.7199999988</v>
      </c>
      <c r="G20" s="23">
        <f t="shared" si="3"/>
        <v>-3219210.3400000003</v>
      </c>
      <c r="H20" s="23">
        <v>-404742.59</v>
      </c>
      <c r="I20" s="23">
        <v>42043.22</v>
      </c>
      <c r="J20" s="23">
        <f>SUM(G20:I20)</f>
        <v>-3581909.71</v>
      </c>
      <c r="K20" s="23">
        <f>C20+G20</f>
        <v>5121128.33</v>
      </c>
      <c r="L20" s="24">
        <f>F20+J20</f>
        <v>4965109.0099999988</v>
      </c>
    </row>
    <row r="21" spans="1:13" x14ac:dyDescent="0.25">
      <c r="A21" s="2"/>
      <c r="B21" s="5"/>
      <c r="C21" s="61" t="s">
        <v>18</v>
      </c>
      <c r="D21" s="62"/>
      <c r="E21" s="62"/>
      <c r="F21" s="62"/>
      <c r="G21" s="62"/>
      <c r="H21" s="62"/>
      <c r="I21" s="62"/>
      <c r="J21" s="62"/>
      <c r="K21" s="62"/>
      <c r="L21" s="63"/>
    </row>
    <row r="22" spans="1:13" x14ac:dyDescent="0.25">
      <c r="A22" s="3"/>
      <c r="B22" s="6"/>
      <c r="C22" s="55" t="s">
        <v>10</v>
      </c>
      <c r="D22" s="56"/>
      <c r="E22" s="56"/>
      <c r="F22" s="57"/>
      <c r="G22" s="56" t="s">
        <v>11</v>
      </c>
      <c r="H22" s="56"/>
      <c r="I22" s="56"/>
      <c r="J22" s="57"/>
      <c r="K22" s="55" t="s">
        <v>12</v>
      </c>
      <c r="L22" s="58"/>
    </row>
    <row r="23" spans="1:13" ht="45" x14ac:dyDescent="0.25">
      <c r="A23" s="4"/>
      <c r="B23" s="7"/>
      <c r="C23" s="13" t="s">
        <v>6</v>
      </c>
      <c r="D23" s="14" t="s">
        <v>7</v>
      </c>
      <c r="E23" s="14" t="s">
        <v>8</v>
      </c>
      <c r="F23" s="12" t="s">
        <v>9</v>
      </c>
      <c r="G23" s="17" t="str">
        <f>C23</f>
        <v>January 1 Opening Balance</v>
      </c>
      <c r="H23" s="15" t="str">
        <f>D23</f>
        <v>Additions</v>
      </c>
      <c r="I23" s="15" t="str">
        <f>E23</f>
        <v>Removals</v>
      </c>
      <c r="J23" s="12" t="str">
        <f>F23</f>
        <v>December 31 Closing Balance</v>
      </c>
      <c r="K23" s="17" t="s">
        <v>6</v>
      </c>
      <c r="L23" s="21" t="s">
        <v>9</v>
      </c>
    </row>
    <row r="24" spans="1:13" x14ac:dyDescent="0.25">
      <c r="A24" s="59" t="s">
        <v>1</v>
      </c>
      <c r="B24" s="15" t="s">
        <v>2</v>
      </c>
      <c r="C24" s="27">
        <v>0</v>
      </c>
      <c r="D24" s="27"/>
      <c r="E24" s="27"/>
      <c r="F24" s="28"/>
      <c r="G24" s="29">
        <f>J15</f>
        <v>0</v>
      </c>
      <c r="H24" s="27"/>
      <c r="I24" s="27"/>
      <c r="J24" s="28"/>
      <c r="K24" s="27">
        <f>C24+G24</f>
        <v>0</v>
      </c>
      <c r="L24" s="27">
        <f>F24+J24</f>
        <v>0</v>
      </c>
    </row>
    <row r="25" spans="1:13" x14ac:dyDescent="0.25">
      <c r="A25" s="60"/>
      <c r="B25" s="7" t="s">
        <v>3</v>
      </c>
      <c r="C25" s="29">
        <f>F16</f>
        <v>0</v>
      </c>
      <c r="D25" s="29"/>
      <c r="E25" s="29"/>
      <c r="F25" s="30"/>
      <c r="G25" s="29">
        <f>J16</f>
        <v>0</v>
      </c>
      <c r="H25" s="29"/>
      <c r="I25" s="29"/>
      <c r="J25" s="30"/>
      <c r="K25" s="29">
        <f t="shared" ref="K25:K28" si="6">C25+G25</f>
        <v>0</v>
      </c>
      <c r="L25" s="31">
        <f t="shared" ref="L25:L28" si="7">F25+J25</f>
        <v>0</v>
      </c>
      <c r="M25" s="38"/>
    </row>
    <row r="26" spans="1:13" ht="45" x14ac:dyDescent="0.25">
      <c r="A26" s="9" t="s">
        <v>4</v>
      </c>
      <c r="B26" s="10" t="s">
        <v>13</v>
      </c>
      <c r="C26" s="27">
        <f>F17</f>
        <v>0</v>
      </c>
      <c r="D26" s="27"/>
      <c r="E26" s="27"/>
      <c r="F26" s="28"/>
      <c r="G26" s="27">
        <f>J17</f>
        <v>0</v>
      </c>
      <c r="H26" s="27"/>
      <c r="I26" s="27"/>
      <c r="J26" s="28"/>
      <c r="K26" s="27">
        <f t="shared" si="6"/>
        <v>0</v>
      </c>
      <c r="L26" s="32">
        <f t="shared" si="7"/>
        <v>0</v>
      </c>
    </row>
    <row r="27" spans="1:13" x14ac:dyDescent="0.25">
      <c r="A27" s="64" t="s">
        <v>5</v>
      </c>
      <c r="B27" s="15" t="s">
        <v>2</v>
      </c>
      <c r="C27" s="27">
        <f>F18</f>
        <v>0</v>
      </c>
      <c r="D27" s="27"/>
      <c r="E27" s="27"/>
      <c r="F27" s="28"/>
      <c r="G27" s="27">
        <f>J18</f>
        <v>0</v>
      </c>
      <c r="H27" s="27"/>
      <c r="I27" s="27"/>
      <c r="J27" s="28"/>
      <c r="K27" s="27">
        <f t="shared" si="6"/>
        <v>0</v>
      </c>
      <c r="L27" s="27">
        <f t="shared" si="7"/>
        <v>0</v>
      </c>
    </row>
    <row r="28" spans="1:13" ht="15.75" thickBot="1" x14ac:dyDescent="0.3">
      <c r="A28" s="65"/>
      <c r="B28" s="8" t="s">
        <v>3</v>
      </c>
      <c r="C28" s="33">
        <f>F19</f>
        <v>0</v>
      </c>
      <c r="D28" s="33"/>
      <c r="E28" s="33"/>
      <c r="F28" s="34"/>
      <c r="G28" s="33">
        <f>J19</f>
        <v>0</v>
      </c>
      <c r="H28" s="33"/>
      <c r="I28" s="33"/>
      <c r="J28" s="34"/>
      <c r="K28" s="33">
        <f t="shared" si="6"/>
        <v>0</v>
      </c>
      <c r="L28" s="35">
        <f t="shared" si="7"/>
        <v>0</v>
      </c>
    </row>
    <row r="29" spans="1:13" ht="15.75" thickBot="1" x14ac:dyDescent="0.3">
      <c r="A29" s="25" t="s">
        <v>15</v>
      </c>
      <c r="B29" s="26"/>
      <c r="C29" s="22">
        <f t="shared" ref="C29" si="8">F20</f>
        <v>8547018.7199999988</v>
      </c>
      <c r="D29" s="22">
        <v>284257.58999999997</v>
      </c>
      <c r="E29" s="22">
        <v>-2673421.46</v>
      </c>
      <c r="F29" s="23">
        <f>SUM(C29:E29)</f>
        <v>6157854.8499999987</v>
      </c>
      <c r="G29" s="23">
        <f t="shared" ref="G29" si="9">J20</f>
        <v>-3581909.71</v>
      </c>
      <c r="H29" s="23">
        <v>-406057.26999999996</v>
      </c>
      <c r="I29" s="23">
        <v>1183819.68</v>
      </c>
      <c r="J29" s="23">
        <f>SUM(G29:I29)</f>
        <v>-2804147.3</v>
      </c>
      <c r="K29" s="23">
        <f>C29+G29</f>
        <v>4965109.0099999988</v>
      </c>
      <c r="L29" s="24">
        <f>F29+J29</f>
        <v>3353707.5499999989</v>
      </c>
    </row>
    <row r="30" spans="1:13" x14ac:dyDescent="0.25">
      <c r="A30" s="2"/>
      <c r="B30" s="5"/>
      <c r="C30" s="61" t="s">
        <v>19</v>
      </c>
      <c r="D30" s="62"/>
      <c r="E30" s="62"/>
      <c r="F30" s="62"/>
      <c r="G30" s="62"/>
      <c r="H30" s="62"/>
      <c r="I30" s="62"/>
      <c r="J30" s="62"/>
      <c r="K30" s="62"/>
      <c r="L30" s="63"/>
    </row>
    <row r="31" spans="1:13" x14ac:dyDescent="0.25">
      <c r="A31" s="3"/>
      <c r="B31" s="6"/>
      <c r="C31" s="55" t="s">
        <v>10</v>
      </c>
      <c r="D31" s="56"/>
      <c r="E31" s="56"/>
      <c r="F31" s="57"/>
      <c r="G31" s="56" t="s">
        <v>11</v>
      </c>
      <c r="H31" s="56"/>
      <c r="I31" s="56"/>
      <c r="J31" s="57"/>
      <c r="K31" s="55" t="s">
        <v>12</v>
      </c>
      <c r="L31" s="58"/>
    </row>
    <row r="32" spans="1:13" ht="45" x14ac:dyDescent="0.25">
      <c r="A32" s="4"/>
      <c r="B32" s="7"/>
      <c r="C32" s="13" t="s">
        <v>6</v>
      </c>
      <c r="D32" s="14" t="s">
        <v>7</v>
      </c>
      <c r="E32" s="14" t="s">
        <v>8</v>
      </c>
      <c r="F32" s="12" t="s">
        <v>9</v>
      </c>
      <c r="G32" s="17" t="str">
        <f>C32</f>
        <v>January 1 Opening Balance</v>
      </c>
      <c r="H32" s="15" t="str">
        <f>D32</f>
        <v>Additions</v>
      </c>
      <c r="I32" s="15" t="str">
        <f>E32</f>
        <v>Removals</v>
      </c>
      <c r="J32" s="12" t="str">
        <f>F32</f>
        <v>December 31 Closing Balance</v>
      </c>
      <c r="K32" s="17" t="s">
        <v>6</v>
      </c>
      <c r="L32" s="21" t="s">
        <v>9</v>
      </c>
    </row>
    <row r="33" spans="1:12" x14ac:dyDescent="0.25">
      <c r="A33" s="59" t="s">
        <v>1</v>
      </c>
      <c r="B33" s="15" t="s">
        <v>2</v>
      </c>
      <c r="C33" s="27">
        <f>F24</f>
        <v>0</v>
      </c>
      <c r="D33" s="27"/>
      <c r="E33" s="27"/>
      <c r="F33" s="28"/>
      <c r="G33" s="27">
        <f>J24</f>
        <v>0</v>
      </c>
      <c r="H33" s="27"/>
      <c r="I33" s="27"/>
      <c r="J33" s="28"/>
      <c r="K33" s="27"/>
      <c r="L33" s="27">
        <f>F33+J33</f>
        <v>0</v>
      </c>
    </row>
    <row r="34" spans="1:12" x14ac:dyDescent="0.25">
      <c r="A34" s="60"/>
      <c r="B34" s="7" t="s">
        <v>3</v>
      </c>
      <c r="C34" s="29">
        <f>F25</f>
        <v>0</v>
      </c>
      <c r="D34" s="29"/>
      <c r="E34" s="27"/>
      <c r="F34" s="30"/>
      <c r="G34" s="29">
        <f>J25</f>
        <v>0</v>
      </c>
      <c r="H34" s="27"/>
      <c r="I34" s="29"/>
      <c r="J34" s="30"/>
      <c r="K34" s="29"/>
      <c r="L34" s="31">
        <f t="shared" ref="L34:L37" si="10">F34+J34</f>
        <v>0</v>
      </c>
    </row>
    <row r="35" spans="1:12" ht="45" x14ac:dyDescent="0.25">
      <c r="A35" s="9" t="s">
        <v>4</v>
      </c>
      <c r="B35" s="10" t="s">
        <v>13</v>
      </c>
      <c r="C35" s="27">
        <f>F26</f>
        <v>0</v>
      </c>
      <c r="D35" s="27"/>
      <c r="E35" s="27"/>
      <c r="F35" s="28"/>
      <c r="G35" s="27">
        <f>J26</f>
        <v>0</v>
      </c>
      <c r="H35" s="27"/>
      <c r="I35" s="27"/>
      <c r="J35" s="28"/>
      <c r="K35" s="27"/>
      <c r="L35" s="32">
        <f t="shared" si="10"/>
        <v>0</v>
      </c>
    </row>
    <row r="36" spans="1:12" x14ac:dyDescent="0.25">
      <c r="A36" s="64" t="s">
        <v>5</v>
      </c>
      <c r="B36" s="15" t="s">
        <v>2</v>
      </c>
      <c r="C36" s="27">
        <f>F27</f>
        <v>0</v>
      </c>
      <c r="D36" s="27"/>
      <c r="E36" s="27"/>
      <c r="F36" s="28"/>
      <c r="G36" s="27">
        <f>J27</f>
        <v>0</v>
      </c>
      <c r="H36" s="27"/>
      <c r="I36" s="27"/>
      <c r="J36" s="28"/>
      <c r="K36" s="27"/>
      <c r="L36" s="27">
        <f t="shared" si="10"/>
        <v>0</v>
      </c>
    </row>
    <row r="37" spans="1:12" ht="15.75" thickBot="1" x14ac:dyDescent="0.3">
      <c r="A37" s="65"/>
      <c r="B37" s="8" t="s">
        <v>3</v>
      </c>
      <c r="C37" s="33">
        <f>F28</f>
        <v>0</v>
      </c>
      <c r="D37" s="33"/>
      <c r="E37" s="33"/>
      <c r="F37" s="34"/>
      <c r="G37" s="33">
        <f>J28</f>
        <v>0</v>
      </c>
      <c r="H37" s="33"/>
      <c r="I37" s="33"/>
      <c r="J37" s="34"/>
      <c r="K37" s="33"/>
      <c r="L37" s="35">
        <f t="shared" si="10"/>
        <v>0</v>
      </c>
    </row>
    <row r="38" spans="1:12" ht="15.75" thickBot="1" x14ac:dyDescent="0.3">
      <c r="A38" s="25" t="s">
        <v>15</v>
      </c>
      <c r="B38" s="26"/>
      <c r="C38" s="22">
        <f t="shared" ref="C38" si="11">F29</f>
        <v>6157854.8499999987</v>
      </c>
      <c r="D38" s="22">
        <v>435465.72</v>
      </c>
      <c r="E38" s="22">
        <v>-1793175.21</v>
      </c>
      <c r="F38" s="23">
        <f>SUM(C38:E38)</f>
        <v>4800145.3599999985</v>
      </c>
      <c r="G38" s="23">
        <f t="shared" ref="G38" si="12">J29</f>
        <v>-2804147.3</v>
      </c>
      <c r="H38" s="23">
        <v>-243559.2</v>
      </c>
      <c r="I38" s="23">
        <v>796828.06</v>
      </c>
      <c r="J38" s="23">
        <f>SUM(G38:I38)</f>
        <v>-2250878.44</v>
      </c>
      <c r="K38" s="23">
        <f>C38+G38</f>
        <v>3353707.5499999989</v>
      </c>
      <c r="L38" s="24">
        <f>F38+J38</f>
        <v>2549266.9199999985</v>
      </c>
    </row>
    <row r="39" spans="1:12" x14ac:dyDescent="0.25">
      <c r="A39" s="2"/>
      <c r="B39" s="5"/>
      <c r="C39" s="52" t="s">
        <v>20</v>
      </c>
      <c r="D39" s="53"/>
      <c r="E39" s="53"/>
      <c r="F39" s="53"/>
      <c r="G39" s="53"/>
      <c r="H39" s="53"/>
      <c r="I39" s="53"/>
      <c r="J39" s="53"/>
      <c r="K39" s="53"/>
      <c r="L39" s="54"/>
    </row>
    <row r="40" spans="1:12" x14ac:dyDescent="0.25">
      <c r="A40" s="3"/>
      <c r="B40" s="6"/>
      <c r="C40" s="55" t="s">
        <v>10</v>
      </c>
      <c r="D40" s="56"/>
      <c r="E40" s="56"/>
      <c r="F40" s="57"/>
      <c r="G40" s="56" t="s">
        <v>11</v>
      </c>
      <c r="H40" s="56"/>
      <c r="I40" s="56"/>
      <c r="J40" s="57"/>
      <c r="K40" s="55" t="s">
        <v>12</v>
      </c>
      <c r="L40" s="58"/>
    </row>
    <row r="41" spans="1:12" ht="45" x14ac:dyDescent="0.25">
      <c r="A41" s="4"/>
      <c r="B41" s="7"/>
      <c r="C41" s="13" t="s">
        <v>6</v>
      </c>
      <c r="D41" s="14" t="s">
        <v>7</v>
      </c>
      <c r="E41" s="14" t="s">
        <v>8</v>
      </c>
      <c r="F41" s="12" t="s">
        <v>9</v>
      </c>
      <c r="G41" s="17" t="str">
        <f>C41</f>
        <v>January 1 Opening Balance</v>
      </c>
      <c r="H41" s="15" t="str">
        <f>D41</f>
        <v>Additions</v>
      </c>
      <c r="I41" s="15" t="str">
        <f>E41</f>
        <v>Removals</v>
      </c>
      <c r="J41" s="12" t="str">
        <f>F41</f>
        <v>December 31 Closing Balance</v>
      </c>
      <c r="K41" s="17" t="s">
        <v>6</v>
      </c>
      <c r="L41" s="21" t="s">
        <v>9</v>
      </c>
    </row>
    <row r="42" spans="1:12" x14ac:dyDescent="0.25">
      <c r="A42" s="59" t="s">
        <v>1</v>
      </c>
      <c r="B42" s="15" t="s">
        <v>2</v>
      </c>
      <c r="C42" s="27">
        <f>1245525.16-1049175.6</f>
        <v>196349.55999999982</v>
      </c>
      <c r="D42" s="27">
        <f>19406.34+1720.37-19406.34</f>
        <v>1720.369999999999</v>
      </c>
      <c r="E42" s="27">
        <f>-412551.37+218600.49</f>
        <v>-193950.88</v>
      </c>
      <c r="F42" s="28">
        <f>SUM(C42:E42)</f>
        <v>4119.0499999998137</v>
      </c>
      <c r="G42" s="27">
        <v>0</v>
      </c>
      <c r="H42" s="27">
        <f>-55665.62+52858.62</f>
        <v>-2807</v>
      </c>
      <c r="I42" s="27">
        <f>7057.82-4364.44</f>
        <v>2693.38</v>
      </c>
      <c r="J42" s="28">
        <f>SUM(G42:I42)</f>
        <v>-113.61999999999989</v>
      </c>
      <c r="K42" s="27">
        <f>C42+G42</f>
        <v>196349.55999999982</v>
      </c>
      <c r="L42" s="27">
        <f>F42+J42</f>
        <v>4005.4299999998138</v>
      </c>
    </row>
    <row r="43" spans="1:12" x14ac:dyDescent="0.25">
      <c r="A43" s="60"/>
      <c r="B43" s="7" t="s">
        <v>3</v>
      </c>
      <c r="C43" s="27">
        <f>1373937.08-928002.71</f>
        <v>445934.37000000011</v>
      </c>
      <c r="D43" s="29">
        <v>8289.35</v>
      </c>
      <c r="E43" s="29">
        <f>-624160.35+256714.1</f>
        <v>-367446.25</v>
      </c>
      <c r="F43" s="28">
        <f t="shared" ref="F43:F46" si="13">SUM(C43:E43)</f>
        <v>86777.470000000088</v>
      </c>
      <c r="G43" s="29">
        <v>0</v>
      </c>
      <c r="H43" s="29">
        <f>-69290.95+53086.1</f>
        <v>-16204.849999999999</v>
      </c>
      <c r="I43" s="29">
        <f>20970.17-9907.1</f>
        <v>11063.069999999998</v>
      </c>
      <c r="J43" s="28">
        <f t="shared" ref="J43:J46" si="14">SUM(G43:I43)</f>
        <v>-5141.7800000000007</v>
      </c>
      <c r="K43" s="29">
        <f t="shared" ref="K43:K46" si="15">C43+G43</f>
        <v>445934.37000000011</v>
      </c>
      <c r="L43" s="31">
        <f t="shared" ref="L43:L46" si="16">F43+J43</f>
        <v>81635.69000000009</v>
      </c>
    </row>
    <row r="44" spans="1:12" ht="45" x14ac:dyDescent="0.25">
      <c r="A44" s="9" t="s">
        <v>4</v>
      </c>
      <c r="B44" s="10" t="s">
        <v>13</v>
      </c>
      <c r="C44" s="27">
        <f>855415.05+928002.71+1049175.6</f>
        <v>2832593.3600000003</v>
      </c>
      <c r="D44" s="27">
        <f>377297.14+19406.34</f>
        <v>396703.48000000004</v>
      </c>
      <c r="E44" s="27">
        <f>-2301.87-256714.1-218600.49</f>
        <v>-477616.45999999996</v>
      </c>
      <c r="F44" s="28">
        <f t="shared" si="13"/>
        <v>2751680.3800000004</v>
      </c>
      <c r="G44" s="27">
        <v>0</v>
      </c>
      <c r="H44" s="27">
        <f>-76944.99-5197.73-53086.1-52858.62</f>
        <v>-188087.44</v>
      </c>
      <c r="I44" s="27">
        <f>61.91+9907.1+4364.44</f>
        <v>14333.45</v>
      </c>
      <c r="J44" s="28">
        <f t="shared" si="14"/>
        <v>-173753.99</v>
      </c>
      <c r="K44" s="27">
        <f t="shared" si="15"/>
        <v>2832593.3600000003</v>
      </c>
      <c r="L44" s="32">
        <f t="shared" si="16"/>
        <v>2577926.3900000006</v>
      </c>
    </row>
    <row r="45" spans="1:12" x14ac:dyDescent="0.25">
      <c r="A45" s="64" t="s">
        <v>5</v>
      </c>
      <c r="B45" s="15" t="s">
        <v>2</v>
      </c>
      <c r="C45" s="27">
        <f>L27</f>
        <v>0</v>
      </c>
      <c r="D45" s="27">
        <v>0</v>
      </c>
      <c r="E45" s="27">
        <v>0</v>
      </c>
      <c r="F45" s="28">
        <f t="shared" si="13"/>
        <v>0</v>
      </c>
      <c r="G45" s="27">
        <v>0</v>
      </c>
      <c r="H45" s="27"/>
      <c r="I45" s="27"/>
      <c r="J45" s="28">
        <f t="shared" si="14"/>
        <v>0</v>
      </c>
      <c r="K45" s="27">
        <f t="shared" si="15"/>
        <v>0</v>
      </c>
      <c r="L45" s="32">
        <f t="shared" si="16"/>
        <v>0</v>
      </c>
    </row>
    <row r="46" spans="1:12" ht="15.75" thickBot="1" x14ac:dyDescent="0.3">
      <c r="A46" s="65"/>
      <c r="B46" s="8" t="s">
        <v>3</v>
      </c>
      <c r="C46" s="27">
        <f>L28</f>
        <v>0</v>
      </c>
      <c r="D46" s="33">
        <v>0</v>
      </c>
      <c r="E46" s="33">
        <v>0</v>
      </c>
      <c r="F46" s="28">
        <f t="shared" si="13"/>
        <v>0</v>
      </c>
      <c r="G46" s="33">
        <v>0</v>
      </c>
      <c r="H46" s="33"/>
      <c r="I46" s="33"/>
      <c r="J46" s="28">
        <f t="shared" si="14"/>
        <v>0</v>
      </c>
      <c r="K46" s="33">
        <f t="shared" si="15"/>
        <v>0</v>
      </c>
      <c r="L46" s="35">
        <f t="shared" si="16"/>
        <v>0</v>
      </c>
    </row>
    <row r="47" spans="1:12" x14ac:dyDescent="0.25">
      <c r="A47" s="2"/>
      <c r="B47" s="5"/>
      <c r="C47" s="52" t="s">
        <v>21</v>
      </c>
      <c r="D47" s="53"/>
      <c r="E47" s="53"/>
      <c r="F47" s="53"/>
      <c r="G47" s="53"/>
      <c r="H47" s="53"/>
      <c r="I47" s="53"/>
      <c r="J47" s="53"/>
      <c r="K47" s="53"/>
      <c r="L47" s="54"/>
    </row>
    <row r="48" spans="1:12" x14ac:dyDescent="0.25">
      <c r="A48" s="3"/>
      <c r="B48" s="6"/>
      <c r="C48" s="55" t="s">
        <v>10</v>
      </c>
      <c r="D48" s="56"/>
      <c r="E48" s="56"/>
      <c r="F48" s="57"/>
      <c r="G48" s="56" t="s">
        <v>11</v>
      </c>
      <c r="H48" s="56"/>
      <c r="I48" s="56"/>
      <c r="J48" s="57"/>
      <c r="K48" s="55" t="s">
        <v>12</v>
      </c>
      <c r="L48" s="58"/>
    </row>
    <row r="49" spans="1:14" ht="45" x14ac:dyDescent="0.25">
      <c r="A49" s="4"/>
      <c r="B49" s="7"/>
      <c r="C49" s="13" t="s">
        <v>6</v>
      </c>
      <c r="D49" s="14" t="s">
        <v>7</v>
      </c>
      <c r="E49" s="14" t="s">
        <v>8</v>
      </c>
      <c r="F49" s="12" t="s">
        <v>9</v>
      </c>
      <c r="G49" s="17" t="str">
        <f>C49</f>
        <v>January 1 Opening Balance</v>
      </c>
      <c r="H49" s="15" t="str">
        <f>D49</f>
        <v>Additions</v>
      </c>
      <c r="I49" s="15" t="str">
        <f>E49</f>
        <v>Removals</v>
      </c>
      <c r="J49" s="12" t="str">
        <f>F49</f>
        <v>December 31 Closing Balance</v>
      </c>
      <c r="K49" s="17" t="s">
        <v>6</v>
      </c>
      <c r="L49" s="21" t="s">
        <v>9</v>
      </c>
    </row>
    <row r="50" spans="1:14" x14ac:dyDescent="0.25">
      <c r="A50" s="59" t="s">
        <v>1</v>
      </c>
      <c r="B50" s="6" t="s">
        <v>2</v>
      </c>
      <c r="C50" s="36">
        <f>F42</f>
        <v>4119.0499999998137</v>
      </c>
      <c r="D50" s="36">
        <v>0</v>
      </c>
      <c r="E50" s="36">
        <f>-16912.21+14516.53</f>
        <v>-2395.6799999999985</v>
      </c>
      <c r="F50" s="28">
        <f>SUM(C50:E50)</f>
        <v>1723.3699999998153</v>
      </c>
      <c r="G50" s="36">
        <f>J42</f>
        <v>-113.61999999999989</v>
      </c>
      <c r="H50" s="36">
        <f>-48918.97+48813.83</f>
        <v>-105.13999999999942</v>
      </c>
      <c r="I50" s="36">
        <f>1469.98-1251.2</f>
        <v>218.77999999999997</v>
      </c>
      <c r="J50" s="28">
        <f>SUM(G50:I50)</f>
        <v>2.0000000000663931E-2</v>
      </c>
      <c r="K50" s="36">
        <f>C50+G50</f>
        <v>4005.4299999998138</v>
      </c>
      <c r="L50" s="37">
        <f>F50+J50</f>
        <v>1723.3899999998159</v>
      </c>
    </row>
    <row r="51" spans="1:14" x14ac:dyDescent="0.25">
      <c r="A51" s="60"/>
      <c r="B51" s="15" t="s">
        <v>3</v>
      </c>
      <c r="C51" s="27">
        <f t="shared" ref="C51:C54" si="17">F43</f>
        <v>86777.470000000088</v>
      </c>
      <c r="D51" s="27">
        <f>23260.58-23260.58</f>
        <v>0</v>
      </c>
      <c r="E51" s="27">
        <f>-146314.95+83035.19</f>
        <v>-63279.760000000009</v>
      </c>
      <c r="F51" s="28">
        <f t="shared" ref="F51:F54" si="18">SUM(C51:E51)</f>
        <v>23497.710000000079</v>
      </c>
      <c r="G51" s="27">
        <f t="shared" ref="G51:G54" si="19">J43</f>
        <v>-5141.7800000000007</v>
      </c>
      <c r="H51" s="27">
        <f>-48228.08+43374.68</f>
        <v>-4853.4000000000015</v>
      </c>
      <c r="I51" s="27">
        <f>17146.81-10019.05</f>
        <v>7127.760000000002</v>
      </c>
      <c r="J51" s="28">
        <f t="shared" ref="J51:J54" si="20">SUM(G51:I51)</f>
        <v>-2867.42</v>
      </c>
      <c r="K51" s="27">
        <f t="shared" ref="K51:K54" si="21">C51+G51</f>
        <v>81635.69000000009</v>
      </c>
      <c r="L51" s="27">
        <f t="shared" ref="L51:L54" si="22">F51+J51</f>
        <v>20630.290000000081</v>
      </c>
    </row>
    <row r="52" spans="1:14" ht="45" x14ac:dyDescent="0.25">
      <c r="A52" s="9" t="s">
        <v>4</v>
      </c>
      <c r="B52" s="10" t="s">
        <v>13</v>
      </c>
      <c r="C52" s="27">
        <f t="shared" si="17"/>
        <v>2751680.3800000004</v>
      </c>
      <c r="D52" s="27">
        <f>838617.27+66930.48+23260.58</f>
        <v>928808.33</v>
      </c>
      <c r="E52" s="27">
        <f>-82848.06-18123.59-83035.19-14516.53</f>
        <v>-198523.37</v>
      </c>
      <c r="F52" s="28">
        <f t="shared" si="18"/>
        <v>3481965.3400000003</v>
      </c>
      <c r="G52" s="27">
        <f t="shared" si="19"/>
        <v>-173753.99</v>
      </c>
      <c r="H52" s="27">
        <f>-104069.31-6231.52-43374.68-48813.83</f>
        <v>-202489.34000000003</v>
      </c>
      <c r="I52" s="27">
        <f>16526.17+1302.75+10019.05+1251.2</f>
        <v>29099.17</v>
      </c>
      <c r="J52" s="28">
        <f t="shared" si="20"/>
        <v>-347144.16000000003</v>
      </c>
      <c r="K52" s="27">
        <f t="shared" si="21"/>
        <v>2577926.3900000006</v>
      </c>
      <c r="L52" s="32">
        <f t="shared" si="22"/>
        <v>3134821.18</v>
      </c>
    </row>
    <row r="53" spans="1:14" s="45" customFormat="1" x14ac:dyDescent="0.25">
      <c r="A53" s="50" t="s">
        <v>5</v>
      </c>
      <c r="B53" s="41" t="s">
        <v>2</v>
      </c>
      <c r="C53" s="42">
        <f t="shared" si="17"/>
        <v>0</v>
      </c>
      <c r="D53" s="42">
        <f>149855.05+9644.24</f>
        <v>159499.28999999998</v>
      </c>
      <c r="E53" s="42">
        <v>-36907.33</v>
      </c>
      <c r="F53" s="43">
        <f t="shared" si="18"/>
        <v>122591.95999999998</v>
      </c>
      <c r="G53" s="42">
        <f t="shared" si="19"/>
        <v>0</v>
      </c>
      <c r="H53" s="67">
        <f>61344.38*0.8212</f>
        <v>50376.004856</v>
      </c>
      <c r="I53" s="42">
        <v>1680.68</v>
      </c>
      <c r="J53" s="43">
        <f t="shared" si="20"/>
        <v>52056.684856</v>
      </c>
      <c r="K53" s="42">
        <f t="shared" si="21"/>
        <v>0</v>
      </c>
      <c r="L53" s="42">
        <f t="shared" si="22"/>
        <v>174648.64485599997</v>
      </c>
      <c r="N53" s="49"/>
    </row>
    <row r="54" spans="1:14" s="45" customFormat="1" ht="15.75" thickBot="1" x14ac:dyDescent="0.3">
      <c r="A54" s="51"/>
      <c r="B54" s="46" t="s">
        <v>3</v>
      </c>
      <c r="C54" s="47">
        <f t="shared" si="17"/>
        <v>0</v>
      </c>
      <c r="D54" s="47">
        <v>36572.76</v>
      </c>
      <c r="E54" s="47">
        <v>0</v>
      </c>
      <c r="F54" s="43">
        <f t="shared" si="18"/>
        <v>36572.76</v>
      </c>
      <c r="G54" s="47">
        <f t="shared" si="19"/>
        <v>0</v>
      </c>
      <c r="H54" s="67">
        <f>61344.38*0.1788</f>
        <v>10968.375143999998</v>
      </c>
      <c r="I54" s="47">
        <v>0</v>
      </c>
      <c r="J54" s="43">
        <f t="shared" si="20"/>
        <v>10968.375143999998</v>
      </c>
      <c r="K54" s="47">
        <f t="shared" si="21"/>
        <v>0</v>
      </c>
      <c r="L54" s="48">
        <f t="shared" si="22"/>
        <v>47541.135144</v>
      </c>
    </row>
    <row r="55" spans="1:14" x14ac:dyDescent="0.25">
      <c r="A55" s="2"/>
      <c r="B55" s="5"/>
      <c r="C55" s="52" t="s">
        <v>22</v>
      </c>
      <c r="D55" s="53"/>
      <c r="E55" s="53"/>
      <c r="F55" s="53"/>
      <c r="G55" s="53"/>
      <c r="H55" s="53"/>
      <c r="I55" s="53"/>
      <c r="J55" s="53"/>
      <c r="K55" s="53"/>
      <c r="L55" s="54"/>
    </row>
    <row r="56" spans="1:14" x14ac:dyDescent="0.25">
      <c r="A56" s="3"/>
      <c r="B56" s="6"/>
      <c r="C56" s="55" t="s">
        <v>10</v>
      </c>
      <c r="D56" s="56"/>
      <c r="E56" s="56"/>
      <c r="F56" s="57"/>
      <c r="G56" s="56" t="s">
        <v>11</v>
      </c>
      <c r="H56" s="56"/>
      <c r="I56" s="56"/>
      <c r="J56" s="57"/>
      <c r="K56" s="55" t="s">
        <v>12</v>
      </c>
      <c r="L56" s="58"/>
    </row>
    <row r="57" spans="1:14" ht="45" x14ac:dyDescent="0.25">
      <c r="A57" s="4"/>
      <c r="B57" s="7"/>
      <c r="C57" s="13" t="s">
        <v>6</v>
      </c>
      <c r="D57" s="14" t="s">
        <v>7</v>
      </c>
      <c r="E57" s="14" t="s">
        <v>8</v>
      </c>
      <c r="F57" s="12" t="s">
        <v>9</v>
      </c>
      <c r="G57" s="17" t="str">
        <f>C57</f>
        <v>January 1 Opening Balance</v>
      </c>
      <c r="H57" s="15" t="str">
        <f>D57</f>
        <v>Additions</v>
      </c>
      <c r="I57" s="15" t="str">
        <f>E57</f>
        <v>Removals</v>
      </c>
      <c r="J57" s="12" t="str">
        <f>F57</f>
        <v>December 31 Closing Balance</v>
      </c>
      <c r="K57" s="17" t="s">
        <v>6</v>
      </c>
      <c r="L57" s="21" t="s">
        <v>9</v>
      </c>
    </row>
    <row r="58" spans="1:14" x14ac:dyDescent="0.25">
      <c r="A58" s="59" t="s">
        <v>1</v>
      </c>
      <c r="B58" s="15" t="s">
        <v>2</v>
      </c>
      <c r="C58" s="27">
        <f>F50</f>
        <v>1723.3699999998153</v>
      </c>
      <c r="D58" s="27">
        <f>30392.45-30392.45</f>
        <v>0</v>
      </c>
      <c r="E58" s="27">
        <f>-48410.47+48410.47</f>
        <v>0</v>
      </c>
      <c r="F58" s="28">
        <f>SUM(C58:E58)</f>
        <v>1723.3699999998153</v>
      </c>
      <c r="G58" s="27">
        <f>J50</f>
        <v>2.0000000000663931E-2</v>
      </c>
      <c r="H58" s="27">
        <f>-48292.38+48292.38</f>
        <v>0</v>
      </c>
      <c r="I58" s="27">
        <f>4795.93-4795.93</f>
        <v>0</v>
      </c>
      <c r="J58" s="28">
        <f>SUM(G58:I58)</f>
        <v>2.0000000000663931E-2</v>
      </c>
      <c r="K58" s="27">
        <f>C58+G58</f>
        <v>1723.3899999998159</v>
      </c>
      <c r="L58" s="32">
        <f>F58+J58</f>
        <v>1723.3899999998159</v>
      </c>
      <c r="N58" s="40"/>
    </row>
    <row r="59" spans="1:14" x14ac:dyDescent="0.25">
      <c r="A59" s="60"/>
      <c r="B59" s="7" t="s">
        <v>3</v>
      </c>
      <c r="C59" s="29">
        <f t="shared" ref="C59:C62" si="23">F51</f>
        <v>23497.710000000079</v>
      </c>
      <c r="D59" s="29">
        <v>0</v>
      </c>
      <c r="E59" s="29">
        <f>-71755.86+48258.15</f>
        <v>-23497.71</v>
      </c>
      <c r="F59" s="28">
        <f t="shared" ref="F59:F62" si="24">SUM(C59:E59)</f>
        <v>8.0035533756017685E-11</v>
      </c>
      <c r="G59" s="29">
        <f t="shared" ref="G59:G62" si="25">J51</f>
        <v>-2867.42</v>
      </c>
      <c r="H59" s="29">
        <f>-38142.32+37591.13</f>
        <v>-551.19000000000233</v>
      </c>
      <c r="I59" s="29">
        <f>9665.86-6247.25</f>
        <v>3418.6100000000006</v>
      </c>
      <c r="J59" s="28">
        <f t="shared" ref="J59:J62" si="26">SUM(G59:I59)</f>
        <v>0</v>
      </c>
      <c r="K59" s="29">
        <f t="shared" ref="K59:K62" si="27">C59+G59</f>
        <v>20630.290000000081</v>
      </c>
      <c r="L59" s="31">
        <f t="shared" ref="L59:L62" si="28">F59+J59</f>
        <v>8.0035533756017685E-11</v>
      </c>
    </row>
    <row r="60" spans="1:14" ht="45" x14ac:dyDescent="0.25">
      <c r="A60" s="9" t="s">
        <v>4</v>
      </c>
      <c r="B60" s="10" t="s">
        <v>13</v>
      </c>
      <c r="C60" s="27">
        <f t="shared" si="23"/>
        <v>3481965.3400000003</v>
      </c>
      <c r="D60" s="27">
        <f>195825.87+17328.98+30392.45</f>
        <v>243547.30000000002</v>
      </c>
      <c r="E60" s="27">
        <f>-24408.95-48747.74-48258.15-48410.47</f>
        <v>-169825.31</v>
      </c>
      <c r="F60" s="28">
        <f t="shared" si="24"/>
        <v>3555687.33</v>
      </c>
      <c r="G60" s="27">
        <f t="shared" si="25"/>
        <v>-347144.16000000003</v>
      </c>
      <c r="H60" s="27">
        <f>-146293.39-5563.81-37591.13-48292.38</f>
        <v>-237740.71000000002</v>
      </c>
      <c r="I60" s="27">
        <f>7047.72+4930.93+6247.25+4795.93</f>
        <v>23021.83</v>
      </c>
      <c r="J60" s="28">
        <f t="shared" si="26"/>
        <v>-561863.04000000015</v>
      </c>
      <c r="K60" s="27">
        <f t="shared" si="27"/>
        <v>3134821.18</v>
      </c>
      <c r="L60" s="32">
        <f t="shared" si="28"/>
        <v>2993824.29</v>
      </c>
    </row>
    <row r="61" spans="1:14" x14ac:dyDescent="0.25">
      <c r="A61" s="50" t="s">
        <v>5</v>
      </c>
      <c r="B61" s="41" t="s">
        <v>2</v>
      </c>
      <c r="C61" s="42">
        <f t="shared" si="23"/>
        <v>122591.95999999998</v>
      </c>
      <c r="D61" s="42">
        <v>107066.96</v>
      </c>
      <c r="E61" s="42">
        <v>-49831.42</v>
      </c>
      <c r="F61" s="43">
        <f t="shared" si="24"/>
        <v>179827.5</v>
      </c>
      <c r="G61" s="42">
        <f t="shared" si="25"/>
        <v>52056.684856</v>
      </c>
      <c r="H61" s="67">
        <f>0.7895*-48553.72</f>
        <v>-38333.161939999998</v>
      </c>
      <c r="I61" s="42">
        <v>7702.04</v>
      </c>
      <c r="J61" s="43">
        <f t="shared" si="26"/>
        <v>21425.562916000003</v>
      </c>
      <c r="K61" s="42">
        <f t="shared" si="27"/>
        <v>174648.64485599997</v>
      </c>
      <c r="L61" s="44">
        <f t="shared" si="28"/>
        <v>201253.062916</v>
      </c>
    </row>
    <row r="62" spans="1:14" ht="15.75" thickBot="1" x14ac:dyDescent="0.3">
      <c r="A62" s="51"/>
      <c r="B62" s="46" t="s">
        <v>3</v>
      </c>
      <c r="C62" s="47">
        <f t="shared" si="23"/>
        <v>36572.76</v>
      </c>
      <c r="D62" s="47">
        <f>85006.62+549943.86</f>
        <v>634950.48</v>
      </c>
      <c r="E62" s="47">
        <f>-41036.32-21616.15</f>
        <v>-62652.47</v>
      </c>
      <c r="F62" s="43">
        <f t="shared" si="24"/>
        <v>608870.77</v>
      </c>
      <c r="G62" s="47">
        <f t="shared" si="25"/>
        <v>10968.375143999998</v>
      </c>
      <c r="H62" s="68">
        <f>0.2105*-48553.72</f>
        <v>-10220.558059999999</v>
      </c>
      <c r="I62" s="47">
        <f>5047.08+969.04</f>
        <v>6016.12</v>
      </c>
      <c r="J62" s="43">
        <f t="shared" si="26"/>
        <v>6763.9370839999983</v>
      </c>
      <c r="K62" s="47">
        <f t="shared" si="27"/>
        <v>47541.135144</v>
      </c>
      <c r="L62" s="48">
        <f t="shared" si="28"/>
        <v>615634.70708399999</v>
      </c>
    </row>
    <row r="63" spans="1:14" x14ac:dyDescent="0.25">
      <c r="A63" s="2"/>
      <c r="B63" s="5"/>
      <c r="C63" s="52" t="s">
        <v>23</v>
      </c>
      <c r="D63" s="53"/>
      <c r="E63" s="53"/>
      <c r="F63" s="53"/>
      <c r="G63" s="53"/>
      <c r="H63" s="53"/>
      <c r="I63" s="53"/>
      <c r="J63" s="53"/>
      <c r="K63" s="53"/>
      <c r="L63" s="54"/>
    </row>
    <row r="64" spans="1:14" x14ac:dyDescent="0.25">
      <c r="A64" s="3"/>
      <c r="B64" s="6"/>
      <c r="C64" s="55" t="s">
        <v>10</v>
      </c>
      <c r="D64" s="56"/>
      <c r="E64" s="56"/>
      <c r="F64" s="57"/>
      <c r="G64" s="56" t="s">
        <v>11</v>
      </c>
      <c r="H64" s="56"/>
      <c r="I64" s="56"/>
      <c r="J64" s="57"/>
      <c r="K64" s="55" t="s">
        <v>12</v>
      </c>
      <c r="L64" s="58"/>
    </row>
    <row r="65" spans="1:15" ht="45" x14ac:dyDescent="0.25">
      <c r="A65" s="4"/>
      <c r="B65" s="7"/>
      <c r="C65" s="13" t="s">
        <v>6</v>
      </c>
      <c r="D65" s="14" t="s">
        <v>7</v>
      </c>
      <c r="E65" s="14" t="s">
        <v>8</v>
      </c>
      <c r="F65" s="12" t="s">
        <v>9</v>
      </c>
      <c r="G65" s="17" t="str">
        <f>C65</f>
        <v>January 1 Opening Balance</v>
      </c>
      <c r="H65" s="15" t="str">
        <f>D65</f>
        <v>Additions</v>
      </c>
      <c r="I65" s="15" t="str">
        <f>E65</f>
        <v>Removals</v>
      </c>
      <c r="J65" s="12" t="str">
        <f>F65</f>
        <v>December 31 Closing Balance</v>
      </c>
      <c r="K65" s="17" t="s">
        <v>6</v>
      </c>
      <c r="L65" s="21" t="s">
        <v>9</v>
      </c>
    </row>
    <row r="66" spans="1:15" x14ac:dyDescent="0.25">
      <c r="A66" s="59" t="s">
        <v>1</v>
      </c>
      <c r="B66" s="15" t="s">
        <v>2</v>
      </c>
      <c r="C66" s="27">
        <f>F58</f>
        <v>1723.3699999998153</v>
      </c>
      <c r="D66" s="27">
        <v>-1723.35</v>
      </c>
      <c r="E66" s="27">
        <f>-21607.81+21607.81</f>
        <v>0</v>
      </c>
      <c r="F66" s="28">
        <f>SUM(C66:E66)</f>
        <v>1.9999999815354386E-2</v>
      </c>
      <c r="G66" s="27">
        <f>J58</f>
        <v>2.0000000000663931E-2</v>
      </c>
      <c r="H66" s="27">
        <f>-46726.47+46726.47</f>
        <v>0</v>
      </c>
      <c r="I66" s="27">
        <f>2719.92-2719.92</f>
        <v>0</v>
      </c>
      <c r="J66" s="28">
        <f>SUM(G66:I66)</f>
        <v>2.0000000000663931E-2</v>
      </c>
      <c r="K66" s="27">
        <f>C66+G66</f>
        <v>1723.3899999998159</v>
      </c>
      <c r="L66" s="27">
        <f>F66+J66</f>
        <v>3.9999999816018317E-2</v>
      </c>
      <c r="N66" s="39"/>
      <c r="O66" s="38"/>
    </row>
    <row r="67" spans="1:15" x14ac:dyDescent="0.25">
      <c r="A67" s="60"/>
      <c r="B67" s="7" t="s">
        <v>3</v>
      </c>
      <c r="C67" s="29">
        <f t="shared" ref="C67:C70" si="29">F59</f>
        <v>8.0035533756017685E-11</v>
      </c>
      <c r="D67" s="29">
        <v>0</v>
      </c>
      <c r="E67" s="29">
        <f>-3674.78+3674.78</f>
        <v>0</v>
      </c>
      <c r="F67" s="28">
        <f t="shared" ref="F67:F70" si="30">SUM(C67:E67)</f>
        <v>8.0035533756017685E-11</v>
      </c>
      <c r="G67" s="29">
        <f t="shared" ref="G67:G70" si="31">J59</f>
        <v>0</v>
      </c>
      <c r="H67" s="29">
        <f>-36323.09+36323.09</f>
        <v>0</v>
      </c>
      <c r="I67" s="29">
        <f>690.66-690.66</f>
        <v>0</v>
      </c>
      <c r="J67" s="28">
        <f t="shared" ref="J67:J70" si="32">SUM(G67:I67)</f>
        <v>0</v>
      </c>
      <c r="K67" s="29">
        <f t="shared" ref="K67:K70" si="33">C67+G67</f>
        <v>8.0035533756017685E-11</v>
      </c>
      <c r="L67" s="31">
        <f t="shared" ref="L67:L70" si="34">F67+J67</f>
        <v>8.0035533756017685E-11</v>
      </c>
      <c r="N67" s="39"/>
      <c r="O67" s="39"/>
    </row>
    <row r="68" spans="1:15" ht="45" x14ac:dyDescent="0.25">
      <c r="A68" s="9" t="s">
        <v>4</v>
      </c>
      <c r="B68" s="10" t="s">
        <v>13</v>
      </c>
      <c r="C68" s="27">
        <f t="shared" si="29"/>
        <v>3555687.33</v>
      </c>
      <c r="D68" s="27">
        <f>-66930.48-37038.28</f>
        <v>-103968.76</v>
      </c>
      <c r="E68" s="27">
        <f>-14025.21-9469.79-3674.78-21607.81</f>
        <v>-48777.59</v>
      </c>
      <c r="F68" s="28">
        <f t="shared" si="30"/>
        <v>3402940.9800000004</v>
      </c>
      <c r="G68" s="27">
        <f t="shared" si="31"/>
        <v>-561863.04000000015</v>
      </c>
      <c r="H68" s="27">
        <f>-154737.42-4099.98-36323.09-46726.47</f>
        <v>-241886.96000000002</v>
      </c>
      <c r="I68" s="27">
        <f>4356.32+1205.5+690.66+2719.92</f>
        <v>8972.4</v>
      </c>
      <c r="J68" s="28">
        <f t="shared" si="32"/>
        <v>-794777.60000000021</v>
      </c>
      <c r="K68" s="27">
        <f t="shared" si="33"/>
        <v>2993824.29</v>
      </c>
      <c r="L68" s="32">
        <f t="shared" si="34"/>
        <v>2608163.3800000004</v>
      </c>
      <c r="N68" s="39"/>
    </row>
    <row r="69" spans="1:15" s="45" customFormat="1" x14ac:dyDescent="0.25">
      <c r="A69" s="50" t="s">
        <v>5</v>
      </c>
      <c r="B69" s="41" t="s">
        <v>2</v>
      </c>
      <c r="C69" s="42">
        <f t="shared" si="29"/>
        <v>179827.5</v>
      </c>
      <c r="D69" s="42">
        <v>7116951.2999999998</v>
      </c>
      <c r="E69" s="42">
        <v>-42825.18</v>
      </c>
      <c r="F69" s="43">
        <f t="shared" si="30"/>
        <v>7253953.6200000001</v>
      </c>
      <c r="G69" s="42">
        <f t="shared" si="31"/>
        <v>21425.562916000003</v>
      </c>
      <c r="H69" s="42">
        <v>-1886286.7</v>
      </c>
      <c r="I69" s="42">
        <v>8356.24</v>
      </c>
      <c r="J69" s="43">
        <f t="shared" si="32"/>
        <v>-1856504.8970840001</v>
      </c>
      <c r="K69" s="42">
        <f t="shared" si="33"/>
        <v>201253.062916</v>
      </c>
      <c r="L69" s="44">
        <f t="shared" si="34"/>
        <v>5397448.7229159996</v>
      </c>
      <c r="N69" s="49"/>
    </row>
    <row r="70" spans="1:15" s="45" customFormat="1" ht="15.75" thickBot="1" x14ac:dyDescent="0.3">
      <c r="A70" s="51"/>
      <c r="B70" s="46" t="s">
        <v>3</v>
      </c>
      <c r="C70" s="47">
        <f t="shared" si="29"/>
        <v>608870.77</v>
      </c>
      <c r="D70" s="47">
        <v>2745413.86</v>
      </c>
      <c r="E70" s="47">
        <f>-43441.34-53129.42</f>
        <v>-96570.76</v>
      </c>
      <c r="F70" s="43">
        <f t="shared" si="30"/>
        <v>3257713.87</v>
      </c>
      <c r="G70" s="47">
        <f t="shared" si="31"/>
        <v>6763.9370839999983</v>
      </c>
      <c r="H70" s="47">
        <v>-579603.5</v>
      </c>
      <c r="I70" s="47">
        <f>7256.05+4739.59</f>
        <v>11995.64</v>
      </c>
      <c r="J70" s="43">
        <f t="shared" si="32"/>
        <v>-560843.92291600001</v>
      </c>
      <c r="K70" s="47">
        <f t="shared" si="33"/>
        <v>615634.70708399999</v>
      </c>
      <c r="L70" s="48">
        <f t="shared" si="34"/>
        <v>2696869.9470840003</v>
      </c>
      <c r="N70" s="49"/>
    </row>
    <row r="71" spans="1:15" x14ac:dyDescent="0.25">
      <c r="A71" s="2"/>
      <c r="B71" s="5"/>
      <c r="C71" s="52" t="s">
        <v>24</v>
      </c>
      <c r="D71" s="53"/>
      <c r="E71" s="53"/>
      <c r="F71" s="53"/>
      <c r="G71" s="53"/>
      <c r="H71" s="53"/>
      <c r="I71" s="53"/>
      <c r="J71" s="53"/>
      <c r="K71" s="53"/>
      <c r="L71" s="54"/>
    </row>
    <row r="72" spans="1:15" x14ac:dyDescent="0.25">
      <c r="A72" s="3"/>
      <c r="B72" s="6"/>
      <c r="C72" s="55" t="s">
        <v>10</v>
      </c>
      <c r="D72" s="56"/>
      <c r="E72" s="56"/>
      <c r="F72" s="57"/>
      <c r="G72" s="56" t="s">
        <v>11</v>
      </c>
      <c r="H72" s="56"/>
      <c r="I72" s="56"/>
      <c r="J72" s="57"/>
      <c r="K72" s="55" t="s">
        <v>12</v>
      </c>
      <c r="L72" s="58"/>
    </row>
    <row r="73" spans="1:15" ht="45" x14ac:dyDescent="0.25">
      <c r="A73" s="4"/>
      <c r="B73" s="7"/>
      <c r="C73" s="13" t="s">
        <v>6</v>
      </c>
      <c r="D73" s="14" t="s">
        <v>7</v>
      </c>
      <c r="E73" s="14" t="s">
        <v>8</v>
      </c>
      <c r="F73" s="12" t="s">
        <v>9</v>
      </c>
      <c r="G73" s="17" t="str">
        <f>C73</f>
        <v>January 1 Opening Balance</v>
      </c>
      <c r="H73" s="15" t="str">
        <f>D73</f>
        <v>Additions</v>
      </c>
      <c r="I73" s="15" t="str">
        <f>E73</f>
        <v>Removals</v>
      </c>
      <c r="J73" s="12" t="str">
        <f>F73</f>
        <v>December 31 Closing Balance</v>
      </c>
      <c r="K73" s="17" t="s">
        <v>6</v>
      </c>
      <c r="L73" s="21" t="s">
        <v>9</v>
      </c>
    </row>
    <row r="74" spans="1:15" x14ac:dyDescent="0.25">
      <c r="A74" s="59" t="s">
        <v>1</v>
      </c>
      <c r="B74" s="15" t="s">
        <v>2</v>
      </c>
      <c r="C74" s="27">
        <f>F66</f>
        <v>1.9999999815354386E-2</v>
      </c>
      <c r="D74" s="27">
        <v>0</v>
      </c>
      <c r="E74" s="27">
        <f>-6624.05+6624.05</f>
        <v>0</v>
      </c>
      <c r="F74" s="28">
        <f>SUM(C74:E74)</f>
        <v>1.9999999815354386E-2</v>
      </c>
      <c r="G74" s="27">
        <f>J66</f>
        <v>2.0000000000663931E-2</v>
      </c>
      <c r="H74" s="27">
        <f>-46352.32+46352.32</f>
        <v>0</v>
      </c>
      <c r="I74" s="27">
        <f>1244.21-1244.21</f>
        <v>0</v>
      </c>
      <c r="J74" s="28">
        <f>SUM(G74:I74)</f>
        <v>2.0000000000663931E-2</v>
      </c>
      <c r="K74" s="27">
        <f>C74+G74</f>
        <v>3.9999999816018317E-2</v>
      </c>
      <c r="L74" s="27">
        <f>F74+J74</f>
        <v>3.9999999816018317E-2</v>
      </c>
    </row>
    <row r="75" spans="1:15" x14ac:dyDescent="0.25">
      <c r="A75" s="60"/>
      <c r="B75" s="7" t="s">
        <v>3</v>
      </c>
      <c r="C75" s="29">
        <f t="shared" ref="C75:C78" si="35">F67</f>
        <v>8.0035533756017685E-11</v>
      </c>
      <c r="D75" s="29">
        <v>0</v>
      </c>
      <c r="E75" s="29">
        <f>-293.1+293.1</f>
        <v>0</v>
      </c>
      <c r="F75" s="28">
        <f t="shared" ref="F75:F78" si="36">SUM(C75:E75)</f>
        <v>8.0035533756017685E-11</v>
      </c>
      <c r="G75" s="29">
        <f t="shared" ref="G75:G78" si="37">J67</f>
        <v>0</v>
      </c>
      <c r="H75" s="29">
        <f>-36190.76+36190.76</f>
        <v>0</v>
      </c>
      <c r="I75" s="29">
        <f>72.06-72.06</f>
        <v>0</v>
      </c>
      <c r="J75" s="28">
        <f t="shared" ref="J75:J78" si="38">SUM(G75:I75)</f>
        <v>0</v>
      </c>
      <c r="K75" s="29">
        <f t="shared" ref="K75:K78" si="39">C75+G75</f>
        <v>8.0035533756017685E-11</v>
      </c>
      <c r="L75" s="31">
        <f t="shared" ref="L75:L78" si="40">F75+J75</f>
        <v>8.0035533756017685E-11</v>
      </c>
    </row>
    <row r="76" spans="1:15" ht="45" x14ac:dyDescent="0.25">
      <c r="A76" s="9" t="s">
        <v>4</v>
      </c>
      <c r="B76" s="10" t="s">
        <v>13</v>
      </c>
      <c r="C76" s="27">
        <f t="shared" si="35"/>
        <v>3402940.9800000004</v>
      </c>
      <c r="D76" s="29">
        <v>36539.699999999997</v>
      </c>
      <c r="E76" s="27">
        <f>-12787.51-293.1-6624.05</f>
        <v>-19704.66</v>
      </c>
      <c r="F76" s="28">
        <f t="shared" si="36"/>
        <v>3419776.0200000005</v>
      </c>
      <c r="G76" s="27">
        <f t="shared" si="37"/>
        <v>-794777.60000000021</v>
      </c>
      <c r="H76" s="27">
        <f>-154206.2-4254.87-36190.76-46352.32</f>
        <v>-241004.15000000002</v>
      </c>
      <c r="I76" s="27">
        <f>2408.55+72.06+1244.21</f>
        <v>3724.82</v>
      </c>
      <c r="J76" s="28">
        <f t="shared" si="38"/>
        <v>-1032056.9300000003</v>
      </c>
      <c r="K76" s="27">
        <f t="shared" si="39"/>
        <v>2608163.3800000004</v>
      </c>
      <c r="L76" s="32">
        <f t="shared" si="40"/>
        <v>2387719.0900000003</v>
      </c>
    </row>
    <row r="77" spans="1:15" s="45" customFormat="1" x14ac:dyDescent="0.25">
      <c r="A77" s="50" t="s">
        <v>5</v>
      </c>
      <c r="B77" s="41" t="s">
        <v>2</v>
      </c>
      <c r="C77" s="42">
        <f t="shared" si="35"/>
        <v>7253953.6200000001</v>
      </c>
      <c r="D77" s="42">
        <v>206989.83</v>
      </c>
      <c r="E77" s="42">
        <v>-74612.259999999995</v>
      </c>
      <c r="F77" s="43">
        <f t="shared" si="36"/>
        <v>7386331.1900000004</v>
      </c>
      <c r="G77" s="42">
        <f t="shared" si="37"/>
        <v>-1856504.8970840001</v>
      </c>
      <c r="H77" s="42">
        <v>-494391.59</v>
      </c>
      <c r="I77" s="42">
        <v>20415.04</v>
      </c>
      <c r="J77" s="43">
        <f t="shared" si="38"/>
        <v>-2330481.4470839999</v>
      </c>
      <c r="K77" s="42">
        <f t="shared" si="39"/>
        <v>5397448.7229159996</v>
      </c>
      <c r="L77" s="44">
        <f t="shared" si="40"/>
        <v>5055849.742916001</v>
      </c>
    </row>
    <row r="78" spans="1:15" s="45" customFormat="1" ht="15.75" thickBot="1" x14ac:dyDescent="0.3">
      <c r="A78" s="51"/>
      <c r="B78" s="46" t="s">
        <v>3</v>
      </c>
      <c r="C78" s="47">
        <f t="shared" si="35"/>
        <v>3257713.87</v>
      </c>
      <c r="D78" s="47">
        <f>67848.57+96073.03</f>
        <v>163921.60000000001</v>
      </c>
      <c r="E78" s="47">
        <f>-41751.96-57547.5</f>
        <v>-99299.459999999992</v>
      </c>
      <c r="F78" s="43">
        <f t="shared" si="36"/>
        <v>3322336.0100000002</v>
      </c>
      <c r="G78" s="47">
        <f t="shared" si="37"/>
        <v>-560843.92291600001</v>
      </c>
      <c r="H78" s="47">
        <f>-140941.91-80159.57</f>
        <v>-221101.48</v>
      </c>
      <c r="I78" s="47">
        <f>9614.22+6625.27</f>
        <v>16239.49</v>
      </c>
      <c r="J78" s="43">
        <f t="shared" si="38"/>
        <v>-765705.912916</v>
      </c>
      <c r="K78" s="47">
        <f t="shared" si="39"/>
        <v>2696869.9470840003</v>
      </c>
      <c r="L78" s="48">
        <f t="shared" si="40"/>
        <v>2556630.0970840002</v>
      </c>
    </row>
    <row r="79" spans="1:15" x14ac:dyDescent="0.25">
      <c r="A79" s="2"/>
      <c r="B79" s="5"/>
      <c r="C79" s="52" t="s">
        <v>25</v>
      </c>
      <c r="D79" s="53"/>
      <c r="E79" s="53"/>
      <c r="F79" s="53"/>
      <c r="G79" s="53"/>
      <c r="H79" s="53"/>
      <c r="I79" s="53"/>
      <c r="J79" s="53"/>
      <c r="K79" s="53"/>
      <c r="L79" s="54"/>
    </row>
    <row r="80" spans="1:15" x14ac:dyDescent="0.25">
      <c r="A80" s="3"/>
      <c r="B80" s="6"/>
      <c r="C80" s="55" t="s">
        <v>10</v>
      </c>
      <c r="D80" s="56"/>
      <c r="E80" s="56"/>
      <c r="F80" s="57"/>
      <c r="G80" s="56" t="s">
        <v>11</v>
      </c>
      <c r="H80" s="56"/>
      <c r="I80" s="56"/>
      <c r="J80" s="57"/>
      <c r="K80" s="55" t="s">
        <v>12</v>
      </c>
      <c r="L80" s="58"/>
    </row>
    <row r="81" spans="1:12" ht="45" x14ac:dyDescent="0.25">
      <c r="A81" s="4"/>
      <c r="B81" s="7"/>
      <c r="C81" s="13" t="s">
        <v>6</v>
      </c>
      <c r="D81" s="14" t="s">
        <v>7</v>
      </c>
      <c r="E81" s="14" t="s">
        <v>8</v>
      </c>
      <c r="F81" s="12" t="s">
        <v>9</v>
      </c>
      <c r="G81" s="17" t="str">
        <f>C81</f>
        <v>January 1 Opening Balance</v>
      </c>
      <c r="H81" s="15" t="str">
        <f>D81</f>
        <v>Additions</v>
      </c>
      <c r="I81" s="15" t="str">
        <f>E81</f>
        <v>Removals</v>
      </c>
      <c r="J81" s="12" t="str">
        <f>F81</f>
        <v>December 31 Closing Balance</v>
      </c>
      <c r="K81" s="17" t="s">
        <v>6</v>
      </c>
      <c r="L81" s="21" t="s">
        <v>9</v>
      </c>
    </row>
    <row r="82" spans="1:12" x14ac:dyDescent="0.25">
      <c r="A82" s="59" t="s">
        <v>1</v>
      </c>
      <c r="B82" s="15" t="s">
        <v>2</v>
      </c>
      <c r="C82" s="27">
        <f>F74</f>
        <v>1.9999999815354386E-2</v>
      </c>
      <c r="D82" s="27">
        <v>0</v>
      </c>
      <c r="E82" s="27">
        <f>-405.19+405.19</f>
        <v>0</v>
      </c>
      <c r="F82" s="28">
        <f>SUM(C82:E82)</f>
        <v>1.9999999815354386E-2</v>
      </c>
      <c r="G82" s="27">
        <f>J74</f>
        <v>2.0000000000663931E-2</v>
      </c>
      <c r="H82" s="27">
        <f>-46201.27+46201.27</f>
        <v>0</v>
      </c>
      <c r="I82" s="27">
        <f>56.73-56.73</f>
        <v>0</v>
      </c>
      <c r="J82" s="28">
        <f>SUM(G82:I82)</f>
        <v>2.0000000000663931E-2</v>
      </c>
      <c r="K82" s="27">
        <f>C82+G82</f>
        <v>3.9999999816018317E-2</v>
      </c>
      <c r="L82" s="27">
        <f>F82+J82</f>
        <v>3.9999999816018317E-2</v>
      </c>
    </row>
    <row r="83" spans="1:12" x14ac:dyDescent="0.25">
      <c r="A83" s="60"/>
      <c r="B83" s="7" t="s">
        <v>3</v>
      </c>
      <c r="C83" s="29">
        <f t="shared" ref="C83:C86" si="41">F75</f>
        <v>8.0035533756017685E-11</v>
      </c>
      <c r="D83" s="29">
        <v>0</v>
      </c>
      <c r="E83" s="29">
        <v>0</v>
      </c>
      <c r="F83" s="28">
        <f t="shared" ref="F83:F86" si="42">SUM(C83:E83)</f>
        <v>8.0035533756017685E-11</v>
      </c>
      <c r="G83" s="29">
        <f t="shared" ref="G83:G86" si="43">J75</f>
        <v>0</v>
      </c>
      <c r="H83" s="29">
        <f>-36177.19+36177.19</f>
        <v>0</v>
      </c>
      <c r="I83" s="29">
        <v>0</v>
      </c>
      <c r="J83" s="28">
        <f t="shared" ref="J83:J86" si="44">SUM(G83:I83)</f>
        <v>0</v>
      </c>
      <c r="K83" s="29">
        <f t="shared" ref="K83:K86" si="45">C83+G83</f>
        <v>8.0035533756017685E-11</v>
      </c>
      <c r="L83" s="31">
        <f t="shared" ref="L83:L86" si="46">F83+J83</f>
        <v>8.0035533756017685E-11</v>
      </c>
    </row>
    <row r="84" spans="1:12" ht="45" x14ac:dyDescent="0.25">
      <c r="A84" s="9" t="s">
        <v>4</v>
      </c>
      <c r="B84" s="10" t="s">
        <v>13</v>
      </c>
      <c r="C84" s="27">
        <f t="shared" si="41"/>
        <v>3419776.0200000005</v>
      </c>
      <c r="D84" s="27">
        <v>78381.740000000005</v>
      </c>
      <c r="E84" s="29">
        <f>-11972.1-405.19</f>
        <v>-12377.29</v>
      </c>
      <c r="F84" s="28">
        <f t="shared" si="42"/>
        <v>3485780.4700000007</v>
      </c>
      <c r="G84" s="27">
        <f t="shared" si="43"/>
        <v>-1032056.9300000003</v>
      </c>
      <c r="H84" s="27">
        <f>-156962.45-4473.58-36177.19-46201.27</f>
        <v>-243814.49</v>
      </c>
      <c r="I84" s="29">
        <f>2302.8+56.73</f>
        <v>2359.5300000000002</v>
      </c>
      <c r="J84" s="28">
        <f t="shared" si="44"/>
        <v>-1273511.8900000004</v>
      </c>
      <c r="K84" s="27">
        <f t="shared" si="45"/>
        <v>2387719.0900000003</v>
      </c>
      <c r="L84" s="32">
        <f t="shared" si="46"/>
        <v>2212268.58</v>
      </c>
    </row>
    <row r="85" spans="1:12" s="45" customFormat="1" x14ac:dyDescent="0.25">
      <c r="A85" s="50" t="s">
        <v>5</v>
      </c>
      <c r="B85" s="41" t="s">
        <v>2</v>
      </c>
      <c r="C85" s="42">
        <f t="shared" si="41"/>
        <v>7386331.1900000004</v>
      </c>
      <c r="D85" s="42">
        <v>258550.08</v>
      </c>
      <c r="E85" s="42">
        <v>-108523.33</v>
      </c>
      <c r="F85" s="43">
        <f t="shared" si="42"/>
        <v>7536357.9400000004</v>
      </c>
      <c r="G85" s="42">
        <f t="shared" si="43"/>
        <v>-2330481.4470839999</v>
      </c>
      <c r="H85" s="42">
        <v>-502722.36</v>
      </c>
      <c r="I85" s="42">
        <v>38235.35</v>
      </c>
      <c r="J85" s="43">
        <f t="shared" si="44"/>
        <v>-2794968.4570839996</v>
      </c>
      <c r="K85" s="42">
        <f t="shared" si="45"/>
        <v>5055849.742916001</v>
      </c>
      <c r="L85" s="44">
        <f t="shared" si="46"/>
        <v>4741389.4829160012</v>
      </c>
    </row>
    <row r="86" spans="1:12" s="45" customFormat="1" ht="15.75" thickBot="1" x14ac:dyDescent="0.3">
      <c r="A86" s="51"/>
      <c r="B86" s="46" t="s">
        <v>3</v>
      </c>
      <c r="C86" s="47">
        <f t="shared" si="41"/>
        <v>3322336.0100000002</v>
      </c>
      <c r="D86" s="47">
        <f>135642.49+224162.54</f>
        <v>359805.03</v>
      </c>
      <c r="E86" s="47">
        <f>-39468.3-38112.25</f>
        <v>-77580.55</v>
      </c>
      <c r="F86" s="47">
        <f t="shared" si="42"/>
        <v>3604560.49</v>
      </c>
      <c r="G86" s="47">
        <f t="shared" si="43"/>
        <v>-765705.912916</v>
      </c>
      <c r="H86" s="47">
        <f>-145729.13-85457.85</f>
        <v>-231186.98</v>
      </c>
      <c r="I86" s="47">
        <f>11895.22+4502.88</f>
        <v>16398.099999999999</v>
      </c>
      <c r="J86" s="47">
        <f t="shared" si="44"/>
        <v>-980494.79291600001</v>
      </c>
      <c r="K86" s="47">
        <f t="shared" si="45"/>
        <v>2556630.0970840002</v>
      </c>
      <c r="L86" s="48">
        <f t="shared" si="46"/>
        <v>2624065.6970840003</v>
      </c>
    </row>
    <row r="88" spans="1:12" x14ac:dyDescent="0.25">
      <c r="A88" t="s">
        <v>14</v>
      </c>
    </row>
    <row r="89" spans="1:12" x14ac:dyDescent="0.25">
      <c r="L89" s="38"/>
    </row>
    <row r="92" spans="1:12" x14ac:dyDescent="0.25">
      <c r="H92" s="38"/>
    </row>
  </sheetData>
  <mergeCells count="61">
    <mergeCell ref="A15:A16"/>
    <mergeCell ref="G31:J31"/>
    <mergeCell ref="K31:L31"/>
    <mergeCell ref="A18:A19"/>
    <mergeCell ref="A27:A28"/>
    <mergeCell ref="C30:L30"/>
    <mergeCell ref="C31:F31"/>
    <mergeCell ref="A24:A25"/>
    <mergeCell ref="B1:K1"/>
    <mergeCell ref="C21:L21"/>
    <mergeCell ref="C22:F22"/>
    <mergeCell ref="G22:J22"/>
    <mergeCell ref="K22:L22"/>
    <mergeCell ref="C12:L12"/>
    <mergeCell ref="C13:F13"/>
    <mergeCell ref="G13:J13"/>
    <mergeCell ref="K13:L13"/>
    <mergeCell ref="A42:A43"/>
    <mergeCell ref="A45:A46"/>
    <mergeCell ref="C47:L47"/>
    <mergeCell ref="C48:F48"/>
    <mergeCell ref="G48:J48"/>
    <mergeCell ref="K48:L48"/>
    <mergeCell ref="A33:A34"/>
    <mergeCell ref="G64:J64"/>
    <mergeCell ref="K64:L64"/>
    <mergeCell ref="A66:A67"/>
    <mergeCell ref="A53:A54"/>
    <mergeCell ref="C55:L55"/>
    <mergeCell ref="C56:F56"/>
    <mergeCell ref="G56:J56"/>
    <mergeCell ref="K56:L56"/>
    <mergeCell ref="A58:A59"/>
    <mergeCell ref="A50:A51"/>
    <mergeCell ref="A36:A37"/>
    <mergeCell ref="C39:L39"/>
    <mergeCell ref="C40:F40"/>
    <mergeCell ref="G40:J40"/>
    <mergeCell ref="K40:L40"/>
    <mergeCell ref="A77:A78"/>
    <mergeCell ref="C3:L3"/>
    <mergeCell ref="C4:F4"/>
    <mergeCell ref="G4:J4"/>
    <mergeCell ref="K4:L4"/>
    <mergeCell ref="A6:A7"/>
    <mergeCell ref="A9:A10"/>
    <mergeCell ref="A69:A70"/>
    <mergeCell ref="C71:L71"/>
    <mergeCell ref="C72:F72"/>
    <mergeCell ref="G72:J72"/>
    <mergeCell ref="K72:L72"/>
    <mergeCell ref="A74:A75"/>
    <mergeCell ref="A61:A62"/>
    <mergeCell ref="C63:L63"/>
    <mergeCell ref="C64:F64"/>
    <mergeCell ref="A85:A86"/>
    <mergeCell ref="C79:L79"/>
    <mergeCell ref="C80:F80"/>
    <mergeCell ref="G80:J80"/>
    <mergeCell ref="K80:L80"/>
    <mergeCell ref="A82:A83"/>
  </mergeCells>
  <pageMargins left="0.7" right="0.7" top="0.75" bottom="0.75" header="0.3" footer="0.3"/>
  <pageSetup scale="65" fitToHeight="0" orientation="portrait" r:id="rId1"/>
  <rowBreaks count="1" manualBreakCount="1">
    <brk id="4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Matt Carlini</cp:lastModifiedBy>
  <cp:lastPrinted>2017-06-19T13:50:21Z</cp:lastPrinted>
  <dcterms:created xsi:type="dcterms:W3CDTF">2017-06-19T13:03:48Z</dcterms:created>
  <dcterms:modified xsi:type="dcterms:W3CDTF">2017-08-02T21:30:11Z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14.5</vt:lpwstr>
  </property>
</Properties>
</file>