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C:\Kelly\2018 IRM\"/>
    </mc:Choice>
  </mc:AlternateContent>
  <bookViews>
    <workbookView xWindow="0" yWindow="0" windowWidth="28800" windowHeight="1221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H88" i="4" l="1"/>
  <c r="E88" i="4"/>
  <c r="D65" i="4" l="1"/>
  <c r="D88" i="4" s="1"/>
  <c r="C88" i="4"/>
  <c r="E58" i="4" l="1"/>
  <c r="I58" i="4" l="1"/>
  <c r="I57" i="4"/>
  <c r="I56" i="4"/>
  <c r="I55" i="4"/>
  <c r="I54" i="4"/>
  <c r="I53" i="4"/>
  <c r="I52" i="4"/>
  <c r="I51" i="4"/>
  <c r="I50" i="4"/>
  <c r="I49" i="4"/>
  <c r="I48" i="4"/>
  <c r="I47" i="4"/>
  <c r="G58" i="4"/>
  <c r="G57" i="4"/>
  <c r="G56" i="4"/>
  <c r="G55" i="4"/>
  <c r="G54" i="4"/>
  <c r="G53" i="4"/>
  <c r="G52" i="4"/>
  <c r="G51" i="4"/>
  <c r="G50" i="4"/>
  <c r="G49" i="4"/>
  <c r="G48" i="4"/>
  <c r="G47" i="4"/>
  <c r="D26" i="4"/>
  <c r="D25" i="4"/>
  <c r="G91" i="4" l="1"/>
  <c r="G90" i="4"/>
  <c r="F88" i="4"/>
  <c r="G88" i="4" s="1"/>
  <c r="F89" i="4"/>
  <c r="G89" i="4" s="1"/>
  <c r="F90" i="4"/>
  <c r="F91" i="4"/>
  <c r="I88" i="4" l="1"/>
  <c r="G92"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<sst xmlns="http://schemas.openxmlformats.org/spreadsheetml/2006/main" count="212" uniqueCount="173">
  <si>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</si>
  <si>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</si>
  <si>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</si>
  <si>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</si>
  <si>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</si>
  <si>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</si>
  <si>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</si>
  <si>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</si>
  <si>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</si>
  <si>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</si>
  <si>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</si>
  <si>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</si>
  <si>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</si>
  <si>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</si>
  <si>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</si>
  <si>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</si>
  <si>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</si>
  <si>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</si>
  <si>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</si>
  <si>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</si>
  <si>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</si>
  <si>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</si>
  <si>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</si>
  <si>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</si>
  <si>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</si>
  <si>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</si>
  <si>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</si>
  <si>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</si>
  <si>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</si>
  <si>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</si>
  <si>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</si>
  <si>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</si>
  <si>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</si>
  <si>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</si>
  <si>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</si>
  <si>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</si>
  <si>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</si>
  <si>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</si>
  <si>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</si>
  <si>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</si>
  <si>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</si>
  <si>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</si>
  <si>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</si>
  <si>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</si>
  <si>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</si>
  <si>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</si>
  <si>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</si>
  <si>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</si>
  <si>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</si>
  <si>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</si>
  <si>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</si>
  <si>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</si>
  <si>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</si>
  <si>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</si>
  <si>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</si>
  <si>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</si>
  <si>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</si>
  <si>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</si>
  <si>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</si>
  <si>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</si>
  <si>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</si>
  <si>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</si>
  <si>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</si>
  <si>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</si>
  <si>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</si>
  <si>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</si>
  <si>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</si>
  <si>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</si>
  <si>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</si>
  <si>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</si>
  <si>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</si>
  <si>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</si>
  <si>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</si>
  <si>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</si>
  <si>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</si>
  <si>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</si>
  <si>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</si>
  <si>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</si>
  <si>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</si>
  <si>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</si>
  <si>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</si>
  <si>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</si>
  <si>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</si>
  <si>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</si>
  <si>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</si>
  <si>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</si>
  <si>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</si>
  <si>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</si>
  <si>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</si>
  <si>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</si>
  <si>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</si>
  <si>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</si>
  <si>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</si>
  <si>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</si>
  <si>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</si>
  <si>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</si>
  <si>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</si>
  <si>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</si>
  <si>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</si>
  <si>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</si>
  <si>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</si>
  <si>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</si>
  <si>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</si>
  <si>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</si>
  <si>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</si>
  <si>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</si>
  <si>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</si>
  <si>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</si>
  <si>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</si>
  <si>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</si>
  <si>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</si>
  <si>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</si>
  <si>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</si>
  <si>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</si>
  <si>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</si>
  <si>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</si>
  <si>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</si>
  <si>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</si>
  <si>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</si>
  <si>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</si>
  <si>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</si>
  <si>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</si>
  <si>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</si>
  <si>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</si>
  <si>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</si>
  <si>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</si>
  <si>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</si>
  <si>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</si>
  <si>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</si>
  <si>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</si>
  <si>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</si>
  <si>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</si>
  <si>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</si>
  <si>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</si>
  <si>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</si>
  <si>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</si>
  <si>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</si>
  <si>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</si>
  <si>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</si>
  <si>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</si>
  <si>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</si>
  <si>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</si>
  <si>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</si>
  <si>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</si>
  <si>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</si>
  <si>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</si>
  <si>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</si>
  <si>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</si>
  <si>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</si>
  <si>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</si>
  <si>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</si>
  <si>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</si>
  <si>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</si>
  <si>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</si>
  <si>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</si>
  <si>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</si>
  <si>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</si>
  <si>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</si>
  <si>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</si>
  <si>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</si>
  <si>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</si>
  <si>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</si>
  <si>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</si>
  <si>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Not adjusted for long term load transfers because it is considered immaterial</t>
  </si>
  <si>
    <t>Not adjusted for long term load transfers because it is considered immaterial (320,057kWh)</t>
  </si>
  <si>
    <t>Y</t>
  </si>
  <si>
    <t>N</t>
  </si>
  <si>
    <t>2015 1589 principal disposition approved by OEB</t>
  </si>
  <si>
    <t>Year end data is based on actual billed data (i.e. the unbilled revenue is adjusted and updated based on actual billings once we have the data before the year is closed).</t>
  </si>
  <si>
    <t>Owing to IESO for 2015, filed in January 2016</t>
  </si>
  <si>
    <t>Owing to IESO for 2016, filed in February 2017</t>
  </si>
  <si>
    <t>Not applicable - not including GA balances pertaining to class A customers</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</si>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</sst>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 All non-RPP Class B customers are billed on the first GA estimate.</a:t>
          </a:r>
        </a:p>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 When a</a:t>
          </a:r>
          <a:r>
            <a:rPr lang="en-CA" sz="1100" baseline="0">
              <a:latin typeface="Arial" panose="020B0604020202020204" pitchFamily="34" charset="0"/>
              <a:cs typeface="Arial" panose="020B0604020202020204" pitchFamily="34" charset="0"/>
            </a:rPr>
            <a:t> billing cycle spans more than one load month, the GA billing rate is determined by breaking down consumption into themonth it was used and calculating the GA based on the first estimate of the relevant month.  If usage is only read once in the cycle, it is pro-rated by number of days in each calendar month to determin the kWh/month for the correct GA calculation.</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 The GA rate methodology used is applied consistently to all non-RPP Class B custiners in each class.</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5" zoomScaleNormal="100" zoomScaleSheetLayoutView="85" workbookViewId="0">
      <selection activeCell="C43" sqref="C43"/>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0" t="s">
        <v>85</v>
      </c>
      <c r="B18" s="140"/>
      <c r="C18" s="140"/>
    </row>
    <row r="20" spans="1:26" x14ac:dyDescent="0.2">
      <c r="A20" s="42">
        <v>1</v>
      </c>
      <c r="B20" s="142" t="s">
        <v>140</v>
      </c>
      <c r="C20" s="142"/>
    </row>
    <row r="21" spans="1:26" x14ac:dyDescent="0.2">
      <c r="B21" s="134"/>
      <c r="C21" s="134"/>
    </row>
    <row r="23" spans="1:26" ht="31.5" customHeight="1" x14ac:dyDescent="0.2">
      <c r="A23" s="42">
        <v>2</v>
      </c>
      <c r="B23" s="139" t="s">
        <v>86</v>
      </c>
      <c r="C23" s="139"/>
    </row>
    <row r="24" spans="1:26" x14ac:dyDescent="0.2">
      <c r="B24" s="133"/>
      <c r="C24" s="133"/>
    </row>
    <row r="26" spans="1:26" x14ac:dyDescent="0.2">
      <c r="A26" s="42">
        <v>3</v>
      </c>
      <c r="B26" s="141" t="s">
        <v>109</v>
      </c>
      <c r="C26" s="141"/>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39" t="s">
        <v>155</v>
      </c>
      <c r="B33" s="139"/>
      <c r="C33" s="139"/>
    </row>
    <row r="34" spans="1:3" x14ac:dyDescent="0.2">
      <c r="B34" s="133"/>
      <c r="C34" s="133"/>
    </row>
    <row r="35" spans="1:3" x14ac:dyDescent="0.2">
      <c r="B35" s="85"/>
    </row>
    <row r="36" spans="1:3" x14ac:dyDescent="0.2">
      <c r="A36" s="42">
        <v>4</v>
      </c>
      <c r="B36" s="141" t="s">
        <v>141</v>
      </c>
      <c r="C36" s="141"/>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0" t="s">
        <v>152</v>
      </c>
      <c r="C78" s="140"/>
    </row>
    <row r="79" spans="1:3" x14ac:dyDescent="0.2">
      <c r="B79" s="87"/>
      <c r="C79" s="133"/>
    </row>
    <row r="81" spans="1:3" ht="30.75" customHeight="1" x14ac:dyDescent="0.2">
      <c r="A81" s="42">
        <v>7</v>
      </c>
      <c r="B81" s="139" t="s">
        <v>153</v>
      </c>
      <c r="C81" s="139"/>
    </row>
    <row r="82" spans="1:3" x14ac:dyDescent="0.2">
      <c r="B82" s="133"/>
      <c r="C82" s="133"/>
    </row>
    <row r="83" spans="1:3" ht="15.75" customHeight="1" x14ac:dyDescent="0.2">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32767"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Normal="100" zoomScaleSheetLayoutView="100" workbookViewId="0">
      <selection activeCell="B109" sqref="B109"/>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1" t="s">
        <v>25</v>
      </c>
      <c r="C21" s="151"/>
      <c r="D21" s="24">
        <v>2016</v>
      </c>
      <c r="E21" s="152"/>
      <c r="F21" s="153"/>
      <c r="G21" s="79"/>
      <c r="H21" s="79"/>
      <c r="I21" s="79"/>
      <c r="J21" s="79"/>
      <c r="K21" s="79"/>
      <c r="L21" s="79"/>
      <c r="M21" s="79"/>
      <c r="N21" s="79"/>
      <c r="O21" s="79"/>
      <c r="P21" s="79"/>
      <c r="Q21" s="79"/>
    </row>
    <row r="22" spans="1:24" ht="15" thickBot="1" x14ac:dyDescent="0.25">
      <c r="A22" s="4"/>
      <c r="B22" s="5" t="s">
        <v>3</v>
      </c>
      <c r="C22" s="5" t="s">
        <v>2</v>
      </c>
      <c r="D22" s="117">
        <f>D23+D24</f>
        <v>604153757</v>
      </c>
      <c r="E22" s="6" t="s">
        <v>0</v>
      </c>
      <c r="F22" s="7">
        <v>1</v>
      </c>
      <c r="G22" s="79"/>
      <c r="H22" s="79"/>
      <c r="I22" s="79"/>
      <c r="J22" s="79"/>
      <c r="K22" s="79"/>
      <c r="L22" s="79"/>
      <c r="M22" s="79"/>
      <c r="N22" s="79"/>
      <c r="O22" s="79"/>
      <c r="P22" s="79"/>
      <c r="Q22" s="79"/>
    </row>
    <row r="23" spans="1:24" x14ac:dyDescent="0.2">
      <c r="B23" s="5" t="s">
        <v>7</v>
      </c>
      <c r="C23" s="5" t="s">
        <v>1</v>
      </c>
      <c r="D23" s="118">
        <v>189506560</v>
      </c>
      <c r="E23" s="6" t="s">
        <v>0</v>
      </c>
      <c r="F23" s="8">
        <f>IFERROR(D23/$D$22,0)</f>
        <v>0.313672732817252</v>
      </c>
    </row>
    <row r="24" spans="1:24" ht="15" thickBot="1" x14ac:dyDescent="0.25">
      <c r="B24" s="5" t="s">
        <v>8</v>
      </c>
      <c r="C24" s="5" t="s">
        <v>6</v>
      </c>
      <c r="D24" s="117">
        <f>D25+D26</f>
        <v>414647197</v>
      </c>
      <c r="E24" s="6" t="s">
        <v>0</v>
      </c>
      <c r="F24" s="8">
        <f>IFERROR(D24/$D$22,0)</f>
        <v>0.68632726718274795</v>
      </c>
    </row>
    <row r="25" spans="1:24" x14ac:dyDescent="0.2">
      <c r="B25" s="5" t="s">
        <v>9</v>
      </c>
      <c r="C25" s="5" t="s">
        <v>4</v>
      </c>
      <c r="D25" s="118">
        <f>25185906+30285009+25907246+22125662</f>
        <v>103503823</v>
      </c>
      <c r="E25" s="6" t="s">
        <v>0</v>
      </c>
      <c r="F25" s="8">
        <f>IFERROR(D25/$D$22,0)</f>
        <v>0.17132033327734483</v>
      </c>
    </row>
    <row r="26" spans="1:24" x14ac:dyDescent="0.2">
      <c r="B26" s="5" t="s">
        <v>61</v>
      </c>
      <c r="C26" s="5" t="s">
        <v>5</v>
      </c>
      <c r="D26" s="119">
        <f>285869773-D25+128777424</f>
        <v>311143374</v>
      </c>
      <c r="E26" s="6" t="s">
        <v>0</v>
      </c>
      <c r="F26" s="8">
        <f>IFERROR(D26/$D$22,0)</f>
        <v>0.5150069339054032</v>
      </c>
      <c r="G26" s="29"/>
      <c r="H26" s="29"/>
    </row>
    <row r="27" spans="1:24" ht="34.5" customHeight="1" x14ac:dyDescent="0.2">
      <c r="B27" s="154" t="s">
        <v>77</v>
      </c>
      <c r="C27" s="154"/>
      <c r="D27" s="154"/>
      <c r="E27" s="154"/>
      <c r="F27" s="154"/>
      <c r="G27" s="155"/>
      <c r="H27" s="155"/>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7">
        <v>2016</v>
      </c>
      <c r="P45" s="147"/>
      <c r="Q45" s="147"/>
      <c r="R45" s="147">
        <v>2015</v>
      </c>
      <c r="S45" s="147"/>
      <c r="T45" s="147"/>
      <c r="U45" s="147">
        <v>2014</v>
      </c>
      <c r="V45" s="147"/>
      <c r="W45" s="147"/>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26598865</v>
      </c>
      <c r="D47" s="94"/>
      <c r="E47" s="60"/>
      <c r="F47" s="51">
        <f>C47-D47+E47</f>
        <v>26598865</v>
      </c>
      <c r="G47" s="111">
        <f>84.23/1000</f>
        <v>8.4229999999999999E-2</v>
      </c>
      <c r="H47" s="15">
        <f>F47*G47</f>
        <v>2240422.3989499998</v>
      </c>
      <c r="I47" s="111">
        <f>91.79/1000</f>
        <v>9.179000000000001E-2</v>
      </c>
      <c r="J47" s="17">
        <f>F47*I47</f>
        <v>2441509.8183500003</v>
      </c>
      <c r="K47" s="16">
        <f>J47-H47</f>
        <v>201087.41940000048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26175295</v>
      </c>
      <c r="D48" s="94"/>
      <c r="E48" s="60"/>
      <c r="F48" s="51">
        <f t="shared" ref="F48:F58" si="0">C48-D48+E48</f>
        <v>26175295</v>
      </c>
      <c r="G48" s="111">
        <f>103.84/1000</f>
        <v>0.10384</v>
      </c>
      <c r="H48" s="15">
        <f t="shared" ref="H48:H58" si="1">F48*G48</f>
        <v>2718042.6328000003</v>
      </c>
      <c r="I48" s="111">
        <f>98.51/1000</f>
        <v>9.851E-2</v>
      </c>
      <c r="J48" s="17">
        <f t="shared" ref="J48:J58" si="2">F48*I48</f>
        <v>2578528.3104500002</v>
      </c>
      <c r="K48" s="16">
        <f t="shared" ref="K48:K58" si="3">J48-H48</f>
        <v>-139514.32235000003</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26988943</v>
      </c>
      <c r="D49" s="94"/>
      <c r="E49" s="60"/>
      <c r="F49" s="51">
        <f t="shared" si="0"/>
        <v>26988943</v>
      </c>
      <c r="G49" s="111">
        <f>90.22/1000</f>
        <v>9.0219999999999995E-2</v>
      </c>
      <c r="H49" s="15">
        <f t="shared" si="1"/>
        <v>2434942.4374599997</v>
      </c>
      <c r="I49" s="111">
        <f>106.1/1000</f>
        <v>0.1061</v>
      </c>
      <c r="J49" s="17">
        <f t="shared" si="2"/>
        <v>2863526.8522999999</v>
      </c>
      <c r="K49" s="16">
        <f t="shared" si="3"/>
        <v>428584.41484000022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26207478</v>
      </c>
      <c r="D50" s="94"/>
      <c r="E50" s="60"/>
      <c r="F50" s="51">
        <f t="shared" si="0"/>
        <v>26207478</v>
      </c>
      <c r="G50" s="111">
        <f>121.15/1000</f>
        <v>0.12115000000000001</v>
      </c>
      <c r="H50" s="15">
        <f t="shared" si="1"/>
        <v>3175035.9597</v>
      </c>
      <c r="I50" s="111">
        <f>111.32/1000</f>
        <v>0.11131999999999999</v>
      </c>
      <c r="J50" s="17">
        <f t="shared" si="2"/>
        <v>2917416.4509599996</v>
      </c>
      <c r="K50" s="16">
        <f t="shared" si="3"/>
        <v>-257619.50874000043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26389328</v>
      </c>
      <c r="D51" s="94"/>
      <c r="E51" s="60"/>
      <c r="F51" s="51">
        <f t="shared" si="0"/>
        <v>26389328</v>
      </c>
      <c r="G51" s="111">
        <f>104.05/1000</f>
        <v>0.10405</v>
      </c>
      <c r="H51" s="15">
        <f t="shared" si="1"/>
        <v>2745809.5784</v>
      </c>
      <c r="I51" s="111">
        <f>107.49/1000</f>
        <v>0.10748999999999999</v>
      </c>
      <c r="J51" s="17">
        <f t="shared" si="2"/>
        <v>2836588.8667199998</v>
      </c>
      <c r="K51" s="16">
        <f t="shared" si="3"/>
        <v>90779.288319999818</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26850848</v>
      </c>
      <c r="D52" s="94"/>
      <c r="E52" s="60"/>
      <c r="F52" s="51">
        <f t="shared" si="0"/>
        <v>26850848</v>
      </c>
      <c r="G52" s="111">
        <f>116.5/1000</f>
        <v>0.11650000000000001</v>
      </c>
      <c r="H52" s="15">
        <f t="shared" si="1"/>
        <v>3128123.7920000004</v>
      </c>
      <c r="I52" s="111">
        <f>95.45/1000</f>
        <v>9.5450000000000007E-2</v>
      </c>
      <c r="J52" s="17">
        <f t="shared" si="2"/>
        <v>2562913.4416</v>
      </c>
      <c r="K52" s="16">
        <f t="shared" si="3"/>
        <v>-565210.35040000034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26228081</v>
      </c>
      <c r="D53" s="94"/>
      <c r="E53" s="60"/>
      <c r="F53" s="51">
        <f t="shared" si="0"/>
        <v>26228081</v>
      </c>
      <c r="G53" s="111">
        <f>76.67/1000</f>
        <v>7.6670000000000002E-2</v>
      </c>
      <c r="H53" s="15">
        <f t="shared" si="1"/>
        <v>2010906.9702700002</v>
      </c>
      <c r="I53" s="111">
        <f>83.06/1000</f>
        <v>8.3060000000000009E-2</v>
      </c>
      <c r="J53" s="17">
        <f t="shared" si="2"/>
        <v>2178504.4078600002</v>
      </c>
      <c r="K53" s="16">
        <f t="shared" si="3"/>
        <v>167597.43758999999</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29566233</v>
      </c>
      <c r="D54" s="94"/>
      <c r="E54" s="60"/>
      <c r="F54" s="51">
        <f t="shared" si="0"/>
        <v>29566233</v>
      </c>
      <c r="G54" s="111">
        <f>85.69/1000</f>
        <v>8.5690000000000002E-2</v>
      </c>
      <c r="H54" s="15">
        <f t="shared" si="1"/>
        <v>2533530.5057700002</v>
      </c>
      <c r="I54" s="111">
        <f>71.03/1000</f>
        <v>7.1029999999999996E-2</v>
      </c>
      <c r="J54" s="17">
        <f t="shared" si="2"/>
        <v>2100089.5299899997</v>
      </c>
      <c r="K54" s="16">
        <f t="shared" si="3"/>
        <v>-433440.97578000044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28154958</v>
      </c>
      <c r="D55" s="94"/>
      <c r="E55" s="60"/>
      <c r="F55" s="51">
        <f t="shared" si="0"/>
        <v>28154958</v>
      </c>
      <c r="G55" s="111">
        <f>70.6/1000</f>
        <v>7.0599999999999996E-2</v>
      </c>
      <c r="H55" s="15">
        <f t="shared" si="1"/>
        <v>1987740.0347999998</v>
      </c>
      <c r="I55" s="111">
        <f>95.31/1000</f>
        <v>9.5310000000000006E-2</v>
      </c>
      <c r="J55" s="17">
        <f t="shared" si="2"/>
        <v>2683449.0469800001</v>
      </c>
      <c r="K55" s="16">
        <f t="shared" si="3"/>
        <v>695709.01218000031</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27415141</v>
      </c>
      <c r="D56" s="94"/>
      <c r="E56" s="60"/>
      <c r="F56" s="51">
        <f t="shared" si="0"/>
        <v>27415141</v>
      </c>
      <c r="G56" s="111">
        <f>97.2/1000</f>
        <v>9.7200000000000009E-2</v>
      </c>
      <c r="H56" s="15">
        <f t="shared" si="1"/>
        <v>2664751.7052000002</v>
      </c>
      <c r="I56" s="111">
        <f>112.26/1000</f>
        <v>0.11226</v>
      </c>
      <c r="J56" s="17">
        <f t="shared" si="2"/>
        <v>3077623.72866</v>
      </c>
      <c r="K56" s="16">
        <f t="shared" si="3"/>
        <v>412872.02345999982</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26514984</v>
      </c>
      <c r="D57" s="94"/>
      <c r="E57" s="60"/>
      <c r="F57" s="51">
        <f t="shared" si="0"/>
        <v>26514984</v>
      </c>
      <c r="G57" s="111">
        <f>122.71/1000</f>
        <v>0.12271</v>
      </c>
      <c r="H57" s="15">
        <f t="shared" si="1"/>
        <v>3253653.68664</v>
      </c>
      <c r="I57" s="111">
        <f>111.09/1000</f>
        <v>0.11109000000000001</v>
      </c>
      <c r="J57" s="17">
        <f t="shared" si="2"/>
        <v>2945549.5725600002</v>
      </c>
      <c r="K57" s="16">
        <f t="shared" si="3"/>
        <v>-308104.11407999974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23962555</v>
      </c>
      <c r="D58" s="94"/>
      <c r="E58" s="60">
        <f>-274381.4/0.10594</f>
        <v>-2589969.7942231451</v>
      </c>
      <c r="F58" s="51">
        <f t="shared" si="0"/>
        <v>21372585.205776855</v>
      </c>
      <c r="G58" s="111">
        <f>105.94/1000</f>
        <v>0.10593999999999999</v>
      </c>
      <c r="H58" s="15">
        <f t="shared" si="1"/>
        <v>2264211.6766999997</v>
      </c>
      <c r="I58" s="111">
        <f>87.08/1000</f>
        <v>8.7080000000000005E-2</v>
      </c>
      <c r="J58" s="17">
        <f t="shared" si="2"/>
        <v>1861124.7197190486</v>
      </c>
      <c r="K58" s="16">
        <f t="shared" si="3"/>
        <v>-403086.95698095113</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321052709</v>
      </c>
      <c r="D59" s="97">
        <f>SUM(D47:D58)</f>
        <v>0</v>
      </c>
      <c r="E59" s="97">
        <f>SUM(E47:E58)</f>
        <v>-2589969.7942231451</v>
      </c>
      <c r="F59" s="97">
        <f>SUM(F47:F58)</f>
        <v>318462739.20577687</v>
      </c>
      <c r="G59" s="37"/>
      <c r="H59" s="38">
        <f>SUM(H47:H58)</f>
        <v>31157171.378690001</v>
      </c>
      <c r="I59" s="37"/>
      <c r="J59" s="38">
        <f>SUM(J47:J58)</f>
        <v>31046824.746149048</v>
      </c>
      <c r="K59" s="39">
        <f>SUM(K47:K58)</f>
        <v>-110346.63254095148</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x14ac:dyDescent="0.25">
      <c r="A65" s="157" t="s">
        <v>134</v>
      </c>
      <c r="B65" s="158"/>
      <c r="C65" s="159"/>
      <c r="D65" s="127">
        <f>-1128748.08-174257.03</f>
        <v>-1303005.1100000001</v>
      </c>
      <c r="E65" s="148"/>
      <c r="F65" s="149"/>
      <c r="G65" s="149"/>
      <c r="H65" s="149"/>
      <c r="I65" s="150"/>
      <c r="K65" s="121"/>
      <c r="O65" s="29"/>
      <c r="P65" s="29"/>
      <c r="Q65" s="29"/>
      <c r="R65" s="29"/>
      <c r="S65" s="29"/>
      <c r="T65" s="29"/>
      <c r="U65" s="29"/>
      <c r="V65" s="29"/>
      <c r="W65" s="29"/>
      <c r="X65" s="29"/>
    </row>
    <row r="66" spans="1:24" ht="28.5" x14ac:dyDescent="0.2">
      <c r="A66" s="70" t="s">
        <v>51</v>
      </c>
      <c r="B66" s="49" t="s">
        <v>62</v>
      </c>
      <c r="C66" s="112" t="s">
        <v>165</v>
      </c>
      <c r="D66" s="98">
        <v>-104135</v>
      </c>
      <c r="E66" s="146" t="s">
        <v>169</v>
      </c>
      <c r="F66" s="146"/>
      <c r="G66" s="146"/>
      <c r="H66" s="146"/>
      <c r="I66" s="146"/>
      <c r="K66" s="121"/>
      <c r="O66" s="29"/>
      <c r="P66" s="29"/>
      <c r="Q66" s="29"/>
      <c r="R66" s="29"/>
      <c r="S66" s="29"/>
      <c r="T66" s="29"/>
      <c r="U66" s="29"/>
      <c r="V66" s="29"/>
      <c r="W66" s="29"/>
      <c r="X66" s="29"/>
    </row>
    <row r="67" spans="1:24" ht="28.5" x14ac:dyDescent="0.2">
      <c r="A67" s="70" t="s">
        <v>52</v>
      </c>
      <c r="B67" s="49" t="s">
        <v>79</v>
      </c>
      <c r="C67" s="113" t="s">
        <v>165</v>
      </c>
      <c r="D67" s="114">
        <v>52979</v>
      </c>
      <c r="E67" s="146" t="s">
        <v>170</v>
      </c>
      <c r="F67" s="146"/>
      <c r="G67" s="146"/>
      <c r="H67" s="146"/>
      <c r="I67" s="146"/>
      <c r="J67" s="79"/>
      <c r="K67" s="122"/>
      <c r="L67" s="79"/>
      <c r="M67" s="79"/>
      <c r="N67" s="79"/>
      <c r="O67" s="79"/>
      <c r="P67" s="79"/>
      <c r="Q67" s="79"/>
    </row>
    <row r="68" spans="1:24" ht="28.5" x14ac:dyDescent="0.2">
      <c r="A68" s="70" t="s">
        <v>65</v>
      </c>
      <c r="B68" s="49" t="s">
        <v>64</v>
      </c>
      <c r="C68" s="112" t="s">
        <v>166</v>
      </c>
      <c r="D68" s="114"/>
      <c r="E68" s="146" t="s">
        <v>168</v>
      </c>
      <c r="F68" s="146"/>
      <c r="G68" s="146"/>
      <c r="H68" s="146"/>
      <c r="I68" s="146"/>
      <c r="J68" s="79"/>
      <c r="K68" s="122"/>
      <c r="L68" s="79"/>
      <c r="M68" s="79"/>
      <c r="N68" s="79"/>
      <c r="O68" s="79"/>
      <c r="P68" s="79"/>
      <c r="Q68" s="79"/>
    </row>
    <row r="69" spans="1:24" ht="28.5" x14ac:dyDescent="0.2">
      <c r="A69" s="70" t="s">
        <v>66</v>
      </c>
      <c r="B69" s="49" t="s">
        <v>63</v>
      </c>
      <c r="C69" s="113" t="s">
        <v>166</v>
      </c>
      <c r="D69" s="114"/>
      <c r="E69" s="146" t="s">
        <v>168</v>
      </c>
      <c r="F69" s="146"/>
      <c r="G69" s="146"/>
      <c r="H69" s="146"/>
      <c r="I69" s="146"/>
      <c r="J69" s="79"/>
      <c r="K69" s="125"/>
      <c r="L69" s="79"/>
      <c r="M69" s="79"/>
      <c r="N69" s="79"/>
      <c r="O69" s="79"/>
      <c r="P69" s="79"/>
      <c r="Q69" s="79"/>
    </row>
    <row r="70" spans="1:24" ht="28.5" x14ac:dyDescent="0.2">
      <c r="A70" s="70" t="s">
        <v>69</v>
      </c>
      <c r="B70" s="49" t="s">
        <v>71</v>
      </c>
      <c r="C70" s="112" t="s">
        <v>166</v>
      </c>
      <c r="D70" s="98"/>
      <c r="E70" s="146" t="s">
        <v>163</v>
      </c>
      <c r="F70" s="146"/>
      <c r="G70" s="146"/>
      <c r="H70" s="146"/>
      <c r="I70" s="146"/>
      <c r="J70" s="79"/>
      <c r="K70" s="125"/>
      <c r="L70" s="79"/>
      <c r="M70" s="79"/>
      <c r="N70" s="79"/>
      <c r="O70" s="79"/>
      <c r="P70" s="79"/>
      <c r="Q70" s="79"/>
    </row>
    <row r="71" spans="1:24" ht="28.5" x14ac:dyDescent="0.2">
      <c r="A71" s="70" t="s">
        <v>70</v>
      </c>
      <c r="B71" s="49" t="s">
        <v>72</v>
      </c>
      <c r="C71" s="112" t="s">
        <v>166</v>
      </c>
      <c r="D71" s="98"/>
      <c r="E71" s="146" t="s">
        <v>164</v>
      </c>
      <c r="F71" s="146"/>
      <c r="G71" s="146"/>
      <c r="H71" s="146"/>
      <c r="I71" s="146"/>
      <c r="J71" s="79"/>
      <c r="K71" s="125"/>
      <c r="L71" s="79"/>
      <c r="M71" s="79"/>
      <c r="N71" s="79"/>
      <c r="O71" s="79"/>
      <c r="P71" s="79"/>
      <c r="Q71" s="79"/>
    </row>
    <row r="72" spans="1:24" ht="33.75" customHeight="1" x14ac:dyDescent="0.2">
      <c r="A72" s="70">
        <v>4</v>
      </c>
      <c r="B72" s="49" t="s">
        <v>68</v>
      </c>
      <c r="C72" s="112" t="s">
        <v>166</v>
      </c>
      <c r="D72" s="98"/>
      <c r="E72" s="146" t="s">
        <v>171</v>
      </c>
      <c r="F72" s="146"/>
      <c r="G72" s="146"/>
      <c r="H72" s="146"/>
      <c r="I72" s="146"/>
      <c r="J72" s="79"/>
      <c r="K72" s="125"/>
      <c r="L72" s="79"/>
      <c r="M72" s="79"/>
      <c r="N72" s="79"/>
      <c r="O72" s="79"/>
      <c r="P72" s="79"/>
      <c r="Q72" s="79"/>
    </row>
    <row r="73" spans="1:24" ht="42.75" x14ac:dyDescent="0.2">
      <c r="A73" s="70">
        <v>5</v>
      </c>
      <c r="B73" s="49" t="s">
        <v>81</v>
      </c>
      <c r="C73" s="112" t="s">
        <v>166</v>
      </c>
      <c r="D73" s="98"/>
      <c r="E73" s="146" t="s">
        <v>172</v>
      </c>
      <c r="F73" s="146"/>
      <c r="G73" s="146"/>
      <c r="H73" s="146"/>
      <c r="I73" s="146"/>
      <c r="J73" s="79"/>
      <c r="K73" s="125"/>
      <c r="L73" s="79"/>
      <c r="M73" s="79"/>
      <c r="N73" s="79"/>
      <c r="O73" s="79"/>
      <c r="P73" s="79"/>
      <c r="Q73" s="79"/>
    </row>
    <row r="74" spans="1:24" ht="28.5" x14ac:dyDescent="0.2">
      <c r="A74" s="54">
        <v>6</v>
      </c>
      <c r="B74" s="129" t="s">
        <v>137</v>
      </c>
      <c r="C74" s="112" t="s">
        <v>166</v>
      </c>
      <c r="D74" s="98"/>
      <c r="E74" s="146" t="s">
        <v>172</v>
      </c>
      <c r="F74" s="146"/>
      <c r="G74" s="146"/>
      <c r="H74" s="146"/>
      <c r="I74" s="146"/>
      <c r="K74" s="29"/>
    </row>
    <row r="75" spans="1:24" x14ac:dyDescent="0.2">
      <c r="A75" s="54">
        <v>7</v>
      </c>
      <c r="B75" s="46" t="s">
        <v>167</v>
      </c>
      <c r="C75" s="112" t="s">
        <v>165</v>
      </c>
      <c r="D75" s="98">
        <v>1418193</v>
      </c>
      <c r="E75" s="146"/>
      <c r="F75" s="146"/>
      <c r="G75" s="146"/>
      <c r="H75" s="146"/>
      <c r="I75" s="146"/>
    </row>
    <row r="76" spans="1:24" x14ac:dyDescent="0.2">
      <c r="A76" s="54">
        <v>8</v>
      </c>
      <c r="B76" s="46"/>
      <c r="C76" s="10"/>
      <c r="D76" s="98"/>
      <c r="E76" s="146"/>
      <c r="F76" s="146"/>
      <c r="G76" s="146"/>
      <c r="H76" s="146"/>
      <c r="I76" s="146"/>
    </row>
    <row r="77" spans="1:24" x14ac:dyDescent="0.2">
      <c r="A77" s="54">
        <v>9</v>
      </c>
      <c r="B77" s="46"/>
      <c r="C77" s="10"/>
      <c r="D77" s="98"/>
      <c r="E77" s="143"/>
      <c r="F77" s="144"/>
      <c r="G77" s="144"/>
      <c r="H77" s="144"/>
      <c r="I77" s="145"/>
    </row>
    <row r="78" spans="1:24" x14ac:dyDescent="0.2">
      <c r="A78" s="54">
        <v>10</v>
      </c>
      <c r="B78" s="46"/>
      <c r="C78" s="10"/>
      <c r="D78" s="98"/>
      <c r="E78" s="146"/>
      <c r="F78" s="146"/>
      <c r="G78" s="146"/>
      <c r="H78" s="146"/>
      <c r="I78" s="146"/>
    </row>
    <row r="79" spans="1:24" ht="15" x14ac:dyDescent="0.25">
      <c r="A79" s="1" t="s">
        <v>150</v>
      </c>
      <c r="B79" s="2" t="s">
        <v>131</v>
      </c>
      <c r="C79" s="2"/>
      <c r="D79" s="99">
        <f>SUM(D65:D78)</f>
        <v>64031.889999999898</v>
      </c>
      <c r="E79" s="25"/>
      <c r="F79" s="25"/>
      <c r="G79" s="25"/>
      <c r="H79" s="25"/>
    </row>
    <row r="80" spans="1:24" ht="15" x14ac:dyDescent="0.25">
      <c r="B80" s="124" t="s">
        <v>132</v>
      </c>
      <c r="C80" s="71"/>
      <c r="D80" s="99">
        <f>K59</f>
        <v>-110346.63254095148</v>
      </c>
      <c r="E80" s="25"/>
      <c r="F80" s="25"/>
      <c r="G80" s="25"/>
      <c r="H80" s="25"/>
    </row>
    <row r="81" spans="1:19" ht="15" x14ac:dyDescent="0.25">
      <c r="B81" s="71" t="s">
        <v>24</v>
      </c>
      <c r="C81" s="71"/>
      <c r="D81" s="100">
        <f>D79-D80</f>
        <v>174378.52254095138</v>
      </c>
    </row>
    <row r="82" spans="1:19" ht="15.75" thickBot="1" x14ac:dyDescent="0.3">
      <c r="B82" s="135" t="s">
        <v>73</v>
      </c>
      <c r="C82" s="72"/>
      <c r="D82" s="61">
        <f>IF(ISERROR(D81/J59),0,D81/J59)</f>
        <v>5.6166298475524698E-3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2016</v>
      </c>
      <c r="C88" s="107">
        <f>K59</f>
        <v>-110346.63254095148</v>
      </c>
      <c r="D88" s="107">
        <f>D65</f>
        <v>-1303005.1100000001</v>
      </c>
      <c r="E88" s="108">
        <f>SUM(D66:D78)</f>
        <v>1367037</v>
      </c>
      <c r="F88" s="131">
        <f>SUM(D88:E88)</f>
        <v>64031.889999999898</v>
      </c>
      <c r="G88" s="109">
        <f>F88-C88</f>
        <v>174378.52254095138</v>
      </c>
      <c r="H88" s="108">
        <f>J59</f>
        <v>31046824.746149048</v>
      </c>
      <c r="I88" s="105">
        <f>IF(ISERROR(G88/H88),0,G88/H88)</f>
        <v>5.6166298475524698E-3</v>
      </c>
      <c r="J88" s="79"/>
      <c r="K88" s="79"/>
      <c r="L88" s="35"/>
      <c r="M88" s="35"/>
      <c r="N88" s="35"/>
      <c r="O88" s="35"/>
      <c r="P88" s="35"/>
      <c r="Q88" s="35"/>
      <c r="R88" s="35"/>
      <c r="S88" s="35"/>
    </row>
    <row r="89" spans="1:19" x14ac:dyDescent="0.2">
      <c r="B89" s="116"/>
      <c r="C89" s="107"/>
      <c r="D89" s="107"/>
      <c r="E89" s="108"/>
      <c r="F89" s="131">
        <f t="shared" ref="F89:F91" si="4">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4"/>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4"/>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5">SUM(C88:C91)</f>
        <v>-110346.63254095148</v>
      </c>
      <c r="D92" s="130">
        <f t="shared" si="5"/>
        <v>-1303005.1100000001</v>
      </c>
      <c r="E92" s="130">
        <f t="shared" si="5"/>
        <v>1367037</v>
      </c>
      <c r="F92" s="132">
        <f t="shared" si="5"/>
        <v>64031.889999999898</v>
      </c>
      <c r="G92" s="130">
        <f>SUM(G88:G91)</f>
        <v>174378.52254095138</v>
      </c>
      <c r="H92" s="77">
        <f t="shared" si="5"/>
        <v>31046824.746149048</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mccannk</cp:lastModifiedBy>
  <cp:lastPrinted>2017-08-09T14:38:06Z</cp:lastPrinted>
  <dcterms:created xsi:type="dcterms:W3CDTF">2017-05-01T19:29:01Z</dcterms:created>
  <dcterms:modified xsi:type="dcterms:W3CDTF">2017-08-09T18:12:36Z</dcterms:modified>
</cp:coreProperties>
</file>