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S:\OEB\IRM\2018 IRM\OEB Submission\"/>
    </mc:Choice>
  </mc:AlternateContent>
  <bookViews>
    <workbookView xWindow="0" yWindow="0" windowWidth="24000" windowHeight="9300" firstSheet="1" activeTab="1"/>
  </bookViews>
  <sheets>
    <sheet name="Instructions" sheetId="2" r:id="rId1"/>
    <sheet name=" 2016 GA Analysis" sheetId="1" r:id="rId2"/>
    <sheet name="2015 GA Analysis" sheetId="4" r:id="rId3"/>
    <sheet name="2016 Interval Consumption" sheetId="3" r:id="rId4"/>
  </sheets>
  <externalReferences>
    <externalReference r:id="rId5"/>
    <externalReference r:id="rId6"/>
  </externalReferences>
  <definedNames>
    <definedName name="GARate" localSheetId="2">#REF!</definedName>
    <definedName name="GARate">#REF!</definedName>
    <definedName name="_xlnm.Print_Area" localSheetId="1">' 2016 GA Analysis'!$A$1:$K$99</definedName>
    <definedName name="_xlnm.Print_Area" localSheetId="2">'2015 GA Analysis'!$A$1:$K$98</definedName>
    <definedName name="_xlnm.Print_Area" localSheetId="0">Instructions!$A$1:$C$67</definedName>
  </definedNames>
  <calcPr calcId="162913"/>
</workbook>
</file>

<file path=xl/calcChain.xml><?xml version="1.0" encoding="utf-8"?>
<calcChain xmlns="http://schemas.openxmlformats.org/spreadsheetml/2006/main">
  <c r="F79" i="4" l="1"/>
  <c r="D79" i="4"/>
  <c r="D58" i="4"/>
  <c r="D59" i="1"/>
  <c r="D81" i="1" l="1"/>
  <c r="D80" i="1"/>
  <c r="D66" i="1"/>
  <c r="P17" i="3"/>
  <c r="O17" i="3"/>
  <c r="N17" i="3"/>
  <c r="M17" i="3"/>
  <c r="L17" i="3"/>
  <c r="K17" i="3"/>
  <c r="P16" i="3"/>
  <c r="O16" i="3"/>
  <c r="N16" i="3"/>
  <c r="M16" i="3"/>
  <c r="L16" i="3"/>
  <c r="K16" i="3"/>
  <c r="F19" i="3"/>
  <c r="G19" i="3"/>
  <c r="H19" i="3"/>
  <c r="I19" i="3"/>
  <c r="J19" i="3"/>
  <c r="E19" i="3"/>
  <c r="J18" i="3"/>
  <c r="I18" i="3"/>
  <c r="H18" i="3"/>
  <c r="G18" i="3"/>
  <c r="F18" i="3"/>
  <c r="E18" i="3"/>
  <c r="F17" i="3"/>
  <c r="G17" i="3"/>
  <c r="H17" i="3"/>
  <c r="I17" i="3"/>
  <c r="J17" i="3"/>
  <c r="E17" i="3"/>
  <c r="J16" i="3"/>
  <c r="I16" i="3"/>
  <c r="H16" i="3"/>
  <c r="G16" i="3"/>
  <c r="F16" i="3"/>
  <c r="E16" i="3"/>
  <c r="L18" i="3"/>
  <c r="L19" i="3" s="1"/>
  <c r="M18" i="3"/>
  <c r="M19" i="3" s="1"/>
  <c r="N18" i="3"/>
  <c r="N19" i="3" s="1"/>
  <c r="O18" i="3"/>
  <c r="O19" i="3" s="1"/>
  <c r="P18" i="3"/>
  <c r="P19" i="3" s="1"/>
  <c r="K18" i="3"/>
  <c r="K19" i="3" s="1"/>
  <c r="Q19" i="3" l="1"/>
  <c r="C35" i="1" l="1"/>
  <c r="C36" i="1"/>
  <c r="C37" i="1"/>
  <c r="C38" i="1"/>
  <c r="C39" i="1"/>
  <c r="C40" i="1"/>
  <c r="C41" i="1"/>
  <c r="C42" i="1"/>
  <c r="C43" i="1"/>
  <c r="C44" i="1"/>
  <c r="C45" i="1"/>
  <c r="C46" i="1"/>
  <c r="F46" i="4" l="1"/>
  <c r="I36" i="4" l="1"/>
  <c r="I37" i="4"/>
  <c r="I38" i="4"/>
  <c r="I39" i="4"/>
  <c r="I40" i="4"/>
  <c r="I41" i="4"/>
  <c r="I42" i="4"/>
  <c r="I43" i="4"/>
  <c r="I44" i="4"/>
  <c r="I45" i="4"/>
  <c r="I46" i="4"/>
  <c r="I35" i="4"/>
  <c r="G36" i="4"/>
  <c r="G37" i="4"/>
  <c r="G38" i="4"/>
  <c r="G39" i="4"/>
  <c r="G40" i="4"/>
  <c r="G41" i="4"/>
  <c r="G42" i="4"/>
  <c r="G43" i="4"/>
  <c r="G44" i="4"/>
  <c r="G45" i="4"/>
  <c r="G46" i="4"/>
  <c r="G35" i="4"/>
  <c r="C44" i="4" l="1"/>
  <c r="C35" i="4"/>
  <c r="C43" i="4"/>
  <c r="C36" i="4"/>
  <c r="C45" i="4"/>
  <c r="C40" i="4"/>
  <c r="C42" i="4"/>
  <c r="C41" i="4"/>
  <c r="C39" i="4"/>
  <c r="C38" i="4"/>
  <c r="C37" i="4"/>
  <c r="F35" i="4" l="1"/>
  <c r="I35" i="1" l="1"/>
  <c r="G35" i="1"/>
  <c r="P13" i="3"/>
  <c r="O13" i="3"/>
  <c r="N13" i="3"/>
  <c r="M13" i="3"/>
  <c r="L13" i="3"/>
  <c r="K13" i="3"/>
  <c r="J13" i="3"/>
  <c r="I13" i="3"/>
  <c r="H13" i="3"/>
  <c r="G13" i="3"/>
  <c r="F13" i="3"/>
  <c r="E13" i="3"/>
  <c r="Q12" i="3"/>
  <c r="Q11" i="3"/>
  <c r="Q10" i="3"/>
  <c r="Q9" i="3"/>
  <c r="Q8" i="3"/>
  <c r="Q13" i="3" s="1"/>
  <c r="I36" i="1" l="1"/>
  <c r="I37" i="1"/>
  <c r="I38" i="1"/>
  <c r="I39" i="1"/>
  <c r="I40" i="1"/>
  <c r="I41" i="1"/>
  <c r="I42" i="1"/>
  <c r="I43" i="1"/>
  <c r="I44" i="1"/>
  <c r="I45" i="1"/>
  <c r="I46" i="1"/>
  <c r="G36" i="1"/>
  <c r="G37" i="1"/>
  <c r="G38" i="1"/>
  <c r="G39" i="1"/>
  <c r="G40" i="1"/>
  <c r="G41" i="1"/>
  <c r="G42" i="1"/>
  <c r="G43" i="1"/>
  <c r="G44" i="1"/>
  <c r="G45" i="1"/>
  <c r="G46" i="1"/>
  <c r="F46" i="1" l="1"/>
  <c r="H46" i="1" l="1"/>
  <c r="J46" i="1"/>
  <c r="F35" i="1"/>
  <c r="H35" i="1" s="1"/>
  <c r="P46" i="1"/>
  <c r="P36" i="1"/>
  <c r="P37" i="1"/>
  <c r="P38" i="1"/>
  <c r="P39" i="1"/>
  <c r="P40" i="1"/>
  <c r="P41" i="1"/>
  <c r="P42" i="1"/>
  <c r="P43" i="1"/>
  <c r="P44" i="1"/>
  <c r="P45" i="1"/>
  <c r="P35" i="1"/>
  <c r="J35" i="1" l="1"/>
  <c r="K35" i="1" l="1"/>
  <c r="D11" i="1"/>
  <c r="F83" i="4"/>
  <c r="D83" i="4"/>
  <c r="G82" i="4"/>
  <c r="I82" i="4" s="1"/>
  <c r="G81" i="4"/>
  <c r="I81" i="4" s="1"/>
  <c r="G80" i="4"/>
  <c r="I80" i="4" s="1"/>
  <c r="D70" i="4"/>
  <c r="F81" i="1" s="1"/>
  <c r="E47" i="4"/>
  <c r="D47" i="4"/>
  <c r="C47" i="4"/>
  <c r="F45" i="4"/>
  <c r="F44" i="4"/>
  <c r="F43" i="4"/>
  <c r="F42" i="4"/>
  <c r="F41" i="4"/>
  <c r="F40" i="4"/>
  <c r="F39" i="4"/>
  <c r="F38" i="4"/>
  <c r="F37" i="4"/>
  <c r="F36" i="4"/>
  <c r="F13" i="4"/>
  <c r="F11" i="4" s="1"/>
  <c r="E13" i="4"/>
  <c r="D13" i="4"/>
  <c r="E11" i="4"/>
  <c r="F47" i="4" l="1"/>
  <c r="J38" i="4"/>
  <c r="H38" i="4"/>
  <c r="J37" i="4"/>
  <c r="H37" i="4"/>
  <c r="J40" i="4"/>
  <c r="H40" i="4"/>
  <c r="J43" i="4"/>
  <c r="H43" i="4"/>
  <c r="J41" i="4"/>
  <c r="H41" i="4"/>
  <c r="J44" i="4"/>
  <c r="H44" i="4"/>
  <c r="J35" i="4"/>
  <c r="H35" i="4"/>
  <c r="J42" i="4"/>
  <c r="H42" i="4"/>
  <c r="J45" i="4"/>
  <c r="H45" i="4"/>
  <c r="J36" i="4"/>
  <c r="H36" i="4"/>
  <c r="J39" i="4"/>
  <c r="H39" i="4"/>
  <c r="J46" i="4"/>
  <c r="H46" i="4"/>
  <c r="D11" i="4"/>
  <c r="D71" i="1"/>
  <c r="F80" i="1" l="1"/>
  <c r="K37" i="4"/>
  <c r="K44" i="4"/>
  <c r="K43" i="4"/>
  <c r="K45" i="4"/>
  <c r="K39" i="4"/>
  <c r="K41" i="4"/>
  <c r="K40" i="4"/>
  <c r="K42" i="4"/>
  <c r="K36" i="4"/>
  <c r="K35" i="4"/>
  <c r="K46" i="4"/>
  <c r="H47" i="4"/>
  <c r="J47" i="4"/>
  <c r="K38" i="4"/>
  <c r="H12" i="4"/>
  <c r="H15" i="4"/>
  <c r="H14" i="4"/>
  <c r="H13" i="4"/>
  <c r="H81" i="1" l="1"/>
  <c r="H79" i="4"/>
  <c r="H83" i="4" s="1"/>
  <c r="K47" i="4"/>
  <c r="C79" i="4" s="1"/>
  <c r="C83" i="4" s="1"/>
  <c r="C47" i="1"/>
  <c r="D47" i="1"/>
  <c r="E47" i="1"/>
  <c r="K49" i="4" l="1"/>
  <c r="E79" i="4" s="1"/>
  <c r="C81" i="1"/>
  <c r="F13" i="1"/>
  <c r="F11" i="1" s="1"/>
  <c r="E13" i="1"/>
  <c r="E11" i="1" s="1"/>
  <c r="D13" i="1"/>
  <c r="E83" i="4" l="1"/>
  <c r="G79" i="4"/>
  <c r="D71" i="4"/>
  <c r="D72" i="4" s="1"/>
  <c r="D73" i="4" s="1"/>
  <c r="E81" i="1"/>
  <c r="G81" i="1" s="1"/>
  <c r="I81" i="1" s="1"/>
  <c r="G82" i="1"/>
  <c r="I82" i="1" s="1"/>
  <c r="G83" i="1"/>
  <c r="I83" i="1" s="1"/>
  <c r="F84" i="1"/>
  <c r="I79" i="4" l="1"/>
  <c r="G83" i="4"/>
  <c r="D84" i="1"/>
  <c r="F36" i="1" l="1"/>
  <c r="F37" i="1"/>
  <c r="F38" i="1"/>
  <c r="F39" i="1"/>
  <c r="F40" i="1"/>
  <c r="F41" i="1"/>
  <c r="F42" i="1"/>
  <c r="F43" i="1"/>
  <c r="F44" i="1"/>
  <c r="F45" i="1"/>
  <c r="H39" i="1" l="1"/>
  <c r="J39" i="1"/>
  <c r="H38" i="1"/>
  <c r="J38" i="1"/>
  <c r="H42" i="1"/>
  <c r="J42" i="1"/>
  <c r="H45" i="1"/>
  <c r="J45" i="1"/>
  <c r="H41" i="1"/>
  <c r="J41" i="1"/>
  <c r="H37" i="1"/>
  <c r="J37" i="1"/>
  <c r="H43" i="1"/>
  <c r="J43" i="1"/>
  <c r="H44" i="1"/>
  <c r="J44" i="1"/>
  <c r="H40" i="1"/>
  <c r="J40" i="1"/>
  <c r="H36" i="1"/>
  <c r="J36" i="1"/>
  <c r="F47" i="1"/>
  <c r="J47" i="1" l="1"/>
  <c r="H47" i="1"/>
  <c r="K45" i="1"/>
  <c r="K41" i="1"/>
  <c r="K44" i="1"/>
  <c r="K42" i="1"/>
  <c r="K43" i="1"/>
  <c r="K39" i="1"/>
  <c r="K40" i="1"/>
  <c r="K46" i="1"/>
  <c r="H15" i="1"/>
  <c r="H14" i="1"/>
  <c r="H13" i="1"/>
  <c r="H12" i="1"/>
  <c r="K38" i="1" l="1"/>
  <c r="K37" i="1"/>
  <c r="K36" i="1"/>
  <c r="K47" i="1" l="1"/>
  <c r="K50" i="1" s="1"/>
  <c r="E80" i="1" s="1"/>
  <c r="G80" i="1" s="1"/>
  <c r="H80" i="1"/>
  <c r="H84" i="1" l="1"/>
  <c r="C80" i="1"/>
  <c r="C84" i="1" s="1"/>
  <c r="E84" i="1" l="1"/>
  <c r="D72" i="1"/>
  <c r="D73" i="1" s="1"/>
  <c r="D74" i="1" s="1"/>
  <c r="I80" i="1" l="1"/>
  <c r="G84" i="1"/>
</calcChain>
</file>

<file path=xl/comments1.xml><?xml version="1.0" encoding="utf-8"?>
<comments xmlns="http://schemas.openxmlformats.org/spreadsheetml/2006/main">
  <authors>
    <author>Lisa Barker</author>
  </authors>
  <commentList>
    <comment ref="F45" authorId="0" shapeId="0">
      <text>
        <r>
          <rPr>
            <b/>
            <sz val="9"/>
            <color indexed="81"/>
            <rFont val="Tahoma"/>
            <family val="2"/>
          </rPr>
          <t>Lisa Barker:</t>
        </r>
        <r>
          <rPr>
            <sz val="9"/>
            <color indexed="81"/>
            <rFont val="Tahoma"/>
            <family val="2"/>
          </rPr>
          <t xml:space="preserve">
Should we be subtracting Generation and LTLT???</t>
        </r>
      </text>
    </comment>
  </commentList>
</comments>
</file>

<file path=xl/sharedStrings.xml><?xml version="1.0" encoding="utf-8"?>
<sst xmlns="http://schemas.openxmlformats.org/spreadsheetml/2006/main" count="353" uniqueCount="182">
  <si>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</si>
  <si>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</si>
  <si>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</si>
  <si>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</si>
  <si>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</si>
  <si>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</si>
  <si>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</si>
  <si>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</si>
  <si>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</si>
  <si>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</si>
  <si>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</si>
  <si>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</si>
  <si>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</si>
  <si>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</si>
  <si>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</si>
  <si>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</si>
  <si>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</si>
  <si>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</si>
  <si>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</si>
  <si>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</si>
  <si>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</si>
  <si>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</si>
  <si>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</si>
  <si>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</si>
  <si>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</si>
  <si>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Total Reconciling Items</t>
  </si>
  <si>
    <t>Year</t>
  </si>
  <si>
    <t>First Estimate</t>
  </si>
  <si>
    <t>Second Estimate</t>
  </si>
  <si>
    <t>Actual</t>
  </si>
  <si>
    <t>GA Rates per IESO website</t>
  </si>
  <si>
    <t>($/kWh)</t>
  </si>
  <si>
    <t xml:space="preserve">Purpose: </t>
  </si>
  <si>
    <t>Years Requested for Disposition</t>
  </si>
  <si>
    <t>Input cells</t>
  </si>
  <si>
    <t>Note 1</t>
  </si>
  <si>
    <t>Note 2</t>
  </si>
  <si>
    <t>Note 3</t>
  </si>
  <si>
    <t>Note 4</t>
  </si>
  <si>
    <t>Additional Notes and Comments</t>
  </si>
  <si>
    <t>Note 5</t>
  </si>
  <si>
    <t>Note 6</t>
  </si>
  <si>
    <t>Indicate which years the balance requested for disposition pertains to (e.g. 2016 or 2016 and 2015)</t>
  </si>
  <si>
    <t>G</t>
  </si>
  <si>
    <t>Calendar Month</t>
  </si>
  <si>
    <t>F</t>
  </si>
  <si>
    <t>GA Billing Rate</t>
  </si>
  <si>
    <t>GA Billing Rate Description</t>
  </si>
  <si>
    <t>Cumulative Expected GA Balance (if multiple years requested for disposition)</t>
  </si>
  <si>
    <t>*O.Reg 429/04, section 16(3)</t>
  </si>
  <si>
    <t>GA Analysis of Expected Balance</t>
  </si>
  <si>
    <t>Explanation</t>
  </si>
  <si>
    <t xml:space="preserve"> Item</t>
  </si>
  <si>
    <t>Notes to GA Analysis:</t>
  </si>
  <si>
    <t>Refer to the GA Analysis Tab to complete the below steps.</t>
  </si>
  <si>
    <t>Reconciling Items between Expected GA Balance and Amount Requested for Disposition</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</si>
  <si>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</si>
  <si>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</si>
  <si>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</si>
  <si>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</si>
  <si>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</si>
  <si>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</si>
  <si>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</si>
  <si>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</si>
  <si>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</si>
  <si>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</si>
  <si>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</si>
  <si>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</si>
  <si>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</si>
  <si>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</si>
  <si>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</si>
  <si>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</si>
  <si>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</si>
  <si>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</si>
  <si>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</si>
  <si>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</si>
  <si>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Preliminary Difference</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</si>
  <si>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</si>
  <si>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</si>
  <si>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</si>
  <si>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</si>
  <si>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</si>
  <si>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</si>
  <si>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</si>
  <si>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</si>
  <si>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Non-RPP Class B Including Loss Adjusted Billed Consumption (kWh)</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</si>
  <si>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</si>
  <si>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</si>
  <si>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</si>
  <si>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 xml:space="preserve">Preliminary Difference </t>
  </si>
  <si>
    <t>Net Change in Expected GA Balance in the Year</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</si>
  <si>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</si>
  <si>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</si>
  <si>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</si>
  <si>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</si>
  <si>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</si>
  <si>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</si>
  <si>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 xml:space="preserve">To calculate an approximate expected balance in Account 1589 RSVA - GA and compare the expected amount to the amount being requested for disposition. Material differences between the two need to be reconciled and explained. Materiality is assessed on an annual basis based on a threshold of +/- 1% of the annual IESO GA charges. </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</si>
  <si>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</si>
  <si>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</si>
  <si>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</si>
  <si>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</si>
  <si>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</si>
  <si>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</si>
  <si>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</si>
  <si>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</si>
  <si>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</si>
  <si>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</si>
  <si>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</si>
  <si>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</si>
  <si>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</si>
  <si>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</si>
  <si>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</si>
  <si>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</si>
  <si>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</si>
  <si>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</si>
  <si>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</si>
  <si>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</si>
  <si>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</si>
  <si>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</si>
  <si>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</si>
  <si>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6-10)</t>
  </si>
  <si>
    <t>Please provide any additional details in the Additional Notes and Comments textbox.</t>
  </si>
  <si>
    <t xml:space="preserve">GA Billing Rate </t>
  </si>
  <si>
    <t>GA Analysis</t>
  </si>
  <si>
    <t xml:space="preserve">• The GA Analysis calculates a reasonably expected balance in Account 1589 RSVA – GA.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</si>
  <si>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</si>
  <si>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</si>
  <si>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</si>
  <si>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</si>
  <si>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</si>
  <si>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</si>
  <si>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</si>
  <si>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</si>
  <si>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</si>
  <si>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</si>
  <si>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</si>
  <si>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</si>
  <si>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</si>
  <si>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Distributors should create a copy of the GA Analysis table in a separate tab for each year that is being requested for disposition, calculate the expected GA balance and determine the reconciliation adjustments (see note 6) for each year.</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</si>
  <si>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</si>
  <si>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</si>
  <si>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</si>
  <si>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Enter the principal amount pertaining to the year requested for disposition from the application. If multiple years are requested for disposition, the annual amount would be the net change in the account balance in the year.</t>
  </si>
  <si>
    <t>Net Change in Account 1589 Principal Balance in the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</si>
  <si>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
    </r>
  </si>
  <si>
    <t>b.    Current year end differences should be added.</t>
  </si>
  <si>
    <t xml:space="preserve">Any other items that cause differences between the GA analysis and the amount requested for disposition. </t>
  </si>
  <si>
    <t>Any remaining unreconciled balance that is greater than +/- 1% of the GA payments to the IESO annually must be analyzed and investigated to identify any additional reconciling items or to identify corrections to the balance requested for disposition.</t>
  </si>
  <si>
    <t xml:space="preserve">Complete the table to obtain the annual GA expected transactions and cumulative GA balance requested for disposition using each of the GA Analysis of Expected Balance tables (note 5) and Reconciling Items tables (note 6) completed for each year. </t>
  </si>
  <si>
    <t>Annual Net Change in Expected GA Balance from GA Analysis (cell K47)</t>
  </si>
  <si>
    <t>Preliminary Difference (cell K49)</t>
  </si>
  <si>
    <t>Payments to IESO (cell J47)</t>
  </si>
  <si>
    <t xml:space="preserve">Total Reconciling Items (cell D70) </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</si>
  <si>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</si>
  <si>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</si>
  <si>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If any such balances pertaining to Class A exist, the distributor must also ensure that these amounts are excluded from the Account 1589 RSVA-GA balance requested for disposition.</t>
  </si>
  <si>
    <t>1st Estimate</t>
  </si>
  <si>
    <t>Interval Consumption (Billed kWh) includes losses</t>
  </si>
  <si>
    <t>GS&gt;50</t>
  </si>
  <si>
    <t>50J1 - GS &gt; 50 kW GA</t>
  </si>
  <si>
    <t>50J1 - GS &gt; 50 kW Retailer GA</t>
  </si>
  <si>
    <t>50V1 - GS &gt; 50 kW GA</t>
  </si>
  <si>
    <t>50V1 - GS &gt; 50 kW Retailer GA</t>
  </si>
  <si>
    <t>Total</t>
  </si>
  <si>
    <t>Agrees to 2016 Distribution Revenue Summary</t>
  </si>
  <si>
    <t>GA First Estimate</t>
  </si>
  <si>
    <t xml:space="preserve">St. Thomas Energy Inc. </t>
  </si>
  <si>
    <t>Adjustment</t>
  </si>
  <si>
    <t>2015 &amp; 2016</t>
  </si>
  <si>
    <t>Change in GA Rate</t>
  </si>
  <si>
    <t>Total Adjustment</t>
  </si>
  <si>
    <t>Interval Consumption billed analysis</t>
  </si>
  <si>
    <t>71S1 - Street Lights  GA</t>
  </si>
  <si>
    <t>Interval Consumption</t>
  </si>
  <si>
    <t>GA Rate Billed (Jan-June 1st Estimate, July- December actual)</t>
  </si>
  <si>
    <t>Interval customers that were billed on final GA rate effective July 1, 2016. Model assumed all billing was done on the first estimate</t>
  </si>
  <si>
    <t>Annual Net Change in Principal GA Requested for Disposition (cell K48)</t>
  </si>
  <si>
    <t>2016 Reconciliations that were adjusted subsequent to year-end in 2017.</t>
  </si>
  <si>
    <t xml:space="preserve">Effective July 1, 2016 STEI started billing our interval customers based on the final Global Adjustment rate. For the period of July through to December 2016, our billed interval consumption was multiplied by the difference between the final GA rate and the GA first estimate. </t>
  </si>
  <si>
    <t>STEI performs monthly 1598 reconciliations a few months after the initial settlement data has been reported. September through to December 2016 reconciliations were performed subsequent to year-end, resulting in a cumulative adjustment of $472,498</t>
  </si>
  <si>
    <t xml:space="preserve">This adjustment is related to a 2015 reclassification entry booked in 2016 between RSVA Global Adjustment and RSVA Power accounts (See 2018 IRM Manager's summary for more discussion and analysis).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</si>
</sst>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0" formatCode="[$-409]mmmm\-yy;@"/>
    <numFmt numFmtId="181" formatCode="_(* #,##0_);_(* \(#,##0\);_(* &quot;-&quot;??_);_(@_)"/>
  </numFmts>
  <fonts count="22"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b/>
      <sz val="11"/>
      <color rgb="FFFF0000"/>
      <name val="Arial"/>
      <family val="2"/>
    </font>
    <font>
      <sz val="11"/>
      <color rgb="FFFF0000"/>
      <name val="Arial"/>
      <family val="2"/>
    </font>
    <font>
      <strike/>
      <sz val="11"/>
      <color rgb="FFFF0000"/>
      <name val="Arial"/>
      <family val="2"/>
    </font>
    <font>
      <b/>
      <u/>
      <sz val="11"/>
      <color rgb="FFFF0000"/>
      <name val="Arial"/>
      <family val="2"/>
    </font>
    <font>
      <sz val="12"/>
      <color theme="1"/>
      <name val="Arial"/>
      <family val="2"/>
    </font>
    <font>
      <u/>
      <sz val="12"/>
      <name val="Arial"/>
      <family val="2"/>
    </font>
    <font>
      <i/>
      <sz val="12"/>
      <name val="Arial"/>
      <family val="2"/>
    </font>
    <font>
      <b/>
      <sz val="11"/>
      <color theme="1"/>
      <name val="Calibri"/>
      <family val="2"/>
      <scheme val="minor"/>
    </font>
    <font>
      <sz val="9"/>
      <color indexed="81"/>
      <name val="Tahoma"/>
      <family val="2"/>
    </font>
    <font>
      <b/>
      <sz val="9"/>
      <color indexed="81"/>
      <name val="Tahoma"/>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3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227">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3" fillId="0" borderId="2" xfId="0" applyFont="1" applyBorder="1" applyAlignment="1">
      <alignment horizontal="center"/>
    </xf>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9" xfId="1" applyNumberFormat="1" applyFont="1" applyBorder="1"/>
    <xf numFmtId="167" fontId="2" fillId="0" borderId="2" xfId="1" applyNumberFormat="1" applyFont="1" applyBorder="1"/>
    <xf numFmtId="0" fontId="2" fillId="2" borderId="3" xfId="0" applyFont="1" applyFill="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3" fillId="0" borderId="2" xfId="0" applyFont="1" applyFill="1" applyBorder="1" applyAlignment="1">
      <alignment wrapText="1"/>
    </xf>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0" fontId="7" fillId="2" borderId="2" xfId="0" applyFont="1" applyFill="1" applyBorder="1" applyAlignment="1">
      <alignment horizontal="center" vertical="center"/>
    </xf>
    <xf numFmtId="167" fontId="2" fillId="2" borderId="0" xfId="1" applyNumberFormat="1" applyFont="1" applyFill="1"/>
    <xf numFmtId="164" fontId="2" fillId="0" borderId="0" xfId="1" applyFont="1"/>
    <xf numFmtId="0" fontId="3" fillId="0" borderId="14"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1" xfId="0" applyFont="1" applyBorder="1"/>
    <xf numFmtId="168" fontId="2" fillId="0" borderId="11"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2" borderId="3" xfId="0" applyFont="1" applyFill="1" applyBorder="1" applyAlignment="1">
      <alignment horizontal="left"/>
    </xf>
    <xf numFmtId="0" fontId="3" fillId="0" borderId="17" xfId="0" applyFont="1" applyBorder="1"/>
    <xf numFmtId="167" fontId="3" fillId="0" borderId="17" xfId="1" applyNumberFormat="1" applyFont="1" applyBorder="1"/>
    <xf numFmtId="167" fontId="3" fillId="0" borderId="18"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7" fillId="2" borderId="2" xfId="0" applyFont="1" applyFill="1" applyBorder="1" applyAlignment="1">
      <alignment wrapText="1"/>
    </xf>
    <xf numFmtId="0" fontId="6" fillId="0" borderId="2" xfId="0" applyFont="1" applyBorder="1" applyAlignment="1">
      <alignment horizontal="center" wrapText="1"/>
    </xf>
    <xf numFmtId="0" fontId="7" fillId="0" borderId="2" xfId="0" applyFont="1" applyFill="1" applyBorder="1" applyAlignment="1">
      <alignment wrapText="1"/>
    </xf>
    <xf numFmtId="0" fontId="2" fillId="2" borderId="1" xfId="0" applyFont="1" applyFill="1" applyBorder="1"/>
    <xf numFmtId="0" fontId="3" fillId="0" borderId="19"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4" fillId="0" borderId="0" xfId="0" applyFont="1"/>
    <xf numFmtId="0" fontId="14" fillId="0" borderId="0" xfId="0" applyFont="1" applyAlignment="1">
      <alignment horizontal="right"/>
    </xf>
    <xf numFmtId="0" fontId="2" fillId="2" borderId="10" xfId="0" applyFont="1" applyFill="1" applyBorder="1"/>
    <xf numFmtId="164" fontId="2" fillId="0" borderId="11" xfId="1" applyFont="1" applyBorder="1"/>
    <xf numFmtId="0" fontId="15" fillId="0" borderId="0" xfId="0" applyFont="1" applyBorder="1"/>
    <xf numFmtId="164" fontId="13" fillId="0" borderId="0" xfId="1" applyFont="1" applyBorder="1"/>
    <xf numFmtId="9" fontId="13" fillId="0" borderId="0" xfId="4" applyFont="1" applyBorder="1"/>
    <xf numFmtId="0" fontId="12" fillId="2" borderId="2" xfId="0" applyFont="1" applyFill="1" applyBorder="1"/>
    <xf numFmtId="0" fontId="13" fillId="2" borderId="2" xfId="0" applyFont="1" applyFill="1" applyBorder="1"/>
    <xf numFmtId="169" fontId="12" fillId="2" borderId="2" xfId="5" applyNumberFormat="1" applyFont="1" applyFill="1" applyBorder="1" applyAlignment="1">
      <alignment wrapText="1"/>
    </xf>
    <xf numFmtId="169" fontId="2" fillId="2" borderId="2" xfId="5" applyNumberFormat="1" applyFont="1" applyFill="1" applyBorder="1"/>
    <xf numFmtId="166" fontId="2" fillId="0" borderId="25" xfId="4" applyNumberFormat="1" applyFont="1" applyBorder="1"/>
    <xf numFmtId="0" fontId="6" fillId="0" borderId="2" xfId="0" applyFont="1" applyBorder="1" applyAlignment="1">
      <alignment horizontal="center"/>
    </xf>
    <xf numFmtId="0" fontId="10" fillId="0" borderId="0" xfId="0" applyFont="1" applyAlignment="1">
      <alignment horizontal="left" wrapText="1"/>
    </xf>
    <xf numFmtId="0" fontId="7" fillId="2" borderId="26" xfId="0" applyFont="1" applyFill="1" applyBorder="1" applyAlignment="1">
      <alignment horizontal="center" vertical="center"/>
    </xf>
    <xf numFmtId="0" fontId="7" fillId="0" borderId="17" xfId="0" applyFont="1" applyFill="1" applyBorder="1" applyAlignment="1">
      <alignment horizontal="center" vertical="center"/>
    </xf>
    <xf numFmtId="0" fontId="6" fillId="0" borderId="13" xfId="0" applyFont="1" applyBorder="1" applyAlignment="1">
      <alignment horizontal="center" wrapText="1"/>
    </xf>
    <xf numFmtId="0" fontId="6" fillId="0" borderId="22"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4" xfId="0" applyFont="1" applyBorder="1" applyAlignment="1">
      <alignment horizontal="center" wrapText="1"/>
    </xf>
    <xf numFmtId="0" fontId="6" fillId="0" borderId="15" xfId="0" applyFont="1" applyBorder="1" applyAlignment="1">
      <alignment horizontal="center" wrapText="1"/>
    </xf>
    <xf numFmtId="9" fontId="14" fillId="0" borderId="11" xfId="4" applyFont="1" applyBorder="1"/>
    <xf numFmtId="9" fontId="14" fillId="0" borderId="0" xfId="4" applyFont="1" applyBorder="1"/>
    <xf numFmtId="0" fontId="7" fillId="0" borderId="0" xfId="0" applyFont="1" applyAlignment="1">
      <alignment horizontal="right"/>
    </xf>
    <xf numFmtId="0" fontId="6" fillId="0" borderId="16" xfId="0" applyFont="1" applyBorder="1"/>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9" fontId="13" fillId="2" borderId="17" xfId="5" applyNumberFormat="1" applyFont="1" applyFill="1" applyBorder="1"/>
    <xf numFmtId="169" fontId="2" fillId="2" borderId="17" xfId="5" applyNumberFormat="1" applyFont="1" applyFill="1" applyBorder="1"/>
    <xf numFmtId="169" fontId="2" fillId="0" borderId="17" xfId="5" applyNumberFormat="1" applyFont="1" applyFill="1" applyBorder="1"/>
    <xf numFmtId="164" fontId="6" fillId="0" borderId="14" xfId="1" applyFont="1" applyBorder="1"/>
    <xf numFmtId="164" fontId="6" fillId="0" borderId="14" xfId="1" applyFont="1" applyBorder="1" applyAlignment="1">
      <alignment horizontal="center"/>
    </xf>
    <xf numFmtId="0" fontId="7" fillId="0" borderId="0" xfId="0" applyFont="1" applyFill="1"/>
    <xf numFmtId="0" fontId="7" fillId="0" borderId="23" xfId="0" applyFont="1" applyFill="1" applyBorder="1" applyAlignment="1"/>
    <xf numFmtId="0" fontId="6" fillId="0" borderId="21" xfId="0" applyFont="1" applyFill="1" applyBorder="1" applyAlignment="1">
      <alignment horizontal="center" wrapText="1"/>
    </xf>
    <xf numFmtId="0" fontId="6" fillId="0" borderId="20"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16" fillId="0" borderId="0" xfId="0" applyFont="1" applyAlignment="1">
      <alignment horizontal="left" vertical="center"/>
    </xf>
    <xf numFmtId="0" fontId="5" fillId="0" borderId="0" xfId="0" applyFont="1" applyAlignment="1">
      <alignment horizontal="left"/>
    </xf>
    <xf numFmtId="0" fontId="10" fillId="0" borderId="0" xfId="0" applyFont="1" applyAlignment="1">
      <alignment horizontal="right"/>
    </xf>
    <xf numFmtId="0" fontId="18" fillId="0" borderId="0" xfId="0" applyFont="1" applyAlignment="1"/>
    <xf numFmtId="0" fontId="10" fillId="0" borderId="0" xfId="0" applyFont="1" applyAlignment="1">
      <alignment horizontal="left"/>
    </xf>
    <xf numFmtId="0" fontId="17" fillId="0" borderId="0" xfId="0" applyFont="1" applyAlignment="1">
      <alignment horizontal="left"/>
    </xf>
    <xf numFmtId="0" fontId="10" fillId="0" borderId="0" xfId="0" applyFont="1" applyAlignment="1">
      <alignment horizontal="left" wrapText="1"/>
    </xf>
    <xf numFmtId="0" fontId="18" fillId="0" borderId="0" xfId="0" applyFont="1" applyAlignment="1">
      <alignment vertical="top" wrapText="1"/>
    </xf>
    <xf numFmtId="0" fontId="18"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6" fontId="2" fillId="0" borderId="2" xfId="4" applyNumberFormat="1" applyFont="1" applyFill="1" applyBorder="1"/>
    <xf numFmtId="166" fontId="2" fillId="0" borderId="17" xfId="4" applyNumberFormat="1" applyFont="1" applyFill="1" applyBorder="1"/>
    <xf numFmtId="0" fontId="3" fillId="0" borderId="2" xfId="0" applyFont="1" applyBorder="1" applyAlignment="1">
      <alignment horizontal="center"/>
    </xf>
    <xf numFmtId="0" fontId="6" fillId="0" borderId="2" xfId="0" applyFont="1" applyBorder="1" applyAlignment="1">
      <alignment horizontal="center"/>
    </xf>
    <xf numFmtId="9" fontId="2" fillId="0" borderId="2" xfId="4" applyFont="1" applyBorder="1" applyAlignment="1">
      <alignment wrapText="1"/>
    </xf>
    <xf numFmtId="38" fontId="2" fillId="2" borderId="1" xfId="0" applyNumberFormat="1" applyFont="1" applyFill="1" applyBorder="1"/>
    <xf numFmtId="38" fontId="2" fillId="2" borderId="2" xfId="0" applyNumberFormat="1" applyFont="1" applyFill="1" applyBorder="1"/>
    <xf numFmtId="38" fontId="2" fillId="2" borderId="12" xfId="0" applyNumberFormat="1" applyFont="1" applyFill="1" applyBorder="1"/>
    <xf numFmtId="38" fontId="2" fillId="2" borderId="3" xfId="0" applyNumberFormat="1" applyFont="1" applyFill="1" applyBorder="1"/>
    <xf numFmtId="169" fontId="3" fillId="0" borderId="17" xfId="5" applyNumberFormat="1" applyFont="1" applyBorder="1"/>
    <xf numFmtId="168" fontId="2" fillId="2" borderId="2" xfId="0" applyNumberFormat="1" applyFont="1" applyFill="1" applyBorder="1"/>
    <xf numFmtId="167" fontId="2" fillId="0" borderId="0" xfId="0" applyNumberFormat="1" applyFont="1"/>
    <xf numFmtId="167" fontId="7" fillId="0" borderId="2" xfId="3" applyNumberFormat="1" applyFont="1" applyBorder="1" applyAlignment="1">
      <alignment horizontal="right" vertical="center"/>
    </xf>
    <xf numFmtId="167" fontId="2" fillId="0" borderId="0" xfId="0" applyNumberFormat="1" applyFont="1" applyFill="1"/>
    <xf numFmtId="167" fontId="3" fillId="0" borderId="0" xfId="0" applyNumberFormat="1" applyFont="1" applyFill="1" applyBorder="1" applyAlignment="1">
      <alignment wrapText="1"/>
    </xf>
    <xf numFmtId="167" fontId="3" fillId="0" borderId="0" xfId="0" applyNumberFormat="1" applyFont="1" applyFill="1" applyBorder="1" applyAlignment="1"/>
    <xf numFmtId="167" fontId="3" fillId="0" borderId="14" xfId="0" applyNumberFormat="1" applyFont="1" applyBorder="1" applyAlignment="1">
      <alignment horizontal="center" wrapText="1"/>
    </xf>
    <xf numFmtId="167" fontId="6" fillId="0" borderId="5" xfId="0" quotePrefix="1" applyNumberFormat="1" applyFont="1" applyBorder="1" applyAlignment="1">
      <alignment horizontal="center" wrapText="1"/>
    </xf>
    <xf numFmtId="167" fontId="7" fillId="0" borderId="0" xfId="0" applyNumberFormat="1" applyFont="1"/>
    <xf numFmtId="167" fontId="2" fillId="0" borderId="0" xfId="1" applyNumberFormat="1" applyFont="1"/>
    <xf numFmtId="167" fontId="3" fillId="0" borderId="2" xfId="0" applyNumberFormat="1" applyFont="1" applyBorder="1" applyAlignment="1">
      <alignment horizontal="center" wrapText="1"/>
    </xf>
    <xf numFmtId="167" fontId="2" fillId="2" borderId="2" xfId="5" applyNumberFormat="1" applyFont="1" applyFill="1" applyBorder="1"/>
    <xf numFmtId="167" fontId="2" fillId="2" borderId="17" xfId="5" applyNumberFormat="1" applyFont="1" applyFill="1" applyBorder="1"/>
    <xf numFmtId="167" fontId="6" fillId="0" borderId="14" xfId="1" applyNumberFormat="1" applyFont="1" applyBorder="1"/>
    <xf numFmtId="167" fontId="2" fillId="0" borderId="0" xfId="0" applyNumberFormat="1" applyFont="1" applyFill="1" applyBorder="1" applyAlignment="1">
      <alignment wrapText="1"/>
    </xf>
    <xf numFmtId="0" fontId="19" fillId="0" borderId="0" xfId="0" applyFont="1"/>
    <xf numFmtId="165" fontId="0" fillId="0" borderId="0" xfId="5" applyFont="1"/>
    <xf numFmtId="40" fontId="0" fillId="0" borderId="0" xfId="0" applyNumberFormat="1" applyFont="1"/>
    <xf numFmtId="165" fontId="0" fillId="0" borderId="23" xfId="5" applyFont="1" applyBorder="1"/>
    <xf numFmtId="40" fontId="0" fillId="0" borderId="23" xfId="0" applyNumberFormat="1" applyFont="1" applyBorder="1"/>
    <xf numFmtId="0" fontId="19" fillId="4" borderId="0" xfId="0" applyFont="1" applyFill="1"/>
    <xf numFmtId="43" fontId="19" fillId="4" borderId="0" xfId="0" applyNumberFormat="1" applyFont="1" applyFill="1"/>
    <xf numFmtId="0" fontId="0" fillId="0" borderId="0" xfId="0" applyFill="1"/>
    <xf numFmtId="0" fontId="19" fillId="0" borderId="0" xfId="0" applyFont="1" applyFill="1"/>
    <xf numFmtId="43" fontId="0" fillId="0" borderId="0" xfId="0" applyNumberFormat="1"/>
    <xf numFmtId="0" fontId="0" fillId="0" borderId="23" xfId="0" applyBorder="1"/>
    <xf numFmtId="43" fontId="0" fillId="0" borderId="23" xfId="0" applyNumberFormat="1" applyBorder="1"/>
    <xf numFmtId="43" fontId="2" fillId="0" borderId="0" xfId="0" applyNumberFormat="1" applyFont="1"/>
    <xf numFmtId="165" fontId="2" fillId="0" borderId="0" xfId="5" applyFont="1" applyBorder="1"/>
    <xf numFmtId="169" fontId="7" fillId="0" borderId="0" xfId="0" applyNumberFormat="1" applyFont="1" applyFill="1"/>
    <xf numFmtId="0" fontId="7" fillId="0" borderId="0" xfId="0" applyFont="1" applyAlignment="1">
      <alignment horizontal="left"/>
    </xf>
    <xf numFmtId="38" fontId="7" fillId="0" borderId="0" xfId="0" applyNumberFormat="1" applyFont="1" applyFill="1" applyBorder="1"/>
    <xf numFmtId="169" fontId="7" fillId="0" borderId="0" xfId="5" applyNumberFormat="1" applyFont="1" applyFill="1" applyBorder="1"/>
    <xf numFmtId="43" fontId="7" fillId="0" borderId="0" xfId="0" applyNumberFormat="1" applyFont="1" applyFill="1" applyBorder="1"/>
    <xf numFmtId="0" fontId="7" fillId="0" borderId="0" xfId="0" applyFont="1" applyFill="1" applyBorder="1"/>
    <xf numFmtId="0" fontId="0" fillId="0" borderId="0" xfId="0" applyBorder="1"/>
    <xf numFmtId="165" fontId="3" fillId="0" borderId="17" xfId="5" applyFont="1" applyBorder="1"/>
    <xf numFmtId="1" fontId="2" fillId="2" borderId="2" xfId="0" applyNumberFormat="1" applyFont="1" applyFill="1" applyBorder="1"/>
    <xf numFmtId="10" fontId="2" fillId="0" borderId="0" xfId="4" applyNumberFormat="1" applyFont="1" applyFill="1"/>
    <xf numFmtId="167" fontId="2" fillId="0" borderId="0" xfId="0" applyNumberFormat="1" applyFont="1" applyFill="1" applyBorder="1"/>
    <xf numFmtId="0" fontId="2" fillId="0" borderId="0" xfId="0" applyFont="1" applyFill="1" applyBorder="1"/>
    <xf numFmtId="43" fontId="2" fillId="0" borderId="0" xfId="0" applyNumberFormat="1" applyFont="1" applyFill="1" applyBorder="1"/>
    <xf numFmtId="0" fontId="6" fillId="0" borderId="0" xfId="0" applyFont="1" applyFill="1" applyBorder="1" applyAlignment="1">
      <alignment horizontal="center" wrapText="1"/>
    </xf>
    <xf numFmtId="167" fontId="3" fillId="0" borderId="0" xfId="0" applyNumberFormat="1" applyFont="1" applyFill="1" applyBorder="1" applyAlignment="1">
      <alignment horizontal="center" wrapText="1"/>
    </xf>
    <xf numFmtId="0" fontId="3" fillId="0" borderId="0" xfId="0" applyFont="1" applyFill="1" applyBorder="1" applyAlignment="1">
      <alignment horizontal="center" wrapText="1"/>
    </xf>
    <xf numFmtId="38" fontId="7" fillId="0" borderId="0" xfId="1" applyNumberFormat="1" applyFont="1" applyFill="1" applyBorder="1"/>
    <xf numFmtId="38" fontId="7" fillId="0" borderId="0" xfId="5" applyNumberFormat="1" applyFont="1" applyFill="1" applyBorder="1"/>
    <xf numFmtId="169" fontId="3" fillId="0" borderId="17" xfId="0" applyNumberFormat="1" applyFont="1" applyBorder="1"/>
    <xf numFmtId="169" fontId="2" fillId="0" borderId="0" xfId="5" applyNumberFormat="1" applyFont="1" applyFill="1" applyBorder="1"/>
    <xf numFmtId="165" fontId="3" fillId="0" borderId="0" xfId="5" applyFont="1" applyFill="1" applyBorder="1"/>
    <xf numFmtId="167" fontId="7" fillId="0" borderId="0" xfId="0" applyNumberFormat="1" applyFont="1" applyFill="1" applyBorder="1"/>
    <xf numFmtId="0" fontId="7" fillId="0" borderId="0" xfId="0" applyFont="1" applyFill="1" applyBorder="1" applyAlignment="1">
      <alignment horizontal="right"/>
    </xf>
    <xf numFmtId="0" fontId="3" fillId="0" borderId="0" xfId="0" applyFont="1" applyFill="1" applyBorder="1"/>
    <xf numFmtId="38" fontId="2" fillId="0" borderId="0" xfId="0" applyNumberFormat="1" applyFont="1" applyFill="1" applyBorder="1"/>
    <xf numFmtId="168" fontId="2" fillId="0" borderId="0" xfId="0" applyNumberFormat="1" applyFont="1" applyFill="1" applyBorder="1"/>
    <xf numFmtId="167" fontId="2" fillId="0" borderId="0" xfId="1" applyNumberFormat="1" applyFont="1" applyFill="1" applyBorder="1"/>
    <xf numFmtId="0" fontId="14" fillId="0" borderId="0" xfId="0" applyFont="1" applyFill="1" applyBorder="1"/>
    <xf numFmtId="181" fontId="2" fillId="2" borderId="2" xfId="0" applyNumberFormat="1" applyFont="1" applyFill="1" applyBorder="1"/>
    <xf numFmtId="169" fontId="2" fillId="2" borderId="2" xfId="0" applyNumberFormat="1" applyFont="1" applyFill="1" applyBorder="1"/>
    <xf numFmtId="169" fontId="2" fillId="2" borderId="1" xfId="5" applyNumberFormat="1" applyFont="1" applyFill="1" applyBorder="1"/>
    <xf numFmtId="167" fontId="2" fillId="0" borderId="9" xfId="1" applyNumberFormat="1" applyFont="1" applyFill="1" applyBorder="1"/>
    <xf numFmtId="0" fontId="0" fillId="0" borderId="30" xfId="0" applyBorder="1"/>
    <xf numFmtId="0" fontId="0" fillId="0" borderId="32" xfId="0" applyBorder="1"/>
    <xf numFmtId="0" fontId="0" fillId="0" borderId="31" xfId="0" applyBorder="1"/>
    <xf numFmtId="0" fontId="0" fillId="0" borderId="33" xfId="0" applyBorder="1"/>
    <xf numFmtId="170" fontId="19" fillId="4" borderId="0" xfId="0" applyNumberFormat="1" applyFont="1" applyFill="1" applyAlignment="1">
      <alignment horizontal="center"/>
    </xf>
    <xf numFmtId="43" fontId="0" fillId="0" borderId="0" xfId="0" applyNumberFormat="1" applyBorder="1"/>
    <xf numFmtId="0" fontId="19" fillId="0" borderId="0" xfId="0" applyFont="1" applyAlignment="1">
      <alignment horizontal="center"/>
    </xf>
    <xf numFmtId="43" fontId="0" fillId="0" borderId="25" xfId="0" applyNumberFormat="1" applyBorder="1"/>
    <xf numFmtId="0" fontId="0" fillId="0" borderId="0" xfId="0" applyFill="1" applyBorder="1"/>
    <xf numFmtId="170" fontId="19" fillId="0" borderId="0" xfId="0" applyNumberFormat="1" applyFont="1" applyFill="1" applyBorder="1" applyAlignment="1">
      <alignment horizontal="center"/>
    </xf>
    <xf numFmtId="43" fontId="0" fillId="0" borderId="0" xfId="0" applyNumberFormat="1" applyFill="1" applyBorder="1"/>
    <xf numFmtId="0" fontId="19" fillId="4" borderId="0" xfId="0" applyFont="1" applyFill="1" applyAlignment="1">
      <alignment horizontal="center"/>
    </xf>
    <xf numFmtId="0" fontId="19" fillId="0" borderId="0" xfId="0" applyFont="1" applyAlignment="1">
      <alignment horizontal="left"/>
    </xf>
    <xf numFmtId="15" fontId="19" fillId="0" borderId="0" xfId="0" applyNumberFormat="1" applyFont="1" applyAlignment="1">
      <alignment horizontal="left"/>
    </xf>
    <xf numFmtId="0" fontId="19" fillId="0" borderId="27" xfId="0" applyFont="1" applyBorder="1" applyAlignment="1">
      <alignment horizontal="center"/>
    </xf>
    <xf numFmtId="0" fontId="19" fillId="0" borderId="28" xfId="0" applyFont="1" applyBorder="1" applyAlignment="1">
      <alignment horizontal="center"/>
    </xf>
    <xf numFmtId="0" fontId="19" fillId="0" borderId="29" xfId="0" applyFont="1" applyBorder="1" applyAlignment="1">
      <alignment horizontal="center"/>
    </xf>
    <xf numFmtId="167" fontId="2" fillId="0" borderId="0" xfId="1" applyNumberFormat="1" applyFont="1" applyFill="1"/>
    <xf numFmtId="0" fontId="10" fillId="0" borderId="0" xfId="0" applyFont="1" applyAlignment="1">
      <alignment horizontal="left" wrapText="1"/>
    </xf>
    <xf numFmtId="0" fontId="10" fillId="0" borderId="0" xfId="0" applyFont="1" applyAlignment="1">
      <alignment horizontal="left" vertical="top" wrapText="1"/>
    </xf>
    <xf numFmtId="0" fontId="17" fillId="0" borderId="0" xfId="0" applyFont="1" applyAlignment="1">
      <alignment horizontal="left" wrapText="1"/>
    </xf>
    <xf numFmtId="0" fontId="10" fillId="0" borderId="0" xfId="0" applyFont="1" applyAlignment="1">
      <alignment horizontal="left"/>
    </xf>
    <xf numFmtId="0" fontId="3" fillId="0" borderId="2" xfId="0" applyFont="1" applyBorder="1" applyAlignment="1">
      <alignment horizontal="center"/>
    </xf>
    <xf numFmtId="0" fontId="6" fillId="0" borderId="2" xfId="0" applyFont="1" applyBorder="1" applyAlignment="1">
      <alignment horizontal="left" vertical="center"/>
    </xf>
    <xf numFmtId="0" fontId="2" fillId="0" borderId="10" xfId="0" applyFont="1" applyBorder="1" applyAlignment="1">
      <alignment horizontal="center"/>
    </xf>
    <xf numFmtId="0" fontId="2" fillId="0" borderId="1" xfId="0" applyFont="1" applyBorder="1" applyAlignment="1">
      <alignment horizontal="center"/>
    </xf>
    <xf numFmtId="0" fontId="7" fillId="0" borderId="11" xfId="0" applyFont="1" applyBorder="1" applyAlignment="1">
      <alignment horizontal="left" vertical="center" wrapText="1"/>
    </xf>
    <xf numFmtId="0" fontId="6" fillId="0" borderId="2" xfId="0" applyFont="1" applyBorder="1" applyAlignment="1">
      <alignment horizontal="center"/>
    </xf>
    <xf numFmtId="0" fontId="2" fillId="2" borderId="2" xfId="0" applyFont="1" applyFill="1" applyBorder="1" applyAlignment="1">
      <alignment horizontal="left" wrapText="1"/>
    </xf>
    <xf numFmtId="0" fontId="2" fillId="2" borderId="10" xfId="0" applyFont="1" applyFill="1" applyBorder="1" applyAlignment="1">
      <alignment horizontal="left" wrapText="1"/>
    </xf>
    <xf numFmtId="0" fontId="2" fillId="2" borderId="24" xfId="0" applyFont="1" applyFill="1" applyBorder="1" applyAlignment="1">
      <alignment horizontal="left" wrapText="1"/>
    </xf>
    <xf numFmtId="0" fontId="2" fillId="2" borderId="1" xfId="0" applyFont="1" applyFill="1" applyBorder="1" applyAlignment="1">
      <alignment horizontal="left" wrapText="1"/>
    </xf>
    <xf numFmtId="169" fontId="2" fillId="2" borderId="12" xfId="5" applyNumberFormat="1" applyFont="1" applyFill="1" applyBorder="1"/>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57150</xdr:colOff>
      <xdr:row>21</xdr:row>
      <xdr:rowOff>180974</xdr:rowOff>
    </xdr:from>
    <xdr:to>
      <xdr:col>8</xdr:col>
      <xdr:colOff>57150</xdr:colOff>
      <xdr:row>29</xdr:row>
      <xdr:rowOff>0</xdr:rowOff>
    </xdr:to>
    <xdr:sp macro="" textlink="">
      <xdr:nvSpPr>
        <xdr:cNvPr id="2" name="TextBox 1"/>
        <xdr:cNvSpPr txBox="1"/>
      </xdr:nvSpPr>
      <xdr:spPr>
        <a:xfrm>
          <a:off x="628650" y="3905249"/>
          <a:ext cx="10782300"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St.</a:t>
          </a:r>
          <a:r>
            <a:rPr lang="en-CA" sz="1100" baseline="0"/>
            <a:t> Thomas Energy</a:t>
          </a:r>
          <a:r>
            <a:rPr lang="en-CA" sz="1100"/>
            <a:t> </a:t>
          </a:r>
          <a:r>
            <a:rPr lang="en-CA" sz="1100" baseline="0"/>
            <a:t>Inc. ("STEI") bills Global Adjustment "GA" on the First estimate for all Non-RPP customers, with the exception of interval customers.  Effective July 2016, STEI billed interval customers on a final GA rate. Prior to this, they were billed on the first estimate.</a:t>
          </a:r>
          <a:endParaRPr lang="en-CA" sz="1100"/>
        </a:p>
      </xdr:txBody>
    </xdr:sp>
    <xdr:clientData/>
  </xdr:twoCellAnchor>
  <xdr:twoCellAnchor>
    <xdr:from>
      <xdr:col>1</xdr:col>
      <xdr:colOff>38100</xdr:colOff>
      <xdr:row>87</xdr:row>
      <xdr:rowOff>123825</xdr:rowOff>
    </xdr:from>
    <xdr:to>
      <xdr:col>8</xdr:col>
      <xdr:colOff>0</xdr:colOff>
      <xdr:row>99</xdr:row>
      <xdr:rowOff>0</xdr:rowOff>
    </xdr:to>
    <xdr:sp macro="" textlink="">
      <xdr:nvSpPr>
        <xdr:cNvPr id="3" name="TextBox 2"/>
        <xdr:cNvSpPr txBox="1"/>
      </xdr:nvSpPr>
      <xdr:spPr>
        <a:xfrm>
          <a:off x="609600" y="17478375"/>
          <a:ext cx="10744200"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St. Thomas Energy records</a:t>
          </a:r>
          <a:r>
            <a:rPr lang="en-CA" sz="1100" baseline="0"/>
            <a:t> unbilled revenue annually</a:t>
          </a:r>
          <a:r>
            <a:rPr lang="en-CA" sz="1100"/>
            <a:t>. A true-up entry is recorded between the prior year's unbilled revenue and current year unbilled revenue</a:t>
          </a:r>
          <a:r>
            <a:rPr lang="en-CA" sz="1100" baseline="0"/>
            <a:t> at year-end. The opening balance does not get reversed. </a:t>
          </a:r>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21</xdr:row>
      <xdr:rowOff>180974</xdr:rowOff>
    </xdr:from>
    <xdr:to>
      <xdr:col>8</xdr:col>
      <xdr:colOff>57150</xdr:colOff>
      <xdr:row>29</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For</a:t>
          </a:r>
          <a:r>
            <a:rPr lang="en-CA" sz="1100" baseline="0"/>
            <a:t> the 2015 fiscal year, g</a:t>
          </a:r>
          <a:r>
            <a:rPr lang="en-CA" sz="1100"/>
            <a:t>lobal</a:t>
          </a:r>
          <a:r>
            <a:rPr lang="en-CA" sz="1100" baseline="0"/>
            <a:t> adjustment was billed on the first estimate.</a:t>
          </a:r>
          <a:endParaRPr lang="en-CA" sz="1100"/>
        </a:p>
      </xdr:txBody>
    </xdr:sp>
    <xdr:clientData/>
  </xdr:twoCellAnchor>
  <xdr:twoCellAnchor>
    <xdr:from>
      <xdr:col>1</xdr:col>
      <xdr:colOff>38100</xdr:colOff>
      <xdr:row>86</xdr:row>
      <xdr:rowOff>123825</xdr:rowOff>
    </xdr:from>
    <xdr:to>
      <xdr:col>8</xdr:col>
      <xdr:colOff>0</xdr:colOff>
      <xdr:row>98</xdr:row>
      <xdr:rowOff>0</xdr:rowOff>
    </xdr:to>
    <xdr:sp macro="" textlink="">
      <xdr:nvSpPr>
        <xdr:cNvPr id="3" name="TextBox 2"/>
        <xdr:cNvSpPr txBox="1"/>
      </xdr:nvSpPr>
      <xdr:spPr>
        <a:xfrm>
          <a:off x="609600" y="20402550"/>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St. Thomas Energy records</a:t>
          </a:r>
          <a:r>
            <a:rPr lang="en-CA" sz="1100" baseline="0">
              <a:solidFill>
                <a:schemeClr val="dk1"/>
              </a:solidFill>
              <a:effectLst/>
              <a:latin typeface="+mn-lt"/>
              <a:ea typeface="+mn-ea"/>
              <a:cs typeface="+mn-cs"/>
            </a:rPr>
            <a:t> unbilled revenue annually</a:t>
          </a:r>
          <a:r>
            <a:rPr lang="en-CA" sz="1100">
              <a:solidFill>
                <a:schemeClr val="dk1"/>
              </a:solidFill>
              <a:effectLst/>
              <a:latin typeface="+mn-lt"/>
              <a:ea typeface="+mn-ea"/>
              <a:cs typeface="+mn-cs"/>
            </a:rPr>
            <a:t>. A true-up entry is recorded between the prior year's unbilled revenue and current year unbilled revenue</a:t>
          </a:r>
          <a:r>
            <a:rPr lang="en-CA" sz="1100" baseline="0">
              <a:solidFill>
                <a:schemeClr val="dk1"/>
              </a:solidFill>
              <a:effectLst/>
              <a:latin typeface="+mn-lt"/>
              <a:ea typeface="+mn-ea"/>
              <a:cs typeface="+mn-cs"/>
            </a:rPr>
            <a:t> at year-end. The opening balance does not get reversed. </a:t>
          </a:r>
          <a:endParaRPr lang="en-US">
            <a:effectLst/>
          </a:endParaRPr>
        </a:p>
        <a:p>
          <a:endParaRPr lang="en-CA"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EB/IRM/2018%20IRM/GA%20Non-RPP%20Consumption%20Continuity%20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EB/IRM/2018%20IRM/Supporting%20Files/2015%20DISTRIBUTION%20Revenue%20at%202015-12-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sheetNames>
    <sheetDataSet>
      <sheetData sheetId="0">
        <row r="17">
          <cell r="E17">
            <v>12331414.270000003</v>
          </cell>
          <cell r="F17">
            <v>11492338.199999999</v>
          </cell>
          <cell r="G17">
            <v>11403433.960000001</v>
          </cell>
          <cell r="H17">
            <v>11147453.140000001</v>
          </cell>
          <cell r="I17">
            <v>10460411.639999999</v>
          </cell>
          <cell r="J17">
            <v>10539460.300000001</v>
          </cell>
          <cell r="K17">
            <v>11240363.479999999</v>
          </cell>
          <cell r="L17">
            <v>11669820.130000001</v>
          </cell>
          <cell r="M17">
            <v>12474211.620000001</v>
          </cell>
          <cell r="N17">
            <v>11568293.4</v>
          </cell>
          <cell r="O17">
            <v>10741727.660000004</v>
          </cell>
          <cell r="P17">
            <v>10615121.130000001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Summary"/>
      <sheetName val="Pivot $$"/>
      <sheetName val="Sheet2"/>
      <sheetName val="Pivot Usg"/>
      <sheetName val="Sheet3"/>
      <sheetName val="Stats Query"/>
      <sheetName val="Summary TB"/>
      <sheetName val="Detail TB"/>
      <sheetName val="Deferrals"/>
      <sheetName val="Sheet1"/>
    </sheetNames>
    <sheetDataSet>
      <sheetData sheetId="0"/>
      <sheetData sheetId="1"/>
      <sheetData sheetId="2"/>
      <sheetData sheetId="3"/>
      <sheetData sheetId="4">
        <row r="6">
          <cell r="A6" t="str">
            <v>Global Adj Billed</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7"/>
  <sheetViews>
    <sheetView zoomScaleNormal="100" zoomScaleSheetLayoutView="85" workbookViewId="0">
      <selection activeCell="B24" sqref="B24:C24"/>
    </sheetView>
  </sheetViews>
  <sheetFormatPr defaultRowHeight="15" x14ac:dyDescent="0.2"/>
  <cols>
    <col min="1" max="1" width="5.5703125" style="49" customWidth="1"/>
    <col min="2" max="2" width="16.140625" style="109" customWidth="1"/>
    <col min="3" max="3" width="164.5703125" style="47" customWidth="1"/>
    <col min="4" max="16384" width="9.140625" style="47"/>
  </cols>
  <sheetData>
    <row r="1" spans="1:3" ht="15.75" x14ac:dyDescent="0.2">
      <c r="A1" s="50" t="s">
        <v>138</v>
      </c>
    </row>
    <row r="3" spans="1:3" ht="15.75" x14ac:dyDescent="0.2">
      <c r="A3" s="51" t="s">
        <v>32</v>
      </c>
    </row>
    <row r="4" spans="1:3" ht="34.5" customHeight="1" x14ac:dyDescent="0.2">
      <c r="A4" s="212" t="s">
        <v>97</v>
      </c>
      <c r="B4" s="212"/>
      <c r="C4" s="212"/>
    </row>
    <row r="6" spans="1:3" ht="15.75" x14ac:dyDescent="0.2">
      <c r="A6" s="51" t="s">
        <v>53</v>
      </c>
    </row>
    <row r="7" spans="1:3" x14ac:dyDescent="0.2">
      <c r="A7" s="49" t="s">
        <v>54</v>
      </c>
    </row>
    <row r="8" spans="1:3" ht="33" customHeight="1" x14ac:dyDescent="0.2">
      <c r="A8" s="213" t="s">
        <v>98</v>
      </c>
      <c r="B8" s="213"/>
      <c r="C8" s="213"/>
    </row>
    <row r="10" spans="1:3" x14ac:dyDescent="0.2">
      <c r="A10" s="49">
        <v>1</v>
      </c>
      <c r="B10" s="215" t="s">
        <v>42</v>
      </c>
      <c r="C10" s="215"/>
    </row>
    <row r="11" spans="1:3" x14ac:dyDescent="0.2">
      <c r="B11" s="116"/>
      <c r="C11" s="116"/>
    </row>
    <row r="13" spans="1:3" ht="31.5" customHeight="1" x14ac:dyDescent="0.2">
      <c r="A13" s="49">
        <v>2</v>
      </c>
      <c r="B13" s="212" t="s">
        <v>99</v>
      </c>
      <c r="C13" s="212"/>
    </row>
    <row r="14" spans="1:3" x14ac:dyDescent="0.2">
      <c r="B14" s="79"/>
      <c r="C14" s="79"/>
    </row>
    <row r="16" spans="1:3" x14ac:dyDescent="0.2">
      <c r="A16" s="49">
        <v>3</v>
      </c>
      <c r="B16" s="214" t="s">
        <v>123</v>
      </c>
      <c r="C16" s="214"/>
    </row>
    <row r="17" spans="1:26" ht="32.25" customHeight="1" x14ac:dyDescent="0.2">
      <c r="B17" s="212" t="s">
        <v>133</v>
      </c>
      <c r="C17" s="212"/>
    </row>
    <row r="18" spans="1:26" ht="63" customHeight="1" x14ac:dyDescent="0.2">
      <c r="B18" s="212" t="s">
        <v>155</v>
      </c>
      <c r="C18" s="212"/>
      <c r="D18" s="52"/>
      <c r="E18" s="48"/>
      <c r="F18" s="48"/>
      <c r="G18" s="48"/>
      <c r="H18" s="48"/>
      <c r="I18" s="48"/>
      <c r="J18" s="48"/>
      <c r="K18" s="48"/>
      <c r="L18" s="48"/>
      <c r="M18" s="48"/>
      <c r="N18" s="48"/>
      <c r="O18" s="48"/>
      <c r="P18" s="48"/>
      <c r="Q18" s="48"/>
      <c r="R18" s="48"/>
      <c r="S18" s="48"/>
      <c r="T18" s="48"/>
      <c r="U18" s="48"/>
      <c r="V18" s="48"/>
      <c r="W18" s="48"/>
      <c r="X18" s="48"/>
      <c r="Y18" s="48"/>
      <c r="Z18" s="48"/>
    </row>
    <row r="19" spans="1:26" ht="30" customHeight="1" x14ac:dyDescent="0.2">
      <c r="B19" s="212" t="s">
        <v>134</v>
      </c>
      <c r="C19" s="212"/>
      <c r="D19" s="52"/>
      <c r="E19" s="48"/>
      <c r="F19" s="48"/>
      <c r="G19" s="48"/>
      <c r="H19" s="48"/>
      <c r="I19" s="48"/>
      <c r="J19" s="48"/>
      <c r="K19" s="48"/>
      <c r="L19" s="48"/>
      <c r="M19" s="48"/>
      <c r="N19" s="48"/>
      <c r="O19" s="48"/>
      <c r="P19" s="48"/>
      <c r="Q19" s="48"/>
      <c r="R19" s="48"/>
      <c r="S19" s="48"/>
      <c r="T19" s="48"/>
      <c r="U19" s="48"/>
      <c r="V19" s="48"/>
      <c r="W19" s="48"/>
      <c r="X19" s="48"/>
      <c r="Y19" s="48"/>
      <c r="Z19" s="48"/>
    </row>
    <row r="20" spans="1:26" x14ac:dyDescent="0.2">
      <c r="B20" s="113" t="s">
        <v>49</v>
      </c>
    </row>
    <row r="21" spans="1:26" x14ac:dyDescent="0.2">
      <c r="B21" s="113"/>
    </row>
    <row r="22" spans="1:26" x14ac:dyDescent="0.2">
      <c r="B22" s="111"/>
    </row>
    <row r="23" spans="1:26" x14ac:dyDescent="0.2">
      <c r="A23" s="49">
        <v>4</v>
      </c>
      <c r="B23" s="214" t="s">
        <v>124</v>
      </c>
      <c r="C23" s="214"/>
    </row>
    <row r="24" spans="1:26" ht="35.25" customHeight="1" x14ac:dyDescent="0.2">
      <c r="B24" s="212" t="s">
        <v>139</v>
      </c>
      <c r="C24" s="212"/>
    </row>
    <row r="25" spans="1:26" x14ac:dyDescent="0.2">
      <c r="B25" s="118"/>
      <c r="C25" s="118"/>
    </row>
    <row r="26" spans="1:26" ht="62.25" customHeight="1" x14ac:dyDescent="0.2">
      <c r="B26" s="212" t="s">
        <v>125</v>
      </c>
      <c r="C26" s="212"/>
    </row>
    <row r="27" spans="1:26" ht="65.25" customHeight="1" x14ac:dyDescent="0.2">
      <c r="B27" s="212" t="s">
        <v>141</v>
      </c>
      <c r="C27" s="212"/>
    </row>
    <row r="28" spans="1:26" ht="31.5" customHeight="1" x14ac:dyDescent="0.2">
      <c r="B28" s="212" t="s">
        <v>140</v>
      </c>
      <c r="C28" s="212"/>
    </row>
    <row r="29" spans="1:26" ht="30" customHeight="1" x14ac:dyDescent="0.2">
      <c r="B29" s="212" t="s">
        <v>142</v>
      </c>
      <c r="C29" s="212"/>
    </row>
    <row r="30" spans="1:26" x14ac:dyDescent="0.2">
      <c r="B30" s="118"/>
      <c r="C30" s="118"/>
    </row>
    <row r="31" spans="1:26" ht="47.25" customHeight="1" x14ac:dyDescent="0.2">
      <c r="B31" s="119" t="s">
        <v>126</v>
      </c>
      <c r="C31" s="48" t="s">
        <v>100</v>
      </c>
    </row>
    <row r="32" spans="1:26" ht="33.75" customHeight="1" x14ac:dyDescent="0.2">
      <c r="B32" s="119" t="s">
        <v>128</v>
      </c>
      <c r="C32" s="48" t="s">
        <v>127</v>
      </c>
    </row>
    <row r="33" spans="1:3" x14ac:dyDescent="0.2">
      <c r="B33" s="119" t="s">
        <v>131</v>
      </c>
      <c r="C33" s="48" t="s">
        <v>129</v>
      </c>
    </row>
    <row r="34" spans="1:3" x14ac:dyDescent="0.2">
      <c r="B34" s="120" t="s">
        <v>132</v>
      </c>
      <c r="C34" s="110" t="s">
        <v>130</v>
      </c>
    </row>
    <row r="35" spans="1:3" x14ac:dyDescent="0.2">
      <c r="B35" s="115"/>
      <c r="C35" s="110"/>
    </row>
    <row r="37" spans="1:3" ht="29.25" customHeight="1" x14ac:dyDescent="0.2">
      <c r="A37" s="49">
        <v>5</v>
      </c>
      <c r="B37" s="212" t="s">
        <v>143</v>
      </c>
      <c r="C37" s="212"/>
    </row>
    <row r="38" spans="1:3" x14ac:dyDescent="0.2">
      <c r="B38" s="116"/>
      <c r="C38" s="116"/>
    </row>
    <row r="40" spans="1:3" x14ac:dyDescent="0.2">
      <c r="A40" s="49">
        <v>6</v>
      </c>
      <c r="B40" s="117" t="s">
        <v>135</v>
      </c>
    </row>
    <row r="41" spans="1:3" ht="30" customHeight="1" x14ac:dyDescent="0.2">
      <c r="B41" s="212" t="s">
        <v>136</v>
      </c>
      <c r="C41" s="212"/>
    </row>
    <row r="42" spans="1:3" ht="30" customHeight="1" x14ac:dyDescent="0.2">
      <c r="B42" s="212" t="s">
        <v>101</v>
      </c>
      <c r="C42" s="212"/>
    </row>
    <row r="43" spans="1:3" x14ac:dyDescent="0.2">
      <c r="B43" s="79"/>
      <c r="C43" s="79"/>
    </row>
    <row r="44" spans="1:3" x14ac:dyDescent="0.2">
      <c r="B44" s="112" t="s">
        <v>102</v>
      </c>
    </row>
    <row r="45" spans="1:3" x14ac:dyDescent="0.2">
      <c r="B45" s="121" t="s">
        <v>103</v>
      </c>
      <c r="C45" s="48" t="s">
        <v>104</v>
      </c>
    </row>
    <row r="46" spans="1:3" ht="30" x14ac:dyDescent="0.2">
      <c r="B46" s="121"/>
      <c r="C46" s="48" t="s">
        <v>145</v>
      </c>
    </row>
    <row r="47" spans="1:3" x14ac:dyDescent="0.2">
      <c r="B47" s="121"/>
      <c r="C47" s="47" t="s">
        <v>105</v>
      </c>
    </row>
    <row r="48" spans="1:3" x14ac:dyDescent="0.2">
      <c r="B48" s="121"/>
      <c r="C48" s="47" t="s">
        <v>106</v>
      </c>
    </row>
    <row r="49" spans="2:3" x14ac:dyDescent="0.2">
      <c r="B49" s="122" t="s">
        <v>109</v>
      </c>
      <c r="C49" s="47" t="s">
        <v>108</v>
      </c>
    </row>
    <row r="50" spans="2:3" ht="18" customHeight="1" x14ac:dyDescent="0.2">
      <c r="B50" s="122"/>
      <c r="C50" s="48" t="s">
        <v>107</v>
      </c>
    </row>
    <row r="51" spans="2:3" x14ac:dyDescent="0.2">
      <c r="B51" s="122"/>
      <c r="C51" s="47" t="s">
        <v>110</v>
      </c>
    </row>
    <row r="52" spans="2:3" x14ac:dyDescent="0.2">
      <c r="B52" s="122"/>
      <c r="C52" s="47" t="s">
        <v>111</v>
      </c>
    </row>
    <row r="53" spans="2:3" x14ac:dyDescent="0.2">
      <c r="B53" s="122" t="s">
        <v>113</v>
      </c>
      <c r="C53" s="47" t="s">
        <v>112</v>
      </c>
    </row>
    <row r="54" spans="2:3" ht="45" x14ac:dyDescent="0.2">
      <c r="B54" s="122"/>
      <c r="C54" s="79" t="s">
        <v>114</v>
      </c>
    </row>
    <row r="55" spans="2:3" x14ac:dyDescent="0.2">
      <c r="B55" s="122"/>
      <c r="C55" s="47" t="s">
        <v>115</v>
      </c>
    </row>
    <row r="56" spans="2:3" x14ac:dyDescent="0.2">
      <c r="B56" s="122"/>
      <c r="C56" s="47" t="s">
        <v>146</v>
      </c>
    </row>
    <row r="57" spans="2:3" x14ac:dyDescent="0.2">
      <c r="B57" s="122" t="s">
        <v>117</v>
      </c>
      <c r="C57" s="47" t="s">
        <v>116</v>
      </c>
    </row>
    <row r="58" spans="2:3" ht="61.5" customHeight="1" x14ac:dyDescent="0.2">
      <c r="B58" s="122"/>
      <c r="C58" s="79" t="s">
        <v>156</v>
      </c>
    </row>
    <row r="59" spans="2:3" x14ac:dyDescent="0.2">
      <c r="B59" s="122" t="s">
        <v>119</v>
      </c>
      <c r="C59" s="47" t="s">
        <v>118</v>
      </c>
    </row>
    <row r="60" spans="2:3" ht="30" x14ac:dyDescent="0.2">
      <c r="B60" s="122"/>
      <c r="C60" s="79" t="s">
        <v>120</v>
      </c>
    </row>
    <row r="61" spans="2:3" x14ac:dyDescent="0.2">
      <c r="B61" s="122" t="s">
        <v>121</v>
      </c>
      <c r="C61" s="79" t="s">
        <v>147</v>
      </c>
    </row>
    <row r="62" spans="2:3" ht="30" x14ac:dyDescent="0.2">
      <c r="B62" s="122"/>
      <c r="C62" s="118" t="s">
        <v>148</v>
      </c>
    </row>
    <row r="63" spans="2:3" x14ac:dyDescent="0.2">
      <c r="B63" s="114"/>
      <c r="C63" s="79"/>
    </row>
    <row r="65" spans="1:3" ht="30.75" customHeight="1" x14ac:dyDescent="0.2">
      <c r="A65" s="49">
        <v>7</v>
      </c>
      <c r="B65" s="212" t="s">
        <v>149</v>
      </c>
      <c r="C65" s="212"/>
    </row>
    <row r="66" spans="1:3" x14ac:dyDescent="0.2">
      <c r="B66" s="79"/>
      <c r="C66" s="79"/>
    </row>
    <row r="67" spans="1:3" ht="15.75" customHeight="1" x14ac:dyDescent="0.2">
      <c r="B67" s="215" t="s">
        <v>122</v>
      </c>
      <c r="C67" s="215"/>
    </row>
  </sheetData>
  <mergeCells count="19">
    <mergeCell ref="B67:C67"/>
    <mergeCell ref="B17:C17"/>
    <mergeCell ref="B23:C23"/>
    <mergeCell ref="B24:C24"/>
    <mergeCell ref="B65:C65"/>
    <mergeCell ref="B37:C37"/>
    <mergeCell ref="B41:C41"/>
    <mergeCell ref="B42:C42"/>
    <mergeCell ref="B29:C29"/>
    <mergeCell ref="B18:C18"/>
    <mergeCell ref="B19:C19"/>
    <mergeCell ref="B26:C26"/>
    <mergeCell ref="B27:C27"/>
    <mergeCell ref="B28:C28"/>
    <mergeCell ref="A4:C4"/>
    <mergeCell ref="A8:C8"/>
    <mergeCell ref="B13:C13"/>
    <mergeCell ref="B16:C16"/>
    <mergeCell ref="B10:C10"/>
  </mergeCells>
  <pageMargins left="0.70866141732283472" right="0.70866141732283472" top="0.74803149606299213" bottom="0.74803149606299213" header="0.31496062992125984" footer="0.31496062992125984"/>
  <pageSetup paperSize="17" scale="90" fitToHeight="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95"/>
  <sheetViews>
    <sheetView tabSelected="1" topLeftCell="A36" zoomScaleNormal="100" zoomScaleSheetLayoutView="100" workbookViewId="0">
      <selection activeCell="A55" sqref="A55:I90"/>
    </sheetView>
  </sheetViews>
  <sheetFormatPr defaultRowHeight="14.25" x14ac:dyDescent="0.2"/>
  <cols>
    <col min="1" max="1" width="8.5703125" style="1" customWidth="1"/>
    <col min="2" max="2" width="53.85546875" style="1" customWidth="1"/>
    <col min="3" max="3" width="28.140625" style="1" customWidth="1"/>
    <col min="4" max="4" width="24.140625" style="1" customWidth="1"/>
    <col min="5" max="5" width="21.140625" style="1" customWidth="1"/>
    <col min="6" max="6" width="24.42578125" style="1" customWidth="1"/>
    <col min="7" max="7" width="18.28515625" style="1" bestFit="1" customWidth="1"/>
    <col min="8" max="8" width="25.85546875" style="134" bestFit="1" customWidth="1"/>
    <col min="9" max="9" width="20.5703125" style="1" customWidth="1"/>
    <col min="10" max="10" width="23.42578125" style="1" customWidth="1"/>
    <col min="11" max="11" width="18.140625" style="1" customWidth="1"/>
    <col min="12" max="12" width="21.85546875" style="1" customWidth="1"/>
    <col min="13" max="13" width="18.7109375" style="1" customWidth="1"/>
    <col min="14" max="14" width="20.28515625" style="1" customWidth="1"/>
    <col min="15" max="16" width="10.7109375" style="1" customWidth="1"/>
    <col min="17" max="17" width="10.28515625" style="1" customWidth="1"/>
    <col min="18" max="18" width="10.7109375" style="1" customWidth="1"/>
    <col min="19" max="19" width="10.5703125" style="1" customWidth="1"/>
    <col min="20" max="20" width="11" style="1" customWidth="1"/>
    <col min="21" max="21" width="13" style="1" customWidth="1"/>
    <col min="22" max="16384" width="9.140625" style="1"/>
  </cols>
  <sheetData>
    <row r="1" spans="1:25" ht="15" x14ac:dyDescent="0.25">
      <c r="A1" s="54" t="s">
        <v>56</v>
      </c>
      <c r="B1" s="4"/>
      <c r="C1" s="54"/>
    </row>
    <row r="2" spans="1:25" x14ac:dyDescent="0.2">
      <c r="A2" s="4"/>
      <c r="B2" s="4"/>
      <c r="C2" s="4"/>
    </row>
    <row r="3" spans="1:25" ht="15" x14ac:dyDescent="0.2">
      <c r="A3" s="4"/>
      <c r="B3" s="4" t="s">
        <v>34</v>
      </c>
      <c r="C3" s="27"/>
      <c r="D3" s="4"/>
      <c r="E3" s="4"/>
      <c r="F3" s="4"/>
      <c r="Y3" s="1">
        <v>2014</v>
      </c>
    </row>
    <row r="4" spans="1:25" ht="15" x14ac:dyDescent="0.2">
      <c r="A4" s="4"/>
      <c r="B4" s="4" t="s">
        <v>68</v>
      </c>
      <c r="C4" s="64"/>
      <c r="D4" s="4"/>
      <c r="E4" s="4"/>
      <c r="F4" s="4"/>
    </row>
    <row r="5" spans="1:25" ht="15" x14ac:dyDescent="0.2">
      <c r="A5" s="4"/>
      <c r="B5" s="15"/>
      <c r="C5" s="15"/>
      <c r="D5" s="4"/>
      <c r="E5" s="4"/>
      <c r="F5" s="4"/>
      <c r="Y5" s="1">
        <v>2015</v>
      </c>
    </row>
    <row r="6" spans="1:25" ht="15" x14ac:dyDescent="0.2">
      <c r="A6" s="4" t="s">
        <v>35</v>
      </c>
      <c r="B6" s="15" t="s">
        <v>33</v>
      </c>
      <c r="C6" s="27" t="s">
        <v>169</v>
      </c>
      <c r="D6" s="4"/>
      <c r="E6" s="4"/>
      <c r="F6" s="4"/>
      <c r="Y6" s="1">
        <v>2016</v>
      </c>
    </row>
    <row r="7" spans="1:25" ht="15" x14ac:dyDescent="0.2">
      <c r="A7" s="4"/>
      <c r="B7" s="15"/>
      <c r="C7" s="15"/>
      <c r="D7" s="4"/>
      <c r="E7" s="4"/>
      <c r="F7" s="4"/>
    </row>
    <row r="8" spans="1:25" ht="15" x14ac:dyDescent="0.2">
      <c r="A8" s="4"/>
      <c r="B8" s="15"/>
      <c r="C8" s="15"/>
      <c r="D8" s="4"/>
      <c r="E8" s="4"/>
      <c r="F8" s="4"/>
    </row>
    <row r="9" spans="1:25" ht="15" x14ac:dyDescent="0.2">
      <c r="A9" s="4" t="s">
        <v>36</v>
      </c>
      <c r="B9" s="26" t="s">
        <v>94</v>
      </c>
      <c r="C9" s="25"/>
      <c r="D9" s="25"/>
      <c r="E9" s="25"/>
      <c r="F9" s="25"/>
      <c r="I9" s="105"/>
      <c r="J9" s="105"/>
      <c r="K9" s="105"/>
      <c r="L9" s="105"/>
      <c r="M9" s="105"/>
      <c r="N9" s="105"/>
      <c r="O9" s="105"/>
      <c r="P9" s="105"/>
      <c r="Q9" s="105"/>
      <c r="R9" s="105"/>
      <c r="S9" s="105"/>
      <c r="T9" s="105"/>
    </row>
    <row r="10" spans="1:25" ht="15" x14ac:dyDescent="0.2">
      <c r="A10" s="4"/>
      <c r="B10" s="217" t="s">
        <v>26</v>
      </c>
      <c r="C10" s="217"/>
      <c r="D10" s="28"/>
      <c r="E10" s="28"/>
      <c r="F10" s="28"/>
      <c r="G10" s="218"/>
      <c r="H10" s="219"/>
      <c r="I10" s="105"/>
      <c r="J10" s="105"/>
      <c r="K10" s="105"/>
      <c r="L10" s="105"/>
      <c r="M10" s="105"/>
      <c r="N10" s="105"/>
      <c r="O10" s="105"/>
      <c r="P10" s="105"/>
      <c r="Q10" s="105"/>
      <c r="R10" s="105"/>
      <c r="S10" s="105"/>
      <c r="T10" s="105"/>
    </row>
    <row r="11" spans="1:25" ht="15" thickBot="1" x14ac:dyDescent="0.25">
      <c r="A11" s="4"/>
      <c r="B11" s="5" t="s">
        <v>3</v>
      </c>
      <c r="C11" s="5" t="s">
        <v>2</v>
      </c>
      <c r="D11" s="81">
        <f>D12+D13</f>
        <v>0</v>
      </c>
      <c r="E11" s="81">
        <f>E12+E13</f>
        <v>0</v>
      </c>
      <c r="F11" s="81">
        <f>F12+F13</f>
        <v>0</v>
      </c>
      <c r="G11" s="6" t="s">
        <v>0</v>
      </c>
      <c r="H11" s="135">
        <v>1</v>
      </c>
      <c r="I11" s="105"/>
      <c r="J11" s="105"/>
      <c r="K11" s="105"/>
      <c r="L11" s="105"/>
      <c r="M11" s="105"/>
      <c r="N11" s="105"/>
      <c r="O11" s="105"/>
      <c r="P11" s="105"/>
      <c r="Q11" s="105"/>
      <c r="R11" s="105"/>
      <c r="S11" s="105"/>
      <c r="T11" s="105"/>
    </row>
    <row r="12" spans="1:25" x14ac:dyDescent="0.2">
      <c r="B12" s="5" t="s">
        <v>7</v>
      </c>
      <c r="C12" s="5" t="s">
        <v>1</v>
      </c>
      <c r="D12" s="80"/>
      <c r="E12" s="80"/>
      <c r="F12" s="80"/>
      <c r="G12" s="6" t="s">
        <v>0</v>
      </c>
      <c r="H12" s="135">
        <f>IFERROR(D12/$D$11,0)</f>
        <v>0</v>
      </c>
    </row>
    <row r="13" spans="1:25" ht="15" thickBot="1" x14ac:dyDescent="0.25">
      <c r="B13" s="5" t="s">
        <v>8</v>
      </c>
      <c r="C13" s="5" t="s">
        <v>6</v>
      </c>
      <c r="D13" s="81">
        <f>D14+D15</f>
        <v>0</v>
      </c>
      <c r="E13" s="81">
        <f>E14+E15</f>
        <v>0</v>
      </c>
      <c r="F13" s="81">
        <f>F14+F15</f>
        <v>0</v>
      </c>
      <c r="G13" s="6" t="s">
        <v>0</v>
      </c>
      <c r="H13" s="135">
        <f>IFERROR(D13/$D$11,0)</f>
        <v>0</v>
      </c>
    </row>
    <row r="14" spans="1:25" x14ac:dyDescent="0.2">
      <c r="B14" s="5" t="s">
        <v>9</v>
      </c>
      <c r="C14" s="5" t="s">
        <v>4</v>
      </c>
      <c r="D14" s="80"/>
      <c r="E14" s="80"/>
      <c r="F14" s="80"/>
      <c r="G14" s="6" t="s">
        <v>0</v>
      </c>
      <c r="H14" s="135">
        <f>IFERROR(D14/$D$11,0)</f>
        <v>0</v>
      </c>
    </row>
    <row r="15" spans="1:25" x14ac:dyDescent="0.2">
      <c r="B15" s="5" t="s">
        <v>69</v>
      </c>
      <c r="C15" s="5" t="s">
        <v>5</v>
      </c>
      <c r="D15" s="29"/>
      <c r="E15" s="29"/>
      <c r="F15" s="29"/>
      <c r="G15" s="6" t="s">
        <v>0</v>
      </c>
      <c r="H15" s="135">
        <f>IFERROR(D15/$D$11,0)</f>
        <v>0</v>
      </c>
    </row>
    <row r="16" spans="1:25" ht="34.5" customHeight="1" x14ac:dyDescent="0.2">
      <c r="B16" s="220" t="s">
        <v>87</v>
      </c>
      <c r="C16" s="220"/>
      <c r="D16" s="220"/>
      <c r="E16" s="220"/>
      <c r="F16" s="220"/>
      <c r="G16" s="220"/>
      <c r="H16" s="220"/>
    </row>
    <row r="17" spans="1:14" x14ac:dyDescent="0.2">
      <c r="D17" s="41"/>
      <c r="E17" s="41"/>
      <c r="F17" s="41"/>
      <c r="G17" s="41"/>
    </row>
    <row r="18" spans="1:14" ht="15" x14ac:dyDescent="0.25">
      <c r="A18" s="1" t="s">
        <v>37</v>
      </c>
      <c r="B18" s="3" t="s">
        <v>46</v>
      </c>
    </row>
    <row r="19" spans="1:14" ht="15" x14ac:dyDescent="0.25">
      <c r="B19" s="3"/>
    </row>
    <row r="20" spans="1:14" ht="15" x14ac:dyDescent="0.25">
      <c r="B20" s="2" t="s">
        <v>22</v>
      </c>
      <c r="C20" s="61" t="s">
        <v>157</v>
      </c>
      <c r="E20" s="105"/>
      <c r="F20" s="41"/>
      <c r="G20" s="41"/>
      <c r="H20" s="136"/>
      <c r="I20" s="41"/>
      <c r="J20" s="41"/>
      <c r="K20" s="41"/>
    </row>
    <row r="21" spans="1:14" x14ac:dyDescent="0.2">
      <c r="E21" s="105"/>
      <c r="F21" s="41"/>
      <c r="G21" s="41"/>
      <c r="H21" s="136"/>
      <c r="I21" s="41"/>
      <c r="J21" s="41"/>
      <c r="K21" s="41"/>
    </row>
    <row r="22" spans="1:14" ht="15" x14ac:dyDescent="0.25">
      <c r="B22" s="2" t="s">
        <v>47</v>
      </c>
    </row>
    <row r="23" spans="1:14" ht="15" customHeight="1" x14ac:dyDescent="0.25">
      <c r="B23" s="42"/>
      <c r="C23" s="42"/>
      <c r="D23" s="42"/>
      <c r="E23" s="42"/>
      <c r="F23" s="42"/>
      <c r="G23" s="42"/>
      <c r="H23" s="137"/>
    </row>
    <row r="24" spans="1:14" ht="15" customHeight="1" x14ac:dyDescent="0.25">
      <c r="B24" s="42"/>
      <c r="C24" s="42"/>
      <c r="D24" s="42"/>
      <c r="E24" s="42"/>
      <c r="F24" s="42"/>
      <c r="G24" s="42"/>
      <c r="H24" s="137"/>
    </row>
    <row r="25" spans="1:14" ht="15" customHeight="1" x14ac:dyDescent="0.25">
      <c r="B25" s="42"/>
      <c r="C25" s="42"/>
      <c r="D25" s="42"/>
      <c r="E25" s="42"/>
      <c r="F25" s="42"/>
      <c r="G25" s="42"/>
      <c r="H25" s="137"/>
    </row>
    <row r="26" spans="1:14" ht="15" customHeight="1" x14ac:dyDescent="0.25">
      <c r="B26" s="42"/>
      <c r="C26" s="42"/>
      <c r="D26" s="42"/>
      <c r="E26" s="42"/>
      <c r="F26" s="42"/>
      <c r="G26" s="42"/>
      <c r="H26" s="137"/>
    </row>
    <row r="27" spans="1:14" ht="14.25" customHeight="1" x14ac:dyDescent="0.25">
      <c r="B27" s="42"/>
      <c r="C27" s="42"/>
      <c r="D27" s="42"/>
      <c r="E27" s="42"/>
      <c r="F27" s="42"/>
      <c r="G27" s="42"/>
      <c r="H27" s="137"/>
    </row>
    <row r="28" spans="1:14" ht="14.25" customHeight="1" x14ac:dyDescent="0.25">
      <c r="B28" s="42"/>
      <c r="C28" s="42"/>
      <c r="D28" s="42"/>
      <c r="E28" s="42"/>
      <c r="F28" s="42"/>
      <c r="G28" s="42"/>
      <c r="H28" s="137"/>
    </row>
    <row r="29" spans="1:14" s="41" customFormat="1" ht="14.25" customHeight="1" x14ac:dyDescent="0.25">
      <c r="B29" s="42"/>
      <c r="C29" s="42"/>
      <c r="D29" s="42"/>
      <c r="E29" s="42"/>
      <c r="F29" s="42"/>
      <c r="G29" s="42"/>
      <c r="H29" s="137"/>
    </row>
    <row r="31" spans="1:14" ht="15" x14ac:dyDescent="0.25">
      <c r="A31" s="1" t="s">
        <v>38</v>
      </c>
      <c r="B31" s="54" t="s">
        <v>50</v>
      </c>
      <c r="C31" s="3"/>
    </row>
    <row r="32" spans="1:14" ht="15.75" thickBot="1" x14ac:dyDescent="0.3">
      <c r="B32" s="2" t="s">
        <v>26</v>
      </c>
      <c r="C32" s="43">
        <v>2016</v>
      </c>
      <c r="D32" s="105"/>
      <c r="E32" s="105"/>
      <c r="F32" s="106"/>
      <c r="G32" s="39"/>
      <c r="H32" s="138"/>
      <c r="I32" s="39"/>
      <c r="J32" s="39"/>
      <c r="K32" s="39"/>
      <c r="N32" s="3" t="s">
        <v>30</v>
      </c>
    </row>
    <row r="33" spans="1:24" s="9" customFormat="1" ht="80.25" customHeight="1" thickBot="1" x14ac:dyDescent="0.3">
      <c r="B33" s="59" t="s">
        <v>44</v>
      </c>
      <c r="C33" s="82" t="s">
        <v>85</v>
      </c>
      <c r="D33" s="107" t="s">
        <v>95</v>
      </c>
      <c r="E33" s="108" t="s">
        <v>96</v>
      </c>
      <c r="F33" s="87" t="s">
        <v>154</v>
      </c>
      <c r="G33" s="32" t="s">
        <v>57</v>
      </c>
      <c r="H33" s="139" t="s">
        <v>23</v>
      </c>
      <c r="I33" s="32" t="s">
        <v>58</v>
      </c>
      <c r="J33" s="32" t="s">
        <v>86</v>
      </c>
      <c r="K33" s="88" t="s">
        <v>88</v>
      </c>
      <c r="N33" s="11"/>
      <c r="O33" s="216">
        <v>2016</v>
      </c>
      <c r="P33" s="216"/>
      <c r="Q33" s="216"/>
      <c r="R33" s="216"/>
      <c r="S33" s="216">
        <v>2015</v>
      </c>
      <c r="T33" s="216"/>
      <c r="U33" s="216"/>
      <c r="V33" s="216">
        <v>2014</v>
      </c>
      <c r="W33" s="216"/>
      <c r="X33" s="216"/>
    </row>
    <row r="34" spans="1:24" s="9" customFormat="1" ht="45" x14ac:dyDescent="0.25">
      <c r="B34" s="12"/>
      <c r="C34" s="83" t="s">
        <v>45</v>
      </c>
      <c r="D34" s="83" t="s">
        <v>43</v>
      </c>
      <c r="E34" s="84" t="s">
        <v>61</v>
      </c>
      <c r="F34" s="84" t="s">
        <v>62</v>
      </c>
      <c r="G34" s="84" t="s">
        <v>63</v>
      </c>
      <c r="H34" s="140" t="s">
        <v>64</v>
      </c>
      <c r="I34" s="84" t="s">
        <v>65</v>
      </c>
      <c r="J34" s="85" t="s">
        <v>66</v>
      </c>
      <c r="K34" s="86" t="s">
        <v>67</v>
      </c>
      <c r="N34" s="21" t="s">
        <v>31</v>
      </c>
      <c r="O34" s="24" t="s">
        <v>27</v>
      </c>
      <c r="P34" s="24"/>
      <c r="Q34" s="24" t="s">
        <v>28</v>
      </c>
      <c r="R34" s="24" t="s">
        <v>29</v>
      </c>
      <c r="S34" s="24" t="s">
        <v>27</v>
      </c>
      <c r="T34" s="24" t="s">
        <v>28</v>
      </c>
      <c r="U34" s="24" t="s">
        <v>29</v>
      </c>
      <c r="V34" s="24" t="s">
        <v>27</v>
      </c>
      <c r="W34" s="24" t="s">
        <v>28</v>
      </c>
      <c r="X34" s="24" t="s">
        <v>29</v>
      </c>
    </row>
    <row r="35" spans="1:24" x14ac:dyDescent="0.2">
      <c r="B35" s="13" t="s">
        <v>10</v>
      </c>
      <c r="C35" s="128">
        <f>+'[1]2016'!$E$17</f>
        <v>12331414.270000003</v>
      </c>
      <c r="D35" s="128"/>
      <c r="E35" s="129"/>
      <c r="F35" s="60">
        <f>C35-D35+E35</f>
        <v>12331414.270000003</v>
      </c>
      <c r="G35" s="133">
        <f>+O35</f>
        <v>8.4229999999999999E-2</v>
      </c>
      <c r="H35" s="16">
        <f>F35*G35</f>
        <v>1038675.0239621003</v>
      </c>
      <c r="I35" s="133">
        <f>+R35</f>
        <v>9.1789999999999997E-2</v>
      </c>
      <c r="J35" s="19">
        <f>F35*I35</f>
        <v>1131900.5158433001</v>
      </c>
      <c r="K35" s="17">
        <f>J35-H35</f>
        <v>93225.49188119988</v>
      </c>
      <c r="N35" s="11" t="s">
        <v>10</v>
      </c>
      <c r="O35" s="22">
        <v>8.4229999999999999E-2</v>
      </c>
      <c r="P35" s="127">
        <f>(O35-O36)/O35</f>
        <v>-0.2328149115517037</v>
      </c>
      <c r="Q35" s="22">
        <v>9.214E-2</v>
      </c>
      <c r="R35" s="22">
        <v>9.1789999999999997E-2</v>
      </c>
      <c r="S35" s="22">
        <v>5.5490000000000005E-2</v>
      </c>
      <c r="T35" s="22">
        <v>6.1609999999999998E-2</v>
      </c>
      <c r="U35" s="22">
        <v>5.0680000000000003E-2</v>
      </c>
      <c r="V35" s="22">
        <v>3.6260000000000001E-2</v>
      </c>
      <c r="W35" s="22">
        <v>1.806E-2</v>
      </c>
      <c r="X35" s="22">
        <v>1.261E-2</v>
      </c>
    </row>
    <row r="36" spans="1:24" x14ac:dyDescent="0.2">
      <c r="B36" s="13" t="s">
        <v>11</v>
      </c>
      <c r="C36" s="128">
        <f>+'[1]2016'!$F$17</f>
        <v>11492338.199999999</v>
      </c>
      <c r="D36" s="128"/>
      <c r="E36" s="129"/>
      <c r="F36" s="60">
        <f t="shared" ref="F36:F46" si="0">C36-D36+E36</f>
        <v>11492338.199999999</v>
      </c>
      <c r="G36" s="133">
        <f t="shared" ref="G36:G46" si="1">+O36</f>
        <v>0.10384</v>
      </c>
      <c r="H36" s="16">
        <f t="shared" ref="H36:H45" si="2">F36*G36</f>
        <v>1193364.3986879999</v>
      </c>
      <c r="I36" s="133">
        <f t="shared" ref="I36:I46" si="3">+R36</f>
        <v>9.851E-2</v>
      </c>
      <c r="J36" s="19">
        <f t="shared" ref="J36:J45" si="4">F36*I36</f>
        <v>1132110.236082</v>
      </c>
      <c r="K36" s="17">
        <f t="shared" ref="K36:K46" si="5">J36-H36</f>
        <v>-61254.162605999969</v>
      </c>
      <c r="N36" s="11" t="s">
        <v>11</v>
      </c>
      <c r="O36" s="23">
        <v>0.10384</v>
      </c>
      <c r="P36" s="127">
        <f t="shared" ref="P36:P45" si="6">(O36-O37)/O36</f>
        <v>0.13116332819722656</v>
      </c>
      <c r="Q36" s="23">
        <v>9.6780000000000005E-2</v>
      </c>
      <c r="R36" s="23">
        <v>9.851E-2</v>
      </c>
      <c r="S36" s="23">
        <v>6.9809999999999997E-2</v>
      </c>
      <c r="T36" s="23">
        <v>4.095E-2</v>
      </c>
      <c r="U36" s="23">
        <v>3.9609999999999999E-2</v>
      </c>
      <c r="V36" s="23">
        <v>2.231E-2</v>
      </c>
      <c r="W36" s="23">
        <v>1.1180000000000001E-2</v>
      </c>
      <c r="X36" s="23">
        <v>1.3300000000000001E-2</v>
      </c>
    </row>
    <row r="37" spans="1:24" x14ac:dyDescent="0.2">
      <c r="B37" s="13" t="s">
        <v>12</v>
      </c>
      <c r="C37" s="128">
        <f>+'[1]2016'!$G$17</f>
        <v>11403433.960000001</v>
      </c>
      <c r="D37" s="128"/>
      <c r="E37" s="129"/>
      <c r="F37" s="60">
        <f t="shared" si="0"/>
        <v>11403433.960000001</v>
      </c>
      <c r="G37" s="133">
        <f t="shared" si="1"/>
        <v>9.0219999999999995E-2</v>
      </c>
      <c r="H37" s="16">
        <f t="shared" si="2"/>
        <v>1028817.8118712</v>
      </c>
      <c r="I37" s="133">
        <f t="shared" si="3"/>
        <v>0.1061</v>
      </c>
      <c r="J37" s="19">
        <f t="shared" si="4"/>
        <v>1209904.3431560001</v>
      </c>
      <c r="K37" s="17">
        <f t="shared" si="5"/>
        <v>181086.53128480015</v>
      </c>
      <c r="N37" s="11" t="s">
        <v>12</v>
      </c>
      <c r="O37" s="23">
        <v>9.0219999999999995E-2</v>
      </c>
      <c r="P37" s="127">
        <f t="shared" si="6"/>
        <v>-0.34282864109953448</v>
      </c>
      <c r="Q37" s="23">
        <v>0.10299</v>
      </c>
      <c r="R37" s="23">
        <v>0.1061</v>
      </c>
      <c r="S37" s="23">
        <v>3.6040000000000003E-2</v>
      </c>
      <c r="T37" s="23">
        <v>5.74E-2</v>
      </c>
      <c r="U37" s="23">
        <v>6.2899999999999998E-2</v>
      </c>
      <c r="V37" s="23">
        <v>1.103E-2</v>
      </c>
      <c r="W37" s="23">
        <v>-8.0000000000000002E-3</v>
      </c>
      <c r="X37" s="23">
        <v>-2.7E-4</v>
      </c>
    </row>
    <row r="38" spans="1:24" x14ac:dyDescent="0.2">
      <c r="B38" s="13" t="s">
        <v>13</v>
      </c>
      <c r="C38" s="128">
        <f>+'[1]2016'!$H$17</f>
        <v>11147453.140000001</v>
      </c>
      <c r="D38" s="128"/>
      <c r="E38" s="129"/>
      <c r="F38" s="60">
        <f t="shared" si="0"/>
        <v>11147453.140000001</v>
      </c>
      <c r="G38" s="133">
        <f t="shared" si="1"/>
        <v>0.12114999999999999</v>
      </c>
      <c r="H38" s="16">
        <f t="shared" si="2"/>
        <v>1350513.9479110001</v>
      </c>
      <c r="I38" s="133">
        <f t="shared" si="3"/>
        <v>0.11132</v>
      </c>
      <c r="J38" s="19">
        <f t="shared" si="4"/>
        <v>1240934.4835448002</v>
      </c>
      <c r="K38" s="17">
        <f t="shared" si="5"/>
        <v>-109579.46436619991</v>
      </c>
      <c r="N38" s="11" t="s">
        <v>13</v>
      </c>
      <c r="O38" s="23">
        <v>0.12114999999999999</v>
      </c>
      <c r="P38" s="127">
        <f t="shared" si="6"/>
        <v>0.14114733801073043</v>
      </c>
      <c r="Q38" s="23">
        <v>0.11176999999999999</v>
      </c>
      <c r="R38" s="23">
        <v>0.11132</v>
      </c>
      <c r="S38" s="23">
        <v>6.7049999999999998E-2</v>
      </c>
      <c r="T38" s="23">
        <v>9.2679999999999998E-2</v>
      </c>
      <c r="U38" s="23">
        <v>9.5590000000000008E-2</v>
      </c>
      <c r="V38" s="23">
        <v>-9.6500000000000006E-3</v>
      </c>
      <c r="W38" s="23">
        <v>5.4530000000000002E-2</v>
      </c>
      <c r="X38" s="23">
        <v>5.1979999999999998E-2</v>
      </c>
    </row>
    <row r="39" spans="1:24" x14ac:dyDescent="0.2">
      <c r="B39" s="13" t="s">
        <v>14</v>
      </c>
      <c r="C39" s="128">
        <f>+'[1]2016'!$I$17</f>
        <v>10460411.639999999</v>
      </c>
      <c r="D39" s="128"/>
      <c r="E39" s="129"/>
      <c r="F39" s="60">
        <f t="shared" si="0"/>
        <v>10460411.639999999</v>
      </c>
      <c r="G39" s="133">
        <f t="shared" si="1"/>
        <v>0.10405</v>
      </c>
      <c r="H39" s="16">
        <f t="shared" si="2"/>
        <v>1088405.8311419999</v>
      </c>
      <c r="I39" s="133">
        <f t="shared" si="3"/>
        <v>0.10749</v>
      </c>
      <c r="J39" s="19">
        <f t="shared" si="4"/>
        <v>1124389.6471835999</v>
      </c>
      <c r="K39" s="17">
        <f t="shared" si="5"/>
        <v>35983.816041599959</v>
      </c>
      <c r="N39" s="11" t="s">
        <v>14</v>
      </c>
      <c r="O39" s="23">
        <v>0.10405</v>
      </c>
      <c r="P39" s="127">
        <f t="shared" si="6"/>
        <v>-0.11965401249399329</v>
      </c>
      <c r="Q39" s="23">
        <v>0.11493</v>
      </c>
      <c r="R39" s="23">
        <v>0.10749</v>
      </c>
      <c r="S39" s="23">
        <v>9.4159999999999994E-2</v>
      </c>
      <c r="T39" s="23">
        <v>9.7299999999999998E-2</v>
      </c>
      <c r="U39" s="23">
        <v>9.6680000000000002E-2</v>
      </c>
      <c r="V39" s="23">
        <v>5.3560000000000003E-2</v>
      </c>
      <c r="W39" s="23">
        <v>7.3520000000000002E-2</v>
      </c>
      <c r="X39" s="23">
        <v>7.1959999999999996E-2</v>
      </c>
    </row>
    <row r="40" spans="1:24" x14ac:dyDescent="0.2">
      <c r="B40" s="13" t="s">
        <v>15</v>
      </c>
      <c r="C40" s="128">
        <f>+'[1]2016'!$J$17</f>
        <v>10539460.300000001</v>
      </c>
      <c r="D40" s="128"/>
      <c r="E40" s="129"/>
      <c r="F40" s="60">
        <f t="shared" si="0"/>
        <v>10539460.300000001</v>
      </c>
      <c r="G40" s="133">
        <f t="shared" si="1"/>
        <v>0.11650000000000001</v>
      </c>
      <c r="H40" s="16">
        <f t="shared" si="2"/>
        <v>1227847.1249500001</v>
      </c>
      <c r="I40" s="133">
        <f t="shared" si="3"/>
        <v>9.5449999999999993E-2</v>
      </c>
      <c r="J40" s="19">
        <f t="shared" si="4"/>
        <v>1005991.485635</v>
      </c>
      <c r="K40" s="17">
        <f t="shared" si="5"/>
        <v>-221855.63931500004</v>
      </c>
      <c r="N40" s="11" t="s">
        <v>15</v>
      </c>
      <c r="O40" s="23">
        <v>0.11650000000000001</v>
      </c>
      <c r="P40" s="127">
        <f t="shared" si="6"/>
        <v>0.34188841201716741</v>
      </c>
      <c r="Q40" s="23">
        <v>9.3600000000000003E-2</v>
      </c>
      <c r="R40" s="23">
        <v>9.5449999999999993E-2</v>
      </c>
      <c r="S40" s="23">
        <v>9.2280000000000001E-2</v>
      </c>
      <c r="T40" s="23">
        <v>9.7680000000000003E-2</v>
      </c>
      <c r="U40" s="23">
        <v>9.5400000000000013E-2</v>
      </c>
      <c r="V40" s="23">
        <v>7.1900000000000006E-2</v>
      </c>
      <c r="W40" s="23">
        <v>6.6640000000000005E-2</v>
      </c>
      <c r="X40" s="23">
        <v>6.0249999999999998E-2</v>
      </c>
    </row>
    <row r="41" spans="1:24" x14ac:dyDescent="0.2">
      <c r="B41" s="13" t="s">
        <v>16</v>
      </c>
      <c r="C41" s="129">
        <f>+'[1]2016'!$K$17</f>
        <v>11240363.479999999</v>
      </c>
      <c r="D41" s="128"/>
      <c r="E41" s="131"/>
      <c r="F41" s="60">
        <f t="shared" si="0"/>
        <v>11240363.479999999</v>
      </c>
      <c r="G41" s="133">
        <f t="shared" si="1"/>
        <v>7.6670000000000002E-2</v>
      </c>
      <c r="H41" s="16">
        <f t="shared" si="2"/>
        <v>861798.66801159992</v>
      </c>
      <c r="I41" s="133">
        <f t="shared" si="3"/>
        <v>8.3059999999999995E-2</v>
      </c>
      <c r="J41" s="19">
        <f t="shared" si="4"/>
        <v>933624.59064879979</v>
      </c>
      <c r="K41" s="17">
        <f t="shared" si="5"/>
        <v>71825.922637199867</v>
      </c>
      <c r="N41" s="11" t="s">
        <v>16</v>
      </c>
      <c r="O41" s="23">
        <v>7.6670000000000002E-2</v>
      </c>
      <c r="P41" s="127">
        <f t="shared" si="6"/>
        <v>-0.11764705882352941</v>
      </c>
      <c r="Q41" s="23">
        <v>8.412E-2</v>
      </c>
      <c r="R41" s="23">
        <v>8.3059999999999995E-2</v>
      </c>
      <c r="S41" s="23">
        <v>8.8880000000000001E-2</v>
      </c>
      <c r="T41" s="23">
        <v>8.4129999999999996E-2</v>
      </c>
      <c r="U41" s="23">
        <v>7.8829999999999997E-2</v>
      </c>
      <c r="V41" s="23">
        <v>5.9760000000000001E-2</v>
      </c>
      <c r="W41" s="23">
        <v>5.7529999999999998E-2</v>
      </c>
      <c r="X41" s="23">
        <v>6.2560000000000004E-2</v>
      </c>
    </row>
    <row r="42" spans="1:24" x14ac:dyDescent="0.2">
      <c r="B42" s="13" t="s">
        <v>17</v>
      </c>
      <c r="C42" s="129">
        <f>+'[1]2016'!$L$17</f>
        <v>11669820.130000001</v>
      </c>
      <c r="D42" s="128"/>
      <c r="E42" s="131"/>
      <c r="F42" s="60">
        <f t="shared" si="0"/>
        <v>11669820.130000001</v>
      </c>
      <c r="G42" s="133">
        <f t="shared" si="1"/>
        <v>8.5690000000000002E-2</v>
      </c>
      <c r="H42" s="16">
        <f t="shared" si="2"/>
        <v>999986.88693970011</v>
      </c>
      <c r="I42" s="133">
        <f t="shared" si="3"/>
        <v>7.1029999999999996E-2</v>
      </c>
      <c r="J42" s="19">
        <f t="shared" si="4"/>
        <v>828907.32383390004</v>
      </c>
      <c r="K42" s="17">
        <f t="shared" si="5"/>
        <v>-171079.56310580007</v>
      </c>
      <c r="N42" s="11" t="s">
        <v>17</v>
      </c>
      <c r="O42" s="23">
        <v>8.5690000000000002E-2</v>
      </c>
      <c r="P42" s="127">
        <f t="shared" si="6"/>
        <v>0.17609989497024164</v>
      </c>
      <c r="Q42" s="23">
        <v>7.0499999999999993E-2</v>
      </c>
      <c r="R42" s="23">
        <v>7.1029999999999996E-2</v>
      </c>
      <c r="S42" s="23">
        <v>8.8050000000000003E-2</v>
      </c>
      <c r="T42" s="23">
        <v>7.3550000000000004E-2</v>
      </c>
      <c r="U42" s="23">
        <v>8.0099999999999991E-2</v>
      </c>
      <c r="V42" s="23">
        <v>6.1079999999999995E-2</v>
      </c>
      <c r="W42" s="23">
        <v>6.8970000000000004E-2</v>
      </c>
      <c r="X42" s="23">
        <v>6.7610000000000003E-2</v>
      </c>
    </row>
    <row r="43" spans="1:24" x14ac:dyDescent="0.2">
      <c r="B43" s="13" t="s">
        <v>18</v>
      </c>
      <c r="C43" s="129">
        <f>+'[1]2016'!$M$17</f>
        <v>12474211.620000001</v>
      </c>
      <c r="D43" s="128"/>
      <c r="E43" s="131"/>
      <c r="F43" s="60">
        <f t="shared" si="0"/>
        <v>12474211.620000001</v>
      </c>
      <c r="G43" s="133">
        <f t="shared" si="1"/>
        <v>7.0599999999999996E-2</v>
      </c>
      <c r="H43" s="16">
        <f t="shared" si="2"/>
        <v>880679.34037200001</v>
      </c>
      <c r="I43" s="133">
        <f t="shared" si="3"/>
        <v>9.5310000000000006E-2</v>
      </c>
      <c r="J43" s="19">
        <f t="shared" si="4"/>
        <v>1188917.1095022003</v>
      </c>
      <c r="K43" s="17">
        <f t="shared" si="5"/>
        <v>308237.76913020026</v>
      </c>
      <c r="N43" s="11" t="s">
        <v>18</v>
      </c>
      <c r="O43" s="23">
        <v>7.0599999999999996E-2</v>
      </c>
      <c r="P43" s="127">
        <f t="shared" si="6"/>
        <v>-0.37677053824362605</v>
      </c>
      <c r="Q43" s="23">
        <v>9.1480000000000006E-2</v>
      </c>
      <c r="R43" s="23">
        <v>9.5310000000000006E-2</v>
      </c>
      <c r="S43" s="23">
        <v>8.270000000000001E-2</v>
      </c>
      <c r="T43" s="23">
        <v>7.1910000000000002E-2</v>
      </c>
      <c r="U43" s="23">
        <v>6.7030000000000006E-2</v>
      </c>
      <c r="V43" s="23">
        <v>8.0489999999999992E-2</v>
      </c>
      <c r="W43" s="23">
        <v>8.072E-2</v>
      </c>
      <c r="X43" s="23">
        <v>7.9629999999999992E-2</v>
      </c>
    </row>
    <row r="44" spans="1:24" x14ac:dyDescent="0.2">
      <c r="B44" s="13" t="s">
        <v>19</v>
      </c>
      <c r="C44" s="129">
        <f>+'[1]2016'!$N$17</f>
        <v>11568293.4</v>
      </c>
      <c r="D44" s="128"/>
      <c r="E44" s="131"/>
      <c r="F44" s="60">
        <f t="shared" si="0"/>
        <v>11568293.4</v>
      </c>
      <c r="G44" s="133">
        <f t="shared" si="1"/>
        <v>9.7199999999999995E-2</v>
      </c>
      <c r="H44" s="16">
        <f t="shared" si="2"/>
        <v>1124438.1184799999</v>
      </c>
      <c r="I44" s="133">
        <f t="shared" si="3"/>
        <v>0.11226</v>
      </c>
      <c r="J44" s="19">
        <f t="shared" si="4"/>
        <v>1298656.617084</v>
      </c>
      <c r="K44" s="17">
        <f t="shared" si="5"/>
        <v>174218.49860400008</v>
      </c>
      <c r="N44" s="11" t="s">
        <v>19</v>
      </c>
      <c r="O44" s="23">
        <v>9.7199999999999995E-2</v>
      </c>
      <c r="P44" s="127">
        <f t="shared" si="6"/>
        <v>-0.26244855967078196</v>
      </c>
      <c r="Q44" s="23">
        <v>0.1178</v>
      </c>
      <c r="R44" s="23">
        <v>0.11226</v>
      </c>
      <c r="S44" s="23">
        <v>6.3710000000000003E-2</v>
      </c>
      <c r="T44" s="23">
        <v>7.1929999999999994E-2</v>
      </c>
      <c r="U44" s="23">
        <v>7.5439999999999993E-2</v>
      </c>
      <c r="V44" s="23">
        <v>7.492E-2</v>
      </c>
      <c r="W44" s="23">
        <v>0.10135</v>
      </c>
      <c r="X44" s="23">
        <v>0.10014000000000001</v>
      </c>
    </row>
    <row r="45" spans="1:24" x14ac:dyDescent="0.2">
      <c r="B45" s="13" t="s">
        <v>20</v>
      </c>
      <c r="C45" s="129">
        <f>+'[1]2016'!$O$17</f>
        <v>10741727.660000004</v>
      </c>
      <c r="D45" s="128"/>
      <c r="E45" s="131"/>
      <c r="F45" s="60">
        <f t="shared" si="0"/>
        <v>10741727.660000004</v>
      </c>
      <c r="G45" s="133">
        <f t="shared" si="1"/>
        <v>0.12271</v>
      </c>
      <c r="H45" s="16">
        <f t="shared" si="2"/>
        <v>1318117.4011586006</v>
      </c>
      <c r="I45" s="133">
        <f t="shared" si="3"/>
        <v>0.11108999999999999</v>
      </c>
      <c r="J45" s="19">
        <f t="shared" si="4"/>
        <v>1193298.5257494003</v>
      </c>
      <c r="K45" s="17">
        <f>J45-H45</f>
        <v>-124818.87540920032</v>
      </c>
      <c r="N45" s="11" t="s">
        <v>20</v>
      </c>
      <c r="O45" s="23">
        <v>0.12271</v>
      </c>
      <c r="P45" s="127">
        <f t="shared" si="6"/>
        <v>0.13666367859180176</v>
      </c>
      <c r="Q45" s="23">
        <v>0.115</v>
      </c>
      <c r="R45" s="23">
        <v>0.11108999999999999</v>
      </c>
      <c r="S45" s="23">
        <v>7.6230000000000006E-2</v>
      </c>
      <c r="T45" s="23">
        <v>0.12447999999999999</v>
      </c>
      <c r="U45" s="23">
        <v>0.11320000000000001</v>
      </c>
      <c r="V45" s="23">
        <v>9.9010000000000001E-2</v>
      </c>
      <c r="W45" s="23">
        <v>8.5040000000000004E-2</v>
      </c>
      <c r="X45" s="23">
        <v>8.231999999999999E-2</v>
      </c>
    </row>
    <row r="46" spans="1:24" x14ac:dyDescent="0.2">
      <c r="B46" s="13" t="s">
        <v>21</v>
      </c>
      <c r="C46" s="130">
        <f>+'[1]2016'!$P$17</f>
        <v>10615121.130000001</v>
      </c>
      <c r="D46" s="128">
        <v>13171435.92</v>
      </c>
      <c r="E46" s="131">
        <v>11097573.85</v>
      </c>
      <c r="F46" s="60">
        <f t="shared" si="0"/>
        <v>8541259.0600000005</v>
      </c>
      <c r="G46" s="133">
        <f t="shared" si="1"/>
        <v>0.10594000000000001</v>
      </c>
      <c r="H46" s="16">
        <f>F46*G46</f>
        <v>904860.9848164001</v>
      </c>
      <c r="I46" s="133">
        <f t="shared" si="3"/>
        <v>8.7080000000000005E-2</v>
      </c>
      <c r="J46" s="19">
        <f>F46*I46</f>
        <v>743772.83894480008</v>
      </c>
      <c r="K46" s="17">
        <f t="shared" si="5"/>
        <v>-161088.14587160002</v>
      </c>
      <c r="N46" s="33" t="s">
        <v>21</v>
      </c>
      <c r="O46" s="34">
        <v>0.10594000000000001</v>
      </c>
      <c r="P46" s="127">
        <f>(O46-O47)/O46</f>
        <v>1</v>
      </c>
      <c r="Q46" s="34">
        <v>7.8719999999999998E-2</v>
      </c>
      <c r="R46" s="34">
        <v>8.7080000000000005E-2</v>
      </c>
      <c r="S46" s="34">
        <v>0.11462</v>
      </c>
      <c r="T46" s="34">
        <v>8.8090000000000002E-2</v>
      </c>
      <c r="U46" s="34">
        <v>9.4709999999999989E-2</v>
      </c>
      <c r="V46" s="34">
        <v>7.3180000000000009E-2</v>
      </c>
      <c r="W46" s="34">
        <v>5.7889999999999997E-2</v>
      </c>
      <c r="X46" s="34">
        <v>7.4439999999999992E-2</v>
      </c>
    </row>
    <row r="47" spans="1:24" ht="15.75" thickBot="1" x14ac:dyDescent="0.3">
      <c r="B47" s="92" t="s">
        <v>90</v>
      </c>
      <c r="C47" s="132">
        <f>SUM(C35:C46)</f>
        <v>135684048.93000001</v>
      </c>
      <c r="D47" s="132">
        <f>SUM(D35:D46)</f>
        <v>13171435.92</v>
      </c>
      <c r="E47" s="132">
        <f>SUM(E35:E46)</f>
        <v>11097573.85</v>
      </c>
      <c r="F47" s="132">
        <f>SUM(F35:F46)</f>
        <v>133610186.86000001</v>
      </c>
      <c r="G47" s="44"/>
      <c r="H47" s="45">
        <f>SUM(H35:H46)</f>
        <v>13017505.538302602</v>
      </c>
      <c r="I47" s="44"/>
      <c r="J47" s="45">
        <f>SUM(J35:J46)</f>
        <v>13032407.717207801</v>
      </c>
      <c r="K47" s="46">
        <f>SUM(K35:K46)</f>
        <v>14902.178905199864</v>
      </c>
      <c r="N47" s="37"/>
      <c r="O47" s="38"/>
      <c r="P47" s="38"/>
      <c r="Q47" s="38"/>
      <c r="R47" s="38"/>
      <c r="S47" s="38"/>
      <c r="T47" s="38"/>
      <c r="U47" s="38"/>
      <c r="V47" s="38"/>
      <c r="W47" s="38"/>
      <c r="X47" s="38"/>
    </row>
    <row r="48" spans="1:24" x14ac:dyDescent="0.2">
      <c r="A48" s="1" t="s">
        <v>40</v>
      </c>
      <c r="G48" s="4"/>
      <c r="H48" s="141"/>
      <c r="I48" s="4"/>
      <c r="J48" s="91" t="s">
        <v>144</v>
      </c>
      <c r="K48" s="30">
        <v>-1291251</v>
      </c>
      <c r="N48" s="35"/>
      <c r="O48" s="36"/>
      <c r="P48" s="36"/>
      <c r="Q48" s="36"/>
      <c r="R48" s="36"/>
      <c r="S48" s="36"/>
      <c r="T48" s="36"/>
      <c r="U48" s="36"/>
      <c r="V48" s="36"/>
      <c r="W48" s="36"/>
      <c r="X48" s="36"/>
    </row>
    <row r="49" spans="1:25" x14ac:dyDescent="0.2">
      <c r="D49" s="173"/>
      <c r="E49" s="173"/>
      <c r="F49" s="173"/>
      <c r="G49" s="167"/>
      <c r="H49" s="183"/>
      <c r="I49" s="167"/>
      <c r="J49" s="184"/>
      <c r="K49" s="30"/>
      <c r="N49" s="35"/>
      <c r="O49" s="36"/>
      <c r="P49" s="36"/>
      <c r="Q49" s="36"/>
      <c r="R49" s="36"/>
      <c r="S49" s="36"/>
      <c r="T49" s="36"/>
      <c r="U49" s="36"/>
      <c r="V49" s="36"/>
      <c r="W49" s="36"/>
      <c r="X49" s="36"/>
    </row>
    <row r="50" spans="1:25" ht="15.75" thickBot="1" x14ac:dyDescent="0.3">
      <c r="D50" s="185"/>
      <c r="E50" s="173"/>
      <c r="F50" s="186"/>
      <c r="G50" s="187"/>
      <c r="H50" s="188"/>
      <c r="I50" s="167"/>
      <c r="J50" s="188"/>
      <c r="K50" s="193">
        <f>K48-K47</f>
        <v>-1306153.1789051997</v>
      </c>
      <c r="L50" s="163" t="s">
        <v>89</v>
      </c>
      <c r="N50" s="35"/>
      <c r="O50" s="36"/>
      <c r="P50" s="36"/>
      <c r="Q50" s="36"/>
      <c r="R50" s="36"/>
      <c r="S50" s="36"/>
      <c r="T50" s="36"/>
      <c r="U50" s="36"/>
      <c r="V50" s="36"/>
      <c r="W50" s="36"/>
      <c r="X50" s="36"/>
    </row>
    <row r="51" spans="1:25" ht="15" thickTop="1" x14ac:dyDescent="0.2">
      <c r="D51" s="173"/>
      <c r="E51" s="173"/>
      <c r="F51" s="181"/>
      <c r="G51" s="173"/>
      <c r="H51" s="172"/>
      <c r="I51" s="189"/>
      <c r="J51" s="172"/>
      <c r="K51" s="89"/>
      <c r="N51" s="35"/>
      <c r="O51" s="36"/>
      <c r="P51" s="36"/>
      <c r="Q51" s="36"/>
      <c r="R51" s="36"/>
      <c r="S51" s="36"/>
      <c r="T51" s="36"/>
      <c r="U51" s="36"/>
      <c r="V51" s="36"/>
      <c r="W51" s="36"/>
      <c r="X51" s="36"/>
    </row>
    <row r="52" spans="1:25" ht="15" x14ac:dyDescent="0.25">
      <c r="D52" s="173"/>
      <c r="E52" s="185"/>
      <c r="F52" s="182"/>
      <c r="G52" s="173"/>
      <c r="H52" s="172"/>
      <c r="I52" s="173"/>
      <c r="J52" s="172"/>
      <c r="K52" s="90"/>
      <c r="N52" s="35"/>
      <c r="O52" s="36"/>
      <c r="P52" s="36"/>
      <c r="Q52" s="36"/>
      <c r="R52" s="36"/>
      <c r="S52" s="36"/>
      <c r="T52" s="36"/>
      <c r="U52" s="36"/>
      <c r="V52" s="36"/>
      <c r="W52" s="36"/>
      <c r="X52" s="36"/>
    </row>
    <row r="53" spans="1:25" x14ac:dyDescent="0.2">
      <c r="F53" s="161"/>
      <c r="G53" s="35"/>
      <c r="H53" s="172"/>
      <c r="I53" s="172"/>
      <c r="J53" s="173"/>
      <c r="N53" s="35"/>
      <c r="O53" s="36"/>
      <c r="P53" s="36"/>
      <c r="Q53" s="36"/>
      <c r="R53" s="36"/>
      <c r="S53" s="36"/>
      <c r="T53" s="36"/>
      <c r="U53" s="36"/>
      <c r="V53" s="36"/>
      <c r="W53" s="36"/>
      <c r="X53" s="36"/>
    </row>
    <row r="54" spans="1:25" x14ac:dyDescent="0.2">
      <c r="G54" s="35"/>
      <c r="H54" s="172"/>
      <c r="I54" s="173"/>
      <c r="J54" s="172"/>
      <c r="K54" s="41"/>
      <c r="N54" s="35"/>
      <c r="O54" s="36"/>
      <c r="P54" s="36"/>
      <c r="Q54" s="36"/>
      <c r="R54" s="36"/>
      <c r="S54" s="36"/>
      <c r="T54" s="36"/>
      <c r="U54" s="36"/>
      <c r="V54" s="36"/>
      <c r="W54" s="36"/>
      <c r="X54" s="36"/>
    </row>
    <row r="55" spans="1:25" ht="15" x14ac:dyDescent="0.25">
      <c r="A55" s="1" t="s">
        <v>41</v>
      </c>
      <c r="B55" s="54" t="s">
        <v>55</v>
      </c>
      <c r="C55" s="2"/>
      <c r="J55" s="171"/>
      <c r="K55" s="41"/>
      <c r="N55" s="35"/>
      <c r="O55" s="36"/>
      <c r="P55" s="36"/>
      <c r="Q55" s="36"/>
      <c r="R55" s="36"/>
      <c r="S55" s="36"/>
      <c r="T55" s="36"/>
      <c r="U55" s="36"/>
      <c r="V55" s="36"/>
      <c r="W55" s="36"/>
      <c r="X55" s="36"/>
    </row>
    <row r="56" spans="1:25" ht="15" x14ac:dyDescent="0.25">
      <c r="B56" s="3"/>
      <c r="C56" s="2"/>
      <c r="N56" s="35"/>
      <c r="O56" s="35"/>
      <c r="P56" s="35"/>
      <c r="Q56" s="35"/>
      <c r="R56" s="35"/>
      <c r="S56" s="35"/>
      <c r="T56" s="35"/>
      <c r="U56" s="35"/>
      <c r="V56" s="35"/>
      <c r="W56" s="35"/>
      <c r="X56" s="35"/>
    </row>
    <row r="57" spans="1:25" ht="45" x14ac:dyDescent="0.25">
      <c r="A57" s="11"/>
      <c r="B57" s="14" t="s">
        <v>52</v>
      </c>
      <c r="C57" s="56" t="s">
        <v>75</v>
      </c>
      <c r="D57" s="56" t="s">
        <v>137</v>
      </c>
      <c r="E57" s="221" t="s">
        <v>51</v>
      </c>
      <c r="F57" s="221"/>
      <c r="G57" s="221"/>
      <c r="H57" s="221"/>
      <c r="I57" s="221"/>
      <c r="K57" s="174"/>
      <c r="L57" s="173"/>
      <c r="M57" s="173"/>
      <c r="N57" s="173"/>
      <c r="O57" s="173"/>
      <c r="P57" s="35"/>
      <c r="Q57" s="35"/>
      <c r="R57" s="35"/>
      <c r="S57" s="35"/>
      <c r="T57" s="35"/>
      <c r="U57" s="35"/>
      <c r="V57" s="35"/>
      <c r="W57" s="35"/>
      <c r="X57" s="35"/>
      <c r="Y57" s="35"/>
    </row>
    <row r="58" spans="1:25" ht="45" customHeight="1" x14ac:dyDescent="0.25">
      <c r="A58" s="93" t="s">
        <v>59</v>
      </c>
      <c r="B58" s="57" t="s">
        <v>70</v>
      </c>
      <c r="C58" s="10"/>
      <c r="D58" s="129">
        <v>-1773323</v>
      </c>
      <c r="E58" s="222" t="s">
        <v>181</v>
      </c>
      <c r="F58" s="222"/>
      <c r="G58" s="222"/>
      <c r="H58" s="222"/>
      <c r="I58" s="222"/>
      <c r="K58" s="175"/>
      <c r="L58" s="176"/>
      <c r="M58" s="177"/>
      <c r="N58" s="173"/>
      <c r="O58" s="173"/>
      <c r="P58" s="35"/>
      <c r="Q58" s="35"/>
      <c r="R58" s="35"/>
      <c r="S58" s="35"/>
      <c r="T58" s="35"/>
      <c r="U58" s="35"/>
      <c r="V58" s="35"/>
      <c r="W58" s="35"/>
      <c r="X58" s="35"/>
      <c r="Y58" s="35"/>
    </row>
    <row r="59" spans="1:25" ht="63.75" customHeight="1" x14ac:dyDescent="0.2">
      <c r="A59" s="93" t="s">
        <v>60</v>
      </c>
      <c r="B59" s="57" t="s">
        <v>91</v>
      </c>
      <c r="C59" s="68"/>
      <c r="D59" s="76">
        <f>D86</f>
        <v>0</v>
      </c>
      <c r="E59" s="223"/>
      <c r="F59" s="224"/>
      <c r="G59" s="224"/>
      <c r="H59" s="224"/>
      <c r="I59" s="225"/>
      <c r="J59" s="105"/>
      <c r="K59" s="164"/>
      <c r="L59" s="178"/>
      <c r="M59" s="178"/>
      <c r="N59" s="164"/>
      <c r="O59" s="167"/>
      <c r="P59" s="105"/>
      <c r="Q59" s="105"/>
      <c r="R59" s="105"/>
    </row>
    <row r="60" spans="1:25" ht="28.5" x14ac:dyDescent="0.2">
      <c r="A60" s="93" t="s">
        <v>73</v>
      </c>
      <c r="B60" s="57" t="s">
        <v>72</v>
      </c>
      <c r="C60" s="10"/>
      <c r="D60" s="10"/>
      <c r="E60" s="222"/>
      <c r="F60" s="222"/>
      <c r="G60" s="222"/>
      <c r="H60" s="222"/>
      <c r="I60" s="222"/>
      <c r="J60" s="105"/>
      <c r="K60" s="164"/>
      <c r="L60" s="178"/>
      <c r="M60" s="178"/>
      <c r="N60" s="164"/>
      <c r="O60" s="167"/>
      <c r="P60" s="105"/>
      <c r="Q60" s="105"/>
      <c r="R60" s="105"/>
    </row>
    <row r="61" spans="1:25" ht="28.5" x14ac:dyDescent="0.2">
      <c r="A61" s="93" t="s">
        <v>74</v>
      </c>
      <c r="B61" s="57" t="s">
        <v>71</v>
      </c>
      <c r="C61" s="68"/>
      <c r="D61" s="10"/>
      <c r="E61" s="222"/>
      <c r="F61" s="222"/>
      <c r="G61" s="222"/>
      <c r="H61" s="222"/>
      <c r="I61" s="222"/>
      <c r="J61" s="105"/>
      <c r="K61" s="179"/>
      <c r="L61" s="164"/>
      <c r="M61" s="164"/>
      <c r="N61" s="164"/>
      <c r="O61" s="167"/>
      <c r="P61" s="105"/>
      <c r="Q61" s="105"/>
      <c r="R61" s="105"/>
    </row>
    <row r="62" spans="1:25" ht="28.5" x14ac:dyDescent="0.2">
      <c r="A62" s="93" t="s">
        <v>78</v>
      </c>
      <c r="B62" s="57" t="s">
        <v>80</v>
      </c>
      <c r="C62" s="10"/>
      <c r="D62" s="170"/>
      <c r="E62" s="222"/>
      <c r="F62" s="222"/>
      <c r="G62" s="222"/>
      <c r="H62" s="222"/>
      <c r="I62" s="222"/>
      <c r="J62" s="105"/>
      <c r="K62" s="167"/>
      <c r="L62" s="167"/>
      <c r="M62" s="167"/>
      <c r="N62" s="165"/>
      <c r="O62" s="167"/>
      <c r="P62" s="105"/>
      <c r="Q62" s="105"/>
      <c r="R62" s="105"/>
    </row>
    <row r="63" spans="1:25" ht="28.5" x14ac:dyDescent="0.2">
      <c r="A63" s="93" t="s">
        <v>79</v>
      </c>
      <c r="B63" s="57" t="s">
        <v>81</v>
      </c>
      <c r="C63" s="10"/>
      <c r="D63" s="10"/>
      <c r="E63" s="223"/>
      <c r="F63" s="224"/>
      <c r="G63" s="224"/>
      <c r="H63" s="224"/>
      <c r="I63" s="225"/>
      <c r="J63" s="105"/>
      <c r="K63" s="167"/>
      <c r="L63" s="167"/>
      <c r="M63" s="167"/>
      <c r="N63" s="166"/>
      <c r="O63" s="167"/>
      <c r="P63" s="105"/>
      <c r="Q63" s="105"/>
      <c r="R63" s="105"/>
    </row>
    <row r="64" spans="1:25" x14ac:dyDescent="0.2">
      <c r="A64" s="93">
        <v>4</v>
      </c>
      <c r="B64" s="57" t="s">
        <v>77</v>
      </c>
      <c r="C64" s="10"/>
      <c r="D64" s="10"/>
      <c r="E64" s="222"/>
      <c r="F64" s="222"/>
      <c r="G64" s="222"/>
      <c r="H64" s="222"/>
      <c r="I64" s="222"/>
      <c r="J64" s="105"/>
      <c r="K64" s="167"/>
      <c r="L64" s="167"/>
      <c r="M64" s="167"/>
      <c r="N64" s="167"/>
      <c r="O64" s="167"/>
      <c r="P64" s="105"/>
      <c r="Q64" s="105"/>
      <c r="R64" s="105"/>
    </row>
    <row r="65" spans="1:20" ht="42.75" x14ac:dyDescent="0.2">
      <c r="A65" s="93">
        <v>5</v>
      </c>
      <c r="B65" s="57" t="s">
        <v>93</v>
      </c>
      <c r="C65" s="10"/>
      <c r="D65" s="10"/>
      <c r="E65" s="222"/>
      <c r="F65" s="222"/>
      <c r="G65" s="222"/>
      <c r="H65" s="222"/>
      <c r="I65" s="222"/>
      <c r="J65" s="105"/>
      <c r="K65" s="167"/>
      <c r="L65" s="167"/>
      <c r="M65" s="167"/>
      <c r="N65" s="167"/>
      <c r="O65" s="167"/>
      <c r="P65" s="105"/>
      <c r="Q65" s="105"/>
      <c r="R65" s="105"/>
    </row>
    <row r="66" spans="1:20" ht="42.75" x14ac:dyDescent="0.2">
      <c r="A66" s="63">
        <v>6</v>
      </c>
      <c r="B66" s="55" t="s">
        <v>176</v>
      </c>
      <c r="C66" s="10"/>
      <c r="D66" s="190">
        <f>+'2016 Interval Consumption'!Q19</f>
        <v>30733.011338099968</v>
      </c>
      <c r="E66" s="222" t="s">
        <v>179</v>
      </c>
      <c r="F66" s="222"/>
      <c r="G66" s="222"/>
      <c r="H66" s="222"/>
      <c r="I66" s="222"/>
    </row>
    <row r="67" spans="1:20" ht="42" customHeight="1" x14ac:dyDescent="0.2">
      <c r="A67" s="63">
        <v>7</v>
      </c>
      <c r="B67" s="53" t="s">
        <v>178</v>
      </c>
      <c r="C67" s="10"/>
      <c r="D67" s="76">
        <v>472498</v>
      </c>
      <c r="E67" s="222" t="s">
        <v>180</v>
      </c>
      <c r="F67" s="222"/>
      <c r="G67" s="222"/>
      <c r="H67" s="222"/>
      <c r="I67" s="222"/>
    </row>
    <row r="68" spans="1:20" x14ac:dyDescent="0.2">
      <c r="A68" s="63">
        <v>8</v>
      </c>
      <c r="B68" s="53"/>
      <c r="C68" s="10"/>
      <c r="D68" s="10"/>
      <c r="E68" s="222"/>
      <c r="F68" s="222"/>
      <c r="G68" s="222"/>
      <c r="H68" s="222"/>
      <c r="I68" s="222"/>
    </row>
    <row r="69" spans="1:20" x14ac:dyDescent="0.2">
      <c r="A69" s="63">
        <v>9</v>
      </c>
      <c r="B69" s="53"/>
      <c r="C69" s="10"/>
      <c r="D69" s="10"/>
      <c r="E69" s="223"/>
      <c r="F69" s="224"/>
      <c r="G69" s="224"/>
      <c r="H69" s="224"/>
      <c r="I69" s="225"/>
    </row>
    <row r="70" spans="1:20" x14ac:dyDescent="0.2">
      <c r="A70" s="63">
        <v>10</v>
      </c>
      <c r="B70" s="53"/>
      <c r="C70" s="10"/>
      <c r="D70" s="10"/>
      <c r="E70" s="222"/>
      <c r="F70" s="222"/>
      <c r="G70" s="222"/>
      <c r="H70" s="222"/>
      <c r="I70" s="222"/>
    </row>
    <row r="71" spans="1:20" ht="15" x14ac:dyDescent="0.25">
      <c r="B71" s="2" t="s">
        <v>25</v>
      </c>
      <c r="C71" s="2"/>
      <c r="D71" s="31">
        <f>SUM(D58:D70)</f>
        <v>-1270091.9886618999</v>
      </c>
      <c r="E71" s="31"/>
      <c r="F71" s="31"/>
      <c r="G71" s="31"/>
      <c r="H71" s="142"/>
    </row>
    <row r="72" spans="1:20" ht="15" x14ac:dyDescent="0.25">
      <c r="B72" s="94" t="s">
        <v>76</v>
      </c>
      <c r="C72" s="94"/>
      <c r="D72" s="31">
        <f>K50</f>
        <v>-1306153.1789051997</v>
      </c>
      <c r="E72" s="31"/>
      <c r="F72" s="31"/>
      <c r="G72" s="31"/>
      <c r="H72" s="142"/>
    </row>
    <row r="73" spans="1:20" ht="15" x14ac:dyDescent="0.25">
      <c r="B73" s="94" t="s">
        <v>24</v>
      </c>
      <c r="C73" s="94"/>
      <c r="D73" s="69">
        <f>D72-D71</f>
        <v>-36061.190243299818</v>
      </c>
    </row>
    <row r="74" spans="1:20" ht="30.75" thickBot="1" x14ac:dyDescent="0.3">
      <c r="B74" s="95" t="s">
        <v>82</v>
      </c>
      <c r="C74" s="95"/>
      <c r="D74" s="77">
        <f>IF(ISERROR(D73/J47),0,D73/J47)</f>
        <v>-2.767039753957755E-3</v>
      </c>
      <c r="G74" s="105"/>
      <c r="H74" s="136"/>
      <c r="I74" s="41"/>
      <c r="J74" s="41"/>
      <c r="K74" s="41"/>
      <c r="L74" s="41"/>
    </row>
    <row r="75" spans="1:20" ht="15.75" thickTop="1" x14ac:dyDescent="0.25">
      <c r="B75" s="2"/>
      <c r="C75" s="65"/>
      <c r="D75" s="72"/>
      <c r="F75" s="160"/>
      <c r="G75" s="105"/>
    </row>
    <row r="76" spans="1:20" ht="15" x14ac:dyDescent="0.25">
      <c r="B76" s="2"/>
      <c r="C76" s="65"/>
      <c r="D76" s="40"/>
    </row>
    <row r="77" spans="1:20" ht="15" x14ac:dyDescent="0.25">
      <c r="A77" s="1" t="s">
        <v>84</v>
      </c>
      <c r="B77" s="96" t="s">
        <v>48</v>
      </c>
      <c r="C77" s="71"/>
      <c r="D77" s="72"/>
    </row>
    <row r="78" spans="1:20" ht="15" x14ac:dyDescent="0.25">
      <c r="B78" s="70"/>
      <c r="C78" s="71"/>
      <c r="D78" s="72"/>
    </row>
    <row r="79" spans="1:20" ht="60" x14ac:dyDescent="0.25">
      <c r="B79" s="78" t="s">
        <v>26</v>
      </c>
      <c r="C79" s="56" t="s">
        <v>150</v>
      </c>
      <c r="D79" s="97" t="s">
        <v>177</v>
      </c>
      <c r="E79" s="56" t="s">
        <v>151</v>
      </c>
      <c r="F79" s="56" t="s">
        <v>153</v>
      </c>
      <c r="G79" s="56" t="s">
        <v>24</v>
      </c>
      <c r="H79" s="143" t="s">
        <v>152</v>
      </c>
      <c r="I79" s="56" t="s">
        <v>82</v>
      </c>
      <c r="J79" s="105"/>
      <c r="K79" s="105"/>
      <c r="L79" s="41"/>
      <c r="M79" s="41"/>
      <c r="N79" s="41"/>
      <c r="O79" s="41"/>
      <c r="P79" s="41"/>
      <c r="Q79" s="41"/>
      <c r="R79" s="41"/>
      <c r="S79" s="41"/>
      <c r="T79" s="41"/>
    </row>
    <row r="80" spans="1:20" ht="15" x14ac:dyDescent="0.25">
      <c r="B80" s="73">
        <v>2016</v>
      </c>
      <c r="C80" s="75">
        <f>+K47</f>
        <v>14902.178905199864</v>
      </c>
      <c r="D80" s="75">
        <f>+K48</f>
        <v>-1291251</v>
      </c>
      <c r="E80" s="76">
        <f>+K50</f>
        <v>-1306153.1789051997</v>
      </c>
      <c r="F80" s="76">
        <f>+D71</f>
        <v>-1270091.9886618999</v>
      </c>
      <c r="G80" s="60">
        <f>E80-F80</f>
        <v>-36061.190243299818</v>
      </c>
      <c r="H80" s="144">
        <f>+J47</f>
        <v>13032407.717207801</v>
      </c>
      <c r="I80" s="123">
        <f>IF(ISERROR(G80/H80),0,G80/H80)</f>
        <v>-2.767039753957755E-3</v>
      </c>
      <c r="J80" s="162"/>
      <c r="K80" s="105"/>
      <c r="L80" s="41"/>
      <c r="M80" s="41"/>
      <c r="N80" s="41"/>
      <c r="O80" s="41"/>
      <c r="P80" s="41"/>
      <c r="Q80" s="41"/>
      <c r="R80" s="41"/>
      <c r="S80" s="41"/>
      <c r="T80" s="41"/>
    </row>
    <row r="81" spans="2:20" ht="15" x14ac:dyDescent="0.25">
      <c r="B81" s="73">
        <v>2015</v>
      </c>
      <c r="C81" s="75">
        <f>+'2015 GA Analysis'!K47</f>
        <v>238086.12534639996</v>
      </c>
      <c r="D81" s="75">
        <f>+'2015 GA Analysis'!K48</f>
        <v>2042100</v>
      </c>
      <c r="E81" s="76">
        <f>+'2015 GA Analysis'!K49</f>
        <v>1804013.8746536002</v>
      </c>
      <c r="F81" s="76">
        <f>+'2015 GA Analysis'!D70</f>
        <v>1773323</v>
      </c>
      <c r="G81" s="60">
        <f>E81-F81</f>
        <v>30690.874653600156</v>
      </c>
      <c r="H81" s="144">
        <f>+'2015 GA Analysis'!J47</f>
        <v>10460628.571022199</v>
      </c>
      <c r="I81" s="123">
        <f>IF(ISERROR(G81/H81),0,G81/H81)</f>
        <v>2.9339417268498887E-3</v>
      </c>
      <c r="J81" s="105"/>
      <c r="K81" s="105"/>
      <c r="L81" s="41"/>
      <c r="M81" s="41"/>
      <c r="N81" s="41"/>
      <c r="O81" s="41"/>
      <c r="P81" s="41"/>
      <c r="Q81" s="41"/>
      <c r="R81" s="41"/>
      <c r="S81" s="41"/>
      <c r="T81" s="41"/>
    </row>
    <row r="82" spans="2:20" ht="15" x14ac:dyDescent="0.25">
      <c r="B82" s="73"/>
      <c r="C82" s="75"/>
      <c r="D82" s="75"/>
      <c r="E82" s="76"/>
      <c r="F82" s="76"/>
      <c r="G82" s="60">
        <f>E82-F82</f>
        <v>0</v>
      </c>
      <c r="H82" s="144"/>
      <c r="I82" s="123">
        <f>IF(ISERROR(G82/H82),0,G82/H82)</f>
        <v>0</v>
      </c>
      <c r="J82" s="105"/>
      <c r="K82" s="105"/>
      <c r="L82" s="41"/>
      <c r="M82" s="41"/>
      <c r="N82" s="41"/>
      <c r="O82" s="41"/>
      <c r="P82" s="41"/>
      <c r="Q82" s="41"/>
      <c r="R82" s="41"/>
      <c r="S82" s="41"/>
      <c r="T82" s="41"/>
    </row>
    <row r="83" spans="2:20" ht="15" thickBot="1" x14ac:dyDescent="0.25">
      <c r="B83" s="74"/>
      <c r="C83" s="100"/>
      <c r="D83" s="100"/>
      <c r="E83" s="101"/>
      <c r="F83" s="101"/>
      <c r="G83" s="102">
        <f>E83-F83</f>
        <v>0</v>
      </c>
      <c r="H83" s="145"/>
      <c r="I83" s="124">
        <f>IF(ISERROR(G83/H83),0,G83/H83)</f>
        <v>0</v>
      </c>
      <c r="J83" s="105"/>
      <c r="K83" s="105"/>
      <c r="L83" s="41"/>
      <c r="M83" s="41"/>
      <c r="N83" s="41"/>
      <c r="O83" s="41"/>
      <c r="P83" s="41"/>
      <c r="Q83" s="41"/>
      <c r="R83" s="41"/>
      <c r="S83" s="41"/>
      <c r="T83" s="41"/>
    </row>
    <row r="84" spans="2:20" ht="15.75" thickBot="1" x14ac:dyDescent="0.3">
      <c r="B84" s="98" t="s">
        <v>83</v>
      </c>
      <c r="C84" s="103">
        <f t="shared" ref="C84:H84" si="7">SUM(C80:C83)</f>
        <v>252988.30425159982</v>
      </c>
      <c r="D84" s="103">
        <f t="shared" si="7"/>
        <v>750849</v>
      </c>
      <c r="E84" s="103">
        <f t="shared" si="7"/>
        <v>497860.69574840041</v>
      </c>
      <c r="F84" s="103">
        <f t="shared" si="7"/>
        <v>503231.01133810007</v>
      </c>
      <c r="G84" s="146">
        <f t="shared" si="7"/>
        <v>-5370.3155896996614</v>
      </c>
      <c r="H84" s="146">
        <f t="shared" si="7"/>
        <v>23493036.288230002</v>
      </c>
      <c r="I84" s="104" t="s">
        <v>92</v>
      </c>
      <c r="J84" s="105"/>
      <c r="K84" s="105"/>
      <c r="L84" s="41"/>
      <c r="M84" s="41"/>
      <c r="N84" s="41"/>
      <c r="O84" s="41"/>
      <c r="P84" s="41"/>
      <c r="Q84" s="41"/>
      <c r="R84" s="41"/>
      <c r="S84" s="41"/>
      <c r="T84" s="41"/>
    </row>
    <row r="85" spans="2:20" x14ac:dyDescent="0.2">
      <c r="B85" s="4"/>
      <c r="C85" s="4"/>
      <c r="D85" s="4"/>
      <c r="E85" s="4"/>
      <c r="F85" s="4"/>
      <c r="G85" s="4"/>
      <c r="J85" s="105"/>
      <c r="K85" s="105"/>
      <c r="L85" s="41"/>
      <c r="M85" s="41"/>
      <c r="N85" s="41"/>
      <c r="O85" s="41"/>
      <c r="P85" s="41"/>
      <c r="Q85" s="41"/>
      <c r="R85" s="41"/>
      <c r="S85" s="41"/>
      <c r="T85" s="41"/>
    </row>
    <row r="86" spans="2:20" x14ac:dyDescent="0.2">
      <c r="J86" s="105"/>
      <c r="K86" s="105"/>
      <c r="L86" s="41"/>
      <c r="M86" s="41"/>
      <c r="N86" s="41"/>
      <c r="O86" s="41"/>
      <c r="P86" s="41"/>
      <c r="Q86" s="41"/>
      <c r="R86" s="41"/>
      <c r="S86" s="41"/>
      <c r="T86" s="41"/>
    </row>
    <row r="87" spans="2:20" ht="15" x14ac:dyDescent="0.25">
      <c r="B87" s="3" t="s">
        <v>39</v>
      </c>
      <c r="J87" s="105"/>
      <c r="K87" s="105"/>
    </row>
    <row r="88" spans="2:20" x14ac:dyDescent="0.2">
      <c r="B88" s="62"/>
      <c r="C88" s="62"/>
      <c r="D88" s="62"/>
      <c r="E88" s="62"/>
      <c r="F88" s="62"/>
      <c r="G88" s="62"/>
      <c r="H88" s="147"/>
      <c r="J88" s="105"/>
      <c r="K88" s="105"/>
    </row>
    <row r="89" spans="2:20" x14ac:dyDescent="0.2">
      <c r="B89" s="62"/>
      <c r="C89" s="62"/>
      <c r="D89" s="62"/>
      <c r="E89" s="62"/>
      <c r="F89" s="62"/>
      <c r="G89" s="62"/>
      <c r="H89" s="147"/>
      <c r="J89" s="105"/>
      <c r="K89" s="105"/>
    </row>
    <row r="90" spans="2:20" x14ac:dyDescent="0.2">
      <c r="B90" s="62"/>
      <c r="C90" s="62"/>
      <c r="D90" s="62"/>
      <c r="E90" s="62"/>
      <c r="F90" s="62"/>
      <c r="G90" s="62"/>
      <c r="H90" s="147"/>
    </row>
    <row r="91" spans="2:20" x14ac:dyDescent="0.2">
      <c r="B91" s="62"/>
      <c r="C91" s="62"/>
      <c r="D91" s="62"/>
      <c r="E91" s="62"/>
      <c r="F91" s="62"/>
      <c r="G91" s="62"/>
      <c r="H91" s="147"/>
    </row>
    <row r="92" spans="2:20" x14ac:dyDescent="0.2">
      <c r="B92" s="62"/>
      <c r="C92" s="62"/>
      <c r="D92" s="62"/>
      <c r="E92" s="62"/>
      <c r="F92" s="62"/>
      <c r="G92" s="62"/>
      <c r="H92" s="147"/>
    </row>
    <row r="93" spans="2:20" x14ac:dyDescent="0.2">
      <c r="B93" s="62"/>
      <c r="C93" s="62"/>
      <c r="D93" s="62"/>
      <c r="E93" s="62"/>
      <c r="F93" s="62"/>
      <c r="G93" s="62"/>
      <c r="H93" s="147"/>
    </row>
    <row r="94" spans="2:20" x14ac:dyDescent="0.2">
      <c r="B94" s="62"/>
      <c r="C94" s="62"/>
      <c r="D94" s="62"/>
      <c r="E94" s="62"/>
      <c r="F94" s="62"/>
      <c r="G94" s="62"/>
      <c r="H94" s="147"/>
    </row>
    <row r="95" spans="2:20" x14ac:dyDescent="0.2">
      <c r="B95" s="62"/>
      <c r="C95" s="62"/>
      <c r="D95" s="62"/>
      <c r="E95" s="62"/>
      <c r="F95" s="62"/>
      <c r="G95" s="62"/>
      <c r="H95" s="147"/>
    </row>
  </sheetData>
  <mergeCells count="20">
    <mergeCell ref="E65:I65"/>
    <mergeCell ref="E70:I70"/>
    <mergeCell ref="E66:I66"/>
    <mergeCell ref="E67:I67"/>
    <mergeCell ref="E68:I68"/>
    <mergeCell ref="E69:I69"/>
    <mergeCell ref="E57:I57"/>
    <mergeCell ref="E58:I58"/>
    <mergeCell ref="E60:I60"/>
    <mergeCell ref="E62:I62"/>
    <mergeCell ref="E64:I64"/>
    <mergeCell ref="E59:I59"/>
    <mergeCell ref="E61:I61"/>
    <mergeCell ref="E63:I63"/>
    <mergeCell ref="O33:R33"/>
    <mergeCell ref="S33:U33"/>
    <mergeCell ref="V33:X33"/>
    <mergeCell ref="B10:C10"/>
    <mergeCell ref="G10:H10"/>
    <mergeCell ref="B16:H16"/>
  </mergeCells>
  <dataValidations count="3">
    <dataValidation type="list" sqref="C20">
      <formula1>"1st Estimate, 2nd Estimate, Actual, Other"</formula1>
    </dataValidation>
    <dataValidation type="list" allowBlank="1" showInputMessage="1" showErrorMessage="1" sqref="D10">
      <formula1>"2016, 2015, 2014"</formula1>
    </dataValidation>
    <dataValidation type="list" allowBlank="1" showInputMessage="1" showErrorMessage="1" sqref="E10:F10">
      <formula1>"2016,2015,2014"</formula1>
    </dataValidation>
  </dataValidations>
  <pageMargins left="0.70866141732283472" right="0.70866141732283472" top="0.74803149606299213" bottom="0.74803149606299213" header="0.31496062992125984" footer="0.31496062992125984"/>
  <pageSetup paperSize="5" scale="57" fitToHeight="2" orientation="landscape" r:id="rId1"/>
  <rowBreaks count="1" manualBreakCount="1">
    <brk id="54" max="10"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4"/>
  <sheetViews>
    <sheetView topLeftCell="A60" zoomScaleNormal="100" zoomScaleSheetLayoutView="100" workbookViewId="0">
      <selection activeCell="A79" sqref="A79"/>
    </sheetView>
  </sheetViews>
  <sheetFormatPr defaultRowHeight="14.25" x14ac:dyDescent="0.2"/>
  <cols>
    <col min="1" max="1" width="8.57031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8.5703125" style="1" customWidth="1"/>
    <col min="11" max="11" width="18.140625" style="1" customWidth="1"/>
    <col min="12" max="12" width="10.7109375" style="1" customWidth="1"/>
    <col min="13" max="13" width="10.28515625" style="1" customWidth="1"/>
    <col min="14" max="14" width="9.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16384" width="9.140625" style="1"/>
  </cols>
  <sheetData>
    <row r="1" spans="1:24" ht="15" x14ac:dyDescent="0.25">
      <c r="A1" s="54" t="s">
        <v>56</v>
      </c>
      <c r="B1" s="4"/>
      <c r="C1" s="54"/>
    </row>
    <row r="2" spans="1:24" x14ac:dyDescent="0.2">
      <c r="A2" s="4"/>
      <c r="B2" s="4"/>
      <c r="C2" s="4"/>
    </row>
    <row r="3" spans="1:24" ht="15" x14ac:dyDescent="0.2">
      <c r="A3" s="4"/>
      <c r="B3" s="4" t="s">
        <v>34</v>
      </c>
      <c r="C3" s="27"/>
      <c r="D3" s="4"/>
      <c r="E3" s="4"/>
      <c r="F3" s="4"/>
      <c r="X3" s="1">
        <v>2014</v>
      </c>
    </row>
    <row r="4" spans="1:24" ht="15" x14ac:dyDescent="0.2">
      <c r="A4" s="4"/>
      <c r="B4" s="4" t="s">
        <v>68</v>
      </c>
      <c r="C4" s="64"/>
      <c r="D4" s="4"/>
      <c r="E4" s="4"/>
      <c r="F4" s="4"/>
    </row>
    <row r="5" spans="1:24" ht="15" x14ac:dyDescent="0.2">
      <c r="A5" s="4"/>
      <c r="B5" s="15"/>
      <c r="C5" s="15"/>
      <c r="D5" s="4"/>
      <c r="E5" s="4"/>
      <c r="F5" s="4"/>
      <c r="X5" s="1">
        <v>2015</v>
      </c>
    </row>
    <row r="6" spans="1:24" ht="15" x14ac:dyDescent="0.2">
      <c r="A6" s="4" t="s">
        <v>35</v>
      </c>
      <c r="B6" s="15" t="s">
        <v>33</v>
      </c>
      <c r="C6" s="27"/>
      <c r="D6" s="4"/>
      <c r="E6" s="4"/>
      <c r="F6" s="4"/>
      <c r="X6" s="1">
        <v>2016</v>
      </c>
    </row>
    <row r="7" spans="1:24" ht="15" x14ac:dyDescent="0.2">
      <c r="A7" s="4"/>
      <c r="B7" s="15"/>
      <c r="C7" s="15"/>
      <c r="D7" s="4"/>
      <c r="E7" s="4"/>
      <c r="F7" s="4"/>
    </row>
    <row r="8" spans="1:24" ht="15" x14ac:dyDescent="0.2">
      <c r="A8" s="4"/>
      <c r="B8" s="15"/>
      <c r="C8" s="15"/>
      <c r="D8" s="4"/>
      <c r="E8" s="4"/>
      <c r="F8" s="4"/>
    </row>
    <row r="9" spans="1:24" ht="15" x14ac:dyDescent="0.2">
      <c r="A9" s="4" t="s">
        <v>36</v>
      </c>
      <c r="B9" s="26" t="s">
        <v>94</v>
      </c>
      <c r="C9" s="25"/>
      <c r="D9" s="25"/>
      <c r="E9" s="25"/>
      <c r="F9" s="25"/>
      <c r="I9" s="105"/>
      <c r="J9" s="105"/>
      <c r="K9" s="105"/>
      <c r="L9" s="105"/>
      <c r="M9" s="105"/>
      <c r="N9" s="105"/>
      <c r="O9" s="105"/>
      <c r="P9" s="105"/>
      <c r="Q9" s="105"/>
      <c r="R9" s="105"/>
      <c r="S9" s="105"/>
    </row>
    <row r="10" spans="1:24" ht="15" x14ac:dyDescent="0.2">
      <c r="A10" s="4"/>
      <c r="B10" s="217" t="s">
        <v>26</v>
      </c>
      <c r="C10" s="217"/>
      <c r="D10" s="28"/>
      <c r="E10" s="28"/>
      <c r="F10" s="28"/>
      <c r="G10" s="218"/>
      <c r="H10" s="219"/>
      <c r="I10" s="105"/>
      <c r="J10" s="105"/>
      <c r="K10" s="105"/>
      <c r="L10" s="105"/>
      <c r="M10" s="105"/>
      <c r="N10" s="105"/>
      <c r="O10" s="105"/>
      <c r="P10" s="105"/>
      <c r="Q10" s="105"/>
      <c r="R10" s="105"/>
      <c r="S10" s="105"/>
    </row>
    <row r="11" spans="1:24" ht="15" thickBot="1" x14ac:dyDescent="0.25">
      <c r="A11" s="4"/>
      <c r="B11" s="5" t="s">
        <v>3</v>
      </c>
      <c r="C11" s="5" t="s">
        <v>2</v>
      </c>
      <c r="D11" s="81">
        <f>D12+D13</f>
        <v>0</v>
      </c>
      <c r="E11" s="81">
        <f>E12+E13</f>
        <v>0</v>
      </c>
      <c r="F11" s="81">
        <f>F12+F13</f>
        <v>0</v>
      </c>
      <c r="G11" s="6" t="s">
        <v>0</v>
      </c>
      <c r="H11" s="7">
        <v>1</v>
      </c>
      <c r="I11" s="105"/>
      <c r="J11" s="105"/>
      <c r="K11" s="105"/>
      <c r="L11" s="105"/>
      <c r="M11" s="105"/>
      <c r="N11" s="105"/>
      <c r="O11" s="105"/>
      <c r="P11" s="105"/>
      <c r="Q11" s="105"/>
      <c r="R11" s="105"/>
      <c r="S11" s="105"/>
    </row>
    <row r="12" spans="1:24" x14ac:dyDescent="0.2">
      <c r="B12" s="5" t="s">
        <v>7</v>
      </c>
      <c r="C12" s="5" t="s">
        <v>1</v>
      </c>
      <c r="D12" s="80"/>
      <c r="E12" s="80"/>
      <c r="F12" s="80"/>
      <c r="G12" s="6" t="s">
        <v>0</v>
      </c>
      <c r="H12" s="8">
        <f>IFERROR(D12/$D$11,0)</f>
        <v>0</v>
      </c>
    </row>
    <row r="13" spans="1:24" ht="15" thickBot="1" x14ac:dyDescent="0.25">
      <c r="B13" s="5" t="s">
        <v>8</v>
      </c>
      <c r="C13" s="5" t="s">
        <v>6</v>
      </c>
      <c r="D13" s="81">
        <f>D14+D15</f>
        <v>0</v>
      </c>
      <c r="E13" s="81">
        <f>E14+E15</f>
        <v>0</v>
      </c>
      <c r="F13" s="81">
        <f>F14+F15</f>
        <v>0</v>
      </c>
      <c r="G13" s="6" t="s">
        <v>0</v>
      </c>
      <c r="H13" s="8">
        <f>IFERROR(D13/$D$11,0)</f>
        <v>0</v>
      </c>
    </row>
    <row r="14" spans="1:24" x14ac:dyDescent="0.2">
      <c r="B14" s="5" t="s">
        <v>9</v>
      </c>
      <c r="C14" s="5" t="s">
        <v>4</v>
      </c>
      <c r="D14" s="80"/>
      <c r="E14" s="80"/>
      <c r="F14" s="80"/>
      <c r="G14" s="6" t="s">
        <v>0</v>
      </c>
      <c r="H14" s="8">
        <f>IFERROR(D14/$D$11,0)</f>
        <v>0</v>
      </c>
    </row>
    <row r="15" spans="1:24" x14ac:dyDescent="0.2">
      <c r="B15" s="5" t="s">
        <v>69</v>
      </c>
      <c r="C15" s="5" t="s">
        <v>5</v>
      </c>
      <c r="D15" s="29"/>
      <c r="E15" s="29"/>
      <c r="F15" s="29"/>
      <c r="G15" s="6" t="s">
        <v>0</v>
      </c>
      <c r="H15" s="8">
        <f>IFERROR(D15/$D$11,0)</f>
        <v>0</v>
      </c>
    </row>
    <row r="16" spans="1:24" ht="34.5" customHeight="1" x14ac:dyDescent="0.2">
      <c r="B16" s="220" t="s">
        <v>87</v>
      </c>
      <c r="C16" s="220"/>
      <c r="D16" s="220"/>
      <c r="E16" s="220"/>
      <c r="F16" s="220"/>
      <c r="G16" s="220"/>
      <c r="H16" s="220"/>
    </row>
    <row r="17" spans="1:14" x14ac:dyDescent="0.2">
      <c r="D17" s="41"/>
      <c r="E17" s="41"/>
      <c r="F17" s="41"/>
      <c r="G17" s="41"/>
    </row>
    <row r="18" spans="1:14" ht="15" x14ac:dyDescent="0.25">
      <c r="A18" s="1" t="s">
        <v>37</v>
      </c>
      <c r="B18" s="3" t="s">
        <v>46</v>
      </c>
    </row>
    <row r="19" spans="1:14" ht="15" x14ac:dyDescent="0.25">
      <c r="B19" s="3"/>
    </row>
    <row r="20" spans="1:14" ht="15" x14ac:dyDescent="0.25">
      <c r="B20" s="2" t="s">
        <v>22</v>
      </c>
      <c r="C20" s="61" t="s">
        <v>157</v>
      </c>
      <c r="E20" s="105"/>
      <c r="F20" s="41"/>
      <c r="G20" s="41"/>
      <c r="H20" s="41"/>
      <c r="I20" s="41"/>
      <c r="J20" s="41"/>
      <c r="K20" s="41"/>
    </row>
    <row r="21" spans="1:14" x14ac:dyDescent="0.2">
      <c r="E21" s="105"/>
      <c r="F21" s="41"/>
      <c r="G21" s="41"/>
      <c r="H21" s="41"/>
      <c r="I21" s="41"/>
      <c r="J21" s="41"/>
      <c r="K21" s="41"/>
    </row>
    <row r="22" spans="1:14" ht="15" x14ac:dyDescent="0.25">
      <c r="B22" s="2" t="s">
        <v>47</v>
      </c>
    </row>
    <row r="23" spans="1:14" ht="15" customHeight="1" x14ac:dyDescent="0.25">
      <c r="B23" s="42"/>
      <c r="C23" s="42"/>
      <c r="D23" s="42"/>
      <c r="E23" s="42"/>
      <c r="F23" s="42"/>
      <c r="G23" s="42"/>
      <c r="H23" s="42"/>
    </row>
    <row r="24" spans="1:14" ht="15" customHeight="1" x14ac:dyDescent="0.25">
      <c r="B24" s="42"/>
      <c r="C24" s="42"/>
      <c r="D24" s="42"/>
      <c r="E24" s="42"/>
      <c r="F24" s="42"/>
      <c r="G24" s="42"/>
      <c r="H24" s="42"/>
    </row>
    <row r="25" spans="1:14" ht="15" customHeight="1" x14ac:dyDescent="0.25">
      <c r="B25" s="42"/>
      <c r="C25" s="42"/>
      <c r="D25" s="42"/>
      <c r="E25" s="42"/>
      <c r="F25" s="42"/>
      <c r="G25" s="42"/>
      <c r="H25" s="42"/>
    </row>
    <row r="26" spans="1:14" ht="15" customHeight="1" x14ac:dyDescent="0.25">
      <c r="B26" s="42"/>
      <c r="C26" s="42"/>
      <c r="D26" s="42"/>
      <c r="E26" s="42"/>
      <c r="F26" s="42"/>
      <c r="G26" s="42"/>
      <c r="H26" s="42"/>
    </row>
    <row r="27" spans="1:14" ht="14.25" customHeight="1" x14ac:dyDescent="0.25">
      <c r="B27" s="42"/>
      <c r="C27" s="42"/>
      <c r="D27" s="42"/>
      <c r="E27" s="42"/>
      <c r="F27" s="42"/>
      <c r="G27" s="42"/>
      <c r="H27" s="42"/>
    </row>
    <row r="28" spans="1:14" ht="14.25" customHeight="1" x14ac:dyDescent="0.25">
      <c r="B28" s="42"/>
      <c r="C28" s="42"/>
      <c r="D28" s="42"/>
      <c r="E28" s="42"/>
      <c r="F28" s="42"/>
      <c r="G28" s="42"/>
      <c r="H28" s="42"/>
    </row>
    <row r="29" spans="1:14" s="41" customFormat="1" ht="14.25" customHeight="1" x14ac:dyDescent="0.25">
      <c r="B29" s="42"/>
      <c r="C29" s="42"/>
      <c r="D29" s="42"/>
      <c r="E29" s="42"/>
      <c r="F29" s="42"/>
      <c r="G29" s="42"/>
      <c r="H29" s="42"/>
    </row>
    <row r="31" spans="1:14" ht="15" x14ac:dyDescent="0.25">
      <c r="A31" s="1" t="s">
        <v>38</v>
      </c>
      <c r="B31" s="54" t="s">
        <v>50</v>
      </c>
      <c r="C31" s="3"/>
    </row>
    <row r="32" spans="1:14" ht="15.75" thickBot="1" x14ac:dyDescent="0.3">
      <c r="B32" s="2" t="s">
        <v>26</v>
      </c>
      <c r="C32" s="43">
        <v>2015</v>
      </c>
      <c r="D32" s="105"/>
      <c r="E32" s="105"/>
      <c r="F32" s="106"/>
      <c r="G32" s="39"/>
      <c r="H32" s="39"/>
      <c r="I32" s="39"/>
      <c r="J32" s="39"/>
      <c r="K32" s="39"/>
      <c r="N32" s="3" t="s">
        <v>30</v>
      </c>
    </row>
    <row r="33" spans="1:23" s="9" customFormat="1" ht="80.25" customHeight="1" thickBot="1" x14ac:dyDescent="0.3">
      <c r="B33" s="59" t="s">
        <v>44</v>
      </c>
      <c r="C33" s="82" t="s">
        <v>85</v>
      </c>
      <c r="D33" s="107" t="s">
        <v>95</v>
      </c>
      <c r="E33" s="108" t="s">
        <v>96</v>
      </c>
      <c r="F33" s="87" t="s">
        <v>154</v>
      </c>
      <c r="G33" s="32" t="s">
        <v>57</v>
      </c>
      <c r="H33" s="32" t="s">
        <v>23</v>
      </c>
      <c r="I33" s="32" t="s">
        <v>58</v>
      </c>
      <c r="J33" s="32" t="s">
        <v>86</v>
      </c>
      <c r="K33" s="88" t="s">
        <v>88</v>
      </c>
      <c r="N33" s="11"/>
      <c r="O33" s="216">
        <v>2016</v>
      </c>
      <c r="P33" s="216"/>
      <c r="Q33" s="216"/>
      <c r="R33" s="216">
        <v>2015</v>
      </c>
      <c r="S33" s="216"/>
      <c r="T33" s="216"/>
      <c r="U33" s="216">
        <v>2014</v>
      </c>
      <c r="V33" s="216"/>
      <c r="W33" s="216"/>
    </row>
    <row r="34" spans="1:23" s="9" customFormat="1" ht="45" x14ac:dyDescent="0.25">
      <c r="B34" s="12"/>
      <c r="C34" s="83" t="s">
        <v>45</v>
      </c>
      <c r="D34" s="83" t="s">
        <v>43</v>
      </c>
      <c r="E34" s="84" t="s">
        <v>61</v>
      </c>
      <c r="F34" s="84" t="s">
        <v>62</v>
      </c>
      <c r="G34" s="84" t="s">
        <v>63</v>
      </c>
      <c r="H34" s="85" t="s">
        <v>64</v>
      </c>
      <c r="I34" s="84" t="s">
        <v>65</v>
      </c>
      <c r="J34" s="85" t="s">
        <v>66</v>
      </c>
      <c r="K34" s="86" t="s">
        <v>67</v>
      </c>
      <c r="N34" s="21" t="s">
        <v>31</v>
      </c>
      <c r="O34" s="24" t="s">
        <v>27</v>
      </c>
      <c r="P34" s="24" t="s">
        <v>28</v>
      </c>
      <c r="Q34" s="24" t="s">
        <v>29</v>
      </c>
      <c r="R34" s="24" t="s">
        <v>27</v>
      </c>
      <c r="S34" s="24" t="s">
        <v>28</v>
      </c>
      <c r="T34" s="24" t="s">
        <v>29</v>
      </c>
      <c r="U34" s="24" t="s">
        <v>27</v>
      </c>
      <c r="V34" s="24" t="s">
        <v>28</v>
      </c>
      <c r="W34" s="24" t="s">
        <v>29</v>
      </c>
    </row>
    <row r="35" spans="1:23" x14ac:dyDescent="0.2">
      <c r="B35" s="13" t="s">
        <v>10</v>
      </c>
      <c r="C35" s="192">
        <f>+GETPIVOTDATA("Billed Usage",[2]Sheet3!$A$6,"Post Yr Mth",DATE(2015,1,1))</f>
        <v>11176670.83</v>
      </c>
      <c r="D35" s="58"/>
      <c r="E35" s="10"/>
      <c r="F35" s="60">
        <f>C35-D35+E35</f>
        <v>11176670.83</v>
      </c>
      <c r="G35" s="133">
        <f>+R35</f>
        <v>5.5490000000000005E-2</v>
      </c>
      <c r="H35" s="16">
        <f>F35*G35</f>
        <v>620193.46435670007</v>
      </c>
      <c r="I35" s="133">
        <f>+T35</f>
        <v>5.0680000000000003E-2</v>
      </c>
      <c r="J35" s="19">
        <f>F35*I35</f>
        <v>566433.67766440008</v>
      </c>
      <c r="K35" s="17">
        <f>J35-H35</f>
        <v>-53759.786692299997</v>
      </c>
      <c r="N35" s="11" t="s">
        <v>10</v>
      </c>
      <c r="O35" s="22">
        <v>8.4229999999999999E-2</v>
      </c>
      <c r="P35" s="22">
        <v>9.214E-2</v>
      </c>
      <c r="Q35" s="22">
        <v>9.1789999999999997E-2</v>
      </c>
      <c r="R35" s="22">
        <v>5.5490000000000005E-2</v>
      </c>
      <c r="S35" s="22">
        <v>6.1609999999999998E-2</v>
      </c>
      <c r="T35" s="22">
        <v>5.0680000000000003E-2</v>
      </c>
      <c r="U35" s="22">
        <v>3.6260000000000001E-2</v>
      </c>
      <c r="V35" s="22">
        <v>1.806E-2</v>
      </c>
      <c r="W35" s="22">
        <v>1.261E-2</v>
      </c>
    </row>
    <row r="36" spans="1:23" x14ac:dyDescent="0.2">
      <c r="B36" s="13" t="s">
        <v>11</v>
      </c>
      <c r="C36" s="192">
        <f>+GETPIVOTDATA("Billed Usage",[2]Sheet3!$A$6,"Post Yr Mth",DATE(2015,2,1))</f>
        <v>11973876.430000002</v>
      </c>
      <c r="D36" s="58"/>
      <c r="E36" s="10"/>
      <c r="F36" s="60">
        <f t="shared" ref="F36:F45" si="0">C36-D36+E36</f>
        <v>11973876.430000002</v>
      </c>
      <c r="G36" s="133">
        <f t="shared" ref="G36:G46" si="1">+R36</f>
        <v>6.9809999999999997E-2</v>
      </c>
      <c r="H36" s="16">
        <f t="shared" ref="H36:H46" si="2">F36*G36</f>
        <v>835896.31357830006</v>
      </c>
      <c r="I36" s="133">
        <f t="shared" ref="I36:I46" si="3">+T36</f>
        <v>3.9609999999999999E-2</v>
      </c>
      <c r="J36" s="19">
        <f t="shared" ref="J36:J46" si="4">F36*I36</f>
        <v>474285.24539230007</v>
      </c>
      <c r="K36" s="17">
        <f t="shared" ref="K36:K46" si="5">J36-H36</f>
        <v>-361611.06818599999</v>
      </c>
      <c r="N36" s="11" t="s">
        <v>11</v>
      </c>
      <c r="O36" s="23">
        <v>0.10384</v>
      </c>
      <c r="P36" s="23">
        <v>9.6780000000000005E-2</v>
      </c>
      <c r="Q36" s="23">
        <v>9.851E-2</v>
      </c>
      <c r="R36" s="23">
        <v>6.9809999999999997E-2</v>
      </c>
      <c r="S36" s="23">
        <v>4.095E-2</v>
      </c>
      <c r="T36" s="23">
        <v>3.9609999999999999E-2</v>
      </c>
      <c r="U36" s="23">
        <v>2.231E-2</v>
      </c>
      <c r="V36" s="23">
        <v>1.1180000000000001E-2</v>
      </c>
      <c r="W36" s="23">
        <v>1.3300000000000001E-2</v>
      </c>
    </row>
    <row r="37" spans="1:23" x14ac:dyDescent="0.2">
      <c r="B37" s="13" t="s">
        <v>12</v>
      </c>
      <c r="C37" s="192">
        <f>+GETPIVOTDATA("Billed Usage",[2]Sheet3!$A$6,"Post Yr Mth",DATE(2015,3,1))</f>
        <v>11580115.289999997</v>
      </c>
      <c r="D37" s="58"/>
      <c r="E37" s="10"/>
      <c r="F37" s="60">
        <f t="shared" si="0"/>
        <v>11580115.289999997</v>
      </c>
      <c r="G37" s="133">
        <f t="shared" si="1"/>
        <v>3.6040000000000003E-2</v>
      </c>
      <c r="H37" s="16">
        <f t="shared" si="2"/>
        <v>417347.35505159991</v>
      </c>
      <c r="I37" s="133">
        <f t="shared" si="3"/>
        <v>6.2899999999999998E-2</v>
      </c>
      <c r="J37" s="19">
        <f t="shared" si="4"/>
        <v>728389.25174099975</v>
      </c>
      <c r="K37" s="17">
        <f t="shared" si="5"/>
        <v>311041.89668939984</v>
      </c>
      <c r="N37" s="11" t="s">
        <v>12</v>
      </c>
      <c r="O37" s="23">
        <v>9.0219999999999995E-2</v>
      </c>
      <c r="P37" s="23">
        <v>0.10299</v>
      </c>
      <c r="Q37" s="23">
        <v>0.1061</v>
      </c>
      <c r="R37" s="23">
        <v>3.6040000000000003E-2</v>
      </c>
      <c r="S37" s="23">
        <v>5.74E-2</v>
      </c>
      <c r="T37" s="23">
        <v>6.2899999999999998E-2</v>
      </c>
      <c r="U37" s="23">
        <v>1.103E-2</v>
      </c>
      <c r="V37" s="23">
        <v>-8.0000000000000002E-3</v>
      </c>
      <c r="W37" s="23">
        <v>-2.7E-4</v>
      </c>
    </row>
    <row r="38" spans="1:23" x14ac:dyDescent="0.2">
      <c r="B38" s="13" t="s">
        <v>13</v>
      </c>
      <c r="C38" s="192">
        <f>+GETPIVOTDATA("Billed Usage",[2]Sheet3!$A$6,"Post Yr Mth",DATE(2015,4,1))</f>
        <v>11341718.890000001</v>
      </c>
      <c r="D38" s="58"/>
      <c r="E38" s="10"/>
      <c r="F38" s="60">
        <f t="shared" si="0"/>
        <v>11341718.890000001</v>
      </c>
      <c r="G38" s="133">
        <f t="shared" si="1"/>
        <v>6.7049999999999998E-2</v>
      </c>
      <c r="H38" s="16">
        <f t="shared" si="2"/>
        <v>760462.2515745</v>
      </c>
      <c r="I38" s="133">
        <f t="shared" si="3"/>
        <v>9.5590000000000008E-2</v>
      </c>
      <c r="J38" s="19">
        <f t="shared" si="4"/>
        <v>1084154.9086951001</v>
      </c>
      <c r="K38" s="17">
        <f t="shared" si="5"/>
        <v>323692.65712060011</v>
      </c>
      <c r="N38" s="11" t="s">
        <v>13</v>
      </c>
      <c r="O38" s="23">
        <v>0.12114999999999999</v>
      </c>
      <c r="P38" s="23">
        <v>0.11176999999999999</v>
      </c>
      <c r="Q38" s="23">
        <v>0.11132</v>
      </c>
      <c r="R38" s="23">
        <v>6.7049999999999998E-2</v>
      </c>
      <c r="S38" s="23">
        <v>9.2679999999999998E-2</v>
      </c>
      <c r="T38" s="23">
        <v>9.5590000000000008E-2</v>
      </c>
      <c r="U38" s="23">
        <v>-9.6500000000000006E-3</v>
      </c>
      <c r="V38" s="23">
        <v>5.4530000000000002E-2</v>
      </c>
      <c r="W38" s="23">
        <v>5.1979999999999998E-2</v>
      </c>
    </row>
    <row r="39" spans="1:23" x14ac:dyDescent="0.2">
      <c r="B39" s="13" t="s">
        <v>14</v>
      </c>
      <c r="C39" s="192">
        <f>+GETPIVOTDATA("Billed Usage",[2]Sheet3!$A$6,"Post Yr Mth",DATE(2015,5,1))</f>
        <v>10702326.239999998</v>
      </c>
      <c r="D39" s="58"/>
      <c r="E39" s="10"/>
      <c r="F39" s="60">
        <f t="shared" si="0"/>
        <v>10702326.239999998</v>
      </c>
      <c r="G39" s="133">
        <f t="shared" si="1"/>
        <v>9.4159999999999994E-2</v>
      </c>
      <c r="H39" s="16">
        <f t="shared" si="2"/>
        <v>1007731.0387583998</v>
      </c>
      <c r="I39" s="133">
        <f t="shared" si="3"/>
        <v>9.6680000000000002E-2</v>
      </c>
      <c r="J39" s="19">
        <f t="shared" si="4"/>
        <v>1034700.9008831999</v>
      </c>
      <c r="K39" s="17">
        <f t="shared" si="5"/>
        <v>26969.8621248001</v>
      </c>
      <c r="N39" s="11" t="s">
        <v>14</v>
      </c>
      <c r="O39" s="23">
        <v>0.10405</v>
      </c>
      <c r="P39" s="23">
        <v>0.11493</v>
      </c>
      <c r="Q39" s="23">
        <v>0.10749</v>
      </c>
      <c r="R39" s="23">
        <v>9.4159999999999994E-2</v>
      </c>
      <c r="S39" s="23">
        <v>9.7299999999999998E-2</v>
      </c>
      <c r="T39" s="23">
        <v>9.6680000000000002E-2</v>
      </c>
      <c r="U39" s="23">
        <v>5.3560000000000003E-2</v>
      </c>
      <c r="V39" s="23">
        <v>7.3520000000000002E-2</v>
      </c>
      <c r="W39" s="23">
        <v>7.1959999999999996E-2</v>
      </c>
    </row>
    <row r="40" spans="1:23" x14ac:dyDescent="0.2">
      <c r="B40" s="13" t="s">
        <v>15</v>
      </c>
      <c r="C40" s="192">
        <f>+GETPIVOTDATA("Billed Usage",[2]Sheet3!$A$6,"Post Yr Mth",DATE(2015,6,1))</f>
        <v>10806004.739999998</v>
      </c>
      <c r="D40" s="58"/>
      <c r="E40" s="10"/>
      <c r="F40" s="60">
        <f t="shared" si="0"/>
        <v>10806004.739999998</v>
      </c>
      <c r="G40" s="133">
        <f t="shared" si="1"/>
        <v>9.2280000000000001E-2</v>
      </c>
      <c r="H40" s="16">
        <f t="shared" si="2"/>
        <v>997178.11740719981</v>
      </c>
      <c r="I40" s="133">
        <f t="shared" si="3"/>
        <v>9.5400000000000013E-2</v>
      </c>
      <c r="J40" s="19">
        <f t="shared" si="4"/>
        <v>1030892.8521959999</v>
      </c>
      <c r="K40" s="17">
        <f t="shared" si="5"/>
        <v>33714.734788800124</v>
      </c>
      <c r="N40" s="11" t="s">
        <v>15</v>
      </c>
      <c r="O40" s="23">
        <v>0.11650000000000001</v>
      </c>
      <c r="P40" s="23">
        <v>9.3600000000000003E-2</v>
      </c>
      <c r="Q40" s="23">
        <v>9.5449999999999993E-2</v>
      </c>
      <c r="R40" s="23">
        <v>9.2280000000000001E-2</v>
      </c>
      <c r="S40" s="23">
        <v>9.7680000000000003E-2</v>
      </c>
      <c r="T40" s="23">
        <v>9.5400000000000013E-2</v>
      </c>
      <c r="U40" s="23">
        <v>7.1900000000000006E-2</v>
      </c>
      <c r="V40" s="23">
        <v>6.6640000000000005E-2</v>
      </c>
      <c r="W40" s="23">
        <v>6.0249999999999998E-2</v>
      </c>
    </row>
    <row r="41" spans="1:23" x14ac:dyDescent="0.2">
      <c r="B41" s="13" t="s">
        <v>16</v>
      </c>
      <c r="C41" s="76">
        <f>+GETPIVOTDATA("Billed Usage",[2]Sheet3!$A$6,"Post Yr Mth",DATE(2015,7,1))</f>
        <v>10091107.770000001</v>
      </c>
      <c r="D41" s="10"/>
      <c r="E41" s="20"/>
      <c r="F41" s="60">
        <f t="shared" si="0"/>
        <v>10091107.770000001</v>
      </c>
      <c r="G41" s="133">
        <f t="shared" si="1"/>
        <v>8.8880000000000001E-2</v>
      </c>
      <c r="H41" s="16">
        <f t="shared" si="2"/>
        <v>896897.65859760018</v>
      </c>
      <c r="I41" s="133">
        <f t="shared" si="3"/>
        <v>7.8829999999999997E-2</v>
      </c>
      <c r="J41" s="19">
        <f t="shared" si="4"/>
        <v>795482.02550910006</v>
      </c>
      <c r="K41" s="17">
        <f t="shared" si="5"/>
        <v>-101415.63308850012</v>
      </c>
      <c r="N41" s="11" t="s">
        <v>16</v>
      </c>
      <c r="O41" s="23">
        <v>7.6670000000000002E-2</v>
      </c>
      <c r="P41" s="23">
        <v>8.412E-2</v>
      </c>
      <c r="Q41" s="23">
        <v>8.3059999999999995E-2</v>
      </c>
      <c r="R41" s="23">
        <v>8.8880000000000001E-2</v>
      </c>
      <c r="S41" s="23">
        <v>8.4129999999999996E-2</v>
      </c>
      <c r="T41" s="23">
        <v>7.8829999999999997E-2</v>
      </c>
      <c r="U41" s="23">
        <v>5.9760000000000001E-2</v>
      </c>
      <c r="V41" s="23">
        <v>5.7529999999999998E-2</v>
      </c>
      <c r="W41" s="23">
        <v>6.2560000000000004E-2</v>
      </c>
    </row>
    <row r="42" spans="1:23" x14ac:dyDescent="0.2">
      <c r="B42" s="13" t="s">
        <v>17</v>
      </c>
      <c r="C42" s="76">
        <f>+GETPIVOTDATA("Billed Usage",[2]Sheet3!$A$6,"Post Yr Mth",DATE(2015,8,1))</f>
        <v>11365596.220000001</v>
      </c>
      <c r="D42" s="10"/>
      <c r="E42" s="20"/>
      <c r="F42" s="60">
        <f t="shared" si="0"/>
        <v>11365596.220000001</v>
      </c>
      <c r="G42" s="133">
        <f t="shared" si="1"/>
        <v>8.8050000000000003E-2</v>
      </c>
      <c r="H42" s="16">
        <f t="shared" si="2"/>
        <v>1000740.7471710001</v>
      </c>
      <c r="I42" s="133">
        <f t="shared" si="3"/>
        <v>8.0099999999999991E-2</v>
      </c>
      <c r="J42" s="19">
        <f t="shared" si="4"/>
        <v>910384.25722199993</v>
      </c>
      <c r="K42" s="17">
        <f t="shared" si="5"/>
        <v>-90356.489949000184</v>
      </c>
      <c r="N42" s="11" t="s">
        <v>17</v>
      </c>
      <c r="O42" s="23">
        <v>8.5690000000000002E-2</v>
      </c>
      <c r="P42" s="23">
        <v>7.0499999999999993E-2</v>
      </c>
      <c r="Q42" s="23">
        <v>7.1029999999999996E-2</v>
      </c>
      <c r="R42" s="23">
        <v>8.8050000000000003E-2</v>
      </c>
      <c r="S42" s="23">
        <v>7.3550000000000004E-2</v>
      </c>
      <c r="T42" s="23">
        <v>8.0099999999999991E-2</v>
      </c>
      <c r="U42" s="23">
        <v>6.1079999999999995E-2</v>
      </c>
      <c r="V42" s="23">
        <v>6.8970000000000004E-2</v>
      </c>
      <c r="W42" s="23">
        <v>6.7610000000000003E-2</v>
      </c>
    </row>
    <row r="43" spans="1:23" x14ac:dyDescent="0.2">
      <c r="B43" s="13" t="s">
        <v>18</v>
      </c>
      <c r="C43" s="76">
        <f>+GETPIVOTDATA("Billed Usage",[2]Sheet3!$A$6,"Post Yr Mth",DATE(2015,9,1))</f>
        <v>11784869.530000001</v>
      </c>
      <c r="D43" s="10"/>
      <c r="E43" s="20"/>
      <c r="F43" s="60">
        <f t="shared" si="0"/>
        <v>11784869.530000001</v>
      </c>
      <c r="G43" s="133">
        <f t="shared" si="1"/>
        <v>8.270000000000001E-2</v>
      </c>
      <c r="H43" s="16">
        <f t="shared" si="2"/>
        <v>974608.71013100026</v>
      </c>
      <c r="I43" s="133">
        <f t="shared" si="3"/>
        <v>6.7030000000000006E-2</v>
      </c>
      <c r="J43" s="19">
        <f t="shared" si="4"/>
        <v>789939.80459590012</v>
      </c>
      <c r="K43" s="17">
        <f t="shared" si="5"/>
        <v>-184668.90553510014</v>
      </c>
      <c r="N43" s="11" t="s">
        <v>18</v>
      </c>
      <c r="O43" s="23">
        <v>7.0599999999999996E-2</v>
      </c>
      <c r="P43" s="23">
        <v>9.1480000000000006E-2</v>
      </c>
      <c r="Q43" s="23">
        <v>9.5310000000000006E-2</v>
      </c>
      <c r="R43" s="23">
        <v>8.270000000000001E-2</v>
      </c>
      <c r="S43" s="23">
        <v>7.1910000000000002E-2</v>
      </c>
      <c r="T43" s="23">
        <v>6.7030000000000006E-2</v>
      </c>
      <c r="U43" s="23">
        <v>8.0489999999999992E-2</v>
      </c>
      <c r="V43" s="23">
        <v>8.072E-2</v>
      </c>
      <c r="W43" s="23">
        <v>7.9629999999999992E-2</v>
      </c>
    </row>
    <row r="44" spans="1:23" x14ac:dyDescent="0.2">
      <c r="B44" s="13" t="s">
        <v>19</v>
      </c>
      <c r="C44" s="76">
        <f>+GETPIVOTDATA("Billed Usage",[2]Sheet3!$A$6,"Post Yr Mth",DATE(2015,10,1))</f>
        <v>11455596.790000003</v>
      </c>
      <c r="D44" s="10"/>
      <c r="E44" s="20"/>
      <c r="F44" s="60">
        <f t="shared" si="0"/>
        <v>11455596.790000003</v>
      </c>
      <c r="G44" s="133">
        <f t="shared" si="1"/>
        <v>6.3710000000000003E-2</v>
      </c>
      <c r="H44" s="16">
        <f t="shared" si="2"/>
        <v>729836.07149090024</v>
      </c>
      <c r="I44" s="133">
        <f t="shared" si="3"/>
        <v>7.5439999999999993E-2</v>
      </c>
      <c r="J44" s="19">
        <f t="shared" si="4"/>
        <v>864210.22183760011</v>
      </c>
      <c r="K44" s="17">
        <f t="shared" si="5"/>
        <v>134374.15034669987</v>
      </c>
      <c r="N44" s="11" t="s">
        <v>19</v>
      </c>
      <c r="O44" s="23">
        <v>9.7199999999999995E-2</v>
      </c>
      <c r="P44" s="23">
        <v>0.1178</v>
      </c>
      <c r="Q44" s="23">
        <v>0.11226</v>
      </c>
      <c r="R44" s="23">
        <v>6.3710000000000003E-2</v>
      </c>
      <c r="S44" s="23">
        <v>7.1929999999999994E-2</v>
      </c>
      <c r="T44" s="23">
        <v>7.5439999999999993E-2</v>
      </c>
      <c r="U44" s="23">
        <v>7.492E-2</v>
      </c>
      <c r="V44" s="23">
        <v>0.10135</v>
      </c>
      <c r="W44" s="23">
        <v>0.10014000000000001</v>
      </c>
    </row>
    <row r="45" spans="1:23" x14ac:dyDescent="0.2">
      <c r="B45" s="13" t="s">
        <v>20</v>
      </c>
      <c r="C45" s="76">
        <f>+GETPIVOTDATA("Billed Usage",[2]Sheet3!$A$6,"Post Yr Mth",DATE(2015,11,1))</f>
        <v>10840670.380000006</v>
      </c>
      <c r="D45" s="10"/>
      <c r="E45" s="20"/>
      <c r="F45" s="60">
        <f t="shared" si="0"/>
        <v>10840670.380000006</v>
      </c>
      <c r="G45" s="133">
        <f t="shared" si="1"/>
        <v>7.6230000000000006E-2</v>
      </c>
      <c r="H45" s="16">
        <f t="shared" si="2"/>
        <v>826384.30306740059</v>
      </c>
      <c r="I45" s="133">
        <f t="shared" si="3"/>
        <v>0.11320000000000001</v>
      </c>
      <c r="J45" s="19">
        <f t="shared" si="4"/>
        <v>1227163.8870160009</v>
      </c>
      <c r="K45" s="17">
        <f t="shared" si="5"/>
        <v>400779.58394860034</v>
      </c>
      <c r="N45" s="11" t="s">
        <v>20</v>
      </c>
      <c r="O45" s="23">
        <v>0.12271</v>
      </c>
      <c r="P45" s="23">
        <v>0.115</v>
      </c>
      <c r="Q45" s="23">
        <v>0.11108999999999999</v>
      </c>
      <c r="R45" s="23">
        <v>7.6230000000000006E-2</v>
      </c>
      <c r="S45" s="23">
        <v>0.12447999999999999</v>
      </c>
      <c r="T45" s="23">
        <v>0.11320000000000001</v>
      </c>
      <c r="U45" s="23">
        <v>9.9010000000000001E-2</v>
      </c>
      <c r="V45" s="23">
        <v>8.5040000000000004E-2</v>
      </c>
      <c r="W45" s="23">
        <v>8.231999999999999E-2</v>
      </c>
    </row>
    <row r="46" spans="1:23" x14ac:dyDescent="0.2">
      <c r="B46" s="13" t="s">
        <v>21</v>
      </c>
      <c r="C46" s="226">
        <v>8537210.5500000007</v>
      </c>
      <c r="D46" s="130">
        <v>11629546.710000003</v>
      </c>
      <c r="E46" s="131">
        <v>13171435.92</v>
      </c>
      <c r="F46" s="60">
        <f>C46-D46+E46</f>
        <v>10079099.759999998</v>
      </c>
      <c r="G46" s="133">
        <f t="shared" si="1"/>
        <v>0.11462</v>
      </c>
      <c r="H46" s="16">
        <f t="shared" si="2"/>
        <v>1155266.4144911997</v>
      </c>
      <c r="I46" s="133">
        <f t="shared" si="3"/>
        <v>9.4709999999999989E-2</v>
      </c>
      <c r="J46" s="19">
        <f t="shared" si="4"/>
        <v>954591.53826959967</v>
      </c>
      <c r="K46" s="17">
        <f t="shared" si="5"/>
        <v>-200674.87622159999</v>
      </c>
      <c r="N46" s="33" t="s">
        <v>21</v>
      </c>
      <c r="O46" s="34">
        <v>0.10594000000000001</v>
      </c>
      <c r="P46" s="34">
        <v>7.8719999999999998E-2</v>
      </c>
      <c r="Q46" s="34">
        <v>8.7080000000000005E-2</v>
      </c>
      <c r="R46" s="34">
        <v>0.11462</v>
      </c>
      <c r="S46" s="34">
        <v>8.8090000000000002E-2</v>
      </c>
      <c r="T46" s="34">
        <v>9.4709999999999989E-2</v>
      </c>
      <c r="U46" s="34">
        <v>7.3180000000000009E-2</v>
      </c>
      <c r="V46" s="34">
        <v>5.7889999999999997E-2</v>
      </c>
      <c r="W46" s="34">
        <v>7.4439999999999992E-2</v>
      </c>
    </row>
    <row r="47" spans="1:23" ht="15.75" thickBot="1" x14ac:dyDescent="0.3">
      <c r="B47" s="92" t="s">
        <v>90</v>
      </c>
      <c r="C47" s="169">
        <f>SUM(C35:C46)</f>
        <v>131655763.66</v>
      </c>
      <c r="D47" s="132">
        <f>SUM(D35:D46)</f>
        <v>11629546.710000003</v>
      </c>
      <c r="E47" s="132">
        <f>SUM(E35:E46)</f>
        <v>13171435.92</v>
      </c>
      <c r="F47" s="180">
        <f>SUM(F35:F46)</f>
        <v>133197652.87</v>
      </c>
      <c r="G47" s="44"/>
      <c r="H47" s="45">
        <f>SUM(H35:H46)</f>
        <v>10222542.445675801</v>
      </c>
      <c r="I47" s="44"/>
      <c r="J47" s="45">
        <f>SUM(J35:J46)</f>
        <v>10460628.571022199</v>
      </c>
      <c r="K47" s="46">
        <f>SUM(K35:K46)</f>
        <v>238086.12534639996</v>
      </c>
      <c r="N47" s="37"/>
      <c r="O47" s="38"/>
      <c r="P47" s="38"/>
      <c r="Q47" s="38"/>
      <c r="R47" s="38"/>
      <c r="S47" s="38"/>
      <c r="T47" s="38"/>
      <c r="U47" s="38"/>
      <c r="V47" s="38"/>
      <c r="W47" s="38"/>
    </row>
    <row r="48" spans="1:23" x14ac:dyDescent="0.2">
      <c r="A48" s="1" t="s">
        <v>40</v>
      </c>
      <c r="G48" s="4"/>
      <c r="H48" s="4"/>
      <c r="I48" s="4"/>
      <c r="J48" s="91" t="s">
        <v>144</v>
      </c>
      <c r="K48" s="211">
        <v>2042100</v>
      </c>
      <c r="N48" s="35"/>
      <c r="O48" s="36"/>
      <c r="P48" s="36"/>
      <c r="Q48" s="36"/>
      <c r="R48" s="36"/>
      <c r="S48" s="36"/>
      <c r="T48" s="36"/>
      <c r="U48" s="36"/>
      <c r="V48" s="36"/>
      <c r="W48" s="36"/>
    </row>
    <row r="49" spans="1:24" ht="15" thickBot="1" x14ac:dyDescent="0.25">
      <c r="G49" s="4"/>
      <c r="H49" s="4"/>
      <c r="I49" s="4"/>
      <c r="J49" s="91" t="s">
        <v>89</v>
      </c>
      <c r="K49" s="18">
        <f>K48-K47</f>
        <v>1804013.8746536002</v>
      </c>
      <c r="N49" s="35"/>
      <c r="O49" s="36"/>
      <c r="P49" s="36"/>
      <c r="Q49" s="36"/>
      <c r="R49" s="36"/>
      <c r="S49" s="36"/>
      <c r="T49" s="36"/>
      <c r="U49" s="36"/>
      <c r="V49" s="36"/>
      <c r="W49" s="36"/>
    </row>
    <row r="50" spans="1:24" ht="15" thickTop="1" x14ac:dyDescent="0.2">
      <c r="I50" s="66"/>
      <c r="J50" s="67"/>
      <c r="K50" s="89"/>
      <c r="N50" s="35"/>
      <c r="O50" s="36"/>
      <c r="P50" s="36"/>
      <c r="Q50" s="36"/>
      <c r="R50" s="36"/>
      <c r="S50" s="36"/>
      <c r="T50" s="36"/>
      <c r="U50" s="36"/>
      <c r="V50" s="36"/>
      <c r="W50" s="36"/>
    </row>
    <row r="51" spans="1:24" x14ac:dyDescent="0.2">
      <c r="I51" s="66"/>
      <c r="J51" s="67"/>
      <c r="K51" s="90"/>
      <c r="N51" s="35"/>
      <c r="O51" s="36"/>
      <c r="P51" s="36"/>
      <c r="Q51" s="36"/>
      <c r="R51" s="36"/>
      <c r="S51" s="36"/>
      <c r="T51" s="36"/>
      <c r="U51" s="36"/>
      <c r="V51" s="36"/>
      <c r="W51" s="36"/>
    </row>
    <row r="52" spans="1:24" x14ac:dyDescent="0.2">
      <c r="N52" s="35"/>
      <c r="O52" s="36"/>
      <c r="P52" s="36"/>
      <c r="Q52" s="36"/>
      <c r="R52" s="36"/>
      <c r="S52" s="36"/>
      <c r="T52" s="36"/>
      <c r="U52" s="36"/>
      <c r="V52" s="36"/>
      <c r="W52" s="36"/>
    </row>
    <row r="53" spans="1:24" x14ac:dyDescent="0.2">
      <c r="N53" s="35"/>
      <c r="O53" s="36"/>
      <c r="P53" s="36"/>
      <c r="Q53" s="36"/>
      <c r="R53" s="36"/>
      <c r="S53" s="36"/>
      <c r="T53" s="36"/>
      <c r="U53" s="36"/>
      <c r="V53" s="36"/>
      <c r="W53" s="36"/>
    </row>
    <row r="54" spans="1:24" ht="15" x14ac:dyDescent="0.25">
      <c r="A54" s="1" t="s">
        <v>41</v>
      </c>
      <c r="B54" s="54" t="s">
        <v>55</v>
      </c>
      <c r="C54" s="2"/>
      <c r="N54" s="35"/>
      <c r="O54" s="36"/>
      <c r="P54" s="36"/>
      <c r="Q54" s="36"/>
      <c r="R54" s="36"/>
      <c r="S54" s="36"/>
      <c r="T54" s="36"/>
      <c r="U54" s="36"/>
      <c r="V54" s="36"/>
      <c r="W54" s="36"/>
    </row>
    <row r="55" spans="1:24" ht="15" x14ac:dyDescent="0.25">
      <c r="B55" s="3"/>
      <c r="C55" s="2"/>
      <c r="N55" s="35"/>
      <c r="O55" s="35"/>
      <c r="P55" s="35"/>
      <c r="Q55" s="35"/>
      <c r="R55" s="35"/>
      <c r="S55" s="35"/>
      <c r="T55" s="35"/>
      <c r="U55" s="35"/>
      <c r="V55" s="35"/>
      <c r="W55" s="35"/>
    </row>
    <row r="56" spans="1:24" ht="45" x14ac:dyDescent="0.25">
      <c r="A56" s="11"/>
      <c r="B56" s="125" t="s">
        <v>52</v>
      </c>
      <c r="C56" s="56" t="s">
        <v>75</v>
      </c>
      <c r="D56" s="56" t="s">
        <v>137</v>
      </c>
      <c r="E56" s="221" t="s">
        <v>51</v>
      </c>
      <c r="F56" s="221"/>
      <c r="G56" s="221"/>
      <c r="H56" s="221"/>
      <c r="I56" s="221"/>
      <c r="O56" s="35"/>
      <c r="P56" s="35"/>
      <c r="Q56" s="35"/>
      <c r="R56" s="35"/>
      <c r="S56" s="35"/>
      <c r="T56" s="35"/>
      <c r="U56" s="35"/>
      <c r="V56" s="35"/>
      <c r="W56" s="35"/>
      <c r="X56" s="35"/>
    </row>
    <row r="57" spans="1:24" ht="63.75" customHeight="1" x14ac:dyDescent="0.2">
      <c r="A57" s="93" t="s">
        <v>59</v>
      </c>
      <c r="B57" s="57" t="s">
        <v>70</v>
      </c>
      <c r="C57" s="10"/>
      <c r="D57" s="76"/>
      <c r="E57" s="222"/>
      <c r="F57" s="222"/>
      <c r="G57" s="222"/>
      <c r="H57" s="222"/>
      <c r="I57" s="222"/>
      <c r="O57" s="35"/>
      <c r="P57" s="35"/>
      <c r="Q57" s="35"/>
      <c r="R57" s="35"/>
      <c r="S57" s="35"/>
      <c r="T57" s="35"/>
      <c r="U57" s="35"/>
      <c r="V57" s="35"/>
      <c r="W57" s="35"/>
      <c r="X57" s="35"/>
    </row>
    <row r="58" spans="1:24" ht="75" customHeight="1" x14ac:dyDescent="0.2">
      <c r="A58" s="93" t="s">
        <v>60</v>
      </c>
      <c r="B58" s="57" t="s">
        <v>91</v>
      </c>
      <c r="C58" s="68"/>
      <c r="D58" s="191">
        <f>-' 2016 GA Analysis'!$D$58</f>
        <v>1773323</v>
      </c>
      <c r="E58" s="223" t="s">
        <v>181</v>
      </c>
      <c r="F58" s="224"/>
      <c r="G58" s="224"/>
      <c r="H58" s="224"/>
      <c r="I58" s="225"/>
      <c r="J58" s="105"/>
      <c r="K58" s="105"/>
      <c r="L58" s="105"/>
      <c r="M58" s="105"/>
      <c r="N58" s="105"/>
      <c r="O58" s="105"/>
      <c r="P58" s="105"/>
      <c r="Q58" s="105"/>
    </row>
    <row r="59" spans="1:24" ht="28.5" x14ac:dyDescent="0.2">
      <c r="A59" s="93" t="s">
        <v>73</v>
      </c>
      <c r="B59" s="57" t="s">
        <v>72</v>
      </c>
      <c r="C59" s="10"/>
      <c r="D59" s="10"/>
      <c r="E59" s="222"/>
      <c r="F59" s="222"/>
      <c r="G59" s="222"/>
      <c r="H59" s="222"/>
      <c r="I59" s="222"/>
      <c r="J59" s="105"/>
      <c r="K59" s="105"/>
      <c r="L59" s="105"/>
      <c r="M59" s="105"/>
      <c r="N59" s="105"/>
      <c r="O59" s="105"/>
      <c r="P59" s="105"/>
      <c r="Q59" s="105"/>
    </row>
    <row r="60" spans="1:24" ht="28.5" x14ac:dyDescent="0.2">
      <c r="A60" s="93" t="s">
        <v>74</v>
      </c>
      <c r="B60" s="57" t="s">
        <v>71</v>
      </c>
      <c r="C60" s="68"/>
      <c r="D60" s="10"/>
      <c r="E60" s="223"/>
      <c r="F60" s="224"/>
      <c r="G60" s="224"/>
      <c r="H60" s="224"/>
      <c r="I60" s="225"/>
      <c r="J60" s="105"/>
      <c r="K60" s="105"/>
      <c r="L60" s="105"/>
      <c r="M60" s="105"/>
      <c r="N60" s="105"/>
      <c r="O60" s="105"/>
      <c r="P60" s="105"/>
      <c r="Q60" s="105"/>
    </row>
    <row r="61" spans="1:24" ht="28.5" x14ac:dyDescent="0.2">
      <c r="A61" s="93" t="s">
        <v>78</v>
      </c>
      <c r="B61" s="57" t="s">
        <v>80</v>
      </c>
      <c r="C61" s="10"/>
      <c r="D61" s="10"/>
      <c r="E61" s="222"/>
      <c r="F61" s="222"/>
      <c r="G61" s="222"/>
      <c r="H61" s="222"/>
      <c r="I61" s="222"/>
      <c r="J61" s="105"/>
      <c r="K61" s="105"/>
      <c r="L61" s="105"/>
      <c r="M61" s="105"/>
      <c r="N61" s="105"/>
      <c r="O61" s="105"/>
      <c r="P61" s="105"/>
      <c r="Q61" s="105"/>
    </row>
    <row r="62" spans="1:24" ht="28.5" x14ac:dyDescent="0.2">
      <c r="A62" s="93" t="s">
        <v>79</v>
      </c>
      <c r="B62" s="57" t="s">
        <v>81</v>
      </c>
      <c r="C62" s="10"/>
      <c r="D62" s="10"/>
      <c r="E62" s="223"/>
      <c r="F62" s="224"/>
      <c r="G62" s="224"/>
      <c r="H62" s="224"/>
      <c r="I62" s="225"/>
      <c r="J62" s="105"/>
      <c r="K62" s="105"/>
      <c r="L62" s="105"/>
      <c r="M62" s="105"/>
      <c r="N62" s="105"/>
      <c r="O62" s="105"/>
      <c r="P62" s="105"/>
      <c r="Q62" s="105"/>
    </row>
    <row r="63" spans="1:24" x14ac:dyDescent="0.2">
      <c r="A63" s="93">
        <v>4</v>
      </c>
      <c r="B63" s="57" t="s">
        <v>77</v>
      </c>
      <c r="C63" s="10"/>
      <c r="D63" s="10"/>
      <c r="E63" s="222"/>
      <c r="F63" s="222"/>
      <c r="G63" s="222"/>
      <c r="H63" s="222"/>
      <c r="I63" s="222"/>
      <c r="J63" s="105"/>
      <c r="K63" s="105"/>
      <c r="L63" s="105"/>
      <c r="M63" s="105"/>
      <c r="N63" s="105"/>
      <c r="O63" s="105"/>
      <c r="P63" s="105"/>
      <c r="Q63" s="105"/>
    </row>
    <row r="64" spans="1:24" ht="42.75" x14ac:dyDescent="0.2">
      <c r="A64" s="93">
        <v>5</v>
      </c>
      <c r="B64" s="57" t="s">
        <v>93</v>
      </c>
      <c r="C64" s="10"/>
      <c r="D64" s="10"/>
      <c r="E64" s="222"/>
      <c r="F64" s="222"/>
      <c r="G64" s="222"/>
      <c r="H64" s="222"/>
      <c r="I64" s="222"/>
      <c r="J64" s="105"/>
      <c r="K64" s="105"/>
      <c r="L64" s="105"/>
      <c r="M64" s="105"/>
      <c r="N64" s="105"/>
      <c r="O64" s="105"/>
      <c r="P64" s="105"/>
      <c r="Q64" s="105"/>
    </row>
    <row r="65" spans="1:19" x14ac:dyDescent="0.2">
      <c r="A65" s="63">
        <v>6</v>
      </c>
      <c r="B65" s="55"/>
      <c r="C65" s="10"/>
      <c r="D65" s="10"/>
      <c r="E65" s="222"/>
      <c r="F65" s="222"/>
      <c r="G65" s="222"/>
      <c r="H65" s="222"/>
      <c r="I65" s="222"/>
    </row>
    <row r="66" spans="1:19" x14ac:dyDescent="0.2">
      <c r="A66" s="63">
        <v>7</v>
      </c>
      <c r="B66" s="53"/>
      <c r="C66" s="10"/>
      <c r="D66" s="10"/>
      <c r="E66" s="222"/>
      <c r="F66" s="222"/>
      <c r="G66" s="222"/>
      <c r="H66" s="222"/>
      <c r="I66" s="222"/>
    </row>
    <row r="67" spans="1:19" x14ac:dyDescent="0.2">
      <c r="A67" s="63">
        <v>8</v>
      </c>
      <c r="B67" s="53"/>
      <c r="C67" s="10"/>
      <c r="D67" s="10"/>
      <c r="E67" s="222"/>
      <c r="F67" s="222"/>
      <c r="G67" s="222"/>
      <c r="H67" s="222"/>
      <c r="I67" s="222"/>
    </row>
    <row r="68" spans="1:19" x14ac:dyDescent="0.2">
      <c r="A68" s="63">
        <v>9</v>
      </c>
      <c r="B68" s="53"/>
      <c r="C68" s="10"/>
      <c r="D68" s="10"/>
      <c r="E68" s="223"/>
      <c r="F68" s="224"/>
      <c r="G68" s="224"/>
      <c r="H68" s="224"/>
      <c r="I68" s="225"/>
    </row>
    <row r="69" spans="1:19" x14ac:dyDescent="0.2">
      <c r="A69" s="63">
        <v>10</v>
      </c>
      <c r="B69" s="53"/>
      <c r="C69" s="10"/>
      <c r="D69" s="10"/>
      <c r="E69" s="222"/>
      <c r="F69" s="222"/>
      <c r="G69" s="222"/>
      <c r="H69" s="222"/>
      <c r="I69" s="222"/>
    </row>
    <row r="70" spans="1:19" ht="15" x14ac:dyDescent="0.25">
      <c r="B70" s="2" t="s">
        <v>25</v>
      </c>
      <c r="C70" s="2"/>
      <c r="D70" s="31">
        <f>SUM(D57:D69)</f>
        <v>1773323</v>
      </c>
      <c r="E70" s="31"/>
      <c r="F70" s="31"/>
      <c r="G70" s="31"/>
      <c r="H70" s="31"/>
    </row>
    <row r="71" spans="1:19" ht="15" x14ac:dyDescent="0.25">
      <c r="B71" s="94" t="s">
        <v>76</v>
      </c>
      <c r="C71" s="94"/>
      <c r="D71" s="31">
        <f>K49</f>
        <v>1804013.8746536002</v>
      </c>
      <c r="E71" s="31"/>
      <c r="F71" s="31"/>
      <c r="G71" s="31"/>
      <c r="H71" s="31"/>
    </row>
    <row r="72" spans="1:19" ht="15" x14ac:dyDescent="0.25">
      <c r="B72" s="94" t="s">
        <v>24</v>
      </c>
      <c r="C72" s="94"/>
      <c r="D72" s="69">
        <f>D71-D70</f>
        <v>30690.874653600156</v>
      </c>
    </row>
    <row r="73" spans="1:19" ht="30.75" thickBot="1" x14ac:dyDescent="0.3">
      <c r="B73" s="95" t="s">
        <v>82</v>
      </c>
      <c r="C73" s="95"/>
      <c r="D73" s="77">
        <f>IF(ISERROR(D72/J47),0,D72/J47)</f>
        <v>2.9339417268498887E-3</v>
      </c>
      <c r="G73" s="105"/>
      <c r="H73" s="41"/>
      <c r="I73" s="41"/>
      <c r="J73" s="41"/>
      <c r="K73" s="41"/>
      <c r="L73" s="41"/>
    </row>
    <row r="74" spans="1:19" ht="15.75" thickTop="1" x14ac:dyDescent="0.25">
      <c r="B74" s="2"/>
      <c r="C74" s="65"/>
      <c r="D74" s="72"/>
      <c r="G74" s="105"/>
    </row>
    <row r="75" spans="1:19" ht="15" x14ac:dyDescent="0.25">
      <c r="B75" s="2"/>
      <c r="C75" s="65"/>
      <c r="D75" s="40"/>
    </row>
    <row r="76" spans="1:19" ht="15" x14ac:dyDescent="0.25">
      <c r="A76" s="1" t="s">
        <v>84</v>
      </c>
      <c r="B76" s="96" t="s">
        <v>48</v>
      </c>
      <c r="C76" s="71"/>
      <c r="D76" s="72"/>
    </row>
    <row r="77" spans="1:19" ht="15" x14ac:dyDescent="0.25">
      <c r="B77" s="70"/>
      <c r="C77" s="71"/>
      <c r="D77" s="72"/>
    </row>
    <row r="78" spans="1:19" ht="75" x14ac:dyDescent="0.25">
      <c r="B78" s="126" t="s">
        <v>26</v>
      </c>
      <c r="C78" s="56" t="s">
        <v>150</v>
      </c>
      <c r="D78" s="97" t="s">
        <v>177</v>
      </c>
      <c r="E78" s="56" t="s">
        <v>151</v>
      </c>
      <c r="F78" s="56" t="s">
        <v>153</v>
      </c>
      <c r="G78" s="56" t="s">
        <v>24</v>
      </c>
      <c r="H78" s="99" t="s">
        <v>152</v>
      </c>
      <c r="I78" s="56" t="s">
        <v>82</v>
      </c>
      <c r="J78" s="105"/>
      <c r="K78" s="105"/>
      <c r="L78" s="41"/>
      <c r="M78" s="41"/>
      <c r="N78" s="41"/>
      <c r="O78" s="41"/>
      <c r="P78" s="41"/>
      <c r="Q78" s="41"/>
      <c r="R78" s="41"/>
      <c r="S78" s="41"/>
    </row>
    <row r="79" spans="1:19" ht="15" x14ac:dyDescent="0.25">
      <c r="B79" s="73"/>
      <c r="C79" s="75">
        <f>+K47</f>
        <v>238086.12534639996</v>
      </c>
      <c r="D79" s="75">
        <f>+K48</f>
        <v>2042100</v>
      </c>
      <c r="E79" s="76">
        <f>+K49</f>
        <v>1804013.8746536002</v>
      </c>
      <c r="F79" s="76">
        <f>+D70</f>
        <v>1773323</v>
      </c>
      <c r="G79" s="60">
        <f>E79-F79</f>
        <v>30690.874653600156</v>
      </c>
      <c r="H79" s="76">
        <f>+J47</f>
        <v>10460628.571022199</v>
      </c>
      <c r="I79" s="123">
        <f>IF(ISERROR(G79/H79),0,G79/H79)</f>
        <v>2.9339417268498887E-3</v>
      </c>
      <c r="J79" s="105"/>
      <c r="K79" s="105"/>
      <c r="L79" s="41"/>
      <c r="M79" s="41"/>
      <c r="N79" s="41"/>
      <c r="O79" s="41"/>
      <c r="P79" s="41"/>
      <c r="Q79" s="41"/>
      <c r="R79" s="41"/>
      <c r="S79" s="41"/>
    </row>
    <row r="80" spans="1:19" ht="15" x14ac:dyDescent="0.25">
      <c r="B80" s="73"/>
      <c r="C80" s="75"/>
      <c r="D80" s="75"/>
      <c r="E80" s="76"/>
      <c r="F80" s="76"/>
      <c r="G80" s="60">
        <f>E80-F80</f>
        <v>0</v>
      </c>
      <c r="H80" s="76"/>
      <c r="I80" s="123">
        <f>IF(ISERROR(G80/H80),0,G80/H80)</f>
        <v>0</v>
      </c>
      <c r="J80" s="105"/>
      <c r="K80" s="105"/>
      <c r="L80" s="41"/>
      <c r="M80" s="41"/>
      <c r="N80" s="41"/>
      <c r="O80" s="41"/>
      <c r="P80" s="41"/>
      <c r="Q80" s="41"/>
      <c r="R80" s="41"/>
      <c r="S80" s="41"/>
    </row>
    <row r="81" spans="2:19" ht="15" x14ac:dyDescent="0.25">
      <c r="B81" s="73"/>
      <c r="C81" s="75"/>
      <c r="D81" s="75"/>
      <c r="E81" s="76"/>
      <c r="F81" s="76"/>
      <c r="G81" s="60">
        <f>E81-F81</f>
        <v>0</v>
      </c>
      <c r="H81" s="76"/>
      <c r="I81" s="123">
        <f>IF(ISERROR(G81/H81),0,G81/H81)</f>
        <v>0</v>
      </c>
      <c r="J81" s="105"/>
      <c r="K81" s="105"/>
      <c r="L81" s="41"/>
      <c r="M81" s="41"/>
      <c r="N81" s="41"/>
      <c r="O81" s="41"/>
      <c r="P81" s="41"/>
      <c r="Q81" s="41"/>
      <c r="R81" s="41"/>
      <c r="S81" s="41"/>
    </row>
    <row r="82" spans="2:19" ht="15" thickBot="1" x14ac:dyDescent="0.25">
      <c r="B82" s="74"/>
      <c r="C82" s="100"/>
      <c r="D82" s="100"/>
      <c r="E82" s="101"/>
      <c r="F82" s="101"/>
      <c r="G82" s="102">
        <f>E82-F82</f>
        <v>0</v>
      </c>
      <c r="H82" s="101"/>
      <c r="I82" s="124">
        <f>IF(ISERROR(G82/H82),0,G82/H82)</f>
        <v>0</v>
      </c>
      <c r="J82" s="105"/>
      <c r="K82" s="105"/>
      <c r="L82" s="41"/>
      <c r="M82" s="41"/>
      <c r="N82" s="41"/>
      <c r="O82" s="41"/>
      <c r="P82" s="41"/>
      <c r="Q82" s="41"/>
      <c r="R82" s="41"/>
      <c r="S82" s="41"/>
    </row>
    <row r="83" spans="2:19" ht="15.75" thickBot="1" x14ac:dyDescent="0.3">
      <c r="B83" s="98" t="s">
        <v>83</v>
      </c>
      <c r="C83" s="103">
        <f t="shared" ref="C83:H83" si="6">SUM(C79:C82)</f>
        <v>238086.12534639996</v>
      </c>
      <c r="D83" s="103">
        <f t="shared" si="6"/>
        <v>2042100</v>
      </c>
      <c r="E83" s="103">
        <f t="shared" si="6"/>
        <v>1804013.8746536002</v>
      </c>
      <c r="F83" s="103">
        <f t="shared" si="6"/>
        <v>1773323</v>
      </c>
      <c r="G83" s="103">
        <f t="shared" si="6"/>
        <v>30690.874653600156</v>
      </c>
      <c r="H83" s="103">
        <f t="shared" si="6"/>
        <v>10460628.571022199</v>
      </c>
      <c r="I83" s="104" t="s">
        <v>92</v>
      </c>
      <c r="J83" s="105"/>
      <c r="K83" s="105"/>
      <c r="L83" s="41"/>
      <c r="M83" s="41"/>
      <c r="N83" s="41"/>
      <c r="O83" s="41"/>
      <c r="P83" s="41"/>
      <c r="Q83" s="41"/>
      <c r="R83" s="41"/>
      <c r="S83" s="41"/>
    </row>
    <row r="84" spans="2:19" x14ac:dyDescent="0.2">
      <c r="B84" s="4"/>
      <c r="C84" s="4"/>
      <c r="D84" s="4"/>
      <c r="E84" s="4"/>
      <c r="F84" s="4"/>
      <c r="G84" s="4"/>
      <c r="J84" s="105"/>
      <c r="K84" s="105"/>
      <c r="L84" s="41"/>
      <c r="M84" s="41"/>
      <c r="N84" s="41"/>
      <c r="O84" s="41"/>
      <c r="P84" s="41"/>
      <c r="Q84" s="41"/>
      <c r="R84" s="41"/>
      <c r="S84" s="41"/>
    </row>
    <row r="85" spans="2:19" x14ac:dyDescent="0.2">
      <c r="J85" s="105"/>
      <c r="K85" s="105"/>
      <c r="L85" s="41"/>
      <c r="M85" s="41"/>
      <c r="N85" s="41"/>
      <c r="O85" s="41"/>
      <c r="P85" s="41"/>
      <c r="Q85" s="41"/>
      <c r="R85" s="41"/>
      <c r="S85" s="41"/>
    </row>
    <row r="86" spans="2:19" ht="15" x14ac:dyDescent="0.25">
      <c r="B86" s="3" t="s">
        <v>39</v>
      </c>
      <c r="J86" s="105"/>
      <c r="K86" s="105"/>
    </row>
    <row r="87" spans="2:19" x14ac:dyDescent="0.2">
      <c r="B87" s="62"/>
      <c r="C87" s="62"/>
      <c r="D87" s="62"/>
      <c r="E87" s="62"/>
      <c r="F87" s="62"/>
      <c r="G87" s="62"/>
      <c r="H87" s="62"/>
      <c r="J87" s="105"/>
      <c r="K87" s="105"/>
    </row>
    <row r="88" spans="2:19" x14ac:dyDescent="0.2">
      <c r="B88" s="62"/>
      <c r="C88" s="62"/>
      <c r="D88" s="62"/>
      <c r="E88" s="62"/>
      <c r="F88" s="62"/>
      <c r="G88" s="62"/>
      <c r="H88" s="62"/>
      <c r="J88" s="105"/>
      <c r="K88" s="105"/>
    </row>
    <row r="89" spans="2:19" x14ac:dyDescent="0.2">
      <c r="B89" s="62"/>
      <c r="C89" s="62"/>
      <c r="D89" s="62"/>
      <c r="E89" s="62"/>
      <c r="F89" s="62"/>
      <c r="G89" s="62"/>
      <c r="H89" s="62"/>
    </row>
    <row r="90" spans="2:19" x14ac:dyDescent="0.2">
      <c r="B90" s="62"/>
      <c r="C90" s="62"/>
      <c r="D90" s="62"/>
      <c r="E90" s="62"/>
      <c r="F90" s="62"/>
      <c r="G90" s="62"/>
      <c r="H90" s="62"/>
    </row>
    <row r="91" spans="2:19" x14ac:dyDescent="0.2">
      <c r="B91" s="62"/>
      <c r="C91" s="62"/>
      <c r="D91" s="62"/>
      <c r="E91" s="62"/>
      <c r="F91" s="62"/>
      <c r="G91" s="62"/>
      <c r="H91" s="62"/>
    </row>
    <row r="92" spans="2:19" x14ac:dyDescent="0.2">
      <c r="B92" s="62"/>
      <c r="C92" s="62"/>
      <c r="D92" s="62"/>
      <c r="E92" s="62"/>
      <c r="F92" s="62"/>
      <c r="G92" s="62"/>
      <c r="H92" s="62"/>
    </row>
    <row r="93" spans="2:19" x14ac:dyDescent="0.2">
      <c r="B93" s="62"/>
      <c r="C93" s="62"/>
      <c r="D93" s="62"/>
      <c r="E93" s="62"/>
      <c r="F93" s="62"/>
      <c r="G93" s="62"/>
      <c r="H93" s="62"/>
    </row>
    <row r="94" spans="2:19" x14ac:dyDescent="0.2">
      <c r="B94" s="62"/>
      <c r="C94" s="62"/>
      <c r="D94" s="62"/>
      <c r="E94" s="62"/>
      <c r="F94" s="62"/>
      <c r="G94" s="62"/>
      <c r="H94" s="62"/>
    </row>
  </sheetData>
  <mergeCells count="20">
    <mergeCell ref="R33:T33"/>
    <mergeCell ref="U33:W33"/>
    <mergeCell ref="E61:I61"/>
    <mergeCell ref="B10:C10"/>
    <mergeCell ref="G10:H10"/>
    <mergeCell ref="B16:H16"/>
    <mergeCell ref="O33:Q33"/>
    <mergeCell ref="E56:I56"/>
    <mergeCell ref="E57:I57"/>
    <mergeCell ref="E58:I58"/>
    <mergeCell ref="E59:I59"/>
    <mergeCell ref="E60:I60"/>
    <mergeCell ref="E68:I68"/>
    <mergeCell ref="E69:I69"/>
    <mergeCell ref="E62:I62"/>
    <mergeCell ref="E63:I63"/>
    <mergeCell ref="E64:I64"/>
    <mergeCell ref="E65:I65"/>
    <mergeCell ref="E66:I66"/>
    <mergeCell ref="E67:I67"/>
  </mergeCells>
  <dataValidations count="3">
    <dataValidation type="list" allowBlank="1" showInputMessage="1" showErrorMessage="1" sqref="E10:F10">
      <formula1>"2016,2015,2014"</formula1>
    </dataValidation>
    <dataValidation type="list" allowBlank="1" showInputMessage="1" showErrorMessage="1" sqref="D10">
      <formula1>"2016, 2015, 2014"</formula1>
    </dataValidation>
    <dataValidation type="list" sqref="C20">
      <formula1>"1st Estimate, 2nd Estimate, Actual, Other"</formula1>
    </dataValidation>
  </dataValidations>
  <pageMargins left="0.70866141732283472" right="0.70866141732283472" top="0.74803149606299213" bottom="0.74803149606299213" header="0.31496062992125984" footer="0.31496062992125984"/>
  <pageSetup paperSize="5" scale="57" fitToHeight="2" orientation="landscape" r:id="rId1"/>
  <rowBreaks count="1" manualBreakCount="1">
    <brk id="53"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workbookViewId="0">
      <selection activeCell="G23" sqref="G23"/>
    </sheetView>
  </sheetViews>
  <sheetFormatPr defaultRowHeight="15" x14ac:dyDescent="0.25"/>
  <cols>
    <col min="1" max="1" width="28.7109375" customWidth="1"/>
    <col min="5" max="10" width="13.28515625" bestFit="1" customWidth="1"/>
    <col min="11" max="11" width="14.28515625" bestFit="1" customWidth="1"/>
    <col min="12" max="12" width="13.28515625" bestFit="1" customWidth="1"/>
    <col min="13" max="13" width="13.7109375" bestFit="1" customWidth="1"/>
    <col min="14" max="14" width="15.7109375" bestFit="1" customWidth="1"/>
    <col min="15" max="16" width="13.28515625" bestFit="1" customWidth="1"/>
    <col min="17" max="17" width="16.5703125" customWidth="1"/>
  </cols>
  <sheetData>
    <row r="1" spans="1:19" x14ac:dyDescent="0.25">
      <c r="A1" s="206" t="s">
        <v>167</v>
      </c>
    </row>
    <row r="2" spans="1:19" x14ac:dyDescent="0.25">
      <c r="A2" s="206" t="s">
        <v>172</v>
      </c>
    </row>
    <row r="3" spans="1:19" x14ac:dyDescent="0.25">
      <c r="A3" s="207">
        <v>42735</v>
      </c>
    </row>
    <row r="5" spans="1:19" x14ac:dyDescent="0.25">
      <c r="E5" s="198">
        <v>42370</v>
      </c>
      <c r="F5" s="198">
        <v>42401</v>
      </c>
      <c r="G5" s="198">
        <v>42430</v>
      </c>
      <c r="H5" s="198">
        <v>42461</v>
      </c>
      <c r="I5" s="198">
        <v>42491</v>
      </c>
      <c r="J5" s="198">
        <v>42522</v>
      </c>
      <c r="K5" s="198">
        <v>42552</v>
      </c>
      <c r="L5" s="198">
        <v>42583</v>
      </c>
      <c r="M5" s="198">
        <v>42614</v>
      </c>
      <c r="N5" s="198">
        <v>42644</v>
      </c>
      <c r="O5" s="198">
        <v>42675</v>
      </c>
      <c r="P5" s="198">
        <v>42705</v>
      </c>
      <c r="Q5" s="205" t="s">
        <v>164</v>
      </c>
    </row>
    <row r="6" spans="1:19" x14ac:dyDescent="0.25">
      <c r="A6" s="148" t="s">
        <v>158</v>
      </c>
    </row>
    <row r="7" spans="1:19" x14ac:dyDescent="0.25">
      <c r="A7" s="148" t="s">
        <v>159</v>
      </c>
    </row>
    <row r="8" spans="1:19" x14ac:dyDescent="0.25">
      <c r="A8" t="s">
        <v>160</v>
      </c>
      <c r="E8" s="149">
        <v>1532866.3900000001</v>
      </c>
      <c r="F8" s="149">
        <v>1783713.2599999998</v>
      </c>
      <c r="G8" s="149">
        <v>1775178.84</v>
      </c>
      <c r="H8" s="149">
        <v>1909644.73</v>
      </c>
      <c r="I8" s="149">
        <v>1840207.65</v>
      </c>
      <c r="J8" s="149">
        <v>1868219.49</v>
      </c>
      <c r="K8" s="149">
        <v>1926204.42</v>
      </c>
      <c r="L8" s="149">
        <v>1833692.17</v>
      </c>
      <c r="M8" s="149">
        <v>2000299.8900000001</v>
      </c>
      <c r="N8" s="149">
        <v>1851564.3499999999</v>
      </c>
      <c r="O8" s="149">
        <v>1770426.69</v>
      </c>
      <c r="P8" s="149">
        <v>1672969.28</v>
      </c>
      <c r="Q8" s="150">
        <f>SUM(E8:P8)</f>
        <v>21764987.160000004</v>
      </c>
    </row>
    <row r="9" spans="1:19" x14ac:dyDescent="0.25">
      <c r="A9" t="s">
        <v>161</v>
      </c>
      <c r="E9" s="149">
        <v>3710905.17</v>
      </c>
      <c r="F9" s="149">
        <v>1767270.7399999998</v>
      </c>
      <c r="G9" s="149">
        <v>1765351.39</v>
      </c>
      <c r="H9" s="149">
        <v>1820562.9</v>
      </c>
      <c r="I9" s="149">
        <v>1884905.96</v>
      </c>
      <c r="J9" s="149">
        <v>1950280.87</v>
      </c>
      <c r="K9" s="149">
        <v>2013164.94</v>
      </c>
      <c r="L9" s="149">
        <v>1994937.2000000002</v>
      </c>
      <c r="M9" s="149">
        <v>2169486.62</v>
      </c>
      <c r="N9" s="149">
        <v>1957562.6600000001</v>
      </c>
      <c r="O9" s="149">
        <v>1895972.6300000001</v>
      </c>
      <c r="P9" s="149">
        <v>1743428.5</v>
      </c>
      <c r="Q9" s="150">
        <f>SUM(E9:P9)</f>
        <v>24673829.580000002</v>
      </c>
    </row>
    <row r="10" spans="1:19" x14ac:dyDescent="0.25">
      <c r="A10" t="s">
        <v>162</v>
      </c>
      <c r="E10" s="149">
        <v>1408752.2</v>
      </c>
      <c r="F10" s="149">
        <v>1468165.1800000002</v>
      </c>
      <c r="G10" s="149">
        <v>1388041.53</v>
      </c>
      <c r="H10" s="149">
        <v>1426816.33</v>
      </c>
      <c r="I10" s="149">
        <v>1366522.07</v>
      </c>
      <c r="J10" s="149">
        <v>1432829.6099999999</v>
      </c>
      <c r="K10" s="149">
        <v>1512352.81</v>
      </c>
      <c r="L10" s="149">
        <v>1514313.69</v>
      </c>
      <c r="M10" s="149">
        <v>1689070.55</v>
      </c>
      <c r="N10" s="149">
        <v>1604214.11</v>
      </c>
      <c r="O10" s="149">
        <v>1553263.3699999999</v>
      </c>
      <c r="P10" s="149">
        <v>1514513.96</v>
      </c>
      <c r="Q10" s="150">
        <f>SUM(E10:P10)</f>
        <v>17878855.41</v>
      </c>
    </row>
    <row r="11" spans="1:19" x14ac:dyDescent="0.25">
      <c r="A11" t="s">
        <v>163</v>
      </c>
      <c r="E11" s="149">
        <v>466277.77999999997</v>
      </c>
      <c r="F11" s="149">
        <v>239403.24999999997</v>
      </c>
      <c r="G11" s="149">
        <v>224854.81</v>
      </c>
      <c r="H11" s="149">
        <v>223848.09999999998</v>
      </c>
      <c r="I11" s="149">
        <v>226881.55000000002</v>
      </c>
      <c r="J11" s="149">
        <v>247375.47999999998</v>
      </c>
      <c r="K11" s="149">
        <v>263428.3</v>
      </c>
      <c r="L11" s="149">
        <v>202487.97999999998</v>
      </c>
      <c r="M11" s="149">
        <v>213486.81</v>
      </c>
      <c r="N11" s="149">
        <v>263399.02</v>
      </c>
      <c r="O11" s="149">
        <v>172207.52</v>
      </c>
      <c r="P11" s="149">
        <v>166098.43</v>
      </c>
      <c r="Q11" s="150">
        <f>SUM(E11:P11)</f>
        <v>2909749.0300000003</v>
      </c>
    </row>
    <row r="12" spans="1:19" ht="15.75" thickBot="1" x14ac:dyDescent="0.3">
      <c r="A12" t="s">
        <v>173</v>
      </c>
      <c r="E12" s="151">
        <v>350065.05</v>
      </c>
      <c r="F12" s="151">
        <v>343530.87</v>
      </c>
      <c r="G12" s="151">
        <v>296457.94</v>
      </c>
      <c r="H12" s="151">
        <v>284594.55</v>
      </c>
      <c r="I12" s="151">
        <v>198733</v>
      </c>
      <c r="J12" s="151">
        <v>134572.83000000002</v>
      </c>
      <c r="K12" s="151">
        <v>121427.79000000001</v>
      </c>
      <c r="L12" s="151">
        <v>94357.939999999988</v>
      </c>
      <c r="M12" s="151">
        <v>104479.67999999999</v>
      </c>
      <c r="N12" s="151">
        <v>116820.6</v>
      </c>
      <c r="O12" s="151">
        <v>129073.96999999999</v>
      </c>
      <c r="P12" s="151">
        <v>184558.26</v>
      </c>
      <c r="Q12" s="152">
        <f>SUM(E12:P12)</f>
        <v>2358672.4800000004</v>
      </c>
    </row>
    <row r="13" spans="1:19" x14ac:dyDescent="0.25">
      <c r="A13" s="153" t="s">
        <v>164</v>
      </c>
      <c r="B13" s="153"/>
      <c r="C13" s="153"/>
      <c r="D13" s="153"/>
      <c r="E13" s="154">
        <f>SUM(E8:E12)</f>
        <v>7468866.5900000008</v>
      </c>
      <c r="F13" s="154">
        <f t="shared" ref="F13:Q13" si="0">SUM(F8:F12)</f>
        <v>5602083.2999999998</v>
      </c>
      <c r="G13" s="154">
        <f t="shared" si="0"/>
        <v>5449884.5099999998</v>
      </c>
      <c r="H13" s="154">
        <f t="shared" si="0"/>
        <v>5665466.6099999994</v>
      </c>
      <c r="I13" s="154">
        <f t="shared" si="0"/>
        <v>5517250.2299999995</v>
      </c>
      <c r="J13" s="154">
        <f t="shared" si="0"/>
        <v>5633278.2800000012</v>
      </c>
      <c r="K13" s="154">
        <f t="shared" si="0"/>
        <v>5836578.2599999998</v>
      </c>
      <c r="L13" s="154">
        <f t="shared" si="0"/>
        <v>5639788.9800000014</v>
      </c>
      <c r="M13" s="154">
        <f t="shared" si="0"/>
        <v>6176823.5499999998</v>
      </c>
      <c r="N13" s="154">
        <f t="shared" si="0"/>
        <v>5793560.7400000002</v>
      </c>
      <c r="O13" s="154">
        <f t="shared" si="0"/>
        <v>5520944.1799999997</v>
      </c>
      <c r="P13" s="154">
        <f t="shared" si="0"/>
        <v>5281568.43</v>
      </c>
      <c r="Q13" s="154">
        <f t="shared" si="0"/>
        <v>69586093.660000011</v>
      </c>
      <c r="R13" s="155" t="s">
        <v>165</v>
      </c>
      <c r="S13" s="156"/>
    </row>
    <row r="15" spans="1:19" x14ac:dyDescent="0.25">
      <c r="A15" s="148" t="s">
        <v>174</v>
      </c>
      <c r="Q15" s="200" t="s">
        <v>171</v>
      </c>
    </row>
    <row r="16" spans="1:19" x14ac:dyDescent="0.25">
      <c r="A16" s="148" t="s">
        <v>166</v>
      </c>
      <c r="E16">
        <f>+M22</f>
        <v>8.4229999999999999E-2</v>
      </c>
      <c r="F16">
        <f>+M23</f>
        <v>0.10384</v>
      </c>
      <c r="G16">
        <f>+M24</f>
        <v>9.0219999999999995E-2</v>
      </c>
      <c r="H16">
        <f>+M25</f>
        <v>0.12114999999999999</v>
      </c>
      <c r="I16">
        <f>+M26</f>
        <v>0.10405</v>
      </c>
      <c r="J16">
        <f>+M27</f>
        <v>0.11650000000000001</v>
      </c>
      <c r="K16">
        <f>+M28</f>
        <v>7.6670000000000002E-2</v>
      </c>
      <c r="L16">
        <f>+M29</f>
        <v>8.5690000000000002E-2</v>
      </c>
      <c r="M16">
        <f>+M30</f>
        <v>7.0599999999999996E-2</v>
      </c>
      <c r="N16">
        <f>+M31</f>
        <v>9.7199999999999995E-2</v>
      </c>
      <c r="O16">
        <f>+M32</f>
        <v>0.12271</v>
      </c>
      <c r="P16">
        <f>+M33</f>
        <v>0.10594000000000001</v>
      </c>
      <c r="Q16" s="157"/>
    </row>
    <row r="17" spans="1:17" ht="15.75" thickBot="1" x14ac:dyDescent="0.3">
      <c r="A17" s="148" t="s">
        <v>175</v>
      </c>
      <c r="E17" s="158">
        <f t="shared" ref="E17:J17" si="1">+E16</f>
        <v>8.4229999999999999E-2</v>
      </c>
      <c r="F17" s="158">
        <f t="shared" si="1"/>
        <v>0.10384</v>
      </c>
      <c r="G17" s="158">
        <f t="shared" si="1"/>
        <v>9.0219999999999995E-2</v>
      </c>
      <c r="H17" s="158">
        <f t="shared" si="1"/>
        <v>0.12114999999999999</v>
      </c>
      <c r="I17" s="158">
        <f t="shared" si="1"/>
        <v>0.10405</v>
      </c>
      <c r="J17" s="158">
        <f t="shared" si="1"/>
        <v>0.11650000000000001</v>
      </c>
      <c r="K17" s="158">
        <f>+O28</f>
        <v>8.3059999999999995E-2</v>
      </c>
      <c r="L17" s="158">
        <f>+O29</f>
        <v>7.1029999999999996E-2</v>
      </c>
      <c r="M17" s="158">
        <f>+O30</f>
        <v>9.5310000000000006E-2</v>
      </c>
      <c r="N17" s="158">
        <f>+O31</f>
        <v>0.11226</v>
      </c>
      <c r="O17" s="158">
        <f>+O32</f>
        <v>0.11108999999999999</v>
      </c>
      <c r="P17" s="158">
        <f>+O33</f>
        <v>8.7080000000000005E-2</v>
      </c>
      <c r="Q17" s="159"/>
    </row>
    <row r="18" spans="1:17" x14ac:dyDescent="0.25">
      <c r="A18" s="148" t="s">
        <v>170</v>
      </c>
      <c r="E18" s="168">
        <f t="shared" ref="E18:K18" si="2">E17-E16</f>
        <v>0</v>
      </c>
      <c r="F18" s="168">
        <f t="shared" si="2"/>
        <v>0</v>
      </c>
      <c r="G18" s="168">
        <f t="shared" si="2"/>
        <v>0</v>
      </c>
      <c r="H18" s="168">
        <f t="shared" si="2"/>
        <v>0</v>
      </c>
      <c r="I18" s="168">
        <f t="shared" si="2"/>
        <v>0</v>
      </c>
      <c r="J18" s="168">
        <f t="shared" si="2"/>
        <v>0</v>
      </c>
      <c r="K18" s="168">
        <f t="shared" si="2"/>
        <v>6.3899999999999929E-3</v>
      </c>
      <c r="L18" s="168">
        <f>L17-L16</f>
        <v>-1.4660000000000006E-2</v>
      </c>
      <c r="M18" s="168">
        <f>M17-M16</f>
        <v>2.471000000000001E-2</v>
      </c>
      <c r="N18" s="168">
        <f>N17-N16</f>
        <v>1.5060000000000004E-2</v>
      </c>
      <c r="O18" s="168">
        <f>O17-O16</f>
        <v>-1.1620000000000005E-2</v>
      </c>
      <c r="P18" s="168">
        <f>P17-P16</f>
        <v>-1.8860000000000002E-2</v>
      </c>
      <c r="Q18" s="199"/>
    </row>
    <row r="19" spans="1:17" ht="15.75" thickBot="1" x14ac:dyDescent="0.3">
      <c r="A19" s="148" t="s">
        <v>168</v>
      </c>
      <c r="E19" s="199">
        <f t="shared" ref="E19:J19" si="3">E18*E13</f>
        <v>0</v>
      </c>
      <c r="F19" s="199">
        <f t="shared" si="3"/>
        <v>0</v>
      </c>
      <c r="G19" s="199">
        <f t="shared" si="3"/>
        <v>0</v>
      </c>
      <c r="H19" s="199">
        <f t="shared" si="3"/>
        <v>0</v>
      </c>
      <c r="I19" s="199">
        <f t="shared" si="3"/>
        <v>0</v>
      </c>
      <c r="J19" s="199">
        <f t="shared" si="3"/>
        <v>0</v>
      </c>
      <c r="K19" s="199">
        <f t="shared" ref="K19:P19" si="4">K18*K13</f>
        <v>37295.735081399958</v>
      </c>
      <c r="L19" s="199">
        <f t="shared" si="4"/>
        <v>-82679.306446800052</v>
      </c>
      <c r="M19" s="199">
        <f t="shared" si="4"/>
        <v>152629.30992050006</v>
      </c>
      <c r="N19" s="199">
        <f t="shared" si="4"/>
        <v>87251.024744400027</v>
      </c>
      <c r="O19" s="199">
        <f t="shared" si="4"/>
        <v>-64153.371371600027</v>
      </c>
      <c r="P19" s="199">
        <f t="shared" si="4"/>
        <v>-99610.380589799999</v>
      </c>
      <c r="Q19" s="201">
        <f>SUM(K19:P19)</f>
        <v>30733.011338099968</v>
      </c>
    </row>
    <row r="20" spans="1:17" ht="16.5" thickTop="1" thickBot="1" x14ac:dyDescent="0.3">
      <c r="B20" s="202"/>
      <c r="C20" s="202"/>
      <c r="D20" s="202"/>
      <c r="E20" s="202"/>
      <c r="F20" s="202"/>
      <c r="G20" s="202"/>
      <c r="H20" s="202"/>
      <c r="I20" s="202"/>
      <c r="J20" s="202"/>
      <c r="K20" s="202"/>
    </row>
    <row r="21" spans="1:17" x14ac:dyDescent="0.25">
      <c r="B21" s="202"/>
      <c r="C21" s="202"/>
      <c r="D21" s="202"/>
      <c r="E21" s="203"/>
      <c r="F21" s="203"/>
      <c r="G21" s="203"/>
      <c r="H21" s="203"/>
      <c r="I21" s="203"/>
      <c r="J21" s="203"/>
      <c r="K21" s="203"/>
      <c r="L21" s="208" t="s">
        <v>31</v>
      </c>
      <c r="M21" s="209" t="s">
        <v>27</v>
      </c>
      <c r="N21" s="209" t="s">
        <v>28</v>
      </c>
      <c r="O21" s="210" t="s">
        <v>29</v>
      </c>
      <c r="P21" s="168"/>
    </row>
    <row r="22" spans="1:17" x14ac:dyDescent="0.25">
      <c r="B22" s="202"/>
      <c r="C22" s="202"/>
      <c r="D22" s="202"/>
      <c r="E22" s="204"/>
      <c r="F22" s="204"/>
      <c r="G22" s="204"/>
      <c r="H22" s="204"/>
      <c r="I22" s="204"/>
      <c r="J22" s="204"/>
      <c r="K22" s="204"/>
      <c r="L22" s="194" t="s">
        <v>10</v>
      </c>
      <c r="M22" s="168">
        <v>8.4229999999999999E-2</v>
      </c>
      <c r="N22" s="168">
        <v>9.214E-2</v>
      </c>
      <c r="O22" s="196">
        <v>9.1789999999999997E-2</v>
      </c>
      <c r="P22" s="168"/>
    </row>
    <row r="23" spans="1:17" x14ac:dyDescent="0.25">
      <c r="B23" s="202"/>
      <c r="C23" s="202"/>
      <c r="D23" s="202"/>
      <c r="E23" s="202"/>
      <c r="F23" s="202"/>
      <c r="G23" s="202"/>
      <c r="H23" s="202"/>
      <c r="I23" s="202"/>
      <c r="J23" s="202"/>
      <c r="K23" s="204"/>
      <c r="L23" s="194" t="s">
        <v>11</v>
      </c>
      <c r="M23" s="168">
        <v>0.10384</v>
      </c>
      <c r="N23" s="168">
        <v>9.6780000000000005E-2</v>
      </c>
      <c r="O23" s="196">
        <v>9.851E-2</v>
      </c>
      <c r="P23" s="168"/>
    </row>
    <row r="24" spans="1:17" x14ac:dyDescent="0.25">
      <c r="B24" s="202"/>
      <c r="C24" s="202"/>
      <c r="D24" s="202"/>
      <c r="E24" s="202"/>
      <c r="F24" s="202"/>
      <c r="G24" s="202"/>
      <c r="H24" s="202"/>
      <c r="I24" s="202"/>
      <c r="J24" s="202"/>
      <c r="K24" s="204"/>
      <c r="L24" s="194" t="s">
        <v>12</v>
      </c>
      <c r="M24" s="168">
        <v>9.0219999999999995E-2</v>
      </c>
      <c r="N24" s="168">
        <v>0.10299</v>
      </c>
      <c r="O24" s="196">
        <v>0.1061</v>
      </c>
      <c r="P24" s="168"/>
    </row>
    <row r="25" spans="1:17" x14ac:dyDescent="0.25">
      <c r="B25" s="202"/>
      <c r="C25" s="202"/>
      <c r="D25" s="202"/>
      <c r="E25" s="202"/>
      <c r="F25" s="202"/>
      <c r="G25" s="202"/>
      <c r="H25" s="202"/>
      <c r="I25" s="202"/>
      <c r="J25" s="202"/>
      <c r="K25" s="202"/>
      <c r="L25" s="194" t="s">
        <v>13</v>
      </c>
      <c r="M25" s="168">
        <v>0.12114999999999999</v>
      </c>
      <c r="N25" s="168">
        <v>0.11176999999999999</v>
      </c>
      <c r="O25" s="196">
        <v>0.11132</v>
      </c>
      <c r="P25" s="168"/>
    </row>
    <row r="26" spans="1:17" x14ac:dyDescent="0.25">
      <c r="B26" s="202"/>
      <c r="C26" s="202"/>
      <c r="D26" s="202"/>
      <c r="E26" s="204"/>
      <c r="F26" s="204"/>
      <c r="G26" s="204"/>
      <c r="H26" s="204"/>
      <c r="I26" s="204"/>
      <c r="J26" s="204"/>
      <c r="K26" s="204"/>
      <c r="L26" s="194" t="s">
        <v>14</v>
      </c>
      <c r="M26" s="168">
        <v>0.10405</v>
      </c>
      <c r="N26" s="168">
        <v>0.11493</v>
      </c>
      <c r="O26" s="196">
        <v>0.10749</v>
      </c>
      <c r="P26" s="168"/>
    </row>
    <row r="27" spans="1:17" x14ac:dyDescent="0.25">
      <c r="B27" s="202"/>
      <c r="C27" s="202"/>
      <c r="D27" s="202"/>
      <c r="E27" s="202"/>
      <c r="F27" s="202"/>
      <c r="G27" s="202"/>
      <c r="H27" s="202"/>
      <c r="I27" s="202"/>
      <c r="J27" s="202"/>
      <c r="K27" s="202"/>
      <c r="L27" s="194" t="s">
        <v>15</v>
      </c>
      <c r="M27" s="168">
        <v>0.11650000000000001</v>
      </c>
      <c r="N27" s="168">
        <v>9.3600000000000003E-2</v>
      </c>
      <c r="O27" s="196">
        <v>9.5449999999999993E-2</v>
      </c>
      <c r="P27" s="168"/>
    </row>
    <row r="28" spans="1:17" x14ac:dyDescent="0.25">
      <c r="B28" s="202"/>
      <c r="C28" s="202"/>
      <c r="D28" s="202"/>
      <c r="E28" s="202"/>
      <c r="F28" s="202"/>
      <c r="G28" s="202"/>
      <c r="H28" s="202"/>
      <c r="I28" s="202"/>
      <c r="J28" s="202"/>
      <c r="K28" s="202"/>
      <c r="L28" s="194" t="s">
        <v>16</v>
      </c>
      <c r="M28" s="168">
        <v>7.6670000000000002E-2</v>
      </c>
      <c r="N28" s="168">
        <v>8.412E-2</v>
      </c>
      <c r="O28" s="196">
        <v>8.3059999999999995E-2</v>
      </c>
      <c r="P28" s="168"/>
    </row>
    <row r="29" spans="1:17" x14ac:dyDescent="0.25">
      <c r="L29" s="194" t="s">
        <v>17</v>
      </c>
      <c r="M29" s="168">
        <v>8.5690000000000002E-2</v>
      </c>
      <c r="N29" s="168">
        <v>7.0499999999999993E-2</v>
      </c>
      <c r="O29" s="196">
        <v>7.1029999999999996E-2</v>
      </c>
      <c r="P29" s="168"/>
    </row>
    <row r="30" spans="1:17" x14ac:dyDescent="0.25">
      <c r="L30" s="194" t="s">
        <v>18</v>
      </c>
      <c r="M30" s="168">
        <v>7.0599999999999996E-2</v>
      </c>
      <c r="N30" s="168">
        <v>9.1480000000000006E-2</v>
      </c>
      <c r="O30" s="196">
        <v>9.5310000000000006E-2</v>
      </c>
      <c r="P30" s="168"/>
    </row>
    <row r="31" spans="1:17" x14ac:dyDescent="0.25">
      <c r="L31" s="194" t="s">
        <v>19</v>
      </c>
      <c r="M31" s="168">
        <v>9.7199999999999995E-2</v>
      </c>
      <c r="N31" s="168">
        <v>0.1178</v>
      </c>
      <c r="O31" s="196">
        <v>0.11226</v>
      </c>
      <c r="P31" s="168"/>
    </row>
    <row r="32" spans="1:17" x14ac:dyDescent="0.25">
      <c r="L32" s="194" t="s">
        <v>20</v>
      </c>
      <c r="M32" s="168">
        <v>0.12271</v>
      </c>
      <c r="N32" s="168">
        <v>0.115</v>
      </c>
      <c r="O32" s="196">
        <v>0.11108999999999999</v>
      </c>
      <c r="P32" s="168"/>
    </row>
    <row r="33" spans="12:16" ht="15.75" thickBot="1" x14ac:dyDescent="0.3">
      <c r="L33" s="195" t="s">
        <v>21</v>
      </c>
      <c r="M33" s="158">
        <v>0.10594000000000001</v>
      </c>
      <c r="N33" s="158">
        <v>7.8719999999999998E-2</v>
      </c>
      <c r="O33" s="197">
        <v>8.7080000000000005E-2</v>
      </c>
      <c r="P33" s="16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 2016 GA Analysis</vt:lpstr>
      <vt:lpstr>2015 GA Analysis</vt:lpstr>
      <vt:lpstr>2016 Interval Consumption</vt:lpstr>
      <vt:lpstr>' 2016 GA Analysis'!Print_Area</vt:lpstr>
      <vt:lpstr>'2015 GA Analysis'!Print_Area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Lisa Barker</cp:lastModifiedBy>
  <cp:lastPrinted>2017-08-03T16:57:04Z</cp:lastPrinted>
  <dcterms:created xsi:type="dcterms:W3CDTF">2017-05-01T19:29:01Z</dcterms:created>
  <dcterms:modified xsi:type="dcterms:W3CDTF">2017-08-14T18:13:05Z</dcterms:modified>
</cp:coreProperties>
</file>