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API_2018_IRM\Models\"/>
    </mc:Choice>
  </mc:AlternateContent>
  <bookViews>
    <workbookView xWindow="0" yWindow="0" windowWidth="28800" windowHeight="12300"/>
  </bookViews>
  <sheets>
    <sheet name="R1(ii) Bill Impact 2000kWh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H14" i="1"/>
  <c r="K31" i="1"/>
  <c r="L31" i="1" s="1"/>
  <c r="M31" i="1" s="1"/>
  <c r="H31" i="1"/>
  <c r="J31" i="1"/>
  <c r="G31" i="1"/>
  <c r="I31" i="1"/>
  <c r="I35" i="1"/>
  <c r="F35" i="1"/>
  <c r="I34" i="1"/>
  <c r="F34" i="1"/>
  <c r="I33" i="1"/>
  <c r="F33" i="1"/>
  <c r="I30" i="1"/>
  <c r="K30" i="1" s="1"/>
  <c r="L30" i="1" s="1"/>
  <c r="M30" i="1" s="1"/>
  <c r="H30" i="1"/>
  <c r="G28" i="1"/>
  <c r="H28" i="1" s="1"/>
  <c r="J26" i="1"/>
  <c r="K26" i="1" s="1"/>
  <c r="G25" i="1"/>
  <c r="H25" i="1" s="1"/>
  <c r="J23" i="1"/>
  <c r="K23" i="1" s="1"/>
  <c r="K22" i="1"/>
  <c r="H22" i="1"/>
  <c r="G21" i="1"/>
  <c r="H21" i="1" s="1"/>
  <c r="G19" i="1"/>
  <c r="H19" i="1" s="1"/>
  <c r="J18" i="1"/>
  <c r="K18" i="1" s="1"/>
  <c r="G15" i="1"/>
  <c r="H15" i="1" s="1"/>
  <c r="J14" i="1"/>
  <c r="J13" i="1"/>
  <c r="K13" i="1" s="1"/>
  <c r="J12" i="1"/>
  <c r="K12" i="1" s="1"/>
  <c r="H12" i="1"/>
  <c r="G26" i="1"/>
  <c r="H26" i="1" s="1"/>
  <c r="L12" i="1" l="1"/>
  <c r="M12" i="1" s="1"/>
  <c r="L22" i="1"/>
  <c r="M22" i="1" s="1"/>
  <c r="L26" i="1"/>
  <c r="M26" i="1" s="1"/>
  <c r="G35" i="1"/>
  <c r="H35" i="1" s="1"/>
  <c r="G34" i="1"/>
  <c r="H34" i="1" s="1"/>
  <c r="G33" i="1"/>
  <c r="H33" i="1" s="1"/>
  <c r="G29" i="1"/>
  <c r="H29" i="1" s="1"/>
  <c r="J28" i="1"/>
  <c r="K28" i="1" s="1"/>
  <c r="G20" i="1"/>
  <c r="H20" i="1" s="1"/>
  <c r="F17" i="1"/>
  <c r="G17" i="1" s="1"/>
  <c r="H17" i="1" s="1"/>
  <c r="J35" i="1"/>
  <c r="K35" i="1" s="1"/>
  <c r="J34" i="1"/>
  <c r="K34" i="1" s="1"/>
  <c r="J33" i="1"/>
  <c r="K33" i="1" s="1"/>
  <c r="I17" i="1"/>
  <c r="J17" i="1" s="1"/>
  <c r="K17" i="1" s="1"/>
  <c r="J29" i="1"/>
  <c r="K29" i="1" s="1"/>
  <c r="J20" i="1"/>
  <c r="K20" i="1" s="1"/>
  <c r="G13" i="1"/>
  <c r="H13" i="1" s="1"/>
  <c r="J15" i="1"/>
  <c r="K15" i="1" s="1"/>
  <c r="L15" i="1" s="1"/>
  <c r="M15" i="1" s="1"/>
  <c r="G18" i="1"/>
  <c r="H18" i="1" s="1"/>
  <c r="L18" i="1" s="1"/>
  <c r="M18" i="1" s="1"/>
  <c r="J19" i="1"/>
  <c r="K19" i="1" s="1"/>
  <c r="L19" i="1" s="1"/>
  <c r="M19" i="1" s="1"/>
  <c r="J21" i="1"/>
  <c r="K21" i="1" s="1"/>
  <c r="L21" i="1" s="1"/>
  <c r="M21" i="1" s="1"/>
  <c r="G23" i="1"/>
  <c r="H23" i="1" s="1"/>
  <c r="L23" i="1" s="1"/>
  <c r="M23" i="1" s="1"/>
  <c r="J25" i="1"/>
  <c r="K25" i="1" s="1"/>
  <c r="L25" i="1" s="1"/>
  <c r="M25" i="1" s="1"/>
  <c r="L33" i="1" l="1"/>
  <c r="M33" i="1" s="1"/>
  <c r="L35" i="1"/>
  <c r="M35" i="1" s="1"/>
  <c r="L34" i="1"/>
  <c r="M34" i="1" s="1"/>
  <c r="L17" i="1"/>
  <c r="M17" i="1" s="1"/>
  <c r="K16" i="1"/>
  <c r="K24" i="1" s="1"/>
  <c r="L14" i="1"/>
  <c r="M14" i="1" s="1"/>
  <c r="L28" i="1"/>
  <c r="M28" i="1" s="1"/>
  <c r="H16" i="1"/>
  <c r="L13" i="1"/>
  <c r="M13" i="1" s="1"/>
  <c r="L20" i="1"/>
  <c r="M20" i="1" s="1"/>
  <c r="L29" i="1"/>
  <c r="M29" i="1" s="1"/>
  <c r="K27" i="1" l="1"/>
  <c r="K37" i="1" s="1"/>
  <c r="K39" i="1" s="1"/>
  <c r="H24" i="1"/>
  <c r="L24" i="1" s="1"/>
  <c r="L16" i="1"/>
  <c r="M16" i="1" s="1"/>
  <c r="K38" i="1" l="1"/>
  <c r="K40" i="1" s="1"/>
  <c r="M24" i="1"/>
  <c r="H27" i="1"/>
  <c r="H37" i="1" l="1"/>
  <c r="L27" i="1"/>
  <c r="M27" i="1" s="1"/>
  <c r="H39" i="1" l="1"/>
  <c r="L39" i="1" s="1"/>
  <c r="H38" i="1"/>
  <c r="L37" i="1"/>
  <c r="M37" i="1" s="1"/>
  <c r="H40" i="1" l="1"/>
  <c r="L40" i="1" s="1"/>
  <c r="M40" i="1" s="1"/>
  <c r="L38" i="1"/>
  <c r="M38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<sst xmlns="http://schemas.openxmlformats.org/spreadsheetml/2006/main" count="53" uniqueCount="47">
  <si>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</si>
  <si>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</si>
  <si>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</si>
  <si>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</si>
  <si>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</si>
  <si>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</si>
  <si>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</si>
  <si>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</si>
  <si>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</si>
  <si>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</si>
  <si>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</si>
  <si>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</si>
  <si>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</si>
  <si>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</si>
  <si>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</si>
  <si>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</si>
  <si>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</si>
  <si>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</si>
  <si>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</si>
  <si>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</si>
  <si>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</si>
  <si>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</si>
  <si>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</si>
  <si>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</si>
  <si>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</si>
  <si>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</si>
  <si>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</si>
  <si>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</si>
  <si>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</si>
  <si>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</si>
  <si>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</si>
  <si>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</si>
  <si>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</si>
  <si>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</si>
  <si>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</si>
  <si>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</si>
  <si>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</si>
  <si>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</si>
  <si>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</si>
  <si>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</si>
  <si>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</si>
  <si>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</si>
  <si>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</si>
  <si>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8% Rebate</t>
  </si>
  <si>
    <t>Total Bill on TOU</t>
  </si>
  <si>
    <t>RPP</t>
  </si>
  <si>
    <t>RESIDENTIAL R1(ii)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</si>
</sst>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_-;\-* #,##0_-;_-* &quot;-&quot;??_-;_-@_-"/>
    <numFmt numFmtId="166" formatCode="0.0000"/>
    <numFmt numFmtId="167" formatCode="_(&quot;$&quot;* #,##0.00_);_(&quot;$&quot;* \(#,##0.00\);_(&quot;$&quot;* &quot;-&quot;??_);_(@_)"/>
    <numFmt numFmtId="168" formatCode="_-&quot;$&quot;* #,##0.0000_-;\-&quot;$&quot;* #,##0.00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167" fontId="6" fillId="0" borderId="7" xfId="4" applyFont="1" applyBorder="1" applyAlignment="1" applyProtection="1">
      <alignment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167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167" fontId="8" fillId="3" borderId="5" xfId="4" applyFont="1" applyFill="1" applyBorder="1" applyAlignment="1" applyProtection="1">
      <alignment vertical="center"/>
      <protection locked="0"/>
    </xf>
    <xf numFmtId="168" fontId="7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167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167" fontId="2" fillId="3" borderId="5" xfId="1" applyNumberFormat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 wrapText="1"/>
    </xf>
    <xf numFmtId="167" fontId="1" fillId="0" borderId="7" xfId="4" applyFont="1" applyBorder="1" applyAlignment="1" applyProtection="1">
      <alignment vertical="center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8" fontId="7" fillId="0" borderId="9" xfId="4" applyNumberFormat="1" applyFont="1" applyFill="1" applyBorder="1" applyAlignment="1" applyProtection="1">
      <alignment horizontal="left"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8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167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167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167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167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167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167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167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167" fontId="2" fillId="6" borderId="18" xfId="1" applyNumberFormat="1" applyFont="1" applyFill="1" applyBorder="1" applyAlignment="1" applyProtection="1">
      <alignment vertical="center"/>
      <protection locked="0"/>
    </xf>
    <xf numFmtId="167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168" fontId="9" fillId="0" borderId="9" xfId="4" applyNumberFormat="1" applyFont="1" applyFill="1" applyBorder="1" applyAlignment="1" applyProtection="1">
      <alignment horizontal="left" vertical="center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IRM%20Rate%20Generator%20Model%20-%20V1.0_API_201708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>
            <v>0.25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1"/>
  <sheetViews>
    <sheetView showGridLines="0" tabSelected="1" view="pageBreakPreview" zoomScale="60" zoomScaleNormal="100" workbookViewId="0">
      <selection activeCell="I13" sqref="I13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26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4" t="s">
        <v>46</v>
      </c>
      <c r="F2" s="94"/>
      <c r="G2" s="94"/>
      <c r="H2" s="94"/>
      <c r="I2" s="94"/>
      <c r="J2" s="94"/>
      <c r="K2" s="2"/>
      <c r="L2" s="2"/>
      <c r="M2" s="2"/>
    </row>
    <row r="3" spans="4:13" x14ac:dyDescent="0.25">
      <c r="D3" s="1" t="s">
        <v>1</v>
      </c>
      <c r="E3" s="95" t="s">
        <v>45</v>
      </c>
      <c r="F3" s="95"/>
      <c r="G3" s="95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2000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6" t="s">
        <v>8</v>
      </c>
      <c r="G9" s="97"/>
      <c r="H9" s="98"/>
      <c r="I9" s="96" t="s">
        <v>9</v>
      </c>
      <c r="J9" s="97"/>
      <c r="K9" s="98"/>
      <c r="L9" s="96" t="s">
        <v>10</v>
      </c>
      <c r="M9" s="98"/>
    </row>
    <row r="10" spans="4:13" x14ac:dyDescent="0.25">
      <c r="D10" s="5"/>
      <c r="E10" s="101"/>
      <c r="F10" s="27" t="s">
        <v>11</v>
      </c>
      <c r="G10" s="27" t="s">
        <v>12</v>
      </c>
      <c r="H10" s="28" t="s">
        <v>13</v>
      </c>
      <c r="I10" s="27" t="s">
        <v>11</v>
      </c>
      <c r="J10" s="29" t="s">
        <v>12</v>
      </c>
      <c r="K10" s="28" t="s">
        <v>13</v>
      </c>
      <c r="L10" s="99" t="s">
        <v>14</v>
      </c>
      <c r="M10" s="91" t="s">
        <v>15</v>
      </c>
    </row>
    <row r="11" spans="4:13" x14ac:dyDescent="0.25">
      <c r="D11" s="5"/>
      <c r="E11" s="102"/>
      <c r="F11" s="30" t="s">
        <v>16</v>
      </c>
      <c r="G11" s="30"/>
      <c r="H11" s="31" t="s">
        <v>16</v>
      </c>
      <c r="I11" s="30" t="s">
        <v>16</v>
      </c>
      <c r="J11" s="31"/>
      <c r="K11" s="31" t="s">
        <v>16</v>
      </c>
      <c r="L11" s="100"/>
      <c r="M11" s="92"/>
    </row>
    <row r="12" spans="4:13" x14ac:dyDescent="0.25">
      <c r="D12" s="11" t="s">
        <v>17</v>
      </c>
      <c r="E12" s="12"/>
      <c r="F12" s="32">
        <v>24.46</v>
      </c>
      <c r="G12" s="33">
        <v>1</v>
      </c>
      <c r="H12" s="34">
        <f>G12*F12</f>
        <v>24.46</v>
      </c>
      <c r="I12" s="35">
        <v>25.18</v>
      </c>
      <c r="J12" s="36">
        <f>G12</f>
        <v>1</v>
      </c>
      <c r="K12" s="34">
        <f>J12*I12</f>
        <v>25.18</v>
      </c>
      <c r="L12" s="37">
        <f t="shared" ref="L12:L30" si="0">K12-H12</f>
        <v>0.71999999999999886</v>
      </c>
      <c r="M12" s="38">
        <f>IF(ISERROR(L12/H12), "", L12/H12)</f>
        <v>2.9435813573180657E-2</v>
      </c>
    </row>
    <row r="13" spans="4:13" x14ac:dyDescent="0.25">
      <c r="D13" s="11" t="s">
        <v>18</v>
      </c>
      <c r="E13" s="12"/>
      <c r="F13" s="39">
        <v>3.44E-2</v>
      </c>
      <c r="G13" s="33">
        <f>IF($E5&gt;0, $E5, $E4)</f>
        <v>2000</v>
      </c>
      <c r="H13" s="34">
        <f t="shared" ref="H13:H21" si="1">G13*F13</f>
        <v>68.8</v>
      </c>
      <c r="I13" s="40">
        <v>3.5400000000000001E-2</v>
      </c>
      <c r="J13" s="36">
        <f>IF($E5&gt;0, $E5, $E4)</f>
        <v>2000</v>
      </c>
      <c r="K13" s="34">
        <f>J13*I13</f>
        <v>70.8</v>
      </c>
      <c r="L13" s="37">
        <f t="shared" si="0"/>
        <v>2</v>
      </c>
      <c r="M13" s="38">
        <f t="shared" ref="M13:M21" si="2">IF(ISERROR(L13/H13), "", L13/H13)</f>
        <v>2.9069767441860465E-2</v>
      </c>
    </row>
    <row r="14" spans="4:13" x14ac:dyDescent="0.25">
      <c r="D14" s="14" t="s">
        <v>19</v>
      </c>
      <c r="E14" s="12"/>
      <c r="F14" s="32">
        <v>0</v>
      </c>
      <c r="G14" s="33">
        <v>1</v>
      </c>
      <c r="H14" s="34">
        <f t="shared" si="1"/>
        <v>0</v>
      </c>
      <c r="I14" s="35">
        <v>0</v>
      </c>
      <c r="J14" s="36">
        <f>G14</f>
        <v>1</v>
      </c>
      <c r="K14" s="34">
        <f>J14*I14</f>
        <v>0</v>
      </c>
      <c r="L14" s="37">
        <f t="shared" si="0"/>
        <v>0</v>
      </c>
      <c r="M14" s="38" t="str">
        <f t="shared" si="2"/>
        <v/>
      </c>
    </row>
    <row r="15" spans="4:13" x14ac:dyDescent="0.25">
      <c r="D15" s="11" t="s">
        <v>20</v>
      </c>
      <c r="E15" s="12"/>
      <c r="F15" s="39">
        <v>-1.9E-3</v>
      </c>
      <c r="G15" s="33">
        <f>IF($E5&gt;0, $E5, $E4)</f>
        <v>2000</v>
      </c>
      <c r="H15" s="34">
        <f t="shared" si="1"/>
        <v>-3.8</v>
      </c>
      <c r="I15" s="40">
        <v>-1.9E-3</v>
      </c>
      <c r="J15" s="36">
        <f>IF($E5&gt;0, $E5, $E4)</f>
        <v>2000</v>
      </c>
      <c r="K15" s="34">
        <f t="shared" ref="K15:K21" si="3">J15*I15</f>
        <v>-3.8</v>
      </c>
      <c r="L15" s="37">
        <f t="shared" si="0"/>
        <v>0</v>
      </c>
      <c r="M15" s="38">
        <f t="shared" si="2"/>
        <v>0</v>
      </c>
    </row>
    <row r="16" spans="4:13" x14ac:dyDescent="0.25">
      <c r="D16" s="41" t="s">
        <v>21</v>
      </c>
      <c r="E16" s="42"/>
      <c r="F16" s="43"/>
      <c r="G16" s="44"/>
      <c r="H16" s="45">
        <f>SUM(H12:H15)</f>
        <v>89.46</v>
      </c>
      <c r="I16" s="46"/>
      <c r="J16" s="47"/>
      <c r="K16" s="45">
        <f>SUM(K12:K15)</f>
        <v>92.179999999999993</v>
      </c>
      <c r="L16" s="48">
        <f t="shared" si="0"/>
        <v>2.7199999999999989</v>
      </c>
      <c r="M16" s="49">
        <f>IF((H16)=0,"",(L16/H16))</f>
        <v>3.040465012295997E-2</v>
      </c>
    </row>
    <row r="17" spans="4:13" x14ac:dyDescent="0.25">
      <c r="D17" s="15" t="s">
        <v>22</v>
      </c>
      <c r="E17" s="12"/>
      <c r="F17" s="39">
        <f>IF((E4*12&gt;=150000), 0, IF(E3="RPP",(F33*0.65+F34*0.17+F35*0.18),IF(E3="Non-RPP (Retailer)",#REF!,#REF!)))</f>
        <v>8.2160000000000011E-2</v>
      </c>
      <c r="G17" s="50">
        <f>IF(F17=0, 0, $E4*E6-E4)</f>
        <v>183.39999999999964</v>
      </c>
      <c r="H17" s="34">
        <f>G17*F17</f>
        <v>15.068143999999972</v>
      </c>
      <c r="I17" s="40">
        <f>IF((E4*12&gt;=150000), 0, IF(E3="RPP",(I33*0.65+I34*0.17+I35*0.18),IF(E3="Non-RPP (Retailer)",#REF!,#REF!)))</f>
        <v>8.2160000000000011E-2</v>
      </c>
      <c r="J17" s="50">
        <f>IF(I17=0, 0, E4*E7-E4)</f>
        <v>183.39999999999964</v>
      </c>
      <c r="K17" s="34">
        <f>J17*I17</f>
        <v>15.068143999999972</v>
      </c>
      <c r="L17" s="37">
        <f>K17-H17</f>
        <v>0</v>
      </c>
      <c r="M17" s="38">
        <f>IF(ISERROR(L17/H17), "", L17/H17)</f>
        <v>0</v>
      </c>
    </row>
    <row r="18" spans="4:13" ht="25.5" x14ac:dyDescent="0.25">
      <c r="D18" s="15" t="s">
        <v>23</v>
      </c>
      <c r="E18" s="12"/>
      <c r="F18" s="39">
        <v>-3.5000000000000001E-3</v>
      </c>
      <c r="G18" s="51">
        <f>IF($E5&gt;0, $E5, $E4)</f>
        <v>2000</v>
      </c>
      <c r="H18" s="34">
        <f t="shared" si="1"/>
        <v>-7</v>
      </c>
      <c r="I18" s="40">
        <v>3.7000000000000002E-3</v>
      </c>
      <c r="J18" s="51">
        <f>IF($E5&gt;0, $E5, $E4)</f>
        <v>2000</v>
      </c>
      <c r="K18" s="34">
        <f t="shared" si="3"/>
        <v>7.4</v>
      </c>
      <c r="L18" s="37">
        <f t="shared" si="0"/>
        <v>14.4</v>
      </c>
      <c r="M18" s="38">
        <f t="shared" si="2"/>
        <v>-2.0571428571428574</v>
      </c>
    </row>
    <row r="19" spans="4:13" x14ac:dyDescent="0.25">
      <c r="D19" s="15" t="s">
        <v>24</v>
      </c>
      <c r="E19" s="12"/>
      <c r="F19" s="39">
        <v>2.0000000000000001E-4</v>
      </c>
      <c r="G19" s="51">
        <f>IF($E5&gt;0, $E5, $E4)</f>
        <v>2000</v>
      </c>
      <c r="H19" s="34">
        <f>G19*F19</f>
        <v>0.4</v>
      </c>
      <c r="I19" s="40">
        <v>-1E-4</v>
      </c>
      <c r="J19" s="51">
        <f>IF($E5&gt;0, $E5, $E4)</f>
        <v>2000</v>
      </c>
      <c r="K19" s="34">
        <f>J19*I19</f>
        <v>-0.2</v>
      </c>
      <c r="L19" s="37">
        <f t="shared" si="0"/>
        <v>-0.60000000000000009</v>
      </c>
      <c r="M19" s="38">
        <f t="shared" si="2"/>
        <v>-1.5000000000000002</v>
      </c>
    </row>
    <row r="20" spans="4:13" x14ac:dyDescent="0.25">
      <c r="D20" s="15" t="s">
        <v>25</v>
      </c>
      <c r="E20" s="12"/>
      <c r="F20" s="39">
        <v>0</v>
      </c>
      <c r="G20" s="51">
        <f>E4</f>
        <v>2000</v>
      </c>
      <c r="H20" s="34">
        <f>G20*F20</f>
        <v>0</v>
      </c>
      <c r="I20" s="40">
        <v>0</v>
      </c>
      <c r="J20" s="51">
        <f>E4</f>
        <v>2000</v>
      </c>
      <c r="K20" s="34">
        <f t="shared" si="3"/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6" t="s">
        <v>26</v>
      </c>
      <c r="E21" s="12"/>
      <c r="F21" s="39">
        <v>0</v>
      </c>
      <c r="G21" s="51">
        <f>IF($E5&gt;0, $E5, $E4)</f>
        <v>2000</v>
      </c>
      <c r="H21" s="34">
        <f t="shared" si="1"/>
        <v>0</v>
      </c>
      <c r="I21" s="40"/>
      <c r="J21" s="51">
        <f>IF($E5&gt;0, $E5, $E4)</f>
        <v>2000</v>
      </c>
      <c r="K21" s="34">
        <f t="shared" si="3"/>
        <v>0</v>
      </c>
      <c r="L21" s="37">
        <f t="shared" si="0"/>
        <v>0</v>
      </c>
      <c r="M21" s="38" t="str">
        <f t="shared" si="2"/>
        <v/>
      </c>
    </row>
    <row r="22" spans="4:13" ht="51" x14ac:dyDescent="0.25">
      <c r="D22" s="17" t="s">
        <v>27</v>
      </c>
      <c r="E22" s="12"/>
      <c r="F22" s="52">
        <v>0.79</v>
      </c>
      <c r="G22" s="33">
        <v>1</v>
      </c>
      <c r="H22" s="34">
        <f>G22*F22</f>
        <v>0.79</v>
      </c>
      <c r="I22" s="53">
        <v>0.79</v>
      </c>
      <c r="J22" s="33">
        <v>1</v>
      </c>
      <c r="K22" s="34">
        <f>J22*I22</f>
        <v>0.79</v>
      </c>
      <c r="L22" s="37">
        <f t="shared" si="0"/>
        <v>0</v>
      </c>
      <c r="M22" s="38">
        <f>IF(ISERROR(L22/H22), "", L22/H22)</f>
        <v>0</v>
      </c>
    </row>
    <row r="23" spans="4:13" x14ac:dyDescent="0.25">
      <c r="D23" s="16" t="s">
        <v>28</v>
      </c>
      <c r="E23" s="12"/>
      <c r="F23" s="39"/>
      <c r="G23" s="51">
        <f>IF($E5&gt;0, $E5, $E4)</f>
        <v>2000</v>
      </c>
      <c r="H23" s="34">
        <f>G23*F23</f>
        <v>0</v>
      </c>
      <c r="I23" s="40">
        <v>0</v>
      </c>
      <c r="J23" s="51">
        <f>IF($E5&gt;0, $E5, $E4)</f>
        <v>2000</v>
      </c>
      <c r="K23" s="34">
        <f>J23*I23</f>
        <v>0</v>
      </c>
      <c r="L23" s="37">
        <f t="shared" si="0"/>
        <v>0</v>
      </c>
      <c r="M23" s="38" t="str">
        <f>IF(ISERROR(L23/H23), "", L23/H23)</f>
        <v/>
      </c>
    </row>
    <row r="24" spans="4:13" ht="25.5" x14ac:dyDescent="0.25">
      <c r="D24" s="54" t="s">
        <v>29</v>
      </c>
      <c r="E24" s="55"/>
      <c r="F24" s="56"/>
      <c r="G24" s="57"/>
      <c r="H24" s="58">
        <f>SUM(H16:H23)</f>
        <v>98.718143999999981</v>
      </c>
      <c r="I24" s="59"/>
      <c r="J24" s="60"/>
      <c r="K24" s="58">
        <f>SUM(K16:K23)</f>
        <v>115.23814399999998</v>
      </c>
      <c r="L24" s="48">
        <f t="shared" si="0"/>
        <v>16.519999999999996</v>
      </c>
      <c r="M24" s="49">
        <f>IF((H24)=0,"",(L24/H24))</f>
        <v>0.16734512350637384</v>
      </c>
    </row>
    <row r="25" spans="4:13" x14ac:dyDescent="0.25">
      <c r="D25" s="18" t="s">
        <v>30</v>
      </c>
      <c r="E25" s="12"/>
      <c r="F25" s="39">
        <v>6.6E-3</v>
      </c>
      <c r="G25" s="50">
        <f>IF($E5&gt;0, $E5, $E4*$E6)</f>
        <v>2183.3999999999996</v>
      </c>
      <c r="H25" s="34">
        <f>G25*F25</f>
        <v>14.410439999999998</v>
      </c>
      <c r="I25" s="40">
        <v>6.4999999999999997E-3</v>
      </c>
      <c r="J25" s="50">
        <f>IF($E5&gt;0, $E5, $E4*$E7)</f>
        <v>2183.3999999999996</v>
      </c>
      <c r="K25" s="34">
        <f>J25*I25</f>
        <v>14.192099999999996</v>
      </c>
      <c r="L25" s="37">
        <f t="shared" si="0"/>
        <v>-0.21834000000000131</v>
      </c>
      <c r="M25" s="38">
        <f>IF(ISERROR(L25/H25), "", L25/H25)</f>
        <v>-1.5151515151515246E-2</v>
      </c>
    </row>
    <row r="26" spans="4:13" ht="25.5" x14ac:dyDescent="0.25">
      <c r="D26" s="61" t="s">
        <v>31</v>
      </c>
      <c r="E26" s="12"/>
      <c r="F26" s="39">
        <v>5.0000000000000001E-3</v>
      </c>
      <c r="G26" s="50">
        <f>IF($E5&gt;0, $E5, $E4*$E6)</f>
        <v>2183.3999999999996</v>
      </c>
      <c r="H26" s="34">
        <f>G26*F26</f>
        <v>10.916999999999998</v>
      </c>
      <c r="I26" s="40">
        <v>5.1000000000000004E-3</v>
      </c>
      <c r="J26" s="50">
        <f>IF($E5&gt;0, $E5, $E4*$E7)</f>
        <v>2183.3999999999996</v>
      </c>
      <c r="K26" s="34">
        <f>J26*I26</f>
        <v>11.135339999999999</v>
      </c>
      <c r="L26" s="37">
        <f t="shared" si="0"/>
        <v>0.21834000000000131</v>
      </c>
      <c r="M26" s="38">
        <f>IF(ISERROR(L26/H26), "", L26/H26)</f>
        <v>2.0000000000000125E-2</v>
      </c>
    </row>
    <row r="27" spans="4:13" ht="25.5" x14ac:dyDescent="0.25">
      <c r="D27" s="54" t="s">
        <v>32</v>
      </c>
      <c r="E27" s="42"/>
      <c r="F27" s="56"/>
      <c r="G27" s="57"/>
      <c r="H27" s="58">
        <f>SUM(H24:H26)</f>
        <v>124.04558399999998</v>
      </c>
      <c r="I27" s="59"/>
      <c r="J27" s="47"/>
      <c r="K27" s="58">
        <f>SUM(K24:K26)</f>
        <v>140.56558399999994</v>
      </c>
      <c r="L27" s="48">
        <f t="shared" si="0"/>
        <v>16.519999999999968</v>
      </c>
      <c r="M27" s="49">
        <f>IF((H27)=0,"",(L27/H27))</f>
        <v>0.13317684892353743</v>
      </c>
    </row>
    <row r="28" spans="4:13" ht="25.5" x14ac:dyDescent="0.25">
      <c r="D28" s="19" t="s">
        <v>33</v>
      </c>
      <c r="E28" s="12"/>
      <c r="F28" s="39">
        <v>3.5999999999999999E-3</v>
      </c>
      <c r="G28" s="50">
        <f>E4*E6</f>
        <v>2183.3999999999996</v>
      </c>
      <c r="H28" s="62">
        <f t="shared" ref="H28:H35" si="4">G28*F28</f>
        <v>7.8602399999999983</v>
      </c>
      <c r="I28" s="40">
        <v>3.6000000000000003E-3</v>
      </c>
      <c r="J28" s="50">
        <f>E4*E7</f>
        <v>2183.3999999999996</v>
      </c>
      <c r="K28" s="62">
        <f t="shared" ref="K28:K35" si="5">J28*I28</f>
        <v>7.8602399999999992</v>
      </c>
      <c r="L28" s="37">
        <f t="shared" si="0"/>
        <v>0</v>
      </c>
      <c r="M28" s="38">
        <f t="shared" ref="M28:M35" si="6">IF(ISERROR(L28/H28), "", L28/H28)</f>
        <v>0</v>
      </c>
    </row>
    <row r="29" spans="4:13" ht="25.5" x14ac:dyDescent="0.25">
      <c r="D29" s="19" t="s">
        <v>34</v>
      </c>
      <c r="E29" s="12"/>
      <c r="F29" s="39">
        <v>2.9999999999999997E-4</v>
      </c>
      <c r="G29" s="50">
        <f>E4*E6</f>
        <v>2183.3999999999996</v>
      </c>
      <c r="H29" s="62">
        <f t="shared" si="4"/>
        <v>0.65501999999999982</v>
      </c>
      <c r="I29" s="40">
        <v>2.9999999999999997E-4</v>
      </c>
      <c r="J29" s="50">
        <f>E4*E7</f>
        <v>2183.3999999999996</v>
      </c>
      <c r="K29" s="62">
        <f t="shared" si="5"/>
        <v>0.65501999999999982</v>
      </c>
      <c r="L29" s="37">
        <f t="shared" si="0"/>
        <v>0</v>
      </c>
      <c r="M29" s="38">
        <f t="shared" si="6"/>
        <v>0</v>
      </c>
    </row>
    <row r="30" spans="4:13" x14ac:dyDescent="0.25">
      <c r="D30" s="20" t="s">
        <v>35</v>
      </c>
      <c r="E30" s="12"/>
      <c r="F30" s="52">
        <v>0.25</v>
      </c>
      <c r="G30" s="33">
        <v>1</v>
      </c>
      <c r="H30" s="62">
        <f t="shared" si="4"/>
        <v>0.25</v>
      </c>
      <c r="I30" s="53">
        <f>'[1]17. Regulatory Charges'!$D$17</f>
        <v>0.25</v>
      </c>
      <c r="J30" s="36">
        <v>1</v>
      </c>
      <c r="K30" s="62">
        <f t="shared" si="5"/>
        <v>0.25</v>
      </c>
      <c r="L30" s="37">
        <f t="shared" si="0"/>
        <v>0</v>
      </c>
      <c r="M30" s="38">
        <f t="shared" si="6"/>
        <v>0</v>
      </c>
    </row>
    <row r="31" spans="4:13" x14ac:dyDescent="0.25">
      <c r="D31" s="20" t="s">
        <v>36</v>
      </c>
      <c r="E31" s="12"/>
      <c r="F31" s="63">
        <v>2E-3</v>
      </c>
      <c r="G31" s="51">
        <f>E4</f>
        <v>2000</v>
      </c>
      <c r="H31" s="62">
        <f t="shared" si="4"/>
        <v>4</v>
      </c>
      <c r="I31" s="90">
        <f>F31</f>
        <v>2E-3</v>
      </c>
      <c r="J31" s="51">
        <f>E4</f>
        <v>2000</v>
      </c>
      <c r="K31" s="62">
        <f t="shared" si="5"/>
        <v>4</v>
      </c>
      <c r="L31" s="37">
        <f t="shared" ref="L31" si="7">K31-H31</f>
        <v>0</v>
      </c>
      <c r="M31" s="38">
        <f t="shared" ref="M31" si="8">IF(ISERROR(L31/H31), "", L31/H31)</f>
        <v>0</v>
      </c>
    </row>
    <row r="32" spans="4:13" ht="25.5" x14ac:dyDescent="0.25">
      <c r="D32" s="19" t="s">
        <v>37</v>
      </c>
      <c r="E32" s="12"/>
      <c r="F32" s="39"/>
      <c r="G32" s="50"/>
      <c r="H32" s="62"/>
      <c r="I32" s="40"/>
      <c r="J32" s="50"/>
      <c r="K32" s="62"/>
      <c r="L32" s="37"/>
      <c r="M32" s="38"/>
    </row>
    <row r="33" spans="4:13" x14ac:dyDescent="0.25">
      <c r="D33" s="21" t="s">
        <v>38</v>
      </c>
      <c r="E33" s="12"/>
      <c r="F33" s="63">
        <f>OffPeak</f>
        <v>6.5000000000000002E-2</v>
      </c>
      <c r="G33" s="64">
        <f>IF(AND(E4*12&gt;=150000),0.65*E4*E6,0.65*E4)</f>
        <v>1300</v>
      </c>
      <c r="H33" s="62">
        <f t="shared" si="4"/>
        <v>84.5</v>
      </c>
      <c r="I33" s="65">
        <f>OffPeak</f>
        <v>6.5000000000000002E-2</v>
      </c>
      <c r="J33" s="64">
        <f>IF(AND(E4*12&gt;=150000),0.65*E4*E7,0.65*E4)</f>
        <v>1300</v>
      </c>
      <c r="K33" s="62">
        <f t="shared" si="5"/>
        <v>84.5</v>
      </c>
      <c r="L33" s="37">
        <f>K33-H33</f>
        <v>0</v>
      </c>
      <c r="M33" s="38">
        <f t="shared" si="6"/>
        <v>0</v>
      </c>
    </row>
    <row r="34" spans="4:13" x14ac:dyDescent="0.25">
      <c r="D34" s="21" t="s">
        <v>39</v>
      </c>
      <c r="E34" s="12"/>
      <c r="F34" s="63">
        <f>MidPeak</f>
        <v>9.5000000000000001E-2</v>
      </c>
      <c r="G34" s="64">
        <f>IF(AND(E4*12&gt;=150000),0.17*E4*E6,0.17*E4)</f>
        <v>340</v>
      </c>
      <c r="H34" s="62">
        <f t="shared" si="4"/>
        <v>32.299999999999997</v>
      </c>
      <c r="I34" s="65">
        <f>MidPeak</f>
        <v>9.5000000000000001E-2</v>
      </c>
      <c r="J34" s="64">
        <f>IF(AND(E4*12&gt;=150000),0.17*E4*E7,0.17*E4)</f>
        <v>340</v>
      </c>
      <c r="K34" s="62">
        <f t="shared" si="5"/>
        <v>32.299999999999997</v>
      </c>
      <c r="L34" s="37">
        <f>K34-H34</f>
        <v>0</v>
      </c>
      <c r="M34" s="38">
        <f t="shared" si="6"/>
        <v>0</v>
      </c>
    </row>
    <row r="35" spans="4:13" ht="15.75" thickBot="1" x14ac:dyDescent="0.3">
      <c r="D35" s="5" t="s">
        <v>40</v>
      </c>
      <c r="E35" s="12"/>
      <c r="F35" s="63">
        <f>OnPeak</f>
        <v>0.13200000000000001</v>
      </c>
      <c r="G35" s="64">
        <f>IF(AND(E4*12&gt;=150000),0.18*E4*E6,0.18*E4)</f>
        <v>360</v>
      </c>
      <c r="H35" s="62">
        <f t="shared" si="4"/>
        <v>47.52</v>
      </c>
      <c r="I35" s="65">
        <f>OnPeak</f>
        <v>0.13200000000000001</v>
      </c>
      <c r="J35" s="64">
        <f>IF(AND(E4*12&gt;=150000),0.18*E4*E7,0.18*E4)</f>
        <v>360</v>
      </c>
      <c r="K35" s="62">
        <f t="shared" si="5"/>
        <v>47.52</v>
      </c>
      <c r="L35" s="37">
        <f>K35-H35</f>
        <v>0</v>
      </c>
      <c r="M35" s="38">
        <f t="shared" si="6"/>
        <v>0</v>
      </c>
    </row>
    <row r="36" spans="4:13" ht="15.75" thickBot="1" x14ac:dyDescent="0.3">
      <c r="D36" s="66"/>
      <c r="E36" s="67"/>
      <c r="F36" s="68"/>
      <c r="G36" s="69"/>
      <c r="H36" s="70"/>
      <c r="I36" s="68"/>
      <c r="J36" s="71"/>
      <c r="K36" s="70"/>
      <c r="L36" s="72"/>
      <c r="M36" s="73"/>
    </row>
    <row r="37" spans="4:13" x14ac:dyDescent="0.25">
      <c r="D37" s="22" t="s">
        <v>41</v>
      </c>
      <c r="E37" s="20"/>
      <c r="F37" s="74"/>
      <c r="G37" s="23"/>
      <c r="H37" s="75">
        <f>SUM(H28:H35,H27)</f>
        <v>301.13084399999997</v>
      </c>
      <c r="I37" s="76"/>
      <c r="J37" s="76"/>
      <c r="K37" s="75">
        <f>SUM(K28:K35,K27)</f>
        <v>317.65084399999995</v>
      </c>
      <c r="L37" s="77">
        <f>K37-H37</f>
        <v>16.519999999999982</v>
      </c>
      <c r="M37" s="78">
        <f>IF((H37)=0,"",(L37/H37))</f>
        <v>5.4859873470815841E-2</v>
      </c>
    </row>
    <row r="38" spans="4:13" x14ac:dyDescent="0.25">
      <c r="D38" s="24" t="s">
        <v>42</v>
      </c>
      <c r="E38" s="20"/>
      <c r="F38" s="74">
        <v>0.13</v>
      </c>
      <c r="G38" s="13"/>
      <c r="H38" s="79">
        <f>H37*F38</f>
        <v>39.14700972</v>
      </c>
      <c r="I38" s="80">
        <v>0.13</v>
      </c>
      <c r="J38" s="33"/>
      <c r="K38" s="79">
        <f>K37*I38</f>
        <v>41.294609719999997</v>
      </c>
      <c r="L38" s="81">
        <f>K38-H38</f>
        <v>2.1475999999999971</v>
      </c>
      <c r="M38" s="82">
        <f>IF((H38)=0,"",(L38/H38))</f>
        <v>5.485987347081582E-2</v>
      </c>
    </row>
    <row r="39" spans="4:13" x14ac:dyDescent="0.25">
      <c r="D39" s="24" t="s">
        <v>43</v>
      </c>
      <c r="E39" s="20"/>
      <c r="F39" s="74">
        <v>0.08</v>
      </c>
      <c r="G39" s="13"/>
      <c r="H39" s="79">
        <f>H37*-F39</f>
        <v>-24.090467519999997</v>
      </c>
      <c r="I39" s="74">
        <v>0.08</v>
      </c>
      <c r="J39" s="33"/>
      <c r="K39" s="79">
        <f>K37*-I39</f>
        <v>-25.412067519999997</v>
      </c>
      <c r="L39" s="81">
        <f>K39-H39</f>
        <v>-1.3216000000000001</v>
      </c>
      <c r="M39" s="82"/>
    </row>
    <row r="40" spans="4:13" ht="15.75" customHeight="1" thickBot="1" x14ac:dyDescent="0.3">
      <c r="D40" s="93" t="s">
        <v>44</v>
      </c>
      <c r="E40" s="93"/>
      <c r="F40" s="83"/>
      <c r="G40" s="84"/>
      <c r="H40" s="85">
        <f>H37+H38+H39</f>
        <v>316.18738619999993</v>
      </c>
      <c r="I40" s="86"/>
      <c r="J40" s="86"/>
      <c r="K40" s="87">
        <f>K37+K38+K39</f>
        <v>333.53338619999994</v>
      </c>
      <c r="L40" s="88">
        <f>K40-H40</f>
        <v>17.346000000000004</v>
      </c>
      <c r="M40" s="89">
        <f>IF((H40)=0,"",(L40/H40))</f>
        <v>5.4859873470815917E-2</v>
      </c>
    </row>
    <row r="41" spans="4:13" ht="15.75" thickBot="1" x14ac:dyDescent="0.3">
      <c r="D41" s="66"/>
      <c r="E41" s="67"/>
      <c r="F41" s="68"/>
      <c r="G41" s="69"/>
      <c r="H41" s="70"/>
      <c r="I41" s="68"/>
      <c r="J41" s="71"/>
      <c r="K41" s="70"/>
      <c r="L41" s="72"/>
      <c r="M41" s="73"/>
    </row>
  </sheetData>
  <mergeCells count="9">
    <mergeCell ref="M10:M11"/>
    <mergeCell ref="D40:E40"/>
    <mergeCell ref="E2:J2"/>
    <mergeCell ref="E3:G3"/>
    <mergeCell ref="F9:H9"/>
    <mergeCell ref="I9:K9"/>
    <mergeCell ref="L10:L11"/>
    <mergeCell ref="L9:M9"/>
    <mergeCell ref="E10:E11"/>
  </mergeCells>
  <dataValidations count="1">
    <dataValidation type="list" allowBlank="1" showInputMessage="1" showErrorMessage="1" prompt="Select Charge Unit - monthly, per kWh, per kW" sqref="E41 E36">
      <formula1>"Monthly, per kWh, per kW"</formula1>
    </dataValidation>
  </dataValidations>
  <pageMargins left="0.7" right="0.7" top="0.75" bottom="0.75" header="0.3" footer="0.3"/>
  <pageSetup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R1(ii) Bill Impact 2000kWh</vt:lpstr>
    </vt:vector>
  </TitlesOfParts>
  <Company>FortisOntario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2017-08-11T18:01:32Z</dcterms:created>
  <dcterms:modified xsi:type="dcterms:W3CDTF">2017-08-12T22:39:17Z</dcterms:modified>
</cp:coreProperties>
</file>