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24.xml" ContentType="application/vnd.openxmlformats-officedocument.spreadsheetml.comments+xml"/>
  <Override PartName="/xl/drawings/drawing25.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25.xml" ContentType="application/vnd.openxmlformats-officedocument.spreadsheetml.comments+xml"/>
  <Override PartName="/xl/drawings/drawing26.xml" ContentType="application/vnd.openxmlformats-officedocument.drawing+xml"/>
  <Override PartName="/xl/ctrlProps/ctrlProp51.xml" ContentType="application/vnd.ms-excel.controlproperties+xml"/>
  <Override PartName="/xl/ctrlProps/ctrlProp52.xml" ContentType="application/vnd.ms-excel.controlproperties+xml"/>
  <Override PartName="/xl/comments2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8" yWindow="-12" windowWidth="12636" windowHeight="11760" firstSheet="20" activeTab="23"/>
  </bookViews>
  <sheets>
    <sheet name="Summary" sheetId="28" r:id="rId1"/>
    <sheet name="Proposed Rates" sheetId="29" r:id="rId2"/>
    <sheet name="Res (100)" sheetId="11" r:id="rId3"/>
    <sheet name="Res (232)" sheetId="30" r:id="rId4"/>
    <sheet name="Res (250)" sheetId="36" r:id="rId5"/>
    <sheet name="Res (500)" sheetId="37" r:id="rId6"/>
    <sheet name="Res (640)" sheetId="38" r:id="rId7"/>
    <sheet name="Res (750)" sheetId="39" r:id="rId8"/>
    <sheet name="Res (800)" sheetId="40" r:id="rId9"/>
    <sheet name="Res (1000)" sheetId="41" r:id="rId10"/>
    <sheet name="Res (1500)" sheetId="42" r:id="rId11"/>
    <sheet name="Res (2000)" sheetId="43" r:id="rId12"/>
    <sheet name="SC (1000)" sheetId="2" r:id="rId13"/>
    <sheet name="SC (2000)" sheetId="44" r:id="rId14"/>
    <sheet name="SC (5000)" sheetId="45" r:id="rId15"/>
    <sheet name="SC (10000)" sheetId="46" r:id="rId16"/>
    <sheet name="SC (15000)" sheetId="47" r:id="rId17"/>
    <sheet name="&gt;50 (100)" sheetId="3" r:id="rId18"/>
    <sheet name="&gt;50 (250)" sheetId="4" r:id="rId19"/>
    <sheet name="&gt;50 (500)" sheetId="5" r:id="rId20"/>
    <sheet name="&gt;50 (1000)" sheetId="21" r:id="rId21"/>
    <sheet name="&gt;1500(2500)" sheetId="6" r:id="rId22"/>
    <sheet name="&gt;1500(4000)" sheetId="24" r:id="rId23"/>
    <sheet name="LU(7500)" sheetId="7" r:id="rId24"/>
    <sheet name="LU(10000)" sheetId="26" r:id="rId25"/>
    <sheet name="USL (470)" sheetId="8" r:id="rId26"/>
    <sheet name="SN (.4)" sheetId="9" r:id="rId27"/>
    <sheet name="StLght (1.5)" sheetId="10" r:id="rId28"/>
  </sheets>
  <externalReferences>
    <externalReference r:id="rId29"/>
    <externalReference r:id="rId30"/>
    <externalReference r:id="rId31"/>
    <externalReference r:id="rId32"/>
    <externalReference r:id="rId33"/>
    <externalReference r:id="rId34"/>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21">'&gt;1500(2500)'!$A$1:$O$73</definedName>
    <definedName name="_xlnm.Print_Area" localSheetId="22">'&gt;1500(4000)'!$A$1:$O$73</definedName>
    <definedName name="_xlnm.Print_Area" localSheetId="17">'&gt;50 (100)'!$A$1:$O$73</definedName>
    <definedName name="_xlnm.Print_Area" localSheetId="20">'&gt;50 (1000)'!$A$1:$O$73</definedName>
    <definedName name="_xlnm.Print_Area" localSheetId="18">'&gt;50 (250)'!$A$1:$O$73</definedName>
    <definedName name="_xlnm.Print_Area" localSheetId="19">'&gt;50 (500)'!$A$1:$O$73</definedName>
    <definedName name="_xlnm.Print_Area" localSheetId="24">'LU(10000)'!$A$1:$O$73</definedName>
    <definedName name="_xlnm.Print_Area" localSheetId="23">'LU(7500)'!$A$1:$O$73</definedName>
    <definedName name="_xlnm.Print_Area" localSheetId="1">'Proposed Rates'!$A$1:$J$107</definedName>
    <definedName name="_xlnm.Print_Area" localSheetId="2">'Res (100)'!$A$1:$O$75</definedName>
    <definedName name="_xlnm.Print_Area" localSheetId="9">'Res (1000)'!$A$1:$O$75</definedName>
    <definedName name="_xlnm.Print_Area" localSheetId="10">'Res (1500)'!$A$1:$O$75</definedName>
    <definedName name="_xlnm.Print_Area" localSheetId="11">'Res (2000)'!$A$1:$O$75</definedName>
    <definedName name="_xlnm.Print_Area" localSheetId="3">'Res (232)'!$A$1:$O$75</definedName>
    <definedName name="_xlnm.Print_Area" localSheetId="4">'Res (250)'!$A$1:$O$75</definedName>
    <definedName name="_xlnm.Print_Area" localSheetId="5">'Res (500)'!$A$1:$O$75</definedName>
    <definedName name="_xlnm.Print_Area" localSheetId="6">'Res (640)'!$A$1:$O$75</definedName>
    <definedName name="_xlnm.Print_Area" localSheetId="7">'Res (750)'!$A$1:$O$75</definedName>
    <definedName name="_xlnm.Print_Area" localSheetId="8">'Res (800)'!$A$1:$O$75</definedName>
    <definedName name="_xlnm.Print_Area" localSheetId="12">'SC (1000)'!$A$1:$O$76</definedName>
    <definedName name="_xlnm.Print_Area" localSheetId="15">'SC (10000)'!$A$1:$O$76</definedName>
    <definedName name="_xlnm.Print_Area" localSheetId="16">'SC (15000)'!$A$1:$O$76</definedName>
    <definedName name="_xlnm.Print_Area" localSheetId="13">'SC (2000)'!$A$1:$O$76</definedName>
    <definedName name="_xlnm.Print_Area" localSheetId="14">'SC (5000)'!$A$1:$O$76</definedName>
    <definedName name="_xlnm.Print_Area" localSheetId="26">'SN (.4)'!$A$1:$O$77</definedName>
    <definedName name="_xlnm.Print_Area" localSheetId="27">'StLght (1.5)'!$A$1:$O$77</definedName>
    <definedName name="_xlnm.Print_Area" localSheetId="0">Summary!$A$1:$F$66</definedName>
    <definedName name="_xlnm.Print_Area" localSheetId="25">'USL (470)'!$A$1:$O$77</definedName>
    <definedName name="_xlnm.Print_Titles" localSheetId="21">'&gt;1500(2500)'!$A:$H</definedName>
    <definedName name="_xlnm.Print_Titles" localSheetId="22">'&gt;1500(4000)'!$A:$H</definedName>
    <definedName name="_xlnm.Print_Titles" localSheetId="17">'&gt;50 (100)'!$A:$H</definedName>
    <definedName name="_xlnm.Print_Titles" localSheetId="20">'&gt;50 (1000)'!$A:$H</definedName>
    <definedName name="_xlnm.Print_Titles" localSheetId="18">'&gt;50 (250)'!$A:$H</definedName>
    <definedName name="_xlnm.Print_Titles" localSheetId="19">'&gt;50 (500)'!$A:$H</definedName>
    <definedName name="_xlnm.Print_Titles" localSheetId="24">'LU(10000)'!$A:$H</definedName>
    <definedName name="_xlnm.Print_Titles" localSheetId="23">'LU(7500)'!$A:$H</definedName>
    <definedName name="_xlnm.Print_Titles" localSheetId="2">'Res (100)'!$A:$H</definedName>
    <definedName name="_xlnm.Print_Titles" localSheetId="9">'Res (1000)'!$A:$H</definedName>
    <definedName name="_xlnm.Print_Titles" localSheetId="10">'Res (1500)'!$A:$H</definedName>
    <definedName name="_xlnm.Print_Titles" localSheetId="11">'Res (2000)'!$A:$H</definedName>
    <definedName name="_xlnm.Print_Titles" localSheetId="3">'Res (232)'!$A:$H</definedName>
    <definedName name="_xlnm.Print_Titles" localSheetId="4">'Res (250)'!$A:$H</definedName>
    <definedName name="_xlnm.Print_Titles" localSheetId="5">'Res (500)'!$A:$H</definedName>
    <definedName name="_xlnm.Print_Titles" localSheetId="6">'Res (640)'!$A:$H</definedName>
    <definedName name="_xlnm.Print_Titles" localSheetId="7">'Res (750)'!$A:$H</definedName>
    <definedName name="_xlnm.Print_Titles" localSheetId="8">'Res (800)'!$A:$H</definedName>
    <definedName name="_xlnm.Print_Titles" localSheetId="12">'SC (1000)'!$A:$H</definedName>
    <definedName name="_xlnm.Print_Titles" localSheetId="15">'SC (10000)'!$A:$H</definedName>
    <definedName name="_xlnm.Print_Titles" localSheetId="16">'SC (15000)'!$A:$H</definedName>
    <definedName name="_xlnm.Print_Titles" localSheetId="13">'SC (2000)'!$A:$H</definedName>
    <definedName name="_xlnm.Print_Titles" localSheetId="14">'SC (5000)'!$A:$H</definedName>
    <definedName name="_xlnm.Print_Titles" localSheetId="26">'SN (.4)'!$A:$H</definedName>
    <definedName name="_xlnm.Print_Titles" localSheetId="27">'StLght (1.5)'!$A:$H</definedName>
    <definedName name="_xlnm.Print_Titles" localSheetId="25">'USL (470)'!$A:$H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E31" i="28" l="1"/>
  <c r="D16" i="28"/>
  <c r="D11" i="28"/>
  <c r="L63" i="11" l="1"/>
  <c r="H63" i="11"/>
  <c r="O61" i="11"/>
  <c r="O50" i="11"/>
  <c r="O51" i="11"/>
  <c r="O49" i="11"/>
  <c r="O48" i="11"/>
  <c r="O44" i="11"/>
  <c r="O43" i="11"/>
  <c r="O42" i="11"/>
  <c r="O41" i="11"/>
  <c r="O40" i="11"/>
  <c r="O40" i="39" l="1"/>
  <c r="O42" i="39"/>
  <c r="O41" i="39"/>
  <c r="E35" i="28"/>
  <c r="E34" i="28"/>
  <c r="O80" i="44"/>
  <c r="O79" i="44"/>
  <c r="O78" i="44"/>
  <c r="N78" i="44"/>
  <c r="N79" i="44"/>
  <c r="N80" i="44"/>
  <c r="L80" i="44"/>
  <c r="L79" i="44"/>
  <c r="L78" i="44"/>
  <c r="H77" i="39"/>
  <c r="H78" i="44"/>
  <c r="H80" i="44"/>
  <c r="H79" i="44"/>
  <c r="D26" i="28"/>
  <c r="E15" i="28"/>
  <c r="E14" i="28"/>
  <c r="E12" i="28"/>
  <c r="E11" i="28"/>
  <c r="E20" i="28"/>
  <c r="E19" i="28"/>
  <c r="E16" i="28"/>
  <c r="E17" i="28"/>
  <c r="H77" i="30"/>
  <c r="H62" i="30"/>
  <c r="H78" i="30"/>
  <c r="H61" i="30"/>
  <c r="H79" i="30"/>
  <c r="O79" i="30"/>
  <c r="E29" i="28"/>
  <c r="E26" i="28"/>
  <c r="E13" i="28" l="1"/>
  <c r="H67" i="9"/>
  <c r="H66" i="9"/>
  <c r="H65" i="9"/>
  <c r="H64" i="9"/>
  <c r="H63" i="9"/>
  <c r="H73" i="9"/>
  <c r="H72" i="9"/>
  <c r="H71" i="9"/>
  <c r="H70" i="9"/>
  <c r="H69" i="9"/>
  <c r="H67" i="8"/>
  <c r="H66" i="8"/>
  <c r="H73" i="8"/>
  <c r="H72" i="8"/>
  <c r="H71" i="8"/>
  <c r="H70" i="8"/>
  <c r="H69" i="8"/>
  <c r="J75" i="47"/>
  <c r="F75" i="47"/>
  <c r="G48" i="47" s="1"/>
  <c r="K60" i="47"/>
  <c r="L60" i="47" s="1"/>
  <c r="N60" i="47" s="1"/>
  <c r="J60" i="47"/>
  <c r="G60" i="47"/>
  <c r="H60" i="47" s="1"/>
  <c r="F60" i="47"/>
  <c r="K59" i="47"/>
  <c r="L59" i="47" s="1"/>
  <c r="J59" i="47"/>
  <c r="F59" i="47"/>
  <c r="H59" i="47" s="1"/>
  <c r="J58" i="47"/>
  <c r="H58" i="47"/>
  <c r="G58" i="47"/>
  <c r="K58" i="47" s="1"/>
  <c r="L58" i="47" s="1"/>
  <c r="N58" i="47" s="1"/>
  <c r="F58" i="47"/>
  <c r="K57" i="47"/>
  <c r="L57" i="47" s="1"/>
  <c r="N57" i="47" s="1"/>
  <c r="J57" i="47"/>
  <c r="H57" i="47"/>
  <c r="G57" i="47"/>
  <c r="F57" i="47"/>
  <c r="K56" i="47"/>
  <c r="L56" i="47" s="1"/>
  <c r="J56" i="47"/>
  <c r="J45" i="47" s="1"/>
  <c r="G56" i="47"/>
  <c r="H56" i="47" s="1"/>
  <c r="F56" i="47"/>
  <c r="K55" i="47"/>
  <c r="L55" i="47" s="1"/>
  <c r="J55" i="47"/>
  <c r="G55" i="47"/>
  <c r="H55" i="47" s="1"/>
  <c r="F55" i="47"/>
  <c r="K54" i="47"/>
  <c r="L54" i="47" s="1"/>
  <c r="G54" i="47"/>
  <c r="H54" i="47" s="1"/>
  <c r="F54" i="47"/>
  <c r="J54" i="47" s="1"/>
  <c r="J53" i="47"/>
  <c r="L53" i="47" s="1"/>
  <c r="F53" i="47"/>
  <c r="H53" i="47" s="1"/>
  <c r="J52" i="47"/>
  <c r="F52" i="47"/>
  <c r="J51" i="47"/>
  <c r="F51" i="47"/>
  <c r="J49" i="47"/>
  <c r="F49" i="47"/>
  <c r="K48" i="47"/>
  <c r="K49" i="47" s="1"/>
  <c r="J48" i="47"/>
  <c r="F48" i="47"/>
  <c r="J46" i="47"/>
  <c r="L46" i="47" s="1"/>
  <c r="F46" i="47"/>
  <c r="H46" i="47" s="1"/>
  <c r="K45" i="47"/>
  <c r="L45" i="47" s="1"/>
  <c r="G45" i="47"/>
  <c r="F45" i="47"/>
  <c r="K44" i="47"/>
  <c r="L44" i="47" s="1"/>
  <c r="J44" i="47"/>
  <c r="G44" i="47"/>
  <c r="H44" i="47" s="1"/>
  <c r="F44" i="47"/>
  <c r="K43" i="47"/>
  <c r="L43" i="47" s="1"/>
  <c r="J43" i="47"/>
  <c r="G43" i="47"/>
  <c r="H43" i="47" s="1"/>
  <c r="F43" i="47"/>
  <c r="K42" i="47"/>
  <c r="J42" i="47"/>
  <c r="G42" i="47"/>
  <c r="H42" i="47" s="1"/>
  <c r="F42" i="47"/>
  <c r="B42" i="47"/>
  <c r="K41" i="47"/>
  <c r="L41" i="47" s="1"/>
  <c r="N41" i="47" s="1"/>
  <c r="J41" i="47"/>
  <c r="G41" i="47"/>
  <c r="H41" i="47" s="1"/>
  <c r="O41" i="47" s="1"/>
  <c r="F41" i="47"/>
  <c r="B41" i="47"/>
  <c r="K40" i="47"/>
  <c r="J40" i="47"/>
  <c r="G40" i="47"/>
  <c r="H40" i="47" s="1"/>
  <c r="O40" i="47" s="1"/>
  <c r="F40" i="47"/>
  <c r="B40" i="47"/>
  <c r="K38" i="47"/>
  <c r="L38" i="47" s="1"/>
  <c r="G38" i="47"/>
  <c r="H38" i="47" s="1"/>
  <c r="O38" i="47" s="1"/>
  <c r="L37" i="47"/>
  <c r="K37" i="47"/>
  <c r="G37" i="47"/>
  <c r="H37" i="47" s="1"/>
  <c r="O37" i="47" s="1"/>
  <c r="K36" i="47"/>
  <c r="L36" i="47" s="1"/>
  <c r="N36" i="47" s="1"/>
  <c r="H36" i="47"/>
  <c r="O36" i="47" s="1"/>
  <c r="G36" i="47"/>
  <c r="K35" i="47"/>
  <c r="L35" i="47" s="1"/>
  <c r="N35" i="47" s="1"/>
  <c r="G35" i="47"/>
  <c r="H35" i="47" s="1"/>
  <c r="O35" i="47" s="1"/>
  <c r="K34" i="47"/>
  <c r="L34" i="47" s="1"/>
  <c r="H34" i="47"/>
  <c r="O34" i="47" s="1"/>
  <c r="G34" i="47"/>
  <c r="K33" i="47"/>
  <c r="L33" i="47" s="1"/>
  <c r="N33" i="47" s="1"/>
  <c r="G33" i="47"/>
  <c r="H33" i="47" s="1"/>
  <c r="O33" i="47" s="1"/>
  <c r="K32" i="47"/>
  <c r="L32" i="47" s="1"/>
  <c r="G32" i="47"/>
  <c r="H32" i="47" s="1"/>
  <c r="O32" i="47" s="1"/>
  <c r="L31" i="47"/>
  <c r="K31" i="47"/>
  <c r="J31" i="47"/>
  <c r="G31" i="47"/>
  <c r="H31" i="47" s="1"/>
  <c r="O31" i="47" s="1"/>
  <c r="F31" i="47"/>
  <c r="L30" i="47"/>
  <c r="K30" i="47"/>
  <c r="G30" i="47"/>
  <c r="H30" i="47" s="1"/>
  <c r="O30" i="47" s="1"/>
  <c r="K29" i="47"/>
  <c r="L29" i="47" s="1"/>
  <c r="J29" i="47"/>
  <c r="G29" i="47"/>
  <c r="H29" i="47" s="1"/>
  <c r="F29" i="47"/>
  <c r="O28" i="47"/>
  <c r="L28" i="47"/>
  <c r="N28" i="47" s="1"/>
  <c r="H28" i="47"/>
  <c r="O27" i="47"/>
  <c r="L27" i="47"/>
  <c r="N27" i="47" s="1"/>
  <c r="H27" i="47"/>
  <c r="O26" i="47"/>
  <c r="L26" i="47"/>
  <c r="N26" i="47" s="1"/>
  <c r="H26" i="47"/>
  <c r="O25" i="47"/>
  <c r="L25" i="47"/>
  <c r="N25" i="47" s="1"/>
  <c r="H25" i="47"/>
  <c r="O24" i="47"/>
  <c r="L24" i="47"/>
  <c r="N24" i="47" s="1"/>
  <c r="H24" i="47"/>
  <c r="J23" i="47"/>
  <c r="L23" i="47" s="1"/>
  <c r="H23" i="47"/>
  <c r="F23" i="47"/>
  <c r="J75" i="46"/>
  <c r="F75" i="46"/>
  <c r="J60" i="46"/>
  <c r="G60" i="46"/>
  <c r="H60" i="46" s="1"/>
  <c r="F60" i="46"/>
  <c r="K59" i="46"/>
  <c r="L59" i="46" s="1"/>
  <c r="J59" i="46"/>
  <c r="H59" i="46"/>
  <c r="F59" i="46"/>
  <c r="J58" i="46"/>
  <c r="G58" i="46"/>
  <c r="K58" i="46" s="1"/>
  <c r="L58" i="46" s="1"/>
  <c r="F58" i="46"/>
  <c r="J57" i="46"/>
  <c r="G57" i="46"/>
  <c r="K57" i="46" s="1"/>
  <c r="L57" i="46" s="1"/>
  <c r="F57" i="46"/>
  <c r="J56" i="46"/>
  <c r="G56" i="46"/>
  <c r="K56" i="46" s="1"/>
  <c r="L56" i="46" s="1"/>
  <c r="F56" i="46"/>
  <c r="L55" i="46"/>
  <c r="K55" i="46"/>
  <c r="J55" i="46"/>
  <c r="G55" i="46"/>
  <c r="H55" i="46" s="1"/>
  <c r="F55" i="46"/>
  <c r="K54" i="46"/>
  <c r="G54" i="46"/>
  <c r="F54" i="46"/>
  <c r="J54" i="46" s="1"/>
  <c r="J53" i="46"/>
  <c r="L53" i="46" s="1"/>
  <c r="H53" i="46"/>
  <c r="F53" i="46"/>
  <c r="J52" i="46"/>
  <c r="F52" i="46"/>
  <c r="J51" i="46"/>
  <c r="F51" i="46"/>
  <c r="L49" i="46"/>
  <c r="J49" i="46"/>
  <c r="F49" i="46"/>
  <c r="L48" i="46"/>
  <c r="K48" i="46"/>
  <c r="K49" i="46" s="1"/>
  <c r="J48" i="46"/>
  <c r="G48" i="46"/>
  <c r="H48" i="46" s="1"/>
  <c r="F48" i="46"/>
  <c r="L46" i="46"/>
  <c r="N46" i="46" s="1"/>
  <c r="J46" i="46"/>
  <c r="F46" i="46"/>
  <c r="H46" i="46" s="1"/>
  <c r="K45" i="46"/>
  <c r="J45" i="46"/>
  <c r="G45" i="46"/>
  <c r="F45" i="46"/>
  <c r="K44" i="46"/>
  <c r="L44" i="46" s="1"/>
  <c r="J44" i="46"/>
  <c r="G44" i="46"/>
  <c r="F44" i="46"/>
  <c r="K43" i="46"/>
  <c r="J43" i="46"/>
  <c r="G43" i="46"/>
  <c r="F43" i="46"/>
  <c r="K42" i="46"/>
  <c r="J42" i="46"/>
  <c r="G42" i="46"/>
  <c r="H42" i="46" s="1"/>
  <c r="F42" i="46"/>
  <c r="B42" i="46"/>
  <c r="K41" i="46"/>
  <c r="L41" i="46" s="1"/>
  <c r="J41" i="46"/>
  <c r="G41" i="46"/>
  <c r="F41" i="46"/>
  <c r="B41" i="46"/>
  <c r="K40" i="46"/>
  <c r="L40" i="46" s="1"/>
  <c r="N40" i="46" s="1"/>
  <c r="J40" i="46"/>
  <c r="G40" i="46"/>
  <c r="H40" i="46" s="1"/>
  <c r="O40" i="46" s="1"/>
  <c r="F40" i="46"/>
  <c r="B40" i="46"/>
  <c r="K38" i="46"/>
  <c r="L38" i="46" s="1"/>
  <c r="G38" i="46"/>
  <c r="H38" i="46" s="1"/>
  <c r="K37" i="46"/>
  <c r="L37" i="46" s="1"/>
  <c r="N37" i="46" s="1"/>
  <c r="G37" i="46"/>
  <c r="H37" i="46" s="1"/>
  <c r="O37" i="46" s="1"/>
  <c r="K36" i="46"/>
  <c r="L36" i="46" s="1"/>
  <c r="G36" i="46"/>
  <c r="H36" i="46" s="1"/>
  <c r="K35" i="46"/>
  <c r="L35" i="46" s="1"/>
  <c r="N35" i="46" s="1"/>
  <c r="G35" i="46"/>
  <c r="H35" i="46" s="1"/>
  <c r="O35" i="46" s="1"/>
  <c r="K34" i="46"/>
  <c r="L34" i="46" s="1"/>
  <c r="G34" i="46"/>
  <c r="H34" i="46" s="1"/>
  <c r="K33" i="46"/>
  <c r="L33" i="46" s="1"/>
  <c r="N33" i="46" s="1"/>
  <c r="G33" i="46"/>
  <c r="H33" i="46" s="1"/>
  <c r="O33" i="46" s="1"/>
  <c r="K32" i="46"/>
  <c r="L32" i="46" s="1"/>
  <c r="G32" i="46"/>
  <c r="H32" i="46" s="1"/>
  <c r="L31" i="46"/>
  <c r="K31" i="46"/>
  <c r="J31" i="46"/>
  <c r="G31" i="46"/>
  <c r="F31" i="46"/>
  <c r="K30" i="46"/>
  <c r="L30" i="46" s="1"/>
  <c r="N30" i="46" s="1"/>
  <c r="G30" i="46"/>
  <c r="H30" i="46" s="1"/>
  <c r="O30" i="46" s="1"/>
  <c r="K29" i="46"/>
  <c r="J29" i="46"/>
  <c r="G29" i="46"/>
  <c r="H29" i="46" s="1"/>
  <c r="F29" i="46"/>
  <c r="O28" i="46"/>
  <c r="N28" i="46"/>
  <c r="L28" i="46"/>
  <c r="H28" i="46"/>
  <c r="O27" i="46"/>
  <c r="N27" i="46"/>
  <c r="L27" i="46"/>
  <c r="H27" i="46"/>
  <c r="O26" i="46"/>
  <c r="N26" i="46"/>
  <c r="L26" i="46"/>
  <c r="H26" i="46"/>
  <c r="O25" i="46"/>
  <c r="N25" i="46"/>
  <c r="L25" i="46"/>
  <c r="H25" i="46"/>
  <c r="O24" i="46"/>
  <c r="N24" i="46"/>
  <c r="L24" i="46"/>
  <c r="H24" i="46"/>
  <c r="J23" i="46"/>
  <c r="L23" i="46" s="1"/>
  <c r="F23" i="46"/>
  <c r="H23" i="46" s="1"/>
  <c r="J75" i="45"/>
  <c r="F75" i="45"/>
  <c r="H60" i="45"/>
  <c r="G60" i="45"/>
  <c r="K60" i="45" s="1"/>
  <c r="L60" i="45" s="1"/>
  <c r="F60" i="45"/>
  <c r="J60" i="45" s="1"/>
  <c r="K59" i="45"/>
  <c r="H59" i="45"/>
  <c r="F59" i="45"/>
  <c r="J59" i="45" s="1"/>
  <c r="L59" i="45" s="1"/>
  <c r="G58" i="45"/>
  <c r="K58" i="45" s="1"/>
  <c r="F58" i="45"/>
  <c r="J58" i="45" s="1"/>
  <c r="G57" i="45"/>
  <c r="K57" i="45" s="1"/>
  <c r="F57" i="45"/>
  <c r="J57" i="45" s="1"/>
  <c r="G56" i="45"/>
  <c r="K56" i="45" s="1"/>
  <c r="F56" i="45"/>
  <c r="J56" i="45" s="1"/>
  <c r="K55" i="45"/>
  <c r="G55" i="45"/>
  <c r="H55" i="45" s="1"/>
  <c r="F55" i="45"/>
  <c r="J55" i="45" s="1"/>
  <c r="K54" i="45"/>
  <c r="J54" i="45"/>
  <c r="L54" i="45" s="1"/>
  <c r="G54" i="45"/>
  <c r="H54" i="45" s="1"/>
  <c r="F54" i="45"/>
  <c r="H53" i="45"/>
  <c r="F53" i="45"/>
  <c r="J53" i="45" s="1"/>
  <c r="L53" i="45" s="1"/>
  <c r="N53" i="45" s="1"/>
  <c r="F52" i="45"/>
  <c r="J52" i="45" s="1"/>
  <c r="F51" i="45"/>
  <c r="J51" i="45" s="1"/>
  <c r="J49" i="45"/>
  <c r="F49" i="45"/>
  <c r="K48" i="45"/>
  <c r="K49" i="45" s="1"/>
  <c r="J48" i="45"/>
  <c r="G48" i="45"/>
  <c r="G49" i="45" s="1"/>
  <c r="F48" i="45"/>
  <c r="L46" i="45"/>
  <c r="N46" i="45" s="1"/>
  <c r="J46" i="45"/>
  <c r="H46" i="45"/>
  <c r="O46" i="45" s="1"/>
  <c r="F46" i="45"/>
  <c r="K45" i="45"/>
  <c r="H45" i="45"/>
  <c r="G45" i="45"/>
  <c r="F45" i="45"/>
  <c r="K44" i="45"/>
  <c r="L44" i="45" s="1"/>
  <c r="J44" i="45"/>
  <c r="G44" i="45"/>
  <c r="F44" i="45"/>
  <c r="H44" i="45" s="1"/>
  <c r="K43" i="45"/>
  <c r="L43" i="45" s="1"/>
  <c r="J43" i="45"/>
  <c r="G43" i="45"/>
  <c r="F43" i="45"/>
  <c r="H43" i="45" s="1"/>
  <c r="K42" i="45"/>
  <c r="L42" i="45" s="1"/>
  <c r="J42" i="45"/>
  <c r="G42" i="45"/>
  <c r="F42" i="45"/>
  <c r="H42" i="45" s="1"/>
  <c r="B42" i="45"/>
  <c r="K41" i="45"/>
  <c r="L41" i="45" s="1"/>
  <c r="J41" i="45"/>
  <c r="G41" i="45"/>
  <c r="H41" i="45" s="1"/>
  <c r="O41" i="45" s="1"/>
  <c r="F41" i="45"/>
  <c r="B41" i="45"/>
  <c r="K40" i="45"/>
  <c r="J40" i="45"/>
  <c r="G40" i="45"/>
  <c r="H40" i="45" s="1"/>
  <c r="O40" i="45" s="1"/>
  <c r="F40" i="45"/>
  <c r="B40" i="45"/>
  <c r="K38" i="45"/>
  <c r="L38" i="45" s="1"/>
  <c r="G38" i="45"/>
  <c r="H38" i="45" s="1"/>
  <c r="K37" i="45"/>
  <c r="L37" i="45" s="1"/>
  <c r="G37" i="45"/>
  <c r="H37" i="45" s="1"/>
  <c r="O37" i="45" s="1"/>
  <c r="K36" i="45"/>
  <c r="L36" i="45" s="1"/>
  <c r="G36" i="45"/>
  <c r="H36" i="45" s="1"/>
  <c r="K35" i="45"/>
  <c r="L35" i="45" s="1"/>
  <c r="G35" i="45"/>
  <c r="H35" i="45" s="1"/>
  <c r="O35" i="45" s="1"/>
  <c r="K34" i="45"/>
  <c r="L34" i="45" s="1"/>
  <c r="G34" i="45"/>
  <c r="H34" i="45" s="1"/>
  <c r="K33" i="45"/>
  <c r="L33" i="45" s="1"/>
  <c r="G33" i="45"/>
  <c r="H33" i="45" s="1"/>
  <c r="O33" i="45" s="1"/>
  <c r="K32" i="45"/>
  <c r="L32" i="45" s="1"/>
  <c r="G32" i="45"/>
  <c r="H32" i="45" s="1"/>
  <c r="K31" i="45"/>
  <c r="L31" i="45" s="1"/>
  <c r="J31" i="45"/>
  <c r="G31" i="45"/>
  <c r="H31" i="45" s="1"/>
  <c r="O31" i="45" s="1"/>
  <c r="F31" i="45"/>
  <c r="K30" i="45"/>
  <c r="L30" i="45" s="1"/>
  <c r="G30" i="45"/>
  <c r="H30" i="45" s="1"/>
  <c r="O30" i="45" s="1"/>
  <c r="L29" i="45"/>
  <c r="N29" i="45" s="1"/>
  <c r="K29" i="45"/>
  <c r="J29" i="45"/>
  <c r="G29" i="45"/>
  <c r="H29" i="45" s="1"/>
  <c r="F29" i="45"/>
  <c r="O28" i="45"/>
  <c r="N28" i="45"/>
  <c r="L28" i="45"/>
  <c r="H28" i="45"/>
  <c r="O27" i="45"/>
  <c r="N27" i="45"/>
  <c r="L27" i="45"/>
  <c r="H27" i="45"/>
  <c r="O26" i="45"/>
  <c r="N26" i="45"/>
  <c r="L26" i="45"/>
  <c r="H26" i="45"/>
  <c r="O25" i="45"/>
  <c r="N25" i="45"/>
  <c r="L25" i="45"/>
  <c r="H25" i="45"/>
  <c r="O24" i="45"/>
  <c r="N24" i="45"/>
  <c r="L24" i="45"/>
  <c r="H24" i="45"/>
  <c r="L23" i="45"/>
  <c r="J23" i="45"/>
  <c r="F23" i="45"/>
  <c r="H23" i="45" s="1"/>
  <c r="J75" i="44"/>
  <c r="K45" i="44" s="1"/>
  <c r="F75" i="44"/>
  <c r="G45" i="44" s="1"/>
  <c r="G60" i="44"/>
  <c r="K60" i="44" s="1"/>
  <c r="F60" i="44"/>
  <c r="J60" i="44" s="1"/>
  <c r="K59" i="44"/>
  <c r="F59" i="44"/>
  <c r="H59" i="44" s="1"/>
  <c r="G58" i="44"/>
  <c r="K58" i="44" s="1"/>
  <c r="F58" i="44"/>
  <c r="J58" i="44" s="1"/>
  <c r="G57" i="44"/>
  <c r="K57" i="44" s="1"/>
  <c r="F57" i="44"/>
  <c r="J57" i="44" s="1"/>
  <c r="G56" i="44"/>
  <c r="K56" i="44" s="1"/>
  <c r="F56" i="44"/>
  <c r="J56" i="44" s="1"/>
  <c r="K55" i="44"/>
  <c r="G55" i="44"/>
  <c r="F55" i="44"/>
  <c r="J55" i="44" s="1"/>
  <c r="L55" i="44" s="1"/>
  <c r="K54" i="44"/>
  <c r="F54" i="44"/>
  <c r="J54" i="44" s="1"/>
  <c r="F53" i="44"/>
  <c r="H53" i="44" s="1"/>
  <c r="F52" i="44"/>
  <c r="J52" i="44" s="1"/>
  <c r="F51" i="44"/>
  <c r="J51" i="44" s="1"/>
  <c r="J49" i="44"/>
  <c r="F49" i="44"/>
  <c r="K48" i="44"/>
  <c r="K49" i="44" s="1"/>
  <c r="J48" i="44"/>
  <c r="G48" i="44"/>
  <c r="F48" i="44"/>
  <c r="J46" i="44"/>
  <c r="L46" i="44" s="1"/>
  <c r="F46" i="44"/>
  <c r="H46" i="44" s="1"/>
  <c r="K44" i="44"/>
  <c r="J44" i="44"/>
  <c r="F44" i="44"/>
  <c r="K43" i="44"/>
  <c r="J43" i="44"/>
  <c r="G43" i="44"/>
  <c r="F43" i="44"/>
  <c r="H43" i="44" s="1"/>
  <c r="K42" i="44"/>
  <c r="J42" i="44"/>
  <c r="G42" i="44"/>
  <c r="F42" i="44"/>
  <c r="H42" i="44" s="1"/>
  <c r="B42" i="44"/>
  <c r="K41" i="44"/>
  <c r="J41" i="44"/>
  <c r="G41" i="44"/>
  <c r="F41" i="44"/>
  <c r="B41" i="44"/>
  <c r="K40" i="44"/>
  <c r="L40" i="44" s="1"/>
  <c r="J40" i="44"/>
  <c r="G40" i="44"/>
  <c r="F40" i="44"/>
  <c r="B40" i="44"/>
  <c r="L38" i="44"/>
  <c r="N38" i="44" s="1"/>
  <c r="K38" i="44"/>
  <c r="G38" i="44"/>
  <c r="H38" i="44" s="1"/>
  <c r="O38" i="44" s="1"/>
  <c r="K37" i="44"/>
  <c r="L37" i="44" s="1"/>
  <c r="H37" i="44"/>
  <c r="O37" i="44" s="1"/>
  <c r="G37" i="44"/>
  <c r="K36" i="44"/>
  <c r="L36" i="44" s="1"/>
  <c r="N36" i="44" s="1"/>
  <c r="G36" i="44"/>
  <c r="H36" i="44" s="1"/>
  <c r="O36" i="44" s="1"/>
  <c r="K35" i="44"/>
  <c r="L35" i="44" s="1"/>
  <c r="G35" i="44"/>
  <c r="H35" i="44" s="1"/>
  <c r="O35" i="44" s="1"/>
  <c r="K34" i="44"/>
  <c r="L34" i="44" s="1"/>
  <c r="G34" i="44"/>
  <c r="H34" i="44" s="1"/>
  <c r="O34" i="44" s="1"/>
  <c r="K33" i="44"/>
  <c r="L33" i="44" s="1"/>
  <c r="G33" i="44"/>
  <c r="H33" i="44" s="1"/>
  <c r="O33" i="44" s="1"/>
  <c r="L32" i="44"/>
  <c r="N32" i="44" s="1"/>
  <c r="K32" i="44"/>
  <c r="G32" i="44"/>
  <c r="H32" i="44" s="1"/>
  <c r="O32" i="44" s="1"/>
  <c r="K31" i="44"/>
  <c r="J31" i="44"/>
  <c r="G31" i="44"/>
  <c r="F31" i="44"/>
  <c r="K30" i="44"/>
  <c r="L30" i="44" s="1"/>
  <c r="H30" i="44"/>
  <c r="O30" i="44" s="1"/>
  <c r="G30" i="44"/>
  <c r="K29" i="44"/>
  <c r="J29" i="44"/>
  <c r="L29" i="44" s="1"/>
  <c r="G29" i="44"/>
  <c r="F29" i="44"/>
  <c r="O28" i="44"/>
  <c r="N28" i="44"/>
  <c r="L28" i="44"/>
  <c r="H28" i="44"/>
  <c r="O27" i="44"/>
  <c r="N27" i="44"/>
  <c r="L27" i="44"/>
  <c r="H27" i="44"/>
  <c r="O26" i="44"/>
  <c r="N26" i="44"/>
  <c r="L26" i="44"/>
  <c r="H26" i="44"/>
  <c r="O25" i="44"/>
  <c r="N25" i="44"/>
  <c r="L25" i="44"/>
  <c r="H25" i="44"/>
  <c r="O24" i="44"/>
  <c r="N24" i="44"/>
  <c r="L24" i="44"/>
  <c r="H24" i="44"/>
  <c r="J23" i="44"/>
  <c r="L23" i="44" s="1"/>
  <c r="F23" i="44"/>
  <c r="H23" i="44" s="1"/>
  <c r="H72" i="2"/>
  <c r="H71" i="2"/>
  <c r="H70" i="2"/>
  <c r="H69" i="2"/>
  <c r="H68" i="2"/>
  <c r="H66" i="2"/>
  <c r="H64" i="2"/>
  <c r="H65" i="43"/>
  <c r="H64" i="43"/>
  <c r="H65" i="2"/>
  <c r="H63" i="2"/>
  <c r="H62" i="2"/>
  <c r="H63" i="43"/>
  <c r="J74" i="43"/>
  <c r="F74" i="43"/>
  <c r="J59" i="43"/>
  <c r="G59" i="43"/>
  <c r="K59" i="43" s="1"/>
  <c r="L59" i="43" s="1"/>
  <c r="F59" i="43"/>
  <c r="J58" i="43"/>
  <c r="G58" i="43"/>
  <c r="K58" i="43" s="1"/>
  <c r="L58" i="43" s="1"/>
  <c r="F58" i="43"/>
  <c r="J57" i="43"/>
  <c r="G57" i="43"/>
  <c r="K57" i="43" s="1"/>
  <c r="L57" i="43" s="1"/>
  <c r="F57" i="43"/>
  <c r="J56" i="43"/>
  <c r="G56" i="43"/>
  <c r="K56" i="43" s="1"/>
  <c r="L56" i="43" s="1"/>
  <c r="F56" i="43"/>
  <c r="J55" i="43"/>
  <c r="J45" i="43" s="1"/>
  <c r="G55" i="43"/>
  <c r="K55" i="43" s="1"/>
  <c r="L55" i="43" s="1"/>
  <c r="F55" i="43"/>
  <c r="K54" i="43"/>
  <c r="L54" i="43" s="1"/>
  <c r="J54" i="43"/>
  <c r="G54" i="43"/>
  <c r="H54" i="43" s="1"/>
  <c r="F54" i="43"/>
  <c r="J53" i="43"/>
  <c r="L53" i="43" s="1"/>
  <c r="N53" i="43" s="1"/>
  <c r="H53" i="43"/>
  <c r="F53" i="43"/>
  <c r="J52" i="43"/>
  <c r="F52" i="43"/>
  <c r="J51" i="43"/>
  <c r="F51" i="43"/>
  <c r="J49" i="43"/>
  <c r="F49" i="43"/>
  <c r="K48" i="43"/>
  <c r="K49" i="43" s="1"/>
  <c r="J48" i="43"/>
  <c r="L48" i="43" s="1"/>
  <c r="N48" i="43" s="1"/>
  <c r="H48" i="43"/>
  <c r="G48" i="43"/>
  <c r="G49" i="43" s="1"/>
  <c r="F48" i="43"/>
  <c r="N46" i="43"/>
  <c r="L46" i="43"/>
  <c r="J46" i="43"/>
  <c r="F46" i="43"/>
  <c r="H46" i="43" s="1"/>
  <c r="K45" i="43"/>
  <c r="G45" i="43"/>
  <c r="H45" i="43" s="1"/>
  <c r="F45" i="43"/>
  <c r="K44" i="43"/>
  <c r="L44" i="43" s="1"/>
  <c r="J44" i="43"/>
  <c r="G44" i="43"/>
  <c r="H44" i="43" s="1"/>
  <c r="F44" i="43"/>
  <c r="K43" i="43"/>
  <c r="L43" i="43" s="1"/>
  <c r="J43" i="43"/>
  <c r="G43" i="43"/>
  <c r="H43" i="43" s="1"/>
  <c r="F43" i="43"/>
  <c r="K42" i="43"/>
  <c r="G42" i="43"/>
  <c r="H42" i="43" s="1"/>
  <c r="F42" i="43"/>
  <c r="J41" i="43"/>
  <c r="L41" i="43" s="1"/>
  <c r="N41" i="43" s="1"/>
  <c r="H41" i="43"/>
  <c r="O41" i="43" s="1"/>
  <c r="F41" i="43"/>
  <c r="K40" i="43"/>
  <c r="G40" i="43"/>
  <c r="H40" i="43" s="1"/>
  <c r="F40" i="43"/>
  <c r="B40" i="43"/>
  <c r="K38" i="43"/>
  <c r="L38" i="43" s="1"/>
  <c r="H38" i="43"/>
  <c r="O38" i="43" s="1"/>
  <c r="G38" i="43"/>
  <c r="K37" i="43"/>
  <c r="L37" i="43" s="1"/>
  <c r="G37" i="43"/>
  <c r="H37" i="43" s="1"/>
  <c r="O37" i="43" s="1"/>
  <c r="K36" i="43"/>
  <c r="L36" i="43" s="1"/>
  <c r="G36" i="43"/>
  <c r="H36" i="43" s="1"/>
  <c r="O36" i="43" s="1"/>
  <c r="K35" i="43"/>
  <c r="L35" i="43" s="1"/>
  <c r="N35" i="43" s="1"/>
  <c r="G35" i="43"/>
  <c r="H35" i="43" s="1"/>
  <c r="O35" i="43" s="1"/>
  <c r="K34" i="43"/>
  <c r="L34" i="43" s="1"/>
  <c r="G34" i="43"/>
  <c r="H34" i="43" s="1"/>
  <c r="O34" i="43" s="1"/>
  <c r="L33" i="43"/>
  <c r="N33" i="43" s="1"/>
  <c r="K33" i="43"/>
  <c r="G33" i="43"/>
  <c r="H33" i="43" s="1"/>
  <c r="O33" i="43" s="1"/>
  <c r="K32" i="43"/>
  <c r="L32" i="43" s="1"/>
  <c r="H32" i="43"/>
  <c r="O32" i="43" s="1"/>
  <c r="G32" i="43"/>
  <c r="K31" i="43"/>
  <c r="L31" i="43" s="1"/>
  <c r="N31" i="43" s="1"/>
  <c r="J31" i="43"/>
  <c r="G31" i="43"/>
  <c r="H31" i="43" s="1"/>
  <c r="O31" i="43" s="1"/>
  <c r="F31" i="43"/>
  <c r="K30" i="43"/>
  <c r="L30" i="43" s="1"/>
  <c r="N30" i="43" s="1"/>
  <c r="G30" i="43"/>
  <c r="H30" i="43" s="1"/>
  <c r="O30" i="43" s="1"/>
  <c r="K29" i="43"/>
  <c r="J29" i="43"/>
  <c r="G29" i="43"/>
  <c r="F29" i="43"/>
  <c r="O28" i="43"/>
  <c r="L28" i="43"/>
  <c r="H28" i="43"/>
  <c r="N28" i="43" s="1"/>
  <c r="O27" i="43"/>
  <c r="L27" i="43"/>
  <c r="H27" i="43"/>
  <c r="N27" i="43" s="1"/>
  <c r="O26" i="43"/>
  <c r="L26" i="43"/>
  <c r="H26" i="43"/>
  <c r="N26" i="43" s="1"/>
  <c r="O25" i="43"/>
  <c r="L25" i="43"/>
  <c r="H25" i="43"/>
  <c r="N25" i="43" s="1"/>
  <c r="O24" i="43"/>
  <c r="L24" i="43"/>
  <c r="H24" i="43"/>
  <c r="N24" i="43" s="1"/>
  <c r="J23" i="43"/>
  <c r="L23" i="43" s="1"/>
  <c r="H23" i="43"/>
  <c r="F23" i="43"/>
  <c r="J74" i="42"/>
  <c r="F74" i="42"/>
  <c r="G59" i="42"/>
  <c r="F59" i="42"/>
  <c r="J59" i="42" s="1"/>
  <c r="G58" i="42"/>
  <c r="F58" i="42"/>
  <c r="J58" i="42" s="1"/>
  <c r="G57" i="42"/>
  <c r="F57" i="42"/>
  <c r="J57" i="42" s="1"/>
  <c r="J45" i="42" s="1"/>
  <c r="G56" i="42"/>
  <c r="F56" i="42"/>
  <c r="J56" i="42" s="1"/>
  <c r="G55" i="42"/>
  <c r="F55" i="42"/>
  <c r="J55" i="42" s="1"/>
  <c r="J54" i="42"/>
  <c r="G54" i="42"/>
  <c r="F54" i="42"/>
  <c r="H54" i="42" s="1"/>
  <c r="J53" i="42"/>
  <c r="L53" i="42" s="1"/>
  <c r="H53" i="42"/>
  <c r="F53" i="42"/>
  <c r="F52" i="42"/>
  <c r="J52" i="42" s="1"/>
  <c r="F51" i="42"/>
  <c r="J51" i="42" s="1"/>
  <c r="J49" i="42"/>
  <c r="F49" i="42"/>
  <c r="J48" i="42"/>
  <c r="G48" i="42"/>
  <c r="H48" i="42" s="1"/>
  <c r="F48" i="42"/>
  <c r="L46" i="42"/>
  <c r="J46" i="42"/>
  <c r="F46" i="42"/>
  <c r="H46" i="42" s="1"/>
  <c r="G45" i="42"/>
  <c r="F45" i="42"/>
  <c r="J44" i="42"/>
  <c r="G44" i="42"/>
  <c r="F44" i="42"/>
  <c r="H44" i="42" s="1"/>
  <c r="K43" i="42"/>
  <c r="J43" i="42"/>
  <c r="G43" i="42"/>
  <c r="F43" i="42"/>
  <c r="H43" i="42" s="1"/>
  <c r="K42" i="42"/>
  <c r="G42" i="42"/>
  <c r="F42" i="42"/>
  <c r="H42" i="42" s="1"/>
  <c r="J41" i="42"/>
  <c r="L41" i="42" s="1"/>
  <c r="H41" i="42"/>
  <c r="F41" i="42"/>
  <c r="K40" i="42"/>
  <c r="G40" i="42"/>
  <c r="H40" i="42" s="1"/>
  <c r="F40" i="42"/>
  <c r="B40" i="42"/>
  <c r="K38" i="42"/>
  <c r="L38" i="42" s="1"/>
  <c r="G38" i="42"/>
  <c r="H38" i="42" s="1"/>
  <c r="O38" i="42" s="1"/>
  <c r="K37" i="42"/>
  <c r="L37" i="42" s="1"/>
  <c r="N37" i="42" s="1"/>
  <c r="G37" i="42"/>
  <c r="H37" i="42" s="1"/>
  <c r="O37" i="42" s="1"/>
  <c r="K36" i="42"/>
  <c r="L36" i="42" s="1"/>
  <c r="G36" i="42"/>
  <c r="H36" i="42" s="1"/>
  <c r="O36" i="42" s="1"/>
  <c r="K35" i="42"/>
  <c r="L35" i="42" s="1"/>
  <c r="N35" i="42" s="1"/>
  <c r="G35" i="42"/>
  <c r="H35" i="42" s="1"/>
  <c r="O35" i="42" s="1"/>
  <c r="K34" i="42"/>
  <c r="L34" i="42" s="1"/>
  <c r="G34" i="42"/>
  <c r="H34" i="42" s="1"/>
  <c r="O34" i="42" s="1"/>
  <c r="K33" i="42"/>
  <c r="L33" i="42" s="1"/>
  <c r="N33" i="42" s="1"/>
  <c r="G33" i="42"/>
  <c r="H33" i="42" s="1"/>
  <c r="O33" i="42" s="1"/>
  <c r="K32" i="42"/>
  <c r="L32" i="42" s="1"/>
  <c r="G32" i="42"/>
  <c r="H32" i="42" s="1"/>
  <c r="O32" i="42" s="1"/>
  <c r="K31" i="42"/>
  <c r="L31" i="42" s="1"/>
  <c r="J31" i="42"/>
  <c r="G31" i="42"/>
  <c r="F31" i="42"/>
  <c r="L30" i="42"/>
  <c r="N30" i="42" s="1"/>
  <c r="K30" i="42"/>
  <c r="G30" i="42"/>
  <c r="H30" i="42" s="1"/>
  <c r="O30" i="42" s="1"/>
  <c r="K29" i="42"/>
  <c r="J29" i="42"/>
  <c r="G29" i="42"/>
  <c r="H29" i="42" s="1"/>
  <c r="F29" i="42"/>
  <c r="O28" i="42"/>
  <c r="N28" i="42"/>
  <c r="L28" i="42"/>
  <c r="H28" i="42"/>
  <c r="O27" i="42"/>
  <c r="N27" i="42"/>
  <c r="L27" i="42"/>
  <c r="H27" i="42"/>
  <c r="O26" i="42"/>
  <c r="N26" i="42"/>
  <c r="L26" i="42"/>
  <c r="H26" i="42"/>
  <c r="O25" i="42"/>
  <c r="N25" i="42"/>
  <c r="L25" i="42"/>
  <c r="H25" i="42"/>
  <c r="O24" i="42"/>
  <c r="N24" i="42"/>
  <c r="L24" i="42"/>
  <c r="H24" i="42"/>
  <c r="J23" i="42"/>
  <c r="L23" i="42" s="1"/>
  <c r="N23" i="42" s="1"/>
  <c r="F23" i="42"/>
  <c r="H23" i="42" s="1"/>
  <c r="J74" i="41"/>
  <c r="K48" i="41" s="1"/>
  <c r="F74" i="41"/>
  <c r="G59" i="41"/>
  <c r="K59" i="41" s="1"/>
  <c r="L59" i="41" s="1"/>
  <c r="F59" i="41"/>
  <c r="J59" i="41" s="1"/>
  <c r="H58" i="41"/>
  <c r="G58" i="41"/>
  <c r="K58" i="41" s="1"/>
  <c r="F58" i="41"/>
  <c r="J58" i="41" s="1"/>
  <c r="H57" i="41"/>
  <c r="G57" i="41"/>
  <c r="K57" i="41" s="1"/>
  <c r="L57" i="41" s="1"/>
  <c r="N57" i="41" s="1"/>
  <c r="F57" i="41"/>
  <c r="J57" i="41" s="1"/>
  <c r="H56" i="41"/>
  <c r="G56" i="41"/>
  <c r="K56" i="41" s="1"/>
  <c r="F56" i="41"/>
  <c r="J56" i="41" s="1"/>
  <c r="G55" i="41"/>
  <c r="K55" i="41" s="1"/>
  <c r="L55" i="41" s="1"/>
  <c r="F55" i="41"/>
  <c r="J55" i="41" s="1"/>
  <c r="K54" i="41"/>
  <c r="L54" i="41" s="1"/>
  <c r="J54" i="41"/>
  <c r="G54" i="41"/>
  <c r="F54" i="41"/>
  <c r="J53" i="41"/>
  <c r="L53" i="41" s="1"/>
  <c r="N53" i="41" s="1"/>
  <c r="H53" i="41"/>
  <c r="F53" i="41"/>
  <c r="F52" i="41"/>
  <c r="J52" i="41" s="1"/>
  <c r="F51" i="41"/>
  <c r="J51" i="41" s="1"/>
  <c r="J49" i="41"/>
  <c r="F49" i="41"/>
  <c r="J48" i="41"/>
  <c r="H48" i="41"/>
  <c r="G48" i="41"/>
  <c r="G49" i="41" s="1"/>
  <c r="F48" i="41"/>
  <c r="L46" i="41"/>
  <c r="J46" i="41"/>
  <c r="F46" i="41"/>
  <c r="H46" i="41" s="1"/>
  <c r="K45" i="41"/>
  <c r="G45" i="41"/>
  <c r="F45" i="41"/>
  <c r="H45" i="41" s="1"/>
  <c r="K44" i="41"/>
  <c r="L44" i="41" s="1"/>
  <c r="J44" i="41"/>
  <c r="G44" i="41"/>
  <c r="F44" i="41"/>
  <c r="H44" i="41" s="1"/>
  <c r="K43" i="41"/>
  <c r="L43" i="41" s="1"/>
  <c r="J43" i="41"/>
  <c r="G43" i="41"/>
  <c r="F43" i="41"/>
  <c r="H43" i="41" s="1"/>
  <c r="K42" i="41"/>
  <c r="G42" i="41"/>
  <c r="F42" i="41"/>
  <c r="H42" i="41" s="1"/>
  <c r="J41" i="41"/>
  <c r="L41" i="41" s="1"/>
  <c r="N41" i="41" s="1"/>
  <c r="H41" i="41"/>
  <c r="O41" i="41" s="1"/>
  <c r="F41" i="41"/>
  <c r="K40" i="41"/>
  <c r="G40" i="41"/>
  <c r="H40" i="41" s="1"/>
  <c r="F40" i="41"/>
  <c r="B40" i="41"/>
  <c r="K38" i="41"/>
  <c r="L38" i="41" s="1"/>
  <c r="G38" i="41"/>
  <c r="H38" i="41" s="1"/>
  <c r="N38" i="41" s="1"/>
  <c r="K37" i="41"/>
  <c r="L37" i="41" s="1"/>
  <c r="G37" i="41"/>
  <c r="H37" i="41" s="1"/>
  <c r="O37" i="41" s="1"/>
  <c r="K36" i="41"/>
  <c r="L36" i="41" s="1"/>
  <c r="G36" i="41"/>
  <c r="H36" i="41" s="1"/>
  <c r="N36" i="41" s="1"/>
  <c r="K35" i="41"/>
  <c r="L35" i="41" s="1"/>
  <c r="G35" i="41"/>
  <c r="H35" i="41" s="1"/>
  <c r="O35" i="41" s="1"/>
  <c r="K34" i="41"/>
  <c r="L34" i="41" s="1"/>
  <c r="G34" i="41"/>
  <c r="H34" i="41" s="1"/>
  <c r="N34" i="41" s="1"/>
  <c r="K33" i="41"/>
  <c r="L33" i="41" s="1"/>
  <c r="G33" i="41"/>
  <c r="H33" i="41" s="1"/>
  <c r="O33" i="41" s="1"/>
  <c r="K32" i="41"/>
  <c r="L32" i="41" s="1"/>
  <c r="G32" i="41"/>
  <c r="H32" i="41" s="1"/>
  <c r="N32" i="41" s="1"/>
  <c r="K31" i="41"/>
  <c r="L31" i="41" s="1"/>
  <c r="J31" i="41"/>
  <c r="G31" i="41"/>
  <c r="H31" i="41" s="1"/>
  <c r="O31" i="41" s="1"/>
  <c r="F31" i="41"/>
  <c r="L30" i="41"/>
  <c r="K30" i="41"/>
  <c r="H30" i="41"/>
  <c r="O30" i="41" s="1"/>
  <c r="G30" i="41"/>
  <c r="K29" i="41"/>
  <c r="J29" i="41"/>
  <c r="H29" i="41"/>
  <c r="G29" i="41"/>
  <c r="F29" i="41"/>
  <c r="O28" i="41"/>
  <c r="N28" i="41"/>
  <c r="L28" i="41"/>
  <c r="H28" i="41"/>
  <c r="O27" i="41"/>
  <c r="N27" i="41"/>
  <c r="L27" i="41"/>
  <c r="H27" i="41"/>
  <c r="O26" i="41"/>
  <c r="N26" i="41"/>
  <c r="L26" i="41"/>
  <c r="H26" i="41"/>
  <c r="O25" i="41"/>
  <c r="N25" i="41"/>
  <c r="L25" i="41"/>
  <c r="H25" i="41"/>
  <c r="O24" i="41"/>
  <c r="N24" i="41"/>
  <c r="L24" i="41"/>
  <c r="H24" i="41"/>
  <c r="L23" i="41"/>
  <c r="J23" i="41"/>
  <c r="H23" i="41"/>
  <c r="N23" i="41" s="1"/>
  <c r="F23" i="41"/>
  <c r="J74" i="40"/>
  <c r="F74" i="40"/>
  <c r="J59" i="40"/>
  <c r="H59" i="40"/>
  <c r="G59" i="40"/>
  <c r="K59" i="40" s="1"/>
  <c r="L59" i="40" s="1"/>
  <c r="F59" i="40"/>
  <c r="J58" i="40"/>
  <c r="H58" i="40"/>
  <c r="G58" i="40"/>
  <c r="K58" i="40" s="1"/>
  <c r="L58" i="40" s="1"/>
  <c r="F58" i="40"/>
  <c r="J57" i="40"/>
  <c r="H57" i="40"/>
  <c r="G57" i="40"/>
  <c r="K57" i="40" s="1"/>
  <c r="L57" i="40" s="1"/>
  <c r="F57" i="40"/>
  <c r="J56" i="40"/>
  <c r="H56" i="40"/>
  <c r="G56" i="40"/>
  <c r="K56" i="40" s="1"/>
  <c r="L56" i="40" s="1"/>
  <c r="F56" i="40"/>
  <c r="J55" i="40"/>
  <c r="J45" i="40" s="1"/>
  <c r="H55" i="40"/>
  <c r="G55" i="40"/>
  <c r="K55" i="40" s="1"/>
  <c r="L55" i="40" s="1"/>
  <c r="F55" i="40"/>
  <c r="K54" i="40"/>
  <c r="L54" i="40" s="1"/>
  <c r="J54" i="40"/>
  <c r="G54" i="40"/>
  <c r="H54" i="40" s="1"/>
  <c r="F54" i="40"/>
  <c r="J53" i="40"/>
  <c r="L53" i="40" s="1"/>
  <c r="N53" i="40" s="1"/>
  <c r="H53" i="40"/>
  <c r="F53" i="40"/>
  <c r="J52" i="40"/>
  <c r="F52" i="40"/>
  <c r="J51" i="40"/>
  <c r="F51" i="40"/>
  <c r="J49" i="40"/>
  <c r="F49" i="40"/>
  <c r="K48" i="40"/>
  <c r="K49" i="40" s="1"/>
  <c r="J48" i="40"/>
  <c r="H48" i="40"/>
  <c r="G48" i="40"/>
  <c r="G49" i="40" s="1"/>
  <c r="F48" i="40"/>
  <c r="L46" i="40"/>
  <c r="J46" i="40"/>
  <c r="F46" i="40"/>
  <c r="H46" i="40" s="1"/>
  <c r="K45" i="40"/>
  <c r="G45" i="40"/>
  <c r="F45" i="40"/>
  <c r="K44" i="40"/>
  <c r="L44" i="40" s="1"/>
  <c r="J44" i="40"/>
  <c r="G44" i="40"/>
  <c r="F44" i="40"/>
  <c r="K43" i="40"/>
  <c r="L43" i="40" s="1"/>
  <c r="J43" i="40"/>
  <c r="G43" i="40"/>
  <c r="F43" i="40"/>
  <c r="K42" i="40"/>
  <c r="G42" i="40"/>
  <c r="F42" i="40"/>
  <c r="J41" i="40"/>
  <c r="L41" i="40" s="1"/>
  <c r="N41" i="40" s="1"/>
  <c r="H41" i="40"/>
  <c r="F41" i="40"/>
  <c r="K40" i="40"/>
  <c r="H40" i="40"/>
  <c r="G40" i="40"/>
  <c r="F40" i="40"/>
  <c r="B40" i="40"/>
  <c r="K38" i="40"/>
  <c r="L38" i="40" s="1"/>
  <c r="G38" i="40"/>
  <c r="H38" i="40" s="1"/>
  <c r="O38" i="40" s="1"/>
  <c r="L37" i="40"/>
  <c r="N37" i="40" s="1"/>
  <c r="K37" i="40"/>
  <c r="G37" i="40"/>
  <c r="H37" i="40" s="1"/>
  <c r="O37" i="40" s="1"/>
  <c r="K36" i="40"/>
  <c r="L36" i="40" s="1"/>
  <c r="H36" i="40"/>
  <c r="O36" i="40" s="1"/>
  <c r="G36" i="40"/>
  <c r="K35" i="40"/>
  <c r="L35" i="40" s="1"/>
  <c r="G35" i="40"/>
  <c r="H35" i="40" s="1"/>
  <c r="O35" i="40" s="1"/>
  <c r="K34" i="40"/>
  <c r="L34" i="40" s="1"/>
  <c r="G34" i="40"/>
  <c r="H34" i="40" s="1"/>
  <c r="O34" i="40" s="1"/>
  <c r="L33" i="40"/>
  <c r="K33" i="40"/>
  <c r="G33" i="40"/>
  <c r="H33" i="40" s="1"/>
  <c r="O33" i="40" s="1"/>
  <c r="O32" i="40"/>
  <c r="K32" i="40"/>
  <c r="L32" i="40" s="1"/>
  <c r="N32" i="40" s="1"/>
  <c r="H32" i="40"/>
  <c r="G32" i="40"/>
  <c r="L31" i="40"/>
  <c r="N31" i="40" s="1"/>
  <c r="K31" i="40"/>
  <c r="J31" i="40"/>
  <c r="G31" i="40"/>
  <c r="H31" i="40" s="1"/>
  <c r="O31" i="40" s="1"/>
  <c r="F31" i="40"/>
  <c r="L30" i="40"/>
  <c r="K30" i="40"/>
  <c r="G30" i="40"/>
  <c r="H30" i="40" s="1"/>
  <c r="O30" i="40" s="1"/>
  <c r="K29" i="40"/>
  <c r="L29" i="40" s="1"/>
  <c r="J29" i="40"/>
  <c r="G29" i="40"/>
  <c r="F29" i="40"/>
  <c r="O28" i="40"/>
  <c r="L28" i="40"/>
  <c r="H28" i="40"/>
  <c r="N28" i="40" s="1"/>
  <c r="O27" i="40"/>
  <c r="L27" i="40"/>
  <c r="H27" i="40"/>
  <c r="N27" i="40" s="1"/>
  <c r="O26" i="40"/>
  <c r="L26" i="40"/>
  <c r="H26" i="40"/>
  <c r="N26" i="40" s="1"/>
  <c r="O25" i="40"/>
  <c r="L25" i="40"/>
  <c r="H25" i="40"/>
  <c r="N25" i="40" s="1"/>
  <c r="O24" i="40"/>
  <c r="L24" i="40"/>
  <c r="H24" i="40"/>
  <c r="N24" i="40" s="1"/>
  <c r="J23" i="40"/>
  <c r="L23" i="40" s="1"/>
  <c r="H23" i="40"/>
  <c r="F23" i="40"/>
  <c r="J74" i="39"/>
  <c r="F74" i="39"/>
  <c r="J59" i="39"/>
  <c r="G59" i="39"/>
  <c r="K59" i="39" s="1"/>
  <c r="L59" i="39" s="1"/>
  <c r="F59" i="39"/>
  <c r="J58" i="39"/>
  <c r="G58" i="39"/>
  <c r="K58" i="39" s="1"/>
  <c r="L58" i="39" s="1"/>
  <c r="F58" i="39"/>
  <c r="J57" i="39"/>
  <c r="G57" i="39"/>
  <c r="K57" i="39" s="1"/>
  <c r="L57" i="39" s="1"/>
  <c r="F57" i="39"/>
  <c r="J56" i="39"/>
  <c r="G56" i="39"/>
  <c r="K56" i="39" s="1"/>
  <c r="L56" i="39" s="1"/>
  <c r="F56" i="39"/>
  <c r="J55" i="39"/>
  <c r="J45" i="39" s="1"/>
  <c r="L45" i="39" s="1"/>
  <c r="G55" i="39"/>
  <c r="K55" i="39" s="1"/>
  <c r="L55" i="39" s="1"/>
  <c r="F55" i="39"/>
  <c r="K54" i="39"/>
  <c r="L54" i="39" s="1"/>
  <c r="J54" i="39"/>
  <c r="G54" i="39"/>
  <c r="H54" i="39" s="1"/>
  <c r="F54" i="39"/>
  <c r="L53" i="39"/>
  <c r="N53" i="39" s="1"/>
  <c r="J53" i="39"/>
  <c r="H53" i="39"/>
  <c r="F53" i="39"/>
  <c r="J52" i="39"/>
  <c r="F52" i="39"/>
  <c r="J51" i="39"/>
  <c r="F51" i="39"/>
  <c r="J49" i="39"/>
  <c r="F49" i="39"/>
  <c r="K48" i="39"/>
  <c r="K49" i="39" s="1"/>
  <c r="J48" i="39"/>
  <c r="L48" i="39" s="1"/>
  <c r="G48" i="39"/>
  <c r="G49" i="39" s="1"/>
  <c r="F48" i="39"/>
  <c r="L46" i="39"/>
  <c r="N46" i="39" s="1"/>
  <c r="J46" i="39"/>
  <c r="H46" i="39"/>
  <c r="O46" i="39" s="1"/>
  <c r="F46" i="39"/>
  <c r="K45" i="39"/>
  <c r="G45" i="39"/>
  <c r="F45" i="39"/>
  <c r="L44" i="39"/>
  <c r="K44" i="39"/>
  <c r="J44" i="39"/>
  <c r="G44" i="39"/>
  <c r="H44" i="39" s="1"/>
  <c r="F44" i="39"/>
  <c r="K43" i="39"/>
  <c r="L43" i="39" s="1"/>
  <c r="N43" i="39" s="1"/>
  <c r="J43" i="39"/>
  <c r="G43" i="39"/>
  <c r="H43" i="39" s="1"/>
  <c r="F43" i="39"/>
  <c r="K42" i="39"/>
  <c r="G42" i="39"/>
  <c r="H42" i="39" s="1"/>
  <c r="F42" i="39"/>
  <c r="L41" i="39"/>
  <c r="N41" i="39" s="1"/>
  <c r="J41" i="39"/>
  <c r="H41" i="39"/>
  <c r="F41" i="39"/>
  <c r="K40" i="39"/>
  <c r="G40" i="39"/>
  <c r="H40" i="39" s="1"/>
  <c r="F40" i="39"/>
  <c r="B40" i="39"/>
  <c r="K38" i="39"/>
  <c r="L38" i="39" s="1"/>
  <c r="G38" i="39"/>
  <c r="H38" i="39" s="1"/>
  <c r="O38" i="39" s="1"/>
  <c r="K37" i="39"/>
  <c r="L37" i="39" s="1"/>
  <c r="G37" i="39"/>
  <c r="H37" i="39" s="1"/>
  <c r="O37" i="39" s="1"/>
  <c r="K36" i="39"/>
  <c r="L36" i="39" s="1"/>
  <c r="G36" i="39"/>
  <c r="H36" i="39" s="1"/>
  <c r="O36" i="39" s="1"/>
  <c r="K35" i="39"/>
  <c r="L35" i="39" s="1"/>
  <c r="G35" i="39"/>
  <c r="H35" i="39" s="1"/>
  <c r="O35" i="39" s="1"/>
  <c r="K34" i="39"/>
  <c r="L34" i="39" s="1"/>
  <c r="G34" i="39"/>
  <c r="H34" i="39" s="1"/>
  <c r="O34" i="39" s="1"/>
  <c r="K33" i="39"/>
  <c r="L33" i="39" s="1"/>
  <c r="G33" i="39"/>
  <c r="H33" i="39" s="1"/>
  <c r="O33" i="39" s="1"/>
  <c r="K32" i="39"/>
  <c r="L32" i="39" s="1"/>
  <c r="G32" i="39"/>
  <c r="H32" i="39" s="1"/>
  <c r="O32" i="39" s="1"/>
  <c r="K31" i="39"/>
  <c r="L31" i="39" s="1"/>
  <c r="J31" i="39"/>
  <c r="H31" i="39"/>
  <c r="O31" i="39" s="1"/>
  <c r="G31" i="39"/>
  <c r="F31" i="39"/>
  <c r="K30" i="39"/>
  <c r="L30" i="39" s="1"/>
  <c r="G30" i="39"/>
  <c r="H30" i="39" s="1"/>
  <c r="O30" i="39" s="1"/>
  <c r="K29" i="39"/>
  <c r="L29" i="39" s="1"/>
  <c r="J29" i="39"/>
  <c r="G29" i="39"/>
  <c r="F29" i="39"/>
  <c r="H29" i="39" s="1"/>
  <c r="L28" i="39"/>
  <c r="H28" i="39"/>
  <c r="N28" i="39" s="1"/>
  <c r="L27" i="39"/>
  <c r="H27" i="39"/>
  <c r="N27" i="39" s="1"/>
  <c r="L26" i="39"/>
  <c r="H26" i="39"/>
  <c r="N26" i="39" s="1"/>
  <c r="L25" i="39"/>
  <c r="H25" i="39"/>
  <c r="N25" i="39" s="1"/>
  <c r="L24" i="39"/>
  <c r="H24" i="39"/>
  <c r="N24" i="39" s="1"/>
  <c r="J23" i="39"/>
  <c r="L23" i="39" s="1"/>
  <c r="F23" i="39"/>
  <c r="H23" i="39" s="1"/>
  <c r="J74" i="38"/>
  <c r="F74" i="38"/>
  <c r="J59" i="38"/>
  <c r="G59" i="38"/>
  <c r="K59" i="38" s="1"/>
  <c r="L59" i="38" s="1"/>
  <c r="F59" i="38"/>
  <c r="J58" i="38"/>
  <c r="G58" i="38"/>
  <c r="K58" i="38" s="1"/>
  <c r="L58" i="38" s="1"/>
  <c r="F58" i="38"/>
  <c r="J57" i="38"/>
  <c r="G57" i="38"/>
  <c r="K57" i="38" s="1"/>
  <c r="L57" i="38" s="1"/>
  <c r="F57" i="38"/>
  <c r="J56" i="38"/>
  <c r="G56" i="38"/>
  <c r="K56" i="38" s="1"/>
  <c r="L56" i="38" s="1"/>
  <c r="F56" i="38"/>
  <c r="J55" i="38"/>
  <c r="J45" i="38" s="1"/>
  <c r="G55" i="38"/>
  <c r="K55" i="38" s="1"/>
  <c r="L55" i="38" s="1"/>
  <c r="F55" i="38"/>
  <c r="K54" i="38"/>
  <c r="L54" i="38" s="1"/>
  <c r="J54" i="38"/>
  <c r="G54" i="38"/>
  <c r="H54" i="38" s="1"/>
  <c r="F54" i="38"/>
  <c r="L53" i="38"/>
  <c r="N53" i="38" s="1"/>
  <c r="J53" i="38"/>
  <c r="H53" i="38"/>
  <c r="O53" i="38" s="1"/>
  <c r="F53" i="38"/>
  <c r="J52" i="38"/>
  <c r="F52" i="38"/>
  <c r="J51" i="38"/>
  <c r="F51" i="38"/>
  <c r="J49" i="38"/>
  <c r="F49" i="38"/>
  <c r="K48" i="38"/>
  <c r="K49" i="38" s="1"/>
  <c r="J48" i="38"/>
  <c r="G48" i="38"/>
  <c r="G49" i="38" s="1"/>
  <c r="F48" i="38"/>
  <c r="L46" i="38"/>
  <c r="N46" i="38" s="1"/>
  <c r="J46" i="38"/>
  <c r="H46" i="38"/>
  <c r="F46" i="38"/>
  <c r="K45" i="38"/>
  <c r="G45" i="38"/>
  <c r="F45" i="38"/>
  <c r="K44" i="38"/>
  <c r="L44" i="38" s="1"/>
  <c r="J44" i="38"/>
  <c r="G44" i="38"/>
  <c r="H44" i="38" s="1"/>
  <c r="F44" i="38"/>
  <c r="K43" i="38"/>
  <c r="L43" i="38" s="1"/>
  <c r="J43" i="38"/>
  <c r="G43" i="38"/>
  <c r="H43" i="38" s="1"/>
  <c r="F43" i="38"/>
  <c r="K42" i="38"/>
  <c r="G42" i="38"/>
  <c r="H42" i="38" s="1"/>
  <c r="F42" i="38"/>
  <c r="L41" i="38"/>
  <c r="N41" i="38" s="1"/>
  <c r="J41" i="38"/>
  <c r="H41" i="38"/>
  <c r="O41" i="38" s="1"/>
  <c r="F41" i="38"/>
  <c r="K40" i="38"/>
  <c r="G40" i="38"/>
  <c r="H40" i="38" s="1"/>
  <c r="F40" i="38"/>
  <c r="B40" i="38"/>
  <c r="K38" i="38"/>
  <c r="L38" i="38" s="1"/>
  <c r="G38" i="38"/>
  <c r="H38" i="38" s="1"/>
  <c r="O38" i="38" s="1"/>
  <c r="K37" i="38"/>
  <c r="L37" i="38" s="1"/>
  <c r="G37" i="38"/>
  <c r="H37" i="38" s="1"/>
  <c r="O37" i="38" s="1"/>
  <c r="K36" i="38"/>
  <c r="L36" i="38" s="1"/>
  <c r="G36" i="38"/>
  <c r="H36" i="38" s="1"/>
  <c r="O36" i="38" s="1"/>
  <c r="K35" i="38"/>
  <c r="L35" i="38" s="1"/>
  <c r="G35" i="38"/>
  <c r="H35" i="38" s="1"/>
  <c r="O35" i="38" s="1"/>
  <c r="K34" i="38"/>
  <c r="L34" i="38" s="1"/>
  <c r="G34" i="38"/>
  <c r="H34" i="38" s="1"/>
  <c r="O34" i="38" s="1"/>
  <c r="K33" i="38"/>
  <c r="L33" i="38" s="1"/>
  <c r="G33" i="38"/>
  <c r="H33" i="38" s="1"/>
  <c r="O33" i="38" s="1"/>
  <c r="K32" i="38"/>
  <c r="L32" i="38" s="1"/>
  <c r="G32" i="38"/>
  <c r="H32" i="38" s="1"/>
  <c r="O32" i="38" s="1"/>
  <c r="K31" i="38"/>
  <c r="L31" i="38" s="1"/>
  <c r="J31" i="38"/>
  <c r="G31" i="38"/>
  <c r="H31" i="38" s="1"/>
  <c r="O31" i="38" s="1"/>
  <c r="F31" i="38"/>
  <c r="K30" i="38"/>
  <c r="L30" i="38" s="1"/>
  <c r="G30" i="38"/>
  <c r="H30" i="38" s="1"/>
  <c r="K29" i="38"/>
  <c r="L29" i="38" s="1"/>
  <c r="E21" i="28" s="1"/>
  <c r="J29" i="38"/>
  <c r="G29" i="38"/>
  <c r="H29" i="38" s="1"/>
  <c r="D21" i="28" s="1"/>
  <c r="F29" i="38"/>
  <c r="L28" i="38"/>
  <c r="N28" i="38" s="1"/>
  <c r="H28" i="38"/>
  <c r="O28" i="38" s="1"/>
  <c r="L27" i="38"/>
  <c r="N27" i="38" s="1"/>
  <c r="H27" i="38"/>
  <c r="O27" i="38" s="1"/>
  <c r="L26" i="38"/>
  <c r="N26" i="38" s="1"/>
  <c r="H26" i="38"/>
  <c r="O26" i="38" s="1"/>
  <c r="L25" i="38"/>
  <c r="N25" i="38" s="1"/>
  <c r="H25" i="38"/>
  <c r="O25" i="38" s="1"/>
  <c r="L24" i="38"/>
  <c r="N24" i="38" s="1"/>
  <c r="H24" i="38"/>
  <c r="O24" i="38" s="1"/>
  <c r="J23" i="38"/>
  <c r="L23" i="38" s="1"/>
  <c r="F23" i="38"/>
  <c r="H23" i="38" s="1"/>
  <c r="J74" i="37"/>
  <c r="F74" i="37"/>
  <c r="J59" i="37"/>
  <c r="G59" i="37"/>
  <c r="K59" i="37" s="1"/>
  <c r="L59" i="37" s="1"/>
  <c r="F59" i="37"/>
  <c r="J58" i="37"/>
  <c r="G58" i="37"/>
  <c r="K58" i="37" s="1"/>
  <c r="L58" i="37" s="1"/>
  <c r="F58" i="37"/>
  <c r="J57" i="37"/>
  <c r="G57" i="37"/>
  <c r="K57" i="37" s="1"/>
  <c r="L57" i="37" s="1"/>
  <c r="F57" i="37"/>
  <c r="J56" i="37"/>
  <c r="G56" i="37"/>
  <c r="K56" i="37" s="1"/>
  <c r="L56" i="37" s="1"/>
  <c r="F56" i="37"/>
  <c r="J55" i="37"/>
  <c r="J45" i="37" s="1"/>
  <c r="G55" i="37"/>
  <c r="K55" i="37" s="1"/>
  <c r="L55" i="37" s="1"/>
  <c r="F55" i="37"/>
  <c r="K54" i="37"/>
  <c r="L54" i="37" s="1"/>
  <c r="J54" i="37"/>
  <c r="G54" i="37"/>
  <c r="H54" i="37" s="1"/>
  <c r="F54" i="37"/>
  <c r="J53" i="37"/>
  <c r="L53" i="37" s="1"/>
  <c r="N53" i="37" s="1"/>
  <c r="H53" i="37"/>
  <c r="O53" i="37" s="1"/>
  <c r="F53" i="37"/>
  <c r="J52" i="37"/>
  <c r="F52" i="37"/>
  <c r="J51" i="37"/>
  <c r="F51" i="37"/>
  <c r="J49" i="37"/>
  <c r="H49" i="37"/>
  <c r="F49" i="37"/>
  <c r="K48" i="37"/>
  <c r="K49" i="37" s="1"/>
  <c r="J48" i="37"/>
  <c r="L48" i="37" s="1"/>
  <c r="H48" i="37"/>
  <c r="G48" i="37"/>
  <c r="G49" i="37" s="1"/>
  <c r="F48" i="37"/>
  <c r="L46" i="37"/>
  <c r="J46" i="37"/>
  <c r="F46" i="37"/>
  <c r="H46" i="37" s="1"/>
  <c r="K45" i="37"/>
  <c r="G45" i="37"/>
  <c r="F45" i="37"/>
  <c r="K44" i="37"/>
  <c r="L44" i="37" s="1"/>
  <c r="J44" i="37"/>
  <c r="G44" i="37"/>
  <c r="F44" i="37"/>
  <c r="K43" i="37"/>
  <c r="L43" i="37" s="1"/>
  <c r="J43" i="37"/>
  <c r="G43" i="37"/>
  <c r="F43" i="37"/>
  <c r="K42" i="37"/>
  <c r="G42" i="37"/>
  <c r="F42" i="37"/>
  <c r="J41" i="37"/>
  <c r="L41" i="37" s="1"/>
  <c r="N41" i="37" s="1"/>
  <c r="H41" i="37"/>
  <c r="F41" i="37"/>
  <c r="K40" i="37"/>
  <c r="G40" i="37"/>
  <c r="H40" i="37" s="1"/>
  <c r="F40" i="37"/>
  <c r="B40" i="37"/>
  <c r="K38" i="37"/>
  <c r="L38" i="37" s="1"/>
  <c r="G38" i="37"/>
  <c r="H38" i="37" s="1"/>
  <c r="O38" i="37" s="1"/>
  <c r="K37" i="37"/>
  <c r="L37" i="37" s="1"/>
  <c r="N37" i="37" s="1"/>
  <c r="G37" i="37"/>
  <c r="H37" i="37" s="1"/>
  <c r="O37" i="37" s="1"/>
  <c r="K36" i="37"/>
  <c r="L36" i="37" s="1"/>
  <c r="G36" i="37"/>
  <c r="H36" i="37" s="1"/>
  <c r="O36" i="37" s="1"/>
  <c r="K35" i="37"/>
  <c r="L35" i="37" s="1"/>
  <c r="G35" i="37"/>
  <c r="H35" i="37" s="1"/>
  <c r="O35" i="37" s="1"/>
  <c r="K34" i="37"/>
  <c r="L34" i="37" s="1"/>
  <c r="G34" i="37"/>
  <c r="H34" i="37" s="1"/>
  <c r="O34" i="37" s="1"/>
  <c r="K33" i="37"/>
  <c r="L33" i="37" s="1"/>
  <c r="G33" i="37"/>
  <c r="H33" i="37" s="1"/>
  <c r="O33" i="37" s="1"/>
  <c r="K32" i="37"/>
  <c r="L32" i="37" s="1"/>
  <c r="H32" i="37"/>
  <c r="O32" i="37" s="1"/>
  <c r="G32" i="37"/>
  <c r="K31" i="37"/>
  <c r="L31" i="37" s="1"/>
  <c r="N31" i="37" s="1"/>
  <c r="J31" i="37"/>
  <c r="G31" i="37"/>
  <c r="H31" i="37" s="1"/>
  <c r="O31" i="37" s="1"/>
  <c r="F31" i="37"/>
  <c r="K30" i="37"/>
  <c r="L30" i="37" s="1"/>
  <c r="G30" i="37"/>
  <c r="H30" i="37" s="1"/>
  <c r="O30" i="37" s="1"/>
  <c r="K29" i="37"/>
  <c r="L29" i="37" s="1"/>
  <c r="J29" i="37"/>
  <c r="G29" i="37"/>
  <c r="F29" i="37"/>
  <c r="O28" i="37"/>
  <c r="L28" i="37"/>
  <c r="H28" i="37"/>
  <c r="N28" i="37" s="1"/>
  <c r="O27" i="37"/>
  <c r="L27" i="37"/>
  <c r="H27" i="37"/>
  <c r="N27" i="37" s="1"/>
  <c r="O26" i="37"/>
  <c r="L26" i="37"/>
  <c r="H26" i="37"/>
  <c r="N26" i="37" s="1"/>
  <c r="O25" i="37"/>
  <c r="L25" i="37"/>
  <c r="H25" i="37"/>
  <c r="N25" i="37" s="1"/>
  <c r="O24" i="37"/>
  <c r="L24" i="37"/>
  <c r="H24" i="37"/>
  <c r="N24" i="37" s="1"/>
  <c r="J23" i="37"/>
  <c r="L23" i="37" s="1"/>
  <c r="H23" i="37"/>
  <c r="F23" i="37"/>
  <c r="J74" i="36"/>
  <c r="K44" i="36" s="1"/>
  <c r="L44" i="36" s="1"/>
  <c r="F74" i="36"/>
  <c r="G54" i="36" s="1"/>
  <c r="H54" i="36" s="1"/>
  <c r="G59" i="36"/>
  <c r="K59" i="36" s="1"/>
  <c r="F59" i="36"/>
  <c r="J59" i="36" s="1"/>
  <c r="K58" i="36"/>
  <c r="G58" i="36"/>
  <c r="F58" i="36"/>
  <c r="J58" i="36" s="1"/>
  <c r="G57" i="36"/>
  <c r="K57" i="36" s="1"/>
  <c r="L57" i="36" s="1"/>
  <c r="F57" i="36"/>
  <c r="J57" i="36" s="1"/>
  <c r="G56" i="36"/>
  <c r="H56" i="36" s="1"/>
  <c r="F56" i="36"/>
  <c r="J56" i="36" s="1"/>
  <c r="G55" i="36"/>
  <c r="K55" i="36" s="1"/>
  <c r="F55" i="36"/>
  <c r="J54" i="36"/>
  <c r="F54" i="36"/>
  <c r="N53" i="36"/>
  <c r="J53" i="36"/>
  <c r="L53" i="36" s="1"/>
  <c r="F53" i="36"/>
  <c r="H53" i="36" s="1"/>
  <c r="F52" i="36"/>
  <c r="J52" i="36" s="1"/>
  <c r="F51" i="36"/>
  <c r="J51" i="36" s="1"/>
  <c r="K49" i="36"/>
  <c r="L49" i="36" s="1"/>
  <c r="J49" i="36"/>
  <c r="F49" i="36"/>
  <c r="K48" i="36"/>
  <c r="L48" i="36" s="1"/>
  <c r="J48" i="36"/>
  <c r="F48" i="36"/>
  <c r="J46" i="36"/>
  <c r="L46" i="36" s="1"/>
  <c r="F46" i="36"/>
  <c r="H46" i="36" s="1"/>
  <c r="J44" i="36"/>
  <c r="F44" i="36"/>
  <c r="K43" i="36"/>
  <c r="L43" i="36" s="1"/>
  <c r="J43" i="36"/>
  <c r="H43" i="36"/>
  <c r="G43" i="36"/>
  <c r="F43" i="36"/>
  <c r="K42" i="36"/>
  <c r="G42" i="36"/>
  <c r="H42" i="36" s="1"/>
  <c r="F42" i="36"/>
  <c r="J41" i="36"/>
  <c r="L41" i="36" s="1"/>
  <c r="N41" i="36" s="1"/>
  <c r="F41" i="36"/>
  <c r="H41" i="36" s="1"/>
  <c r="K40" i="36"/>
  <c r="G40" i="36"/>
  <c r="H40" i="36" s="1"/>
  <c r="F40" i="36"/>
  <c r="B40" i="36"/>
  <c r="K38" i="36"/>
  <c r="L38" i="36" s="1"/>
  <c r="N38" i="36" s="1"/>
  <c r="G38" i="36"/>
  <c r="H38" i="36" s="1"/>
  <c r="O38" i="36" s="1"/>
  <c r="K37" i="36"/>
  <c r="L37" i="36" s="1"/>
  <c r="H37" i="36"/>
  <c r="O37" i="36" s="1"/>
  <c r="G37" i="36"/>
  <c r="K36" i="36"/>
  <c r="L36" i="36" s="1"/>
  <c r="N36" i="36" s="1"/>
  <c r="G36" i="36"/>
  <c r="H36" i="36" s="1"/>
  <c r="O36" i="36" s="1"/>
  <c r="K35" i="36"/>
  <c r="L35" i="36" s="1"/>
  <c r="G35" i="36"/>
  <c r="H35" i="36" s="1"/>
  <c r="O35" i="36" s="1"/>
  <c r="L34" i="36"/>
  <c r="K34" i="36"/>
  <c r="G34" i="36"/>
  <c r="H34" i="36" s="1"/>
  <c r="O34" i="36" s="1"/>
  <c r="K33" i="36"/>
  <c r="L33" i="36" s="1"/>
  <c r="H33" i="36"/>
  <c r="O33" i="36" s="1"/>
  <c r="G33" i="36"/>
  <c r="K32" i="36"/>
  <c r="L32" i="36" s="1"/>
  <c r="G32" i="36"/>
  <c r="H32" i="36" s="1"/>
  <c r="O32" i="36" s="1"/>
  <c r="K31" i="36"/>
  <c r="J31" i="36"/>
  <c r="G31" i="36"/>
  <c r="H31" i="36" s="1"/>
  <c r="O31" i="36" s="1"/>
  <c r="F31" i="36"/>
  <c r="K30" i="36"/>
  <c r="L30" i="36" s="1"/>
  <c r="G30" i="36"/>
  <c r="H30" i="36" s="1"/>
  <c r="O30" i="36" s="1"/>
  <c r="K29" i="36"/>
  <c r="L29" i="36" s="1"/>
  <c r="J29" i="36"/>
  <c r="G29" i="36"/>
  <c r="H29" i="36" s="1"/>
  <c r="F29" i="36"/>
  <c r="O28" i="36"/>
  <c r="L28" i="36"/>
  <c r="N28" i="36" s="1"/>
  <c r="H28" i="36"/>
  <c r="O27" i="36"/>
  <c r="L27" i="36"/>
  <c r="N27" i="36" s="1"/>
  <c r="H27" i="36"/>
  <c r="O26" i="36"/>
  <c r="L26" i="36"/>
  <c r="N26" i="36" s="1"/>
  <c r="H26" i="36"/>
  <c r="O25" i="36"/>
  <c r="L25" i="36"/>
  <c r="N25" i="36" s="1"/>
  <c r="H25" i="36"/>
  <c r="O24" i="36"/>
  <c r="L24" i="36"/>
  <c r="N24" i="36" s="1"/>
  <c r="H24" i="36"/>
  <c r="L23" i="36"/>
  <c r="J23" i="36"/>
  <c r="F23" i="36"/>
  <c r="H23" i="36" s="1"/>
  <c r="L45" i="38" l="1"/>
  <c r="H48" i="44"/>
  <c r="G54" i="44"/>
  <c r="G44" i="44"/>
  <c r="L31" i="44"/>
  <c r="L39" i="44" s="1"/>
  <c r="H40" i="44"/>
  <c r="O40" i="44" s="1"/>
  <c r="L43" i="44"/>
  <c r="N43" i="44" s="1"/>
  <c r="O43" i="44" s="1"/>
  <c r="L44" i="44"/>
  <c r="H55" i="44"/>
  <c r="N55" i="44" s="1"/>
  <c r="O55" i="44" s="1"/>
  <c r="L54" i="44"/>
  <c r="J53" i="44"/>
  <c r="L53" i="44" s="1"/>
  <c r="N53" i="44" s="1"/>
  <c r="O53" i="44" s="1"/>
  <c r="J59" i="44"/>
  <c r="L59" i="44" s="1"/>
  <c r="N59" i="44" s="1"/>
  <c r="O59" i="44" s="1"/>
  <c r="H29" i="44"/>
  <c r="D31" i="28" s="1"/>
  <c r="L41" i="44"/>
  <c r="L48" i="44"/>
  <c r="H54" i="44"/>
  <c r="L56" i="44"/>
  <c r="L58" i="44"/>
  <c r="H41" i="44"/>
  <c r="O41" i="44" s="1"/>
  <c r="H44" i="44"/>
  <c r="F45" i="44"/>
  <c r="H45" i="44" s="1"/>
  <c r="L60" i="44"/>
  <c r="L42" i="47"/>
  <c r="L42" i="44"/>
  <c r="N42" i="44" s="1"/>
  <c r="O42" i="44" s="1"/>
  <c r="L40" i="47"/>
  <c r="L40" i="45"/>
  <c r="N40" i="45" s="1"/>
  <c r="N40" i="47"/>
  <c r="N56" i="47"/>
  <c r="O56" i="47" s="1"/>
  <c r="N34" i="47"/>
  <c r="N38" i="47"/>
  <c r="H45" i="47"/>
  <c r="N32" i="47"/>
  <c r="N55" i="47"/>
  <c r="O55" i="47" s="1"/>
  <c r="L39" i="47"/>
  <c r="N23" i="47"/>
  <c r="O23" i="47" s="1"/>
  <c r="O42" i="47"/>
  <c r="N45" i="47"/>
  <c r="O45" i="47" s="1"/>
  <c r="G49" i="47"/>
  <c r="H48" i="47"/>
  <c r="N30" i="47"/>
  <c r="N37" i="47"/>
  <c r="N42" i="47"/>
  <c r="N43" i="47"/>
  <c r="O43" i="47" s="1"/>
  <c r="N44" i="47"/>
  <c r="O44" i="47" s="1"/>
  <c r="K52" i="47"/>
  <c r="L52" i="47" s="1"/>
  <c r="K51" i="47"/>
  <c r="L51" i="47" s="1"/>
  <c r="L49" i="47"/>
  <c r="N53" i="47"/>
  <c r="O53" i="47" s="1"/>
  <c r="O57" i="47"/>
  <c r="O59" i="47"/>
  <c r="O60" i="47"/>
  <c r="N29" i="47"/>
  <c r="O29" i="47" s="1"/>
  <c r="N31" i="47"/>
  <c r="N46" i="47"/>
  <c r="O46" i="47" s="1"/>
  <c r="O58" i="47"/>
  <c r="N59" i="47"/>
  <c r="H39" i="47"/>
  <c r="L48" i="47"/>
  <c r="G49" i="46"/>
  <c r="G52" i="46" s="1"/>
  <c r="H52" i="46" s="1"/>
  <c r="K60" i="46"/>
  <c r="L60" i="46" s="1"/>
  <c r="N60" i="46" s="1"/>
  <c r="O60" i="46" s="1"/>
  <c r="O23" i="46"/>
  <c r="N23" i="46"/>
  <c r="O53" i="46"/>
  <c r="O38" i="46"/>
  <c r="N38" i="46"/>
  <c r="N55" i="46"/>
  <c r="N34" i="46"/>
  <c r="O34" i="46"/>
  <c r="O36" i="46"/>
  <c r="N36" i="46"/>
  <c r="O32" i="46"/>
  <c r="N32" i="46"/>
  <c r="N48" i="46"/>
  <c r="O48" i="46" s="1"/>
  <c r="O55" i="46"/>
  <c r="G51" i="46"/>
  <c r="H51" i="46" s="1"/>
  <c r="H54" i="46"/>
  <c r="N59" i="46"/>
  <c r="L29" i="46"/>
  <c r="N29" i="46" s="1"/>
  <c r="O29" i="46" s="1"/>
  <c r="H41" i="46"/>
  <c r="O41" i="46" s="1"/>
  <c r="L42" i="46"/>
  <c r="N42" i="46" s="1"/>
  <c r="O42" i="46" s="1"/>
  <c r="H44" i="46"/>
  <c r="H49" i="46"/>
  <c r="N49" i="46" s="1"/>
  <c r="N53" i="46"/>
  <c r="O59" i="46"/>
  <c r="H31" i="46"/>
  <c r="O31" i="46" s="1"/>
  <c r="H43" i="46"/>
  <c r="L45" i="46"/>
  <c r="K52" i="46"/>
  <c r="L52" i="46" s="1"/>
  <c r="K51" i="46"/>
  <c r="L51" i="46" s="1"/>
  <c r="H56" i="46"/>
  <c r="N56" i="46" s="1"/>
  <c r="H58" i="46"/>
  <c r="N58" i="46" s="1"/>
  <c r="L43" i="46"/>
  <c r="H45" i="46"/>
  <c r="O46" i="46"/>
  <c r="L54" i="46"/>
  <c r="H57" i="46"/>
  <c r="N57" i="46" s="1"/>
  <c r="O29" i="45"/>
  <c r="N60" i="45"/>
  <c r="O60" i="45" s="1"/>
  <c r="N30" i="45"/>
  <c r="N35" i="45"/>
  <c r="L39" i="45"/>
  <c r="N39" i="45" s="1"/>
  <c r="N33" i="45"/>
  <c r="N37" i="45"/>
  <c r="L48" i="45"/>
  <c r="L55" i="45"/>
  <c r="N55" i="45" s="1"/>
  <c r="O55" i="45" s="1"/>
  <c r="N59" i="45"/>
  <c r="H39" i="45"/>
  <c r="N23" i="45"/>
  <c r="O23" i="45" s="1"/>
  <c r="N31" i="45"/>
  <c r="N41" i="45"/>
  <c r="O53" i="45"/>
  <c r="L57" i="45"/>
  <c r="N34" i="45"/>
  <c r="O34" i="45"/>
  <c r="N38" i="45"/>
  <c r="O38" i="45"/>
  <c r="N32" i="45"/>
  <c r="O32" i="45"/>
  <c r="N36" i="45"/>
  <c r="O36" i="45"/>
  <c r="N42" i="45"/>
  <c r="O42" i="45" s="1"/>
  <c r="N43" i="45"/>
  <c r="O43" i="45" s="1"/>
  <c r="N44" i="45"/>
  <c r="K52" i="45"/>
  <c r="L52" i="45" s="1"/>
  <c r="K51" i="45"/>
  <c r="L51" i="45" s="1"/>
  <c r="L49" i="45"/>
  <c r="J45" i="45"/>
  <c r="L45" i="45" s="1"/>
  <c r="N45" i="45" s="1"/>
  <c r="O45" i="45" s="1"/>
  <c r="G51" i="45"/>
  <c r="H51" i="45" s="1"/>
  <c r="H49" i="45"/>
  <c r="G52" i="45"/>
  <c r="H52" i="45" s="1"/>
  <c r="L47" i="45"/>
  <c r="O44" i="45"/>
  <c r="L56" i="45"/>
  <c r="L58" i="45"/>
  <c r="H48" i="45"/>
  <c r="H56" i="45"/>
  <c r="H57" i="45"/>
  <c r="H58" i="45"/>
  <c r="O59" i="45"/>
  <c r="N37" i="44"/>
  <c r="H60" i="44"/>
  <c r="N33" i="44"/>
  <c r="N30" i="44"/>
  <c r="N35" i="44"/>
  <c r="N60" i="44"/>
  <c r="N23" i="44"/>
  <c r="N34" i="44"/>
  <c r="N46" i="44"/>
  <c r="O46" i="44" s="1"/>
  <c r="K52" i="44"/>
  <c r="L52" i="44" s="1"/>
  <c r="K51" i="44"/>
  <c r="L51" i="44" s="1"/>
  <c r="L49" i="44"/>
  <c r="J45" i="44"/>
  <c r="L45" i="44" s="1"/>
  <c r="H31" i="44"/>
  <c r="O31" i="44" s="1"/>
  <c r="L57" i="44"/>
  <c r="G49" i="44"/>
  <c r="H56" i="44"/>
  <c r="H57" i="44"/>
  <c r="H58" i="44"/>
  <c r="H29" i="43"/>
  <c r="N34" i="43"/>
  <c r="H55" i="43"/>
  <c r="N55" i="43" s="1"/>
  <c r="O55" i="43" s="1"/>
  <c r="H56" i="43"/>
  <c r="H57" i="43"/>
  <c r="H58" i="43"/>
  <c r="H59" i="43"/>
  <c r="N59" i="43" s="1"/>
  <c r="O59" i="43" s="1"/>
  <c r="H39" i="43"/>
  <c r="H47" i="43" s="1"/>
  <c r="N57" i="43"/>
  <c r="O57" i="43" s="1"/>
  <c r="G52" i="43"/>
  <c r="H52" i="43" s="1"/>
  <c r="G51" i="43"/>
  <c r="H51" i="43" s="1"/>
  <c r="L29" i="43"/>
  <c r="N29" i="43" s="1"/>
  <c r="O29" i="43" s="1"/>
  <c r="N32" i="43"/>
  <c r="N36" i="43"/>
  <c r="N37" i="43"/>
  <c r="L49" i="43"/>
  <c r="K52" i="43"/>
  <c r="L52" i="43" s="1"/>
  <c r="K51" i="43"/>
  <c r="L51" i="43" s="1"/>
  <c r="O53" i="43"/>
  <c r="N23" i="43"/>
  <c r="L45" i="43"/>
  <c r="N45" i="43" s="1"/>
  <c r="O45" i="43" s="1"/>
  <c r="O48" i="43"/>
  <c r="O23" i="43"/>
  <c r="N38" i="43"/>
  <c r="N43" i="43"/>
  <c r="O43" i="43" s="1"/>
  <c r="N44" i="43"/>
  <c r="O44" i="43" s="1"/>
  <c r="O46" i="43"/>
  <c r="H49" i="43"/>
  <c r="N58" i="43"/>
  <c r="O58" i="43" s="1"/>
  <c r="N38" i="42"/>
  <c r="H45" i="42"/>
  <c r="N32" i="42"/>
  <c r="N34" i="42"/>
  <c r="N36" i="42"/>
  <c r="O53" i="42"/>
  <c r="H39" i="42"/>
  <c r="O23" i="42"/>
  <c r="K55" i="42"/>
  <c r="L55" i="42" s="1"/>
  <c r="H55" i="42"/>
  <c r="H31" i="42"/>
  <c r="O31" i="42" s="1"/>
  <c r="G49" i="42"/>
  <c r="N53" i="42"/>
  <c r="K57" i="42"/>
  <c r="L57" i="42" s="1"/>
  <c r="H57" i="42"/>
  <c r="K59" i="42"/>
  <c r="L59" i="42" s="1"/>
  <c r="H59" i="42"/>
  <c r="N41" i="42"/>
  <c r="O41" i="42" s="1"/>
  <c r="K58" i="42"/>
  <c r="L58" i="42" s="1"/>
  <c r="H58" i="42"/>
  <c r="K48" i="42"/>
  <c r="K54" i="42"/>
  <c r="L54" i="42" s="1"/>
  <c r="K44" i="42"/>
  <c r="L44" i="42" s="1"/>
  <c r="N44" i="42" s="1"/>
  <c r="O44" i="42" s="1"/>
  <c r="K45" i="42"/>
  <c r="L45" i="42" s="1"/>
  <c r="N45" i="42" s="1"/>
  <c r="O45" i="42" s="1"/>
  <c r="L29" i="42"/>
  <c r="N29" i="42" s="1"/>
  <c r="O29" i="42" s="1"/>
  <c r="L43" i="42"/>
  <c r="N43" i="42" s="1"/>
  <c r="O43" i="42" s="1"/>
  <c r="N46" i="42"/>
  <c r="O46" i="42" s="1"/>
  <c r="K56" i="42"/>
  <c r="L56" i="42" s="1"/>
  <c r="H56" i="42"/>
  <c r="N37" i="41"/>
  <c r="N33" i="41"/>
  <c r="N35" i="41"/>
  <c r="L39" i="41"/>
  <c r="N39" i="41" s="1"/>
  <c r="L29" i="41"/>
  <c r="N29" i="41" s="1"/>
  <c r="O29" i="41" s="1"/>
  <c r="H55" i="41"/>
  <c r="N55" i="41" s="1"/>
  <c r="O55" i="41" s="1"/>
  <c r="H59" i="41"/>
  <c r="N30" i="41"/>
  <c r="H54" i="41"/>
  <c r="L45" i="41"/>
  <c r="N45" i="41" s="1"/>
  <c r="O45" i="41" s="1"/>
  <c r="N43" i="41"/>
  <c r="N44" i="41"/>
  <c r="O44" i="41" s="1"/>
  <c r="N46" i="41"/>
  <c r="O46" i="41" s="1"/>
  <c r="G52" i="41"/>
  <c r="H52" i="41" s="1"/>
  <c r="G51" i="41"/>
  <c r="H51" i="41" s="1"/>
  <c r="H49" i="41"/>
  <c r="O53" i="41"/>
  <c r="L58" i="41"/>
  <c r="O43" i="41"/>
  <c r="N31" i="41"/>
  <c r="J45" i="41"/>
  <c r="L56" i="41"/>
  <c r="N56" i="41" s="1"/>
  <c r="O56" i="41" s="1"/>
  <c r="O57" i="41"/>
  <c r="L48" i="41"/>
  <c r="N48" i="41" s="1"/>
  <c r="O48" i="41" s="1"/>
  <c r="K49" i="41"/>
  <c r="O23" i="41"/>
  <c r="H39" i="41"/>
  <c r="O32" i="41"/>
  <c r="O34" i="41"/>
  <c r="O36" i="41"/>
  <c r="O38" i="41"/>
  <c r="H29" i="40"/>
  <c r="N38" i="40"/>
  <c r="L48" i="40"/>
  <c r="N48" i="40" s="1"/>
  <c r="O48" i="40" s="1"/>
  <c r="N55" i="40"/>
  <c r="O55" i="40" s="1"/>
  <c r="N56" i="40"/>
  <c r="O56" i="40" s="1"/>
  <c r="N57" i="40"/>
  <c r="O57" i="40" s="1"/>
  <c r="N59" i="40"/>
  <c r="O59" i="40" s="1"/>
  <c r="N36" i="40"/>
  <c r="N23" i="40"/>
  <c r="O23" i="40" s="1"/>
  <c r="L39" i="40"/>
  <c r="N29" i="40"/>
  <c r="O29" i="40" s="1"/>
  <c r="N30" i="40"/>
  <c r="N33" i="40"/>
  <c r="O41" i="40"/>
  <c r="L45" i="40"/>
  <c r="L49" i="40"/>
  <c r="K52" i="40"/>
  <c r="L52" i="40" s="1"/>
  <c r="K51" i="40"/>
  <c r="L51" i="40" s="1"/>
  <c r="O53" i="40"/>
  <c r="N46" i="40"/>
  <c r="O46" i="40" s="1"/>
  <c r="G52" i="40"/>
  <c r="H52" i="40" s="1"/>
  <c r="G51" i="40"/>
  <c r="H51" i="40" s="1"/>
  <c r="H49" i="40"/>
  <c r="H39" i="40"/>
  <c r="N34" i="40"/>
  <c r="N35" i="40"/>
  <c r="H42" i="40"/>
  <c r="H43" i="40"/>
  <c r="H44" i="40"/>
  <c r="N44" i="40" s="1"/>
  <c r="H45" i="40"/>
  <c r="N58" i="40"/>
  <c r="O58" i="40" s="1"/>
  <c r="H45" i="39"/>
  <c r="N30" i="39"/>
  <c r="N45" i="39"/>
  <c r="O45" i="39" s="1"/>
  <c r="N31" i="39"/>
  <c r="N29" i="39"/>
  <c r="H39" i="39"/>
  <c r="O23" i="39"/>
  <c r="O29" i="39"/>
  <c r="N32" i="39"/>
  <c r="N34" i="39"/>
  <c r="N36" i="39"/>
  <c r="N38" i="39"/>
  <c r="O43" i="39"/>
  <c r="N44" i="39"/>
  <c r="O44" i="39" s="1"/>
  <c r="N23" i="39"/>
  <c r="L39" i="39"/>
  <c r="G52" i="39"/>
  <c r="H52" i="39" s="1"/>
  <c r="G51" i="39"/>
  <c r="H51" i="39" s="1"/>
  <c r="H49" i="39"/>
  <c r="N33" i="39"/>
  <c r="N35" i="39"/>
  <c r="N37" i="39"/>
  <c r="L49" i="39"/>
  <c r="K52" i="39"/>
  <c r="L52" i="39" s="1"/>
  <c r="N52" i="39" s="1"/>
  <c r="K51" i="39"/>
  <c r="L51" i="39" s="1"/>
  <c r="O53" i="39"/>
  <c r="O24" i="39"/>
  <c r="O25" i="39"/>
  <c r="O26" i="39"/>
  <c r="O27" i="39"/>
  <c r="O28" i="39"/>
  <c r="H48" i="39"/>
  <c r="N48" i="39" s="1"/>
  <c r="H55" i="39"/>
  <c r="H56" i="39"/>
  <c r="H57" i="39"/>
  <c r="H58" i="39"/>
  <c r="H59" i="39"/>
  <c r="N29" i="38"/>
  <c r="E22" i="28" s="1"/>
  <c r="N31" i="38"/>
  <c r="N33" i="38"/>
  <c r="N35" i="38"/>
  <c r="N37" i="38"/>
  <c r="H45" i="38"/>
  <c r="N45" i="38" s="1"/>
  <c r="O45" i="38" s="1"/>
  <c r="L48" i="38"/>
  <c r="N43" i="38"/>
  <c r="H39" i="38"/>
  <c r="O30" i="38"/>
  <c r="N30" i="38"/>
  <c r="L49" i="38"/>
  <c r="K52" i="38"/>
  <c r="L52" i="38" s="1"/>
  <c r="K51" i="38"/>
  <c r="L51" i="38" s="1"/>
  <c r="N23" i="38"/>
  <c r="O23" i="38" s="1"/>
  <c r="L39" i="38"/>
  <c r="O29" i="38"/>
  <c r="N32" i="38"/>
  <c r="N34" i="38"/>
  <c r="N36" i="38"/>
  <c r="N38" i="38"/>
  <c r="O43" i="38"/>
  <c r="N44" i="38"/>
  <c r="O44" i="38" s="1"/>
  <c r="O46" i="38"/>
  <c r="G52" i="38"/>
  <c r="H52" i="38" s="1"/>
  <c r="G51" i="38"/>
  <c r="H51" i="38" s="1"/>
  <c r="H49" i="38"/>
  <c r="H48" i="38"/>
  <c r="H55" i="38"/>
  <c r="N55" i="38" s="1"/>
  <c r="H56" i="38"/>
  <c r="H57" i="38"/>
  <c r="N57" i="38" s="1"/>
  <c r="H58" i="38"/>
  <c r="N58" i="38" s="1"/>
  <c r="H59" i="38"/>
  <c r="N38" i="37"/>
  <c r="N48" i="37"/>
  <c r="H29" i="37"/>
  <c r="H55" i="37"/>
  <c r="H56" i="37"/>
  <c r="H57" i="37"/>
  <c r="H58" i="37"/>
  <c r="H59" i="37"/>
  <c r="O59" i="37" s="1"/>
  <c r="N32" i="37"/>
  <c r="N44" i="37"/>
  <c r="L49" i="37"/>
  <c r="N49" i="37" s="1"/>
  <c r="O49" i="37" s="1"/>
  <c r="K52" i="37"/>
  <c r="L52" i="37" s="1"/>
  <c r="K51" i="37"/>
  <c r="L51" i="37" s="1"/>
  <c r="H39" i="37"/>
  <c r="N34" i="37"/>
  <c r="N35" i="37"/>
  <c r="H42" i="37"/>
  <c r="H43" i="37"/>
  <c r="N43" i="37" s="1"/>
  <c r="H44" i="37"/>
  <c r="H45" i="37"/>
  <c r="G52" i="37"/>
  <c r="H52" i="37" s="1"/>
  <c r="G51" i="37"/>
  <c r="H51" i="37" s="1"/>
  <c r="O46" i="37"/>
  <c r="N36" i="37"/>
  <c r="N23" i="37"/>
  <c r="O23" i="37" s="1"/>
  <c r="L39" i="37"/>
  <c r="N29" i="37"/>
  <c r="O29" i="37" s="1"/>
  <c r="N30" i="37"/>
  <c r="N33" i="37"/>
  <c r="O41" i="37"/>
  <c r="L45" i="37"/>
  <c r="N45" i="37" s="1"/>
  <c r="N46" i="37"/>
  <c r="O48" i="37"/>
  <c r="N58" i="37"/>
  <c r="O58" i="37" s="1"/>
  <c r="N37" i="36"/>
  <c r="N43" i="36"/>
  <c r="K56" i="36"/>
  <c r="L56" i="36" s="1"/>
  <c r="N56" i="36" s="1"/>
  <c r="O56" i="36" s="1"/>
  <c r="J55" i="36"/>
  <c r="J45" i="36" s="1"/>
  <c r="F45" i="36"/>
  <c r="H39" i="36"/>
  <c r="O23" i="36"/>
  <c r="N35" i="36"/>
  <c r="N46" i="36"/>
  <c r="O46" i="36" s="1"/>
  <c r="K52" i="36"/>
  <c r="L52" i="36" s="1"/>
  <c r="H55" i="36"/>
  <c r="H59" i="36"/>
  <c r="O59" i="36" s="1"/>
  <c r="N30" i="36"/>
  <c r="N33" i="36"/>
  <c r="N34" i="36"/>
  <c r="O43" i="36"/>
  <c r="O53" i="36"/>
  <c r="H58" i="36"/>
  <c r="L59" i="36"/>
  <c r="N23" i="36"/>
  <c r="N29" i="36"/>
  <c r="O29" i="36" s="1"/>
  <c r="L31" i="36"/>
  <c r="N31" i="36" s="1"/>
  <c r="N32" i="36"/>
  <c r="O41" i="36"/>
  <c r="K51" i="36"/>
  <c r="L51" i="36" s="1"/>
  <c r="H57" i="36"/>
  <c r="L58" i="36"/>
  <c r="G48" i="36"/>
  <c r="K45" i="36"/>
  <c r="K54" i="36"/>
  <c r="L54" i="36" s="1"/>
  <c r="G44" i="36"/>
  <c r="H44" i="36" s="1"/>
  <c r="G45" i="36"/>
  <c r="H45" i="36" s="1"/>
  <c r="H70" i="11"/>
  <c r="H71" i="11" s="1"/>
  <c r="H65" i="11"/>
  <c r="H64" i="11"/>
  <c r="O48" i="44" l="1"/>
  <c r="N29" i="44"/>
  <c r="O29" i="44" s="1"/>
  <c r="N48" i="44"/>
  <c r="N40" i="44"/>
  <c r="N41" i="44"/>
  <c r="N45" i="44"/>
  <c r="O45" i="44" s="1"/>
  <c r="O60" i="44"/>
  <c r="N44" i="44"/>
  <c r="O44" i="44" s="1"/>
  <c r="O23" i="44"/>
  <c r="N48" i="47"/>
  <c r="N51" i="47"/>
  <c r="O48" i="47"/>
  <c r="H47" i="47"/>
  <c r="G52" i="47"/>
  <c r="H52" i="47" s="1"/>
  <c r="N52" i="47" s="1"/>
  <c r="G51" i="47"/>
  <c r="H51" i="47" s="1"/>
  <c r="H49" i="47"/>
  <c r="L47" i="47"/>
  <c r="N39" i="47"/>
  <c r="O39" i="47" s="1"/>
  <c r="N43" i="46"/>
  <c r="O43" i="46" s="1"/>
  <c r="N52" i="46"/>
  <c r="O52" i="46" s="1"/>
  <c r="O58" i="46"/>
  <c r="N45" i="46"/>
  <c r="N31" i="46"/>
  <c r="N41" i="46"/>
  <c r="O57" i="46"/>
  <c r="N51" i="46"/>
  <c r="O51" i="46" s="1"/>
  <c r="O49" i="46"/>
  <c r="L39" i="46"/>
  <c r="N44" i="46"/>
  <c r="O44" i="46" s="1"/>
  <c r="H39" i="46"/>
  <c r="O45" i="46"/>
  <c r="O56" i="46"/>
  <c r="L50" i="45"/>
  <c r="L62" i="45" s="1"/>
  <c r="N58" i="45"/>
  <c r="O58" i="45" s="1"/>
  <c r="N52" i="45"/>
  <c r="H47" i="45"/>
  <c r="O39" i="45"/>
  <c r="N56" i="45"/>
  <c r="N48" i="45"/>
  <c r="O48" i="45" s="1"/>
  <c r="N51" i="45"/>
  <c r="O51" i="45" s="1"/>
  <c r="O56" i="45"/>
  <c r="O52" i="45"/>
  <c r="N49" i="45"/>
  <c r="O49" i="45" s="1"/>
  <c r="N57" i="45"/>
  <c r="O57" i="45" s="1"/>
  <c r="H49" i="44"/>
  <c r="G52" i="44"/>
  <c r="H52" i="44" s="1"/>
  <c r="G51" i="44"/>
  <c r="H51" i="44" s="1"/>
  <c r="N31" i="44"/>
  <c r="N49" i="44"/>
  <c r="L47" i="44"/>
  <c r="H39" i="44"/>
  <c r="N39" i="44" s="1"/>
  <c r="N57" i="44"/>
  <c r="O57" i="44" s="1"/>
  <c r="N58" i="44"/>
  <c r="O58" i="44" s="1"/>
  <c r="N56" i="44"/>
  <c r="O56" i="44" s="1"/>
  <c r="O56" i="43"/>
  <c r="N56" i="43"/>
  <c r="N51" i="43"/>
  <c r="O51" i="43" s="1"/>
  <c r="H50" i="43"/>
  <c r="L39" i="43"/>
  <c r="N52" i="43"/>
  <c r="O52" i="43" s="1"/>
  <c r="H61" i="43"/>
  <c r="N49" i="43"/>
  <c r="O49" i="43" s="1"/>
  <c r="N31" i="42"/>
  <c r="N59" i="42"/>
  <c r="O59" i="42" s="1"/>
  <c r="O56" i="42"/>
  <c r="H47" i="42"/>
  <c r="N56" i="42"/>
  <c r="K49" i="42"/>
  <c r="L48" i="42"/>
  <c r="N48" i="42" s="1"/>
  <c r="O48" i="42" s="1"/>
  <c r="N57" i="42"/>
  <c r="O57" i="42" s="1"/>
  <c r="N55" i="42"/>
  <c r="O55" i="42" s="1"/>
  <c r="N58" i="42"/>
  <c r="O58" i="42" s="1"/>
  <c r="L39" i="42"/>
  <c r="H49" i="42"/>
  <c r="G51" i="42"/>
  <c r="H51" i="42" s="1"/>
  <c r="G52" i="42"/>
  <c r="H52" i="42" s="1"/>
  <c r="O59" i="41"/>
  <c r="N59" i="41"/>
  <c r="N58" i="41"/>
  <c r="O58" i="41" s="1"/>
  <c r="L49" i="41"/>
  <c r="N49" i="41" s="1"/>
  <c r="O49" i="41" s="1"/>
  <c r="K52" i="41"/>
  <c r="L52" i="41" s="1"/>
  <c r="N52" i="41" s="1"/>
  <c r="K51" i="41"/>
  <c r="L51" i="41" s="1"/>
  <c r="H47" i="41"/>
  <c r="O39" i="41"/>
  <c r="O52" i="41"/>
  <c r="N49" i="40"/>
  <c r="H47" i="40"/>
  <c r="N52" i="40"/>
  <c r="O52" i="40" s="1"/>
  <c r="O49" i="40"/>
  <c r="N45" i="40"/>
  <c r="O45" i="40" s="1"/>
  <c r="O44" i="40"/>
  <c r="N43" i="40"/>
  <c r="O43" i="40" s="1"/>
  <c r="N51" i="40"/>
  <c r="O51" i="40" s="1"/>
  <c r="N39" i="40"/>
  <c r="O39" i="40" s="1"/>
  <c r="N39" i="39"/>
  <c r="O39" i="39" s="1"/>
  <c r="O58" i="39"/>
  <c r="O48" i="39"/>
  <c r="N51" i="39"/>
  <c r="O51" i="39"/>
  <c r="H47" i="39"/>
  <c r="O57" i="39"/>
  <c r="N58" i="39"/>
  <c r="O52" i="39"/>
  <c r="N59" i="39"/>
  <c r="O59" i="39" s="1"/>
  <c r="N56" i="39"/>
  <c r="O56" i="39" s="1"/>
  <c r="N49" i="39"/>
  <c r="O49" i="39" s="1"/>
  <c r="N57" i="39"/>
  <c r="N55" i="39"/>
  <c r="O55" i="39" s="1"/>
  <c r="N52" i="38"/>
  <c r="O52" i="38" s="1"/>
  <c r="N39" i="38"/>
  <c r="O39" i="38" s="1"/>
  <c r="N49" i="38"/>
  <c r="O49" i="38" s="1"/>
  <c r="N51" i="38"/>
  <c r="O51" i="38" s="1"/>
  <c r="N48" i="38"/>
  <c r="O48" i="38" s="1"/>
  <c r="O55" i="38"/>
  <c r="N59" i="38"/>
  <c r="O59" i="38" s="1"/>
  <c r="N56" i="38"/>
  <c r="O56" i="38" s="1"/>
  <c r="H47" i="38"/>
  <c r="O58" i="38"/>
  <c r="O57" i="38"/>
  <c r="O55" i="37"/>
  <c r="N56" i="37"/>
  <c r="O56" i="37" s="1"/>
  <c r="N55" i="37"/>
  <c r="N59" i="37"/>
  <c r="N57" i="37"/>
  <c r="O57" i="37" s="1"/>
  <c r="N39" i="37"/>
  <c r="O39" i="37" s="1"/>
  <c r="N51" i="37"/>
  <c r="O51" i="37" s="1"/>
  <c r="O44" i="37"/>
  <c r="N52" i="37"/>
  <c r="O52" i="37" s="1"/>
  <c r="H47" i="37"/>
  <c r="O45" i="37"/>
  <c r="O43" i="37"/>
  <c r="O58" i="36"/>
  <c r="N44" i="36"/>
  <c r="O44" i="36" s="1"/>
  <c r="L55" i="36"/>
  <c r="N55" i="36" s="1"/>
  <c r="H47" i="36"/>
  <c r="L45" i="36"/>
  <c r="N45" i="36" s="1"/>
  <c r="O55" i="36"/>
  <c r="L39" i="36"/>
  <c r="N57" i="36"/>
  <c r="O57" i="36" s="1"/>
  <c r="O45" i="36"/>
  <c r="H48" i="36"/>
  <c r="G49" i="36"/>
  <c r="N58" i="36"/>
  <c r="N59" i="36"/>
  <c r="D48" i="29"/>
  <c r="D47" i="29"/>
  <c r="D46" i="29"/>
  <c r="D45" i="29"/>
  <c r="D39" i="29"/>
  <c r="E32" i="28" l="1"/>
  <c r="E33" i="28" s="1"/>
  <c r="N47" i="47"/>
  <c r="O47" i="47" s="1"/>
  <c r="L50" i="47"/>
  <c r="N49" i="47"/>
  <c r="O49" i="47" s="1"/>
  <c r="O52" i="47"/>
  <c r="H50" i="47"/>
  <c r="O51" i="47"/>
  <c r="H47" i="46"/>
  <c r="L47" i="46"/>
  <c r="N39" i="46"/>
  <c r="O39" i="46" s="1"/>
  <c r="L65" i="45"/>
  <c r="L63" i="45"/>
  <c r="L64" i="45" s="1"/>
  <c r="L68" i="45"/>
  <c r="H50" i="45"/>
  <c r="N47" i="45"/>
  <c r="O47" i="45" s="1"/>
  <c r="H47" i="44"/>
  <c r="O39" i="44"/>
  <c r="O49" i="44"/>
  <c r="N52" i="44"/>
  <c r="O52" i="44" s="1"/>
  <c r="N51" i="44"/>
  <c r="O51" i="44" s="1"/>
  <c r="L50" i="44"/>
  <c r="H62" i="43"/>
  <c r="H77" i="43"/>
  <c r="N39" i="43"/>
  <c r="O39" i="43" s="1"/>
  <c r="H67" i="43"/>
  <c r="H50" i="42"/>
  <c r="H61" i="42"/>
  <c r="K52" i="42"/>
  <c r="L52" i="42" s="1"/>
  <c r="N52" i="42" s="1"/>
  <c r="O52" i="42" s="1"/>
  <c r="K51" i="42"/>
  <c r="L51" i="42" s="1"/>
  <c r="L49" i="42"/>
  <c r="N49" i="42" s="1"/>
  <c r="O49" i="42" s="1"/>
  <c r="N39" i="42"/>
  <c r="O39" i="42" s="1"/>
  <c r="N51" i="41"/>
  <c r="O51" i="41" s="1"/>
  <c r="H50" i="41"/>
  <c r="H50" i="40"/>
  <c r="H50" i="39"/>
  <c r="H50" i="38"/>
  <c r="H50" i="37"/>
  <c r="H49" i="36"/>
  <c r="H50" i="36" s="1"/>
  <c r="G52" i="36"/>
  <c r="H52" i="36" s="1"/>
  <c r="G51" i="36"/>
  <c r="H51" i="36" s="1"/>
  <c r="N39" i="36"/>
  <c r="O39" i="36" s="1"/>
  <c r="N48" i="36"/>
  <c r="O48" i="36" s="1"/>
  <c r="J44" i="10"/>
  <c r="F44" i="10"/>
  <c r="J44" i="9"/>
  <c r="F44" i="9"/>
  <c r="H44" i="9" s="1"/>
  <c r="J44" i="8"/>
  <c r="L44" i="8" s="1"/>
  <c r="F44" i="8"/>
  <c r="H44" i="8" s="1"/>
  <c r="G44" i="10"/>
  <c r="K44" i="10"/>
  <c r="K44" i="8"/>
  <c r="G44" i="8"/>
  <c r="K44" i="9"/>
  <c r="G44" i="9"/>
  <c r="J44" i="7"/>
  <c r="J44" i="26" s="1"/>
  <c r="F44" i="7"/>
  <c r="F44" i="26" s="1"/>
  <c r="J44" i="6"/>
  <c r="J44" i="24" s="1"/>
  <c r="G44" i="26"/>
  <c r="K44" i="26"/>
  <c r="G44" i="7"/>
  <c r="K44" i="7"/>
  <c r="G44" i="24"/>
  <c r="K44" i="24"/>
  <c r="K44" i="6"/>
  <c r="G44" i="6"/>
  <c r="F44" i="6"/>
  <c r="F44" i="24" s="1"/>
  <c r="J44" i="3"/>
  <c r="J44" i="5" s="1"/>
  <c r="K44" i="4"/>
  <c r="G44" i="4"/>
  <c r="F44" i="3"/>
  <c r="F44" i="5" s="1"/>
  <c r="J43" i="2"/>
  <c r="F43" i="2"/>
  <c r="J43" i="11"/>
  <c r="F43" i="11"/>
  <c r="G43" i="11"/>
  <c r="L44" i="10" l="1"/>
  <c r="H44" i="10"/>
  <c r="L44" i="9"/>
  <c r="H68" i="47"/>
  <c r="N50" i="47"/>
  <c r="O50" i="47" s="1"/>
  <c r="L68" i="47"/>
  <c r="L62" i="47"/>
  <c r="H62" i="47"/>
  <c r="L50" i="46"/>
  <c r="N47" i="46"/>
  <c r="O47" i="46" s="1"/>
  <c r="H50" i="46"/>
  <c r="H68" i="45"/>
  <c r="H62" i="45"/>
  <c r="L71" i="45"/>
  <c r="L69" i="45"/>
  <c r="L70" i="45" s="1"/>
  <c r="N68" i="45"/>
  <c r="L66" i="45"/>
  <c r="N50" i="45"/>
  <c r="O50" i="45" s="1"/>
  <c r="H50" i="44"/>
  <c r="N50" i="44" s="1"/>
  <c r="L68" i="44"/>
  <c r="L62" i="44"/>
  <c r="N47" i="44"/>
  <c r="O47" i="44" s="1"/>
  <c r="H70" i="43"/>
  <c r="H68" i="43"/>
  <c r="H78" i="43"/>
  <c r="H79" i="43"/>
  <c r="H64" i="42"/>
  <c r="H62" i="42"/>
  <c r="H77" i="42"/>
  <c r="N51" i="42"/>
  <c r="O51" i="42" s="1"/>
  <c r="H67" i="42"/>
  <c r="H67" i="41"/>
  <c r="H61" i="41"/>
  <c r="H67" i="40"/>
  <c r="H61" i="40"/>
  <c r="H67" i="39"/>
  <c r="H61" i="39"/>
  <c r="H61" i="38"/>
  <c r="H77" i="38" s="1"/>
  <c r="H67" i="38"/>
  <c r="H67" i="37"/>
  <c r="H61" i="37"/>
  <c r="H67" i="36"/>
  <c r="N49" i="36"/>
  <c r="O49" i="36" s="1"/>
  <c r="H61" i="36"/>
  <c r="N51" i="36"/>
  <c r="O51" i="36" s="1"/>
  <c r="N52" i="36"/>
  <c r="O52" i="36" s="1"/>
  <c r="N44" i="9"/>
  <c r="O44" i="9" s="1"/>
  <c r="L44" i="7"/>
  <c r="N44" i="8"/>
  <c r="O44" i="8" s="1"/>
  <c r="H44" i="26"/>
  <c r="L44" i="26"/>
  <c r="H44" i="7"/>
  <c r="H44" i="24"/>
  <c r="L44" i="24"/>
  <c r="H44" i="6"/>
  <c r="F44" i="21"/>
  <c r="F44" i="4"/>
  <c r="H44" i="4" s="1"/>
  <c r="J44" i="21"/>
  <c r="J44" i="4"/>
  <c r="L44" i="4" s="1"/>
  <c r="F43" i="30"/>
  <c r="J43" i="30"/>
  <c r="L44" i="6"/>
  <c r="N44" i="6" s="1"/>
  <c r="N44" i="10" l="1"/>
  <c r="H65" i="47"/>
  <c r="H63" i="47"/>
  <c r="H71" i="47"/>
  <c r="H69" i="47"/>
  <c r="H70" i="47" s="1"/>
  <c r="L65" i="47"/>
  <c r="L63" i="47"/>
  <c r="N63" i="47" s="1"/>
  <c r="N62" i="47"/>
  <c r="O62" i="47" s="1"/>
  <c r="L71" i="47"/>
  <c r="L69" i="47"/>
  <c r="N68" i="47"/>
  <c r="O68" i="47" s="1"/>
  <c r="H68" i="46"/>
  <c r="H62" i="46"/>
  <c r="N50" i="46"/>
  <c r="O50" i="46" s="1"/>
  <c r="L68" i="46"/>
  <c r="L62" i="46"/>
  <c r="H65" i="45"/>
  <c r="H63" i="45"/>
  <c r="N62" i="45"/>
  <c r="O62" i="45" s="1"/>
  <c r="L72" i="45"/>
  <c r="H71" i="45"/>
  <c r="H69" i="45"/>
  <c r="H70" i="45" s="1"/>
  <c r="N70" i="45" s="1"/>
  <c r="O68" i="45"/>
  <c r="N71" i="45"/>
  <c r="L71" i="44"/>
  <c r="L69" i="44"/>
  <c r="L65" i="44"/>
  <c r="L63" i="44"/>
  <c r="L64" i="44" s="1"/>
  <c r="O50" i="44"/>
  <c r="H68" i="44"/>
  <c r="H62" i="44"/>
  <c r="H69" i="43"/>
  <c r="H78" i="42"/>
  <c r="H79" i="42" s="1"/>
  <c r="H70" i="42"/>
  <c r="H69" i="42"/>
  <c r="H68" i="42"/>
  <c r="H63" i="42"/>
  <c r="H64" i="41"/>
  <c r="H62" i="41"/>
  <c r="H63" i="41" s="1"/>
  <c r="H77" i="41"/>
  <c r="H70" i="41"/>
  <c r="H68" i="41"/>
  <c r="H69" i="41" s="1"/>
  <c r="H64" i="40"/>
  <c r="H62" i="40"/>
  <c r="H63" i="40" s="1"/>
  <c r="H77" i="40"/>
  <c r="H70" i="40"/>
  <c r="H68" i="40"/>
  <c r="H69" i="40" s="1"/>
  <c r="H70" i="39"/>
  <c r="H68" i="39"/>
  <c r="H64" i="39"/>
  <c r="H62" i="39"/>
  <c r="H70" i="38"/>
  <c r="H68" i="38"/>
  <c r="H69" i="38" s="1"/>
  <c r="H64" i="38"/>
  <c r="H62" i="38"/>
  <c r="H63" i="38" s="1"/>
  <c r="H70" i="37"/>
  <c r="H68" i="37"/>
  <c r="H64" i="37"/>
  <c r="H62" i="37"/>
  <c r="H63" i="37" s="1"/>
  <c r="H77" i="37"/>
  <c r="H77" i="36"/>
  <c r="H62" i="36"/>
  <c r="H63" i="36" s="1"/>
  <c r="H64" i="36"/>
  <c r="H70" i="36"/>
  <c r="H68" i="36"/>
  <c r="O44" i="6"/>
  <c r="N44" i="26"/>
  <c r="O44" i="26" s="1"/>
  <c r="N44" i="24"/>
  <c r="O44" i="24" s="1"/>
  <c r="N44" i="7"/>
  <c r="O44" i="7" s="1"/>
  <c r="N44" i="4"/>
  <c r="O44" i="4" s="1"/>
  <c r="N65" i="47" l="1"/>
  <c r="O65" i="47" s="1"/>
  <c r="N71" i="47"/>
  <c r="O71" i="47" s="1"/>
  <c r="H72" i="47"/>
  <c r="N69" i="47"/>
  <c r="O69" i="47" s="1"/>
  <c r="L70" i="47"/>
  <c r="L64" i="47"/>
  <c r="O63" i="47"/>
  <c r="H64" i="47"/>
  <c r="L65" i="46"/>
  <c r="L63" i="46"/>
  <c r="N62" i="46"/>
  <c r="O62" i="46" s="1"/>
  <c r="H71" i="46"/>
  <c r="H69" i="46"/>
  <c r="H70" i="46" s="1"/>
  <c r="H65" i="46"/>
  <c r="H63" i="46"/>
  <c r="H64" i="46" s="1"/>
  <c r="L71" i="46"/>
  <c r="N71" i="46" s="1"/>
  <c r="L69" i="46"/>
  <c r="N69" i="46" s="1"/>
  <c r="N68" i="46"/>
  <c r="O68" i="46" s="1"/>
  <c r="N63" i="45"/>
  <c r="O63" i="45" s="1"/>
  <c r="H64" i="45"/>
  <c r="H72" i="45"/>
  <c r="N72" i="45" s="1"/>
  <c r="O70" i="45"/>
  <c r="N65" i="45"/>
  <c r="O65" i="45" s="1"/>
  <c r="O71" i="45"/>
  <c r="N69" i="45"/>
  <c r="O69" i="45" s="1"/>
  <c r="L66" i="44"/>
  <c r="H65" i="44"/>
  <c r="H63" i="44"/>
  <c r="H64" i="44" s="1"/>
  <c r="H71" i="44"/>
  <c r="H69" i="44"/>
  <c r="N69" i="44" s="1"/>
  <c r="L70" i="44"/>
  <c r="N62" i="44"/>
  <c r="O62" i="44" s="1"/>
  <c r="N68" i="44"/>
  <c r="O68" i="44" s="1"/>
  <c r="H71" i="43"/>
  <c r="H71" i="42"/>
  <c r="H65" i="42"/>
  <c r="H65" i="41"/>
  <c r="H78" i="41"/>
  <c r="H79" i="41"/>
  <c r="H71" i="41"/>
  <c r="H65" i="40"/>
  <c r="H71" i="40"/>
  <c r="H78" i="40"/>
  <c r="H79" i="40" s="1"/>
  <c r="H78" i="39"/>
  <c r="H63" i="39"/>
  <c r="H69" i="39"/>
  <c r="H65" i="38"/>
  <c r="H71" i="38"/>
  <c r="H78" i="38"/>
  <c r="H65" i="37"/>
  <c r="H69" i="37"/>
  <c r="H78" i="37"/>
  <c r="H79" i="37"/>
  <c r="H65" i="36"/>
  <c r="H69" i="36"/>
  <c r="H78" i="36"/>
  <c r="H79" i="36" s="1"/>
  <c r="J50" i="10"/>
  <c r="J49" i="10"/>
  <c r="J49" i="9"/>
  <c r="J50" i="9"/>
  <c r="J50" i="8"/>
  <c r="J49" i="8"/>
  <c r="J50" i="7"/>
  <c r="J50" i="26" s="1"/>
  <c r="J49" i="7"/>
  <c r="J49" i="26" s="1"/>
  <c r="J50" i="6"/>
  <c r="J50" i="24" s="1"/>
  <c r="J49" i="6"/>
  <c r="J49" i="24" s="1"/>
  <c r="J50" i="3"/>
  <c r="J50" i="4" s="1"/>
  <c r="J49" i="3"/>
  <c r="J49" i="5" s="1"/>
  <c r="J49" i="2"/>
  <c r="J48" i="2"/>
  <c r="J49" i="11"/>
  <c r="J48" i="11"/>
  <c r="L66" i="47" l="1"/>
  <c r="N64" i="47"/>
  <c r="O64" i="47" s="1"/>
  <c r="H66" i="47"/>
  <c r="L72" i="47"/>
  <c r="N72" i="47" s="1"/>
  <c r="O72" i="47" s="1"/>
  <c r="N70" i="47"/>
  <c r="O70" i="47" s="1"/>
  <c r="H66" i="46"/>
  <c r="H72" i="46"/>
  <c r="N63" i="46"/>
  <c r="O63" i="46" s="1"/>
  <c r="L70" i="46"/>
  <c r="L64" i="46"/>
  <c r="O69" i="46"/>
  <c r="O71" i="46"/>
  <c r="N65" i="46"/>
  <c r="O65" i="46" s="1"/>
  <c r="O72" i="45"/>
  <c r="H66" i="45"/>
  <c r="N64" i="45"/>
  <c r="O64" i="45" s="1"/>
  <c r="N63" i="44"/>
  <c r="L72" i="44"/>
  <c r="H66" i="44"/>
  <c r="N66" i="44" s="1"/>
  <c r="N71" i="44"/>
  <c r="O71" i="44" s="1"/>
  <c r="O69" i="44"/>
  <c r="N64" i="44"/>
  <c r="O64" i="44" s="1"/>
  <c r="N65" i="44"/>
  <c r="O65" i="44" s="1"/>
  <c r="H70" i="44"/>
  <c r="O63" i="44"/>
  <c r="H71" i="39"/>
  <c r="H79" i="39"/>
  <c r="H65" i="39"/>
  <c r="H79" i="38"/>
  <c r="H71" i="37"/>
  <c r="H71" i="36"/>
  <c r="J49" i="30"/>
  <c r="J50" i="5"/>
  <c r="J49" i="21"/>
  <c r="J50" i="21"/>
  <c r="J49" i="4"/>
  <c r="J48" i="30"/>
  <c r="N66" i="47" l="1"/>
  <c r="O66" i="47" s="1"/>
  <c r="L66" i="46"/>
  <c r="N66" i="46" s="1"/>
  <c r="O66" i="46" s="1"/>
  <c r="N64" i="46"/>
  <c r="O64" i="46" s="1"/>
  <c r="L72" i="46"/>
  <c r="N72" i="46" s="1"/>
  <c r="O72" i="46" s="1"/>
  <c r="N70" i="46"/>
  <c r="O70" i="46" s="1"/>
  <c r="N66" i="45"/>
  <c r="O66" i="45" s="1"/>
  <c r="O66" i="44"/>
  <c r="H72" i="44"/>
  <c r="N72" i="44" s="1"/>
  <c r="N70" i="44"/>
  <c r="O70" i="44" s="1"/>
  <c r="O72" i="44" l="1"/>
  <c r="G59" i="10"/>
  <c r="G58" i="10"/>
  <c r="G57" i="10"/>
  <c r="G59" i="9"/>
  <c r="G58" i="9"/>
  <c r="G57" i="9"/>
  <c r="G59" i="8"/>
  <c r="G58" i="8"/>
  <c r="G57" i="8"/>
  <c r="G59" i="26"/>
  <c r="G58" i="26"/>
  <c r="G57" i="26"/>
  <c r="G59" i="7"/>
  <c r="G58" i="7"/>
  <c r="G57" i="7"/>
  <c r="G59" i="24"/>
  <c r="G58" i="24"/>
  <c r="G57" i="24"/>
  <c r="G59" i="6"/>
  <c r="G58" i="6"/>
  <c r="G57" i="6"/>
  <c r="G59" i="4"/>
  <c r="G58" i="4"/>
  <c r="G57" i="4"/>
  <c r="G58" i="2"/>
  <c r="G57" i="2"/>
  <c r="G56" i="2"/>
  <c r="G57" i="30"/>
  <c r="G56" i="30"/>
  <c r="G55" i="30"/>
  <c r="G56" i="11"/>
  <c r="G55" i="11"/>
  <c r="G43" i="10"/>
  <c r="G43" i="9"/>
  <c r="G43" i="26"/>
  <c r="G43" i="7"/>
  <c r="G43" i="24"/>
  <c r="G43" i="6"/>
  <c r="G43" i="21"/>
  <c r="G43" i="5"/>
  <c r="F42" i="10"/>
  <c r="F31" i="10"/>
  <c r="F42" i="8"/>
  <c r="F31" i="8"/>
  <c r="F31" i="9"/>
  <c r="F42" i="9"/>
  <c r="F41" i="5"/>
  <c r="F41" i="24"/>
  <c r="F41" i="26"/>
  <c r="F41" i="10"/>
  <c r="F41" i="9"/>
  <c r="F41" i="8"/>
  <c r="G42" i="26"/>
  <c r="F42" i="26"/>
  <c r="F42" i="7"/>
  <c r="F31" i="7"/>
  <c r="F42" i="24"/>
  <c r="F42" i="6"/>
  <c r="F31" i="6"/>
  <c r="F42" i="21"/>
  <c r="F42" i="5"/>
  <c r="F42" i="4"/>
  <c r="F41" i="6" l="1"/>
  <c r="F41" i="7"/>
  <c r="F41" i="4"/>
  <c r="F41" i="21"/>
  <c r="F42" i="3"/>
  <c r="F31" i="3"/>
  <c r="F41" i="3"/>
  <c r="F41" i="2"/>
  <c r="F31" i="2"/>
  <c r="F55" i="10" l="1"/>
  <c r="J55" i="10" s="1"/>
  <c r="F55" i="9"/>
  <c r="J55" i="9" s="1"/>
  <c r="F55" i="8"/>
  <c r="J55" i="8" s="1"/>
  <c r="F55" i="26"/>
  <c r="J55" i="26" s="1"/>
  <c r="F55" i="7"/>
  <c r="J55" i="7" s="1"/>
  <c r="F55" i="24"/>
  <c r="J55" i="24" s="1"/>
  <c r="F55" i="6"/>
  <c r="J55" i="6" s="1"/>
  <c r="F55" i="21"/>
  <c r="J55" i="21" s="1"/>
  <c r="F55" i="5"/>
  <c r="J55" i="5" s="1"/>
  <c r="F55" i="4"/>
  <c r="J55" i="4" s="1"/>
  <c r="F55" i="3"/>
  <c r="J55" i="3" s="1"/>
  <c r="F54" i="2" l="1"/>
  <c r="J54" i="2" s="1"/>
  <c r="F54" i="11" l="1"/>
  <c r="F31" i="11"/>
  <c r="F29" i="11"/>
  <c r="F29" i="30" s="1"/>
  <c r="F23" i="11"/>
  <c r="F48" i="11"/>
  <c r="F54" i="30" l="1"/>
  <c r="J54" i="11"/>
  <c r="F43" i="10"/>
  <c r="F43" i="9"/>
  <c r="F43" i="8"/>
  <c r="F42" i="11"/>
  <c r="F42" i="30" s="1"/>
  <c r="F41" i="11"/>
  <c r="F40" i="10"/>
  <c r="F40" i="9"/>
  <c r="F40" i="8"/>
  <c r="F40" i="11"/>
  <c r="F40" i="30" l="1"/>
  <c r="F41" i="30"/>
  <c r="H41" i="11"/>
  <c r="F43" i="24"/>
  <c r="F43" i="6"/>
  <c r="F43" i="4"/>
  <c r="F43" i="21"/>
  <c r="F43" i="5"/>
  <c r="F43" i="3"/>
  <c r="F40" i="4"/>
  <c r="F40" i="21"/>
  <c r="F40" i="5"/>
  <c r="F40" i="3"/>
  <c r="F42" i="2"/>
  <c r="F40" i="7"/>
  <c r="F40" i="26"/>
  <c r="F40" i="24"/>
  <c r="F40" i="6"/>
  <c r="F40" i="2"/>
  <c r="F43" i="26"/>
  <c r="F43" i="7"/>
  <c r="J54" i="30"/>
  <c r="F55" i="11"/>
  <c r="J54" i="10" l="1"/>
  <c r="J45" i="10"/>
  <c r="F54" i="10"/>
  <c r="J54" i="9"/>
  <c r="J45" i="9"/>
  <c r="F54" i="9"/>
  <c r="J54" i="8"/>
  <c r="J45" i="8"/>
  <c r="F54" i="8"/>
  <c r="J72" i="7"/>
  <c r="J54" i="7"/>
  <c r="J54" i="26" s="1"/>
  <c r="J45" i="7"/>
  <c r="J45" i="26" s="1"/>
  <c r="F54" i="7"/>
  <c r="F54" i="26" s="1"/>
  <c r="J54" i="6"/>
  <c r="J54" i="24" s="1"/>
  <c r="J45" i="6"/>
  <c r="J45" i="24" s="1"/>
  <c r="F54" i="6"/>
  <c r="F54" i="24" s="1"/>
  <c r="J54" i="3"/>
  <c r="J54" i="21" s="1"/>
  <c r="J45" i="3"/>
  <c r="J45" i="4" s="1"/>
  <c r="F54" i="3"/>
  <c r="F54" i="21" s="1"/>
  <c r="J54" i="4" l="1"/>
  <c r="F54" i="5"/>
  <c r="J45" i="5"/>
  <c r="J54" i="5"/>
  <c r="F54" i="4"/>
  <c r="J45" i="21"/>
  <c r="J46" i="2" l="1"/>
  <c r="J44" i="2"/>
  <c r="F53" i="2"/>
  <c r="J44" i="30"/>
  <c r="J46" i="30"/>
  <c r="J53" i="30"/>
  <c r="F53" i="30"/>
  <c r="J53" i="11"/>
  <c r="F53" i="11"/>
  <c r="J53" i="2" l="1"/>
  <c r="J74" i="11"/>
  <c r="J46" i="11"/>
  <c r="J44" i="11"/>
  <c r="F76" i="10"/>
  <c r="F61" i="10"/>
  <c r="J61" i="10" s="1"/>
  <c r="F60" i="10"/>
  <c r="J60" i="10" s="1"/>
  <c r="F59" i="10"/>
  <c r="J59" i="10" s="1"/>
  <c r="F58" i="10"/>
  <c r="J58" i="10" s="1"/>
  <c r="F57" i="10"/>
  <c r="F56" i="10"/>
  <c r="F53" i="10"/>
  <c r="J53" i="10" s="1"/>
  <c r="F52" i="10"/>
  <c r="J52" i="10" s="1"/>
  <c r="F50" i="10"/>
  <c r="F49" i="10"/>
  <c r="F45" i="10"/>
  <c r="F29" i="10"/>
  <c r="F23" i="10"/>
  <c r="F76" i="9"/>
  <c r="F61" i="9"/>
  <c r="J61" i="9" s="1"/>
  <c r="F60" i="9"/>
  <c r="J60" i="9" s="1"/>
  <c r="F59" i="9"/>
  <c r="J59" i="9" s="1"/>
  <c r="F58" i="9"/>
  <c r="J58" i="9" s="1"/>
  <c r="F57" i="9"/>
  <c r="F56" i="9"/>
  <c r="F53" i="9"/>
  <c r="J53" i="9" s="1"/>
  <c r="F52" i="9"/>
  <c r="J52" i="9" s="1"/>
  <c r="F50" i="9"/>
  <c r="F49" i="9"/>
  <c r="F45" i="9"/>
  <c r="F29" i="9"/>
  <c r="F23" i="9"/>
  <c r="F76" i="8"/>
  <c r="F61" i="8"/>
  <c r="J61" i="8" s="1"/>
  <c r="F60" i="8"/>
  <c r="J60" i="8" s="1"/>
  <c r="F59" i="8"/>
  <c r="J59" i="8" s="1"/>
  <c r="F58" i="8"/>
  <c r="J58" i="8" s="1"/>
  <c r="F57" i="8"/>
  <c r="F56" i="8"/>
  <c r="F53" i="8"/>
  <c r="J53" i="8" s="1"/>
  <c r="F52" i="8"/>
  <c r="J52" i="8" s="1"/>
  <c r="F50" i="8"/>
  <c r="F49" i="8"/>
  <c r="F45" i="8"/>
  <c r="F29" i="8"/>
  <c r="F23" i="8"/>
  <c r="F72" i="7"/>
  <c r="F72" i="26" s="1"/>
  <c r="F61" i="7"/>
  <c r="F60" i="7"/>
  <c r="F59" i="7"/>
  <c r="F58" i="7"/>
  <c r="F57" i="7"/>
  <c r="F56" i="7"/>
  <c r="F56" i="26" s="1"/>
  <c r="F53" i="7"/>
  <c r="F52" i="7"/>
  <c r="F50" i="7"/>
  <c r="F50" i="26" s="1"/>
  <c r="F49" i="7"/>
  <c r="F49" i="26" s="1"/>
  <c r="F45" i="7"/>
  <c r="F45" i="26" s="1"/>
  <c r="F29" i="7"/>
  <c r="F23" i="7"/>
  <c r="F72" i="6"/>
  <c r="F72" i="24" s="1"/>
  <c r="F61" i="6"/>
  <c r="F60" i="6"/>
  <c r="F59" i="6"/>
  <c r="F58" i="6"/>
  <c r="F57" i="6"/>
  <c r="F56" i="6"/>
  <c r="F56" i="24" s="1"/>
  <c r="F53" i="6"/>
  <c r="F52" i="6"/>
  <c r="F50" i="6"/>
  <c r="F50" i="24" s="1"/>
  <c r="F49" i="6"/>
  <c r="F49" i="24" s="1"/>
  <c r="F45" i="6"/>
  <c r="F45" i="24" s="1"/>
  <c r="F29" i="6"/>
  <c r="F23" i="6"/>
  <c r="F72" i="3"/>
  <c r="F72" i="5" s="1"/>
  <c r="F61" i="3"/>
  <c r="F60" i="3"/>
  <c r="F59" i="3"/>
  <c r="F58" i="3"/>
  <c r="F57" i="3"/>
  <c r="F56" i="3"/>
  <c r="F56" i="5" s="1"/>
  <c r="F53" i="3"/>
  <c r="F52" i="3"/>
  <c r="F50" i="3"/>
  <c r="F50" i="5" s="1"/>
  <c r="F49" i="3"/>
  <c r="F49" i="21" s="1"/>
  <c r="F45" i="3"/>
  <c r="F29" i="3"/>
  <c r="F23" i="3"/>
  <c r="F75" i="2"/>
  <c r="F60" i="2"/>
  <c r="F59" i="2"/>
  <c r="F58" i="2"/>
  <c r="F57" i="2"/>
  <c r="F56" i="2"/>
  <c r="F55" i="2"/>
  <c r="F52" i="2"/>
  <c r="F51" i="2"/>
  <c r="F49" i="2"/>
  <c r="F48" i="2"/>
  <c r="F46" i="2"/>
  <c r="F44" i="2"/>
  <c r="F29" i="2"/>
  <c r="F23" i="2"/>
  <c r="F59" i="11"/>
  <c r="F58" i="11"/>
  <c r="F57" i="11"/>
  <c r="F56" i="11"/>
  <c r="F74" i="11"/>
  <c r="F52" i="11"/>
  <c r="F51" i="11"/>
  <c r="F49" i="11"/>
  <c r="F46" i="11"/>
  <c r="F44" i="11"/>
  <c r="F52" i="30" l="1"/>
  <c r="J52" i="30" s="1"/>
  <c r="F45" i="21"/>
  <c r="F45" i="4"/>
  <c r="G54" i="2"/>
  <c r="H54" i="2" s="1"/>
  <c r="G48" i="2"/>
  <c r="G54" i="11"/>
  <c r="H54" i="11" s="1"/>
  <c r="G48" i="11"/>
  <c r="G49" i="11" s="1"/>
  <c r="F45" i="11"/>
  <c r="K54" i="11"/>
  <c r="L54" i="11" s="1"/>
  <c r="K48" i="11"/>
  <c r="K49" i="11" s="1"/>
  <c r="K52" i="11" s="1"/>
  <c r="F58" i="26"/>
  <c r="J58" i="26" s="1"/>
  <c r="J58" i="7"/>
  <c r="J60" i="2"/>
  <c r="F59" i="26"/>
  <c r="J59" i="26" s="1"/>
  <c r="J59" i="7"/>
  <c r="F58" i="24"/>
  <c r="J58" i="24" s="1"/>
  <c r="J58" i="6"/>
  <c r="F57" i="5"/>
  <c r="F46" i="3"/>
  <c r="J57" i="3"/>
  <c r="F59" i="24"/>
  <c r="J59" i="24" s="1"/>
  <c r="J59" i="6"/>
  <c r="F46" i="9"/>
  <c r="J57" i="9"/>
  <c r="J46" i="9" s="1"/>
  <c r="F58" i="21"/>
  <c r="J58" i="21" s="1"/>
  <c r="J58" i="3"/>
  <c r="F60" i="24"/>
  <c r="J60" i="24" s="1"/>
  <c r="J60" i="6"/>
  <c r="F61" i="5"/>
  <c r="J61" i="5" s="1"/>
  <c r="J61" i="3"/>
  <c r="J59" i="2"/>
  <c r="F57" i="24"/>
  <c r="J57" i="6"/>
  <c r="F46" i="6"/>
  <c r="F46" i="10"/>
  <c r="J57" i="10"/>
  <c r="J46" i="10" s="1"/>
  <c r="F59" i="21"/>
  <c r="J59" i="21" s="1"/>
  <c r="J59" i="3"/>
  <c r="F61" i="24"/>
  <c r="J61" i="24" s="1"/>
  <c r="J61" i="6"/>
  <c r="F46" i="8"/>
  <c r="J57" i="8"/>
  <c r="J46" i="8" s="1"/>
  <c r="J58" i="2"/>
  <c r="F57" i="26"/>
  <c r="J57" i="7"/>
  <c r="F46" i="7"/>
  <c r="F60" i="26"/>
  <c r="J60" i="26" s="1"/>
  <c r="J60" i="7"/>
  <c r="F61" i="26"/>
  <c r="J61" i="26" s="1"/>
  <c r="J61" i="7"/>
  <c r="F45" i="2"/>
  <c r="J56" i="2"/>
  <c r="J57" i="2"/>
  <c r="F60" i="21"/>
  <c r="J60" i="21" s="1"/>
  <c r="J60" i="3"/>
  <c r="F53" i="24"/>
  <c r="J53" i="24" s="1"/>
  <c r="J53" i="6"/>
  <c r="F53" i="5"/>
  <c r="J53" i="5" s="1"/>
  <c r="J53" i="3"/>
  <c r="J52" i="2"/>
  <c r="F53" i="26"/>
  <c r="J53" i="26" s="1"/>
  <c r="J53" i="7"/>
  <c r="F52" i="24"/>
  <c r="J52" i="24" s="1"/>
  <c r="J52" i="6"/>
  <c r="F52" i="5"/>
  <c r="J52" i="5" s="1"/>
  <c r="J52" i="3"/>
  <c r="J51" i="2"/>
  <c r="F52" i="26"/>
  <c r="J52" i="26" s="1"/>
  <c r="J52" i="7"/>
  <c r="J59" i="11"/>
  <c r="J55" i="11"/>
  <c r="J56" i="11"/>
  <c r="J57" i="11"/>
  <c r="J58" i="11"/>
  <c r="J52" i="11"/>
  <c r="J51" i="11"/>
  <c r="F55" i="30"/>
  <c r="F52" i="4"/>
  <c r="J52" i="4" s="1"/>
  <c r="F57" i="30"/>
  <c r="J57" i="30" s="1"/>
  <c r="F74" i="30"/>
  <c r="G45" i="30" s="1"/>
  <c r="F50" i="4"/>
  <c r="F61" i="4"/>
  <c r="J61" i="4" s="1"/>
  <c r="F72" i="4"/>
  <c r="F56" i="4"/>
  <c r="F44" i="30"/>
  <c r="F72" i="21"/>
  <c r="F53" i="21"/>
  <c r="J53" i="21" s="1"/>
  <c r="F56" i="21"/>
  <c r="F56" i="30"/>
  <c r="J56" i="30" s="1"/>
  <c r="F53" i="4"/>
  <c r="J53" i="4" s="1"/>
  <c r="F61" i="21"/>
  <c r="J61" i="21" s="1"/>
  <c r="F50" i="21"/>
  <c r="F52" i="21"/>
  <c r="J52" i="21" s="1"/>
  <c r="F58" i="5"/>
  <c r="J58" i="5" s="1"/>
  <c r="F45" i="5"/>
  <c r="F59" i="5"/>
  <c r="J59" i="5" s="1"/>
  <c r="F46" i="30"/>
  <c r="F49" i="5"/>
  <c r="F58" i="30"/>
  <c r="J58" i="30" s="1"/>
  <c r="F57" i="4"/>
  <c r="F57" i="21"/>
  <c r="F60" i="5"/>
  <c r="J60" i="5" s="1"/>
  <c r="F48" i="30"/>
  <c r="F49" i="30"/>
  <c r="F59" i="30"/>
  <c r="J59" i="30" s="1"/>
  <c r="F58" i="4"/>
  <c r="J58" i="4" s="1"/>
  <c r="F51" i="30"/>
  <c r="J51" i="30" s="1"/>
  <c r="F59" i="4"/>
  <c r="J59" i="4" s="1"/>
  <c r="F49" i="4"/>
  <c r="F60" i="4"/>
  <c r="J60" i="4" s="1"/>
  <c r="J46" i="7" l="1"/>
  <c r="J45" i="2"/>
  <c r="G48" i="30"/>
  <c r="G54" i="30"/>
  <c r="H54" i="30" s="1"/>
  <c r="J57" i="26"/>
  <c r="J46" i="26" s="1"/>
  <c r="F46" i="26"/>
  <c r="F46" i="24"/>
  <c r="J57" i="24"/>
  <c r="J46" i="24" s="1"/>
  <c r="J45" i="11"/>
  <c r="F46" i="21"/>
  <c r="J57" i="21"/>
  <c r="J46" i="21" s="1"/>
  <c r="J57" i="4"/>
  <c r="J46" i="4" s="1"/>
  <c r="F46" i="4"/>
  <c r="J46" i="6"/>
  <c r="J46" i="3"/>
  <c r="J57" i="5"/>
  <c r="J46" i="5" s="1"/>
  <c r="F46" i="5"/>
  <c r="J55" i="30"/>
  <c r="J45" i="30" s="1"/>
  <c r="F45" i="30"/>
  <c r="H45" i="30" s="1"/>
  <c r="K43" i="9" l="1"/>
  <c r="K43" i="10"/>
  <c r="K43" i="24"/>
  <c r="K43" i="6"/>
  <c r="K43" i="5"/>
  <c r="K43" i="3"/>
  <c r="K43" i="4"/>
  <c r="G43" i="4"/>
  <c r="G43" i="3"/>
  <c r="H43" i="3" s="1"/>
  <c r="J43" i="10" l="1"/>
  <c r="J43" i="9"/>
  <c r="J43" i="8"/>
  <c r="J43" i="7"/>
  <c r="J43" i="26" s="1"/>
  <c r="J43" i="6"/>
  <c r="J43" i="24" s="1"/>
  <c r="J43" i="3"/>
  <c r="J43" i="5" s="1"/>
  <c r="J42" i="2"/>
  <c r="B43" i="8"/>
  <c r="B43" i="9" s="1"/>
  <c r="B43" i="10" s="1"/>
  <c r="B43" i="7"/>
  <c r="B43" i="26" s="1"/>
  <c r="B43" i="24"/>
  <c r="B42" i="24"/>
  <c r="B43" i="6"/>
  <c r="B42" i="6"/>
  <c r="B43" i="21"/>
  <c r="B42" i="21"/>
  <c r="B43" i="5"/>
  <c r="B42" i="5"/>
  <c r="B43" i="4"/>
  <c r="B42" i="2"/>
  <c r="J42" i="11"/>
  <c r="J42" i="41" l="1"/>
  <c r="L42" i="41" s="1"/>
  <c r="N42" i="41" s="1"/>
  <c r="O42" i="41" s="1"/>
  <c r="J42" i="40"/>
  <c r="L42" i="40" s="1"/>
  <c r="N42" i="40" s="1"/>
  <c r="O42" i="40" s="1"/>
  <c r="J42" i="39"/>
  <c r="L42" i="39" s="1"/>
  <c r="N42" i="39" s="1"/>
  <c r="J42" i="37"/>
  <c r="L42" i="37" s="1"/>
  <c r="N42" i="37" s="1"/>
  <c r="O42" i="37" s="1"/>
  <c r="J42" i="43"/>
  <c r="L42" i="43" s="1"/>
  <c r="N42" i="43" s="1"/>
  <c r="O42" i="43" s="1"/>
  <c r="J42" i="38"/>
  <c r="L42" i="38" s="1"/>
  <c r="N42" i="38" s="1"/>
  <c r="O42" i="38" s="1"/>
  <c r="J42" i="36"/>
  <c r="L42" i="36" s="1"/>
  <c r="N42" i="36" s="1"/>
  <c r="O42" i="36" s="1"/>
  <c r="J42" i="42"/>
  <c r="L42" i="42" s="1"/>
  <c r="N42" i="42" s="1"/>
  <c r="O42" i="42" s="1"/>
  <c r="J43" i="21"/>
  <c r="J42" i="30"/>
  <c r="J43" i="4"/>
  <c r="J76" i="10"/>
  <c r="J76" i="9"/>
  <c r="J76" i="8"/>
  <c r="J72" i="24"/>
  <c r="J72" i="6"/>
  <c r="J72" i="21"/>
  <c r="J72" i="5"/>
  <c r="J72" i="4"/>
  <c r="J72" i="3"/>
  <c r="J75" i="2"/>
  <c r="J74" i="30"/>
  <c r="K54" i="30" s="1"/>
  <c r="L54" i="30" s="1"/>
  <c r="K54" i="2" l="1"/>
  <c r="L54" i="2" s="1"/>
  <c r="G41" i="10"/>
  <c r="J42" i="10"/>
  <c r="J41" i="10"/>
  <c r="J40" i="10"/>
  <c r="K41" i="10"/>
  <c r="J31" i="10"/>
  <c r="J29" i="10"/>
  <c r="J23" i="10"/>
  <c r="K41" i="9"/>
  <c r="G41" i="9"/>
  <c r="J41" i="9"/>
  <c r="J40" i="9"/>
  <c r="J29" i="9"/>
  <c r="J23" i="9"/>
  <c r="J41" i="8"/>
  <c r="J40" i="8"/>
  <c r="B42" i="8"/>
  <c r="B42" i="9" s="1"/>
  <c r="B42" i="10" s="1"/>
  <c r="B41" i="8"/>
  <c r="B41" i="9" s="1"/>
  <c r="B41" i="10" s="1"/>
  <c r="B40" i="8"/>
  <c r="B40" i="9" s="1"/>
  <c r="B40" i="10" s="1"/>
  <c r="J31" i="8"/>
  <c r="J29" i="8"/>
  <c r="J23" i="8"/>
  <c r="G41" i="26"/>
  <c r="K43" i="26" s="1"/>
  <c r="J42" i="7"/>
  <c r="J42" i="26" s="1"/>
  <c r="J41" i="7"/>
  <c r="J41" i="26" s="1"/>
  <c r="J40" i="7"/>
  <c r="J40" i="26" s="1"/>
  <c r="G41" i="7"/>
  <c r="K43" i="7" s="1"/>
  <c r="D42" i="7"/>
  <c r="D41" i="7"/>
  <c r="D41" i="26" s="1"/>
  <c r="D40" i="7"/>
  <c r="D40" i="26" s="1"/>
  <c r="B42" i="7"/>
  <c r="B42" i="26" s="1"/>
  <c r="B41" i="7"/>
  <c r="B41" i="26" s="1"/>
  <c r="B40" i="7"/>
  <c r="B40" i="26" s="1"/>
  <c r="J31" i="7"/>
  <c r="J29" i="7"/>
  <c r="J23" i="7"/>
  <c r="G41" i="24"/>
  <c r="J42" i="6"/>
  <c r="J42" i="24" s="1"/>
  <c r="J41" i="6"/>
  <c r="J41" i="24" s="1"/>
  <c r="J40" i="6"/>
  <c r="J40" i="24" s="1"/>
  <c r="G41" i="6"/>
  <c r="D42" i="6"/>
  <c r="D42" i="24" s="1"/>
  <c r="D41" i="6"/>
  <c r="D41" i="24" s="1"/>
  <c r="D40" i="6"/>
  <c r="D40" i="24" s="1"/>
  <c r="B41" i="6"/>
  <c r="B41" i="24" s="1"/>
  <c r="B40" i="6"/>
  <c r="B40" i="24" s="1"/>
  <c r="J31" i="6"/>
  <c r="J29" i="6"/>
  <c r="J23" i="6"/>
  <c r="G41" i="21"/>
  <c r="K43" i="21" s="1"/>
  <c r="G41" i="5"/>
  <c r="K41" i="5" s="1"/>
  <c r="G41" i="4"/>
  <c r="K41" i="4" s="1"/>
  <c r="G41" i="3"/>
  <c r="K40" i="4"/>
  <c r="K42" i="4"/>
  <c r="K40" i="5"/>
  <c r="D42" i="4"/>
  <c r="D41" i="4"/>
  <c r="D40" i="4"/>
  <c r="B42" i="4"/>
  <c r="B41" i="4"/>
  <c r="B40" i="4"/>
  <c r="J42" i="3"/>
  <c r="J41" i="3"/>
  <c r="J41" i="4" s="1"/>
  <c r="J40" i="3"/>
  <c r="J40" i="4" s="1"/>
  <c r="J31" i="3"/>
  <c r="J29" i="3"/>
  <c r="J23" i="3"/>
  <c r="J41" i="2"/>
  <c r="J40" i="2"/>
  <c r="J31" i="2"/>
  <c r="J42" i="4" l="1"/>
  <c r="J42" i="5"/>
  <c r="J42" i="21"/>
  <c r="G59" i="30" l="1"/>
  <c r="G58" i="30"/>
  <c r="H58" i="30" s="1"/>
  <c r="L53" i="30"/>
  <c r="H53" i="30"/>
  <c r="K48" i="30"/>
  <c r="K49" i="30" s="1"/>
  <c r="K51" i="30" s="1"/>
  <c r="L51" i="30" s="1"/>
  <c r="G49" i="30"/>
  <c r="H49" i="30" s="1"/>
  <c r="L46" i="30"/>
  <c r="H46" i="30"/>
  <c r="K45" i="30"/>
  <c r="K44" i="30"/>
  <c r="L44" i="30" s="1"/>
  <c r="G44" i="30"/>
  <c r="H44" i="30" s="1"/>
  <c r="K43" i="30"/>
  <c r="L43" i="30" s="1"/>
  <c r="G43" i="30"/>
  <c r="H43" i="30" s="1"/>
  <c r="K42" i="30"/>
  <c r="L42" i="30" s="1"/>
  <c r="G42" i="30"/>
  <c r="H42" i="30" s="1"/>
  <c r="H41" i="30"/>
  <c r="K40" i="30"/>
  <c r="G40" i="30"/>
  <c r="H40" i="30" s="1"/>
  <c r="B40" i="30"/>
  <c r="K38" i="30"/>
  <c r="L38" i="30" s="1"/>
  <c r="G38" i="30"/>
  <c r="H38" i="30" s="1"/>
  <c r="O38" i="30" s="1"/>
  <c r="K37" i="30"/>
  <c r="L37" i="30" s="1"/>
  <c r="G37" i="30"/>
  <c r="H37" i="30" s="1"/>
  <c r="O37" i="30" s="1"/>
  <c r="K36" i="30"/>
  <c r="L36" i="30" s="1"/>
  <c r="G36" i="30"/>
  <c r="H36" i="30" s="1"/>
  <c r="O36" i="30" s="1"/>
  <c r="K35" i="30"/>
  <c r="L35" i="30" s="1"/>
  <c r="G35" i="30"/>
  <c r="H35" i="30" s="1"/>
  <c r="O35" i="30" s="1"/>
  <c r="K34" i="30"/>
  <c r="L34" i="30" s="1"/>
  <c r="G34" i="30"/>
  <c r="H34" i="30" s="1"/>
  <c r="O34" i="30" s="1"/>
  <c r="K33" i="30"/>
  <c r="L33" i="30" s="1"/>
  <c r="G33" i="30"/>
  <c r="H33" i="30" s="1"/>
  <c r="K32" i="30"/>
  <c r="L32" i="30" s="1"/>
  <c r="G32" i="30"/>
  <c r="H32" i="30" s="1"/>
  <c r="O32" i="30" s="1"/>
  <c r="K31" i="30"/>
  <c r="G31" i="30"/>
  <c r="F31" i="30"/>
  <c r="H31" i="30" s="1"/>
  <c r="K30" i="30"/>
  <c r="L30" i="30" s="1"/>
  <c r="G30" i="30"/>
  <c r="H30" i="30" s="1"/>
  <c r="O30" i="30" s="1"/>
  <c r="K29" i="30"/>
  <c r="G29" i="30"/>
  <c r="L28" i="30"/>
  <c r="H28" i="30"/>
  <c r="L27" i="30"/>
  <c r="H27" i="30"/>
  <c r="L26" i="30"/>
  <c r="H26" i="30"/>
  <c r="L25" i="30"/>
  <c r="H25" i="30"/>
  <c r="O25" i="30" s="1"/>
  <c r="L24" i="30"/>
  <c r="H24" i="30"/>
  <c r="F23" i="30"/>
  <c r="H23" i="30" s="1"/>
  <c r="B41" i="2"/>
  <c r="B40" i="2"/>
  <c r="J41" i="11"/>
  <c r="J40" i="11"/>
  <c r="J40" i="39" l="1"/>
  <c r="L40" i="39" s="1"/>
  <c r="J40" i="42"/>
  <c r="L40" i="42" s="1"/>
  <c r="J40" i="41"/>
  <c r="L40" i="41" s="1"/>
  <c r="J40" i="37"/>
  <c r="L40" i="37" s="1"/>
  <c r="J40" i="43"/>
  <c r="L40" i="43" s="1"/>
  <c r="J40" i="40"/>
  <c r="L40" i="40" s="1"/>
  <c r="J40" i="38"/>
  <c r="L40" i="38" s="1"/>
  <c r="J40" i="36"/>
  <c r="L40" i="36" s="1"/>
  <c r="N28" i="30"/>
  <c r="N24" i="30"/>
  <c r="N26" i="30"/>
  <c r="N27" i="30"/>
  <c r="O24" i="30"/>
  <c r="N25" i="30"/>
  <c r="O27" i="30"/>
  <c r="O26" i="30"/>
  <c r="O28" i="30"/>
  <c r="H29" i="30"/>
  <c r="L48" i="30"/>
  <c r="J40" i="30"/>
  <c r="L40" i="30" s="1"/>
  <c r="J41" i="30"/>
  <c r="L41" i="30" s="1"/>
  <c r="N41" i="30" s="1"/>
  <c r="O41" i="30" s="1"/>
  <c r="K58" i="30"/>
  <c r="L58" i="30" s="1"/>
  <c r="N58" i="30" s="1"/>
  <c r="O58" i="30" s="1"/>
  <c r="H59" i="30"/>
  <c r="L45" i="30"/>
  <c r="H48" i="30"/>
  <c r="K59" i="30"/>
  <c r="L59" i="30" s="1"/>
  <c r="N37" i="30"/>
  <c r="N33" i="30"/>
  <c r="O33" i="30"/>
  <c r="N32" i="30"/>
  <c r="N36" i="30"/>
  <c r="N44" i="30"/>
  <c r="O44" i="30" s="1"/>
  <c r="N46" i="30"/>
  <c r="O46" i="30" s="1"/>
  <c r="K55" i="30"/>
  <c r="L55" i="30" s="1"/>
  <c r="H55" i="30"/>
  <c r="N30" i="30"/>
  <c r="N35" i="30"/>
  <c r="N43" i="30"/>
  <c r="O43" i="30" s="1"/>
  <c r="N34" i="30"/>
  <c r="N38" i="30"/>
  <c r="N42" i="30"/>
  <c r="O42" i="30" s="1"/>
  <c r="K52" i="30"/>
  <c r="L52" i="30" s="1"/>
  <c r="L49" i="30"/>
  <c r="G52" i="30"/>
  <c r="H52" i="30" s="1"/>
  <c r="G51" i="30"/>
  <c r="H56" i="30"/>
  <c r="K56" i="30"/>
  <c r="L56" i="30" s="1"/>
  <c r="K57" i="30"/>
  <c r="L57" i="30" s="1"/>
  <c r="H57" i="30"/>
  <c r="N53" i="30"/>
  <c r="O53" i="30" s="1"/>
  <c r="J31" i="11"/>
  <c r="N40" i="40" l="1"/>
  <c r="O40" i="40" s="1"/>
  <c r="L47" i="40"/>
  <c r="N40" i="42"/>
  <c r="O40" i="42" s="1"/>
  <c r="L47" i="42"/>
  <c r="N40" i="43"/>
  <c r="O40" i="43" s="1"/>
  <c r="L47" i="43"/>
  <c r="N40" i="39"/>
  <c r="L47" i="39"/>
  <c r="N40" i="36"/>
  <c r="O40" i="36" s="1"/>
  <c r="L47" i="36"/>
  <c r="N40" i="37"/>
  <c r="O40" i="37" s="1"/>
  <c r="L47" i="37"/>
  <c r="N40" i="38"/>
  <c r="O40" i="38" s="1"/>
  <c r="L47" i="38"/>
  <c r="N40" i="41"/>
  <c r="O40" i="41" s="1"/>
  <c r="L47" i="41"/>
  <c r="H39" i="30"/>
  <c r="H51" i="30"/>
  <c r="N51" i="30" s="1"/>
  <c r="O51" i="30" s="1"/>
  <c r="N45" i="30"/>
  <c r="O45" i="30" s="1"/>
  <c r="N48" i="30"/>
  <c r="O48" i="30" s="1"/>
  <c r="H47" i="30"/>
  <c r="H50" i="30" s="1"/>
  <c r="N40" i="30"/>
  <c r="O40" i="30" s="1"/>
  <c r="J31" i="30"/>
  <c r="L31" i="30" s="1"/>
  <c r="N59" i="30"/>
  <c r="O59" i="30" s="1"/>
  <c r="N49" i="30"/>
  <c r="O49" i="30" s="1"/>
  <c r="N55" i="30"/>
  <c r="O55" i="30" s="1"/>
  <c r="N57" i="30"/>
  <c r="O57" i="30" s="1"/>
  <c r="N52" i="30"/>
  <c r="O52" i="30" s="1"/>
  <c r="N56" i="30"/>
  <c r="O56" i="30" s="1"/>
  <c r="L50" i="38" l="1"/>
  <c r="N47" i="38"/>
  <c r="O47" i="38" s="1"/>
  <c r="L50" i="36"/>
  <c r="N47" i="36"/>
  <c r="O47" i="36" s="1"/>
  <c r="L50" i="43"/>
  <c r="N47" i="43"/>
  <c r="O47" i="43" s="1"/>
  <c r="L50" i="40"/>
  <c r="N47" i="40"/>
  <c r="O47" i="40" s="1"/>
  <c r="N47" i="41"/>
  <c r="O47" i="41" s="1"/>
  <c r="L50" i="41"/>
  <c r="L50" i="37"/>
  <c r="N47" i="37"/>
  <c r="O47" i="37" s="1"/>
  <c r="L50" i="39"/>
  <c r="N47" i="39"/>
  <c r="O47" i="39" s="1"/>
  <c r="L50" i="42"/>
  <c r="N47" i="42"/>
  <c r="O47" i="42" s="1"/>
  <c r="H64" i="30"/>
  <c r="N31" i="30"/>
  <c r="O31" i="30" s="1"/>
  <c r="H67" i="30"/>
  <c r="H70" i="30" s="1"/>
  <c r="L61" i="41" l="1"/>
  <c r="N50" i="41"/>
  <c r="O50" i="41" s="1"/>
  <c r="L67" i="41"/>
  <c r="N50" i="39"/>
  <c r="O50" i="39" s="1"/>
  <c r="L67" i="39"/>
  <c r="L61" i="39"/>
  <c r="L61" i="43"/>
  <c r="N50" i="43"/>
  <c r="O50" i="43" s="1"/>
  <c r="L67" i="43"/>
  <c r="L67" i="38"/>
  <c r="L61" i="38"/>
  <c r="N50" i="38"/>
  <c r="O50" i="38" s="1"/>
  <c r="N50" i="42"/>
  <c r="O50" i="42" s="1"/>
  <c r="L67" i="42"/>
  <c r="L61" i="42"/>
  <c r="L61" i="37"/>
  <c r="N50" i="37"/>
  <c r="O50" i="37" s="1"/>
  <c r="L67" i="37"/>
  <c r="L67" i="40"/>
  <c r="L61" i="40"/>
  <c r="N50" i="40"/>
  <c r="O50" i="40" s="1"/>
  <c r="L67" i="36"/>
  <c r="L61" i="36"/>
  <c r="N50" i="36"/>
  <c r="O50" i="36" s="1"/>
  <c r="H68" i="30"/>
  <c r="H69" i="30" s="1"/>
  <c r="H71" i="30" s="1"/>
  <c r="L68" i="36" l="1"/>
  <c r="N68" i="36" s="1"/>
  <c r="O68" i="36" s="1"/>
  <c r="N67" i="36"/>
  <c r="O67" i="36" s="1"/>
  <c r="L70" i="36"/>
  <c r="N70" i="36" s="1"/>
  <c r="O70" i="36" s="1"/>
  <c r="L70" i="37"/>
  <c r="N70" i="37" s="1"/>
  <c r="O70" i="37" s="1"/>
  <c r="L68" i="37"/>
  <c r="N67" i="37"/>
  <c r="O67" i="37" s="1"/>
  <c r="L70" i="42"/>
  <c r="N70" i="42" s="1"/>
  <c r="O70" i="42" s="1"/>
  <c r="L69" i="42"/>
  <c r="N67" i="42"/>
  <c r="O67" i="42" s="1"/>
  <c r="L68" i="42"/>
  <c r="N68" i="42" s="1"/>
  <c r="O68" i="42" s="1"/>
  <c r="L70" i="38"/>
  <c r="N70" i="38" s="1"/>
  <c r="O70" i="38" s="1"/>
  <c r="L68" i="38"/>
  <c r="N68" i="38" s="1"/>
  <c r="O68" i="38" s="1"/>
  <c r="N67" i="38"/>
  <c r="O67" i="38" s="1"/>
  <c r="L62" i="39"/>
  <c r="N62" i="39" s="1"/>
  <c r="O62" i="39" s="1"/>
  <c r="N61" i="39"/>
  <c r="O61" i="39" s="1"/>
  <c r="L64" i="39"/>
  <c r="N64" i="39" s="1"/>
  <c r="O64" i="39" s="1"/>
  <c r="L77" i="39"/>
  <c r="L63" i="39"/>
  <c r="L70" i="43"/>
  <c r="N70" i="43" s="1"/>
  <c r="O70" i="43" s="1"/>
  <c r="L68" i="43"/>
  <c r="N68" i="43" s="1"/>
  <c r="O68" i="43" s="1"/>
  <c r="N67" i="43"/>
  <c r="O67" i="43" s="1"/>
  <c r="L68" i="39"/>
  <c r="N68" i="39" s="1"/>
  <c r="O68" i="39" s="1"/>
  <c r="N67" i="39"/>
  <c r="O67" i="39" s="1"/>
  <c r="L70" i="39"/>
  <c r="N70" i="39" s="1"/>
  <c r="O70" i="39" s="1"/>
  <c r="L77" i="41"/>
  <c r="L64" i="41"/>
  <c r="N64" i="41" s="1"/>
  <c r="O64" i="41" s="1"/>
  <c r="L62" i="41"/>
  <c r="N61" i="41"/>
  <c r="O61" i="41" s="1"/>
  <c r="L64" i="40"/>
  <c r="N64" i="40" s="1"/>
  <c r="O64" i="40" s="1"/>
  <c r="N61" i="40"/>
  <c r="O61" i="40" s="1"/>
  <c r="L62" i="40"/>
  <c r="N62" i="40" s="1"/>
  <c r="O62" i="40" s="1"/>
  <c r="L77" i="40"/>
  <c r="L62" i="37"/>
  <c r="N62" i="37" s="1"/>
  <c r="O62" i="37" s="1"/>
  <c r="L77" i="37"/>
  <c r="N61" i="37"/>
  <c r="O61" i="37" s="1"/>
  <c r="L64" i="37"/>
  <c r="N64" i="37" s="1"/>
  <c r="O64" i="37" s="1"/>
  <c r="L63" i="37"/>
  <c r="L62" i="36"/>
  <c r="N62" i="36" s="1"/>
  <c r="O62" i="36" s="1"/>
  <c r="N61" i="36"/>
  <c r="O61" i="36" s="1"/>
  <c r="L77" i="36"/>
  <c r="L64" i="36"/>
  <c r="N64" i="36" s="1"/>
  <c r="O64" i="36" s="1"/>
  <c r="L63" i="36"/>
  <c r="N67" i="40"/>
  <c r="O67" i="40" s="1"/>
  <c r="L70" i="40"/>
  <c r="N70" i="40" s="1"/>
  <c r="O70" i="40" s="1"/>
  <c r="L68" i="40"/>
  <c r="N68" i="40" s="1"/>
  <c r="O68" i="40" s="1"/>
  <c r="L64" i="42"/>
  <c r="N64" i="42" s="1"/>
  <c r="O64" i="42" s="1"/>
  <c r="N61" i="42"/>
  <c r="O61" i="42" s="1"/>
  <c r="L63" i="42"/>
  <c r="L77" i="42"/>
  <c r="L62" i="42"/>
  <c r="N62" i="42" s="1"/>
  <c r="O62" i="42" s="1"/>
  <c r="L77" i="38"/>
  <c r="N61" i="38"/>
  <c r="O61" i="38" s="1"/>
  <c r="L64" i="38"/>
  <c r="N64" i="38" s="1"/>
  <c r="O64" i="38" s="1"/>
  <c r="L62" i="38"/>
  <c r="N62" i="38" s="1"/>
  <c r="O62" i="38" s="1"/>
  <c r="L64" i="43"/>
  <c r="N64" i="43" s="1"/>
  <c r="O64" i="43" s="1"/>
  <c r="L62" i="43"/>
  <c r="N62" i="43" s="1"/>
  <c r="O62" i="43" s="1"/>
  <c r="N61" i="43"/>
  <c r="O61" i="43" s="1"/>
  <c r="L77" i="43"/>
  <c r="L63" i="43"/>
  <c r="L68" i="41"/>
  <c r="N68" i="41" s="1"/>
  <c r="O68" i="41" s="1"/>
  <c r="N67" i="41"/>
  <c r="O67" i="41" s="1"/>
  <c r="L70" i="41"/>
  <c r="N70" i="41" s="1"/>
  <c r="O70" i="41" s="1"/>
  <c r="L69" i="41"/>
  <c r="H63" i="30"/>
  <c r="L63" i="38" l="1"/>
  <c r="L65" i="38" s="1"/>
  <c r="N65" i="38" s="1"/>
  <c r="O65" i="38" s="1"/>
  <c r="E25" i="28" s="1"/>
  <c r="L71" i="41"/>
  <c r="N71" i="41" s="1"/>
  <c r="O71" i="41" s="1"/>
  <c r="N69" i="41"/>
  <c r="O69" i="41" s="1"/>
  <c r="L65" i="43"/>
  <c r="N65" i="43" s="1"/>
  <c r="O65" i="43" s="1"/>
  <c r="N63" i="43"/>
  <c r="O63" i="43" s="1"/>
  <c r="L65" i="42"/>
  <c r="N65" i="42" s="1"/>
  <c r="O65" i="42" s="1"/>
  <c r="N63" i="42"/>
  <c r="O63" i="42" s="1"/>
  <c r="L65" i="37"/>
  <c r="N65" i="37" s="1"/>
  <c r="O65" i="37" s="1"/>
  <c r="N63" i="37"/>
  <c r="O63" i="37" s="1"/>
  <c r="L69" i="37"/>
  <c r="N68" i="37"/>
  <c r="O68" i="37" s="1"/>
  <c r="L78" i="43"/>
  <c r="N78" i="43" s="1"/>
  <c r="O78" i="43" s="1"/>
  <c r="N77" i="43"/>
  <c r="O77" i="43" s="1"/>
  <c r="N63" i="38"/>
  <c r="O63" i="38" s="1"/>
  <c r="N77" i="38"/>
  <c r="O77" i="38" s="1"/>
  <c r="L78" i="38"/>
  <c r="N78" i="38" s="1"/>
  <c r="O78" i="38" s="1"/>
  <c r="N77" i="36"/>
  <c r="O77" i="36" s="1"/>
  <c r="L78" i="36"/>
  <c r="N78" i="36" s="1"/>
  <c r="O78" i="36" s="1"/>
  <c r="L79" i="36"/>
  <c r="N79" i="36" s="1"/>
  <c r="O79" i="36" s="1"/>
  <c r="L78" i="40"/>
  <c r="N78" i="40" s="1"/>
  <c r="O78" i="40" s="1"/>
  <c r="N77" i="40"/>
  <c r="O77" i="40" s="1"/>
  <c r="L78" i="41"/>
  <c r="N77" i="41"/>
  <c r="O77" i="41" s="1"/>
  <c r="N69" i="42"/>
  <c r="O69" i="42" s="1"/>
  <c r="L71" i="42"/>
  <c r="N71" i="42" s="1"/>
  <c r="O71" i="42" s="1"/>
  <c r="L69" i="39"/>
  <c r="L69" i="43"/>
  <c r="L65" i="39"/>
  <c r="N65" i="39" s="1"/>
  <c r="O65" i="39" s="1"/>
  <c r="N63" i="39"/>
  <c r="O63" i="39" s="1"/>
  <c r="L69" i="36"/>
  <c r="L78" i="42"/>
  <c r="N78" i="42" s="1"/>
  <c r="O78" i="42" s="1"/>
  <c r="N77" i="42"/>
  <c r="O77" i="42" s="1"/>
  <c r="L69" i="40"/>
  <c r="L65" i="36"/>
  <c r="N65" i="36" s="1"/>
  <c r="O65" i="36" s="1"/>
  <c r="N63" i="36"/>
  <c r="O63" i="36" s="1"/>
  <c r="L78" i="37"/>
  <c r="N78" i="37" s="1"/>
  <c r="O78" i="37" s="1"/>
  <c r="N77" i="37"/>
  <c r="O77" i="37" s="1"/>
  <c r="L79" i="37"/>
  <c r="N79" i="37" s="1"/>
  <c r="O79" i="37" s="1"/>
  <c r="L63" i="40"/>
  <c r="L63" i="41"/>
  <c r="N62" i="41"/>
  <c r="O62" i="41" s="1"/>
  <c r="L78" i="39"/>
  <c r="N78" i="39" s="1"/>
  <c r="O78" i="39" s="1"/>
  <c r="N77" i="39"/>
  <c r="O77" i="39" s="1"/>
  <c r="L69" i="38"/>
  <c r="H65" i="30"/>
  <c r="J29" i="2"/>
  <c r="J23" i="2"/>
  <c r="L79" i="38" l="1"/>
  <c r="N79" i="38" s="1"/>
  <c r="O79" i="38" s="1"/>
  <c r="E24" i="28" s="1"/>
  <c r="L79" i="43"/>
  <c r="N79" i="43" s="1"/>
  <c r="O79" i="43" s="1"/>
  <c r="L71" i="43"/>
  <c r="N71" i="43" s="1"/>
  <c r="O71" i="43" s="1"/>
  <c r="N69" i="43"/>
  <c r="O69" i="43" s="1"/>
  <c r="L71" i="38"/>
  <c r="N71" i="38" s="1"/>
  <c r="O71" i="38" s="1"/>
  <c r="N69" i="38"/>
  <c r="O69" i="38" s="1"/>
  <c r="L71" i="40"/>
  <c r="N71" i="40" s="1"/>
  <c r="O71" i="40" s="1"/>
  <c r="N69" i="40"/>
  <c r="O69" i="40" s="1"/>
  <c r="L71" i="36"/>
  <c r="N71" i="36" s="1"/>
  <c r="O71" i="36" s="1"/>
  <c r="N69" i="36"/>
  <c r="O69" i="36" s="1"/>
  <c r="L71" i="39"/>
  <c r="N71" i="39" s="1"/>
  <c r="O71" i="39" s="1"/>
  <c r="N69" i="39"/>
  <c r="O69" i="39" s="1"/>
  <c r="L79" i="41"/>
  <c r="N79" i="41" s="1"/>
  <c r="O79" i="41" s="1"/>
  <c r="N78" i="41"/>
  <c r="O78" i="41" s="1"/>
  <c r="L71" i="37"/>
  <c r="N71" i="37" s="1"/>
  <c r="O71" i="37" s="1"/>
  <c r="N69" i="37"/>
  <c r="O69" i="37" s="1"/>
  <c r="L79" i="39"/>
  <c r="N79" i="39" s="1"/>
  <c r="O79" i="39" s="1"/>
  <c r="L65" i="41"/>
  <c r="N65" i="41" s="1"/>
  <c r="O65" i="41" s="1"/>
  <c r="N63" i="41"/>
  <c r="O63" i="41" s="1"/>
  <c r="L79" i="42"/>
  <c r="N79" i="42" s="1"/>
  <c r="O79" i="42" s="1"/>
  <c r="L79" i="40"/>
  <c r="N79" i="40" s="1"/>
  <c r="O79" i="40" s="1"/>
  <c r="N63" i="40"/>
  <c r="O63" i="40" s="1"/>
  <c r="L65" i="40"/>
  <c r="N65" i="40" s="1"/>
  <c r="O65" i="40" s="1"/>
  <c r="J29" i="11"/>
  <c r="J23" i="11"/>
  <c r="J29" i="30" l="1"/>
  <c r="L29" i="30" s="1"/>
  <c r="N29" i="30" s="1"/>
  <c r="J23" i="30"/>
  <c r="L23" i="30" s="1"/>
  <c r="J41" i="21"/>
  <c r="J40" i="21"/>
  <c r="J41" i="5"/>
  <c r="J40" i="5"/>
  <c r="J31" i="26"/>
  <c r="J29" i="26"/>
  <c r="J23" i="26"/>
  <c r="F31" i="26"/>
  <c r="F29" i="26"/>
  <c r="F23" i="26"/>
  <c r="J31" i="24"/>
  <c r="J29" i="24"/>
  <c r="J23" i="24"/>
  <c r="F31" i="24"/>
  <c r="F29" i="24"/>
  <c r="F23" i="24"/>
  <c r="J31" i="21"/>
  <c r="J29" i="21"/>
  <c r="J23" i="21"/>
  <c r="F31" i="21"/>
  <c r="F29" i="21"/>
  <c r="F23" i="21"/>
  <c r="J31" i="5"/>
  <c r="J29" i="5"/>
  <c r="J23" i="5"/>
  <c r="F31" i="5"/>
  <c r="F29" i="5"/>
  <c r="F23" i="5"/>
  <c r="J31" i="4"/>
  <c r="J29" i="4"/>
  <c r="J23" i="4"/>
  <c r="F31" i="4"/>
  <c r="F29" i="4"/>
  <c r="F23" i="4"/>
  <c r="O29" i="30" l="1"/>
  <c r="L39" i="30"/>
  <c r="N23" i="30"/>
  <c r="E27" i="28" s="1"/>
  <c r="E28" i="28" s="1"/>
  <c r="E18" i="28" l="1"/>
  <c r="E23" i="28"/>
  <c r="O23" i="30"/>
  <c r="N39" i="30"/>
  <c r="O39" i="30" s="1"/>
  <c r="L47" i="30"/>
  <c r="N47" i="30" l="1"/>
  <c r="O47" i="30" s="1"/>
  <c r="L50" i="30"/>
  <c r="N50" i="30" l="1"/>
  <c r="O50" i="30" s="1"/>
  <c r="L67" i="30"/>
  <c r="L70" i="30" s="1"/>
  <c r="N70" i="30" s="1"/>
  <c r="O70" i="30" s="1"/>
  <c r="L61" i="30"/>
  <c r="L77" i="30" l="1"/>
  <c r="N77" i="30" s="1"/>
  <c r="O77" i="30" s="1"/>
  <c r="L64" i="30"/>
  <c r="L62" i="30"/>
  <c r="N61" i="30"/>
  <c r="O61" i="30" s="1"/>
  <c r="N67" i="30"/>
  <c r="O67" i="30" s="1"/>
  <c r="L68" i="30"/>
  <c r="L78" i="30" l="1"/>
  <c r="L79" i="30" s="1"/>
  <c r="N64" i="30"/>
  <c r="O64" i="30" s="1"/>
  <c r="N79" i="30"/>
  <c r="L69" i="30"/>
  <c r="L71" i="30" s="1"/>
  <c r="N71" i="30" s="1"/>
  <c r="O71" i="30" s="1"/>
  <c r="N68" i="30"/>
  <c r="O68" i="30" s="1"/>
  <c r="L63" i="30"/>
  <c r="L65" i="30" s="1"/>
  <c r="N65" i="30" s="1"/>
  <c r="O65" i="30" s="1"/>
  <c r="N62" i="30"/>
  <c r="O62" i="30" s="1"/>
  <c r="N78" i="30" l="1"/>
  <c r="O78" i="30" s="1"/>
  <c r="N69" i="30"/>
  <c r="O69" i="30" s="1"/>
  <c r="N63" i="30"/>
  <c r="G61" i="26"/>
  <c r="K60" i="26"/>
  <c r="L60" i="26" s="1"/>
  <c r="H60" i="26"/>
  <c r="H59" i="26"/>
  <c r="K58" i="26"/>
  <c r="L58" i="26" s="1"/>
  <c r="H58" i="26"/>
  <c r="H57" i="26"/>
  <c r="K56" i="26"/>
  <c r="J56" i="26"/>
  <c r="G56" i="26"/>
  <c r="H56" i="26" s="1"/>
  <c r="L54" i="26"/>
  <c r="H54" i="26"/>
  <c r="K49" i="26"/>
  <c r="G49" i="26"/>
  <c r="H49" i="26" s="1"/>
  <c r="J47" i="26"/>
  <c r="H47" i="26"/>
  <c r="K46" i="26"/>
  <c r="K52" i="26" s="1"/>
  <c r="L52" i="26" s="1"/>
  <c r="G46" i="26"/>
  <c r="G52" i="26" s="1"/>
  <c r="G53" i="26" s="1"/>
  <c r="K45" i="26"/>
  <c r="L45" i="26" s="1"/>
  <c r="G45" i="26"/>
  <c r="H45" i="26" s="1"/>
  <c r="L43" i="26"/>
  <c r="H43" i="26"/>
  <c r="K42" i="26"/>
  <c r="L42" i="26" s="1"/>
  <c r="H42" i="26"/>
  <c r="K41" i="26"/>
  <c r="L41" i="26" s="1"/>
  <c r="H41" i="26"/>
  <c r="K40" i="26"/>
  <c r="L40" i="26" s="1"/>
  <c r="G40" i="26"/>
  <c r="H40" i="26" s="1"/>
  <c r="K38" i="26"/>
  <c r="L38" i="26" s="1"/>
  <c r="G38" i="26"/>
  <c r="H38" i="26" s="1"/>
  <c r="O38" i="26" s="1"/>
  <c r="K37" i="26"/>
  <c r="L37" i="26" s="1"/>
  <c r="G37" i="26"/>
  <c r="H37" i="26" s="1"/>
  <c r="O37" i="26" s="1"/>
  <c r="K36" i="26"/>
  <c r="L36" i="26" s="1"/>
  <c r="G36" i="26"/>
  <c r="H36" i="26" s="1"/>
  <c r="O36" i="26" s="1"/>
  <c r="K35" i="26"/>
  <c r="L35" i="26" s="1"/>
  <c r="G35" i="26"/>
  <c r="H35" i="26" s="1"/>
  <c r="O35" i="26" s="1"/>
  <c r="K34" i="26"/>
  <c r="L34" i="26" s="1"/>
  <c r="G34" i="26"/>
  <c r="H34" i="26" s="1"/>
  <c r="O34" i="26" s="1"/>
  <c r="K33" i="26"/>
  <c r="L33" i="26" s="1"/>
  <c r="G33" i="26"/>
  <c r="H33" i="26" s="1"/>
  <c r="K32" i="26"/>
  <c r="L32" i="26" s="1"/>
  <c r="G32" i="26"/>
  <c r="H32" i="26" s="1"/>
  <c r="O32" i="26" s="1"/>
  <c r="K31" i="26"/>
  <c r="L31" i="26" s="1"/>
  <c r="G31" i="26"/>
  <c r="H31" i="26" s="1"/>
  <c r="K30" i="26"/>
  <c r="L30" i="26" s="1"/>
  <c r="G30" i="26"/>
  <c r="H30" i="26" s="1"/>
  <c r="O30" i="26" s="1"/>
  <c r="K29" i="26"/>
  <c r="L29" i="26" s="1"/>
  <c r="G29" i="26"/>
  <c r="H29" i="26" s="1"/>
  <c r="L28" i="26"/>
  <c r="H28" i="26"/>
  <c r="O28" i="26" s="1"/>
  <c r="L27" i="26"/>
  <c r="H27" i="26"/>
  <c r="O27" i="26" s="1"/>
  <c r="L26" i="26"/>
  <c r="H26" i="26"/>
  <c r="O26" i="26" s="1"/>
  <c r="L25" i="26"/>
  <c r="H25" i="26"/>
  <c r="O25" i="26" s="1"/>
  <c r="L24" i="26"/>
  <c r="H24" i="26"/>
  <c r="O24" i="26" s="1"/>
  <c r="L23" i="26"/>
  <c r="H23" i="26"/>
  <c r="G61" i="24"/>
  <c r="K60" i="24"/>
  <c r="L60" i="24" s="1"/>
  <c r="H60" i="24"/>
  <c r="K59" i="24"/>
  <c r="L59" i="24" s="1"/>
  <c r="H59" i="24"/>
  <c r="K56" i="24"/>
  <c r="J56" i="24"/>
  <c r="G56" i="24"/>
  <c r="H56" i="24" s="1"/>
  <c r="L54" i="24"/>
  <c r="H54" i="24"/>
  <c r="K49" i="24"/>
  <c r="G49" i="24"/>
  <c r="H49" i="24" s="1"/>
  <c r="J47" i="24"/>
  <c r="L47" i="24" s="1"/>
  <c r="H47" i="24"/>
  <c r="O47" i="24" s="1"/>
  <c r="K46" i="24"/>
  <c r="G46" i="24"/>
  <c r="G52" i="24" s="1"/>
  <c r="G53" i="24" s="1"/>
  <c r="K45" i="24"/>
  <c r="L45" i="24" s="1"/>
  <c r="G45" i="24"/>
  <c r="H45" i="24" s="1"/>
  <c r="L43" i="24"/>
  <c r="H43" i="24"/>
  <c r="K42" i="24"/>
  <c r="L42" i="24" s="1"/>
  <c r="G42" i="24"/>
  <c r="H42" i="24" s="1"/>
  <c r="K41" i="24"/>
  <c r="L41" i="24" s="1"/>
  <c r="H41" i="24"/>
  <c r="K40" i="24"/>
  <c r="L40" i="24" s="1"/>
  <c r="G40" i="24"/>
  <c r="H40" i="24" s="1"/>
  <c r="K38" i="24"/>
  <c r="L38" i="24" s="1"/>
  <c r="G38" i="24"/>
  <c r="H38" i="24" s="1"/>
  <c r="O38" i="24" s="1"/>
  <c r="K37" i="24"/>
  <c r="L37" i="24" s="1"/>
  <c r="G37" i="24"/>
  <c r="H37" i="24" s="1"/>
  <c r="O37" i="24" s="1"/>
  <c r="K36" i="24"/>
  <c r="L36" i="24" s="1"/>
  <c r="G36" i="24"/>
  <c r="H36" i="24" s="1"/>
  <c r="O36" i="24" s="1"/>
  <c r="K35" i="24"/>
  <c r="L35" i="24" s="1"/>
  <c r="G35" i="24"/>
  <c r="H35" i="24" s="1"/>
  <c r="K34" i="24"/>
  <c r="L34" i="24" s="1"/>
  <c r="G34" i="24"/>
  <c r="H34" i="24" s="1"/>
  <c r="O34" i="24" s="1"/>
  <c r="K33" i="24"/>
  <c r="L33" i="24" s="1"/>
  <c r="G33" i="24"/>
  <c r="H33" i="24" s="1"/>
  <c r="O33" i="24" s="1"/>
  <c r="K32" i="24"/>
  <c r="L32" i="24" s="1"/>
  <c r="G32" i="24"/>
  <c r="H32" i="24" s="1"/>
  <c r="O32" i="24" s="1"/>
  <c r="K31" i="24"/>
  <c r="L31" i="24" s="1"/>
  <c r="G31" i="24"/>
  <c r="H31" i="24" s="1"/>
  <c r="K30" i="24"/>
  <c r="L30" i="24" s="1"/>
  <c r="G30" i="24"/>
  <c r="H30" i="24" s="1"/>
  <c r="O30" i="24" s="1"/>
  <c r="K29" i="24"/>
  <c r="L29" i="24" s="1"/>
  <c r="G29" i="24"/>
  <c r="H29" i="24" s="1"/>
  <c r="L28" i="24"/>
  <c r="H28" i="24"/>
  <c r="O28" i="24" s="1"/>
  <c r="L27" i="24"/>
  <c r="H27" i="24"/>
  <c r="O27" i="24" s="1"/>
  <c r="L26" i="24"/>
  <c r="H26" i="24"/>
  <c r="O26" i="24" s="1"/>
  <c r="L25" i="24"/>
  <c r="H25" i="24"/>
  <c r="L24" i="24"/>
  <c r="H24" i="24"/>
  <c r="O24" i="24" s="1"/>
  <c r="L23" i="24"/>
  <c r="H23" i="24"/>
  <c r="K60" i="21"/>
  <c r="L60" i="21" s="1"/>
  <c r="H60" i="21"/>
  <c r="J56" i="21"/>
  <c r="L54" i="21"/>
  <c r="H54" i="21"/>
  <c r="K49" i="21"/>
  <c r="G49" i="21"/>
  <c r="G50" i="21" s="1"/>
  <c r="H50" i="21" s="1"/>
  <c r="J47" i="21"/>
  <c r="H47" i="21"/>
  <c r="O47" i="21" s="1"/>
  <c r="K45" i="21"/>
  <c r="L45" i="21" s="1"/>
  <c r="G45" i="21"/>
  <c r="H45" i="21" s="1"/>
  <c r="K40" i="21"/>
  <c r="L40" i="21" s="1"/>
  <c r="G40" i="21"/>
  <c r="H40" i="21" s="1"/>
  <c r="K31" i="21"/>
  <c r="L31" i="21" s="1"/>
  <c r="G31" i="21"/>
  <c r="H31" i="21" s="1"/>
  <c r="K29" i="21"/>
  <c r="L29" i="21" s="1"/>
  <c r="G29" i="21"/>
  <c r="H29" i="21" s="1"/>
  <c r="L28" i="21"/>
  <c r="H28" i="21"/>
  <c r="O28" i="21" s="1"/>
  <c r="L27" i="21"/>
  <c r="H27" i="21"/>
  <c r="O27" i="21" s="1"/>
  <c r="L26" i="21"/>
  <c r="H26" i="21"/>
  <c r="L25" i="21"/>
  <c r="H25" i="21"/>
  <c r="O25" i="21" s="1"/>
  <c r="L24" i="21"/>
  <c r="H24" i="21"/>
  <c r="L23" i="21"/>
  <c r="H23" i="21"/>
  <c r="F18" i="21"/>
  <c r="O63" i="30" l="1"/>
  <c r="E30" i="28" s="1"/>
  <c r="K44" i="21"/>
  <c r="L44" i="21" s="1"/>
  <c r="G44" i="21"/>
  <c r="H44" i="21" s="1"/>
  <c r="G50" i="26"/>
  <c r="H50" i="26" s="1"/>
  <c r="N33" i="26"/>
  <c r="N34" i="26"/>
  <c r="L46" i="26"/>
  <c r="K53" i="26"/>
  <c r="L47" i="26"/>
  <c r="N47" i="26" s="1"/>
  <c r="H53" i="26"/>
  <c r="G55" i="26"/>
  <c r="H55" i="26" s="1"/>
  <c r="N35" i="24"/>
  <c r="N38" i="24"/>
  <c r="N28" i="24"/>
  <c r="G50" i="24"/>
  <c r="H50" i="24" s="1"/>
  <c r="O35" i="24"/>
  <c r="H61" i="24"/>
  <c r="K61" i="24"/>
  <c r="L61" i="24" s="1"/>
  <c r="N26" i="24"/>
  <c r="N26" i="21"/>
  <c r="K56" i="21"/>
  <c r="L56" i="21" s="1"/>
  <c r="K33" i="21"/>
  <c r="L33" i="21" s="1"/>
  <c r="G36" i="21"/>
  <c r="H36" i="21" s="1"/>
  <c r="O36" i="21" s="1"/>
  <c r="K46" i="21"/>
  <c r="L46" i="21" s="1"/>
  <c r="N24" i="21"/>
  <c r="O26" i="21"/>
  <c r="G57" i="21"/>
  <c r="G59" i="21"/>
  <c r="K59" i="21" s="1"/>
  <c r="L59" i="21" s="1"/>
  <c r="G58" i="21"/>
  <c r="H58" i="21" s="1"/>
  <c r="O24" i="21"/>
  <c r="G30" i="21"/>
  <c r="H30" i="21" s="1"/>
  <c r="O30" i="21" s="1"/>
  <c r="N28" i="21"/>
  <c r="G34" i="21"/>
  <c r="H34" i="21" s="1"/>
  <c r="O34" i="21" s="1"/>
  <c r="L46" i="24"/>
  <c r="K52" i="24"/>
  <c r="N45" i="26"/>
  <c r="O45" i="26" s="1"/>
  <c r="N60" i="21"/>
  <c r="O60" i="21" s="1"/>
  <c r="N60" i="24"/>
  <c r="O60" i="24" s="1"/>
  <c r="N45" i="24"/>
  <c r="O45" i="24" s="1"/>
  <c r="H46" i="26"/>
  <c r="N58" i="26"/>
  <c r="O58" i="26" s="1"/>
  <c r="L56" i="26"/>
  <c r="N56" i="26" s="1"/>
  <c r="O56" i="26" s="1"/>
  <c r="L49" i="26"/>
  <c r="N49" i="26" s="1"/>
  <c r="O49" i="26" s="1"/>
  <c r="H46" i="24"/>
  <c r="N59" i="24"/>
  <c r="O59" i="24" s="1"/>
  <c r="L56" i="24"/>
  <c r="N56" i="24" s="1"/>
  <c r="O56" i="24" s="1"/>
  <c r="L49" i="24"/>
  <c r="N49" i="24" s="1"/>
  <c r="O49" i="24" s="1"/>
  <c r="N29" i="24"/>
  <c r="O29" i="24" s="1"/>
  <c r="N30" i="24"/>
  <c r="N29" i="26"/>
  <c r="O29" i="26" s="1"/>
  <c r="N40" i="26"/>
  <c r="O40" i="26" s="1"/>
  <c r="N30" i="26"/>
  <c r="H39" i="26"/>
  <c r="N42" i="26"/>
  <c r="O42" i="26" s="1"/>
  <c r="N31" i="26"/>
  <c r="O31" i="26" s="1"/>
  <c r="N32" i="26"/>
  <c r="N43" i="26"/>
  <c r="O43" i="26" s="1"/>
  <c r="N38" i="26"/>
  <c r="N27" i="26"/>
  <c r="O33" i="26"/>
  <c r="N37" i="26"/>
  <c r="N60" i="26"/>
  <c r="O60" i="26" s="1"/>
  <c r="N25" i="26"/>
  <c r="N35" i="26"/>
  <c r="O47" i="26"/>
  <c r="H52" i="26"/>
  <c r="N52" i="26" s="1"/>
  <c r="N23" i="26"/>
  <c r="O23" i="26" s="1"/>
  <c r="L39" i="26"/>
  <c r="N41" i="26"/>
  <c r="O41" i="26" s="1"/>
  <c r="N24" i="26"/>
  <c r="N28" i="26"/>
  <c r="N26" i="26"/>
  <c r="N36" i="26"/>
  <c r="K50" i="26"/>
  <c r="L50" i="26" s="1"/>
  <c r="N54" i="26"/>
  <c r="O54" i="26" s="1"/>
  <c r="K61" i="26"/>
  <c r="L61" i="26" s="1"/>
  <c r="H61" i="26"/>
  <c r="K57" i="26"/>
  <c r="L57" i="26" s="1"/>
  <c r="K59" i="26"/>
  <c r="L59" i="26" s="1"/>
  <c r="N40" i="24"/>
  <c r="O40" i="24" s="1"/>
  <c r="H39" i="24"/>
  <c r="N32" i="24"/>
  <c r="N34" i="24"/>
  <c r="L39" i="24"/>
  <c r="N31" i="24"/>
  <c r="O31" i="24" s="1"/>
  <c r="N33" i="24"/>
  <c r="N41" i="24"/>
  <c r="O41" i="24" s="1"/>
  <c r="N23" i="24"/>
  <c r="O23" i="24" s="1"/>
  <c r="N24" i="24"/>
  <c r="N27" i="24"/>
  <c r="N36" i="24"/>
  <c r="N37" i="24"/>
  <c r="O25" i="24"/>
  <c r="N25" i="24"/>
  <c r="N43" i="24"/>
  <c r="O43" i="24" s="1"/>
  <c r="H52" i="24"/>
  <c r="K57" i="24"/>
  <c r="L57" i="24" s="1"/>
  <c r="N42" i="24"/>
  <c r="O42" i="24" s="1"/>
  <c r="N47" i="24"/>
  <c r="H57" i="24"/>
  <c r="K50" i="24"/>
  <c r="L50" i="24" s="1"/>
  <c r="N54" i="24"/>
  <c r="O54" i="24" s="1"/>
  <c r="K58" i="24"/>
  <c r="L58" i="24" s="1"/>
  <c r="H58" i="24"/>
  <c r="H49" i="21"/>
  <c r="N40" i="21"/>
  <c r="O40" i="21" s="1"/>
  <c r="N31" i="21"/>
  <c r="O31" i="21" s="1"/>
  <c r="K50" i="21"/>
  <c r="L50" i="21" s="1"/>
  <c r="L49" i="21"/>
  <c r="N23" i="21"/>
  <c r="O23" i="21" s="1"/>
  <c r="N25" i="21"/>
  <c r="N27" i="21"/>
  <c r="K35" i="21"/>
  <c r="L35" i="21" s="1"/>
  <c r="G38" i="21"/>
  <c r="H38" i="21" s="1"/>
  <c r="O38" i="21" s="1"/>
  <c r="N45" i="21"/>
  <c r="O45" i="21" s="1"/>
  <c r="G61" i="21"/>
  <c r="G56" i="21"/>
  <c r="H56" i="21" s="1"/>
  <c r="G46" i="21"/>
  <c r="H46" i="21" s="1"/>
  <c r="H43" i="21"/>
  <c r="K42" i="21"/>
  <c r="L42" i="21" s="1"/>
  <c r="L43" i="21"/>
  <c r="G42" i="21"/>
  <c r="H42" i="21" s="1"/>
  <c r="K38" i="21"/>
  <c r="L38" i="21" s="1"/>
  <c r="G37" i="21"/>
  <c r="H37" i="21" s="1"/>
  <c r="O37" i="21" s="1"/>
  <c r="K36" i="21"/>
  <c r="L36" i="21" s="1"/>
  <c r="G35" i="21"/>
  <c r="H35" i="21" s="1"/>
  <c r="O35" i="21" s="1"/>
  <c r="K34" i="21"/>
  <c r="L34" i="21" s="1"/>
  <c r="G33" i="21"/>
  <c r="H33" i="21" s="1"/>
  <c r="O33" i="21" s="1"/>
  <c r="K32" i="21"/>
  <c r="L32" i="21" s="1"/>
  <c r="K30" i="21"/>
  <c r="L30" i="21" s="1"/>
  <c r="N29" i="21"/>
  <c r="O29" i="21" s="1"/>
  <c r="G32" i="21"/>
  <c r="H32" i="21" s="1"/>
  <c r="O32" i="21" s="1"/>
  <c r="K37" i="21"/>
  <c r="L37" i="21" s="1"/>
  <c r="L47" i="21"/>
  <c r="N54" i="21"/>
  <c r="O54" i="21" s="1"/>
  <c r="G59" i="11"/>
  <c r="G58" i="11"/>
  <c r="G57" i="11"/>
  <c r="L53" i="11"/>
  <c r="H53" i="11"/>
  <c r="L46" i="11"/>
  <c r="H46" i="11"/>
  <c r="K45" i="11"/>
  <c r="G45" i="11"/>
  <c r="H45" i="11" s="1"/>
  <c r="K44" i="11"/>
  <c r="L44" i="11" s="1"/>
  <c r="G44" i="11"/>
  <c r="H44" i="11" s="1"/>
  <c r="K43" i="11"/>
  <c r="L43" i="11" s="1"/>
  <c r="H43" i="11"/>
  <c r="K42" i="11"/>
  <c r="L42" i="11" s="1"/>
  <c r="G42" i="11"/>
  <c r="H42" i="11" s="1"/>
  <c r="L41" i="11"/>
  <c r="K40" i="11"/>
  <c r="L40" i="11" s="1"/>
  <c r="G40" i="11"/>
  <c r="H40" i="11" s="1"/>
  <c r="K38" i="11"/>
  <c r="L38" i="11" s="1"/>
  <c r="G38" i="11"/>
  <c r="H38" i="11" s="1"/>
  <c r="O38" i="11" s="1"/>
  <c r="K37" i="11"/>
  <c r="L37" i="11" s="1"/>
  <c r="G37" i="11"/>
  <c r="H37" i="11" s="1"/>
  <c r="O37" i="11" s="1"/>
  <c r="K36" i="11"/>
  <c r="L36" i="11" s="1"/>
  <c r="G36" i="11"/>
  <c r="H36" i="11" s="1"/>
  <c r="O36" i="11" s="1"/>
  <c r="K35" i="11"/>
  <c r="L35" i="11" s="1"/>
  <c r="G35" i="11"/>
  <c r="H35" i="11" s="1"/>
  <c r="O35" i="11" s="1"/>
  <c r="K34" i="11"/>
  <c r="L34" i="11" s="1"/>
  <c r="G34" i="11"/>
  <c r="H34" i="11" s="1"/>
  <c r="O34" i="11" s="1"/>
  <c r="K33" i="11"/>
  <c r="L33" i="11" s="1"/>
  <c r="G33" i="11"/>
  <c r="H33" i="11" s="1"/>
  <c r="K32" i="11"/>
  <c r="L32" i="11" s="1"/>
  <c r="G32" i="11"/>
  <c r="H32" i="11" s="1"/>
  <c r="O32" i="11" s="1"/>
  <c r="K31" i="11"/>
  <c r="L31" i="11" s="1"/>
  <c r="G31" i="11"/>
  <c r="H31" i="11" s="1"/>
  <c r="K30" i="11"/>
  <c r="L30" i="11" s="1"/>
  <c r="G30" i="11"/>
  <c r="H30" i="11" s="1"/>
  <c r="O30" i="11" s="1"/>
  <c r="K29" i="11"/>
  <c r="L29" i="11" s="1"/>
  <c r="G29" i="11"/>
  <c r="H29" i="11" s="1"/>
  <c r="L28" i="11"/>
  <c r="H28" i="11"/>
  <c r="O28" i="11" s="1"/>
  <c r="L27" i="11"/>
  <c r="H27" i="11"/>
  <c r="O27" i="11" s="1"/>
  <c r="L26" i="11"/>
  <c r="H26" i="11"/>
  <c r="O26" i="11" s="1"/>
  <c r="L25" i="11"/>
  <c r="H25" i="11"/>
  <c r="O25" i="11" s="1"/>
  <c r="L24" i="11"/>
  <c r="H24" i="11"/>
  <c r="O24" i="11" s="1"/>
  <c r="L23" i="11"/>
  <c r="H23" i="11"/>
  <c r="G61" i="10"/>
  <c r="K61" i="10" s="1"/>
  <c r="L61" i="10" s="1"/>
  <c r="G60" i="10"/>
  <c r="K56" i="10"/>
  <c r="J56" i="10"/>
  <c r="G56" i="10"/>
  <c r="H56" i="10" s="1"/>
  <c r="L54" i="10"/>
  <c r="H54" i="10"/>
  <c r="K49" i="10"/>
  <c r="K50" i="10" s="1"/>
  <c r="G49" i="10"/>
  <c r="H49" i="10" s="1"/>
  <c r="J47" i="10"/>
  <c r="H47" i="10"/>
  <c r="O47" i="10" s="1"/>
  <c r="K46" i="10"/>
  <c r="G46" i="10"/>
  <c r="K45" i="10"/>
  <c r="L45" i="10" s="1"/>
  <c r="G45" i="10"/>
  <c r="H45" i="10" s="1"/>
  <c r="L43" i="10"/>
  <c r="H43" i="10"/>
  <c r="K42" i="10"/>
  <c r="L42" i="10" s="1"/>
  <c r="G42" i="10"/>
  <c r="H42" i="10" s="1"/>
  <c r="L41" i="10"/>
  <c r="H41" i="10"/>
  <c r="K40" i="10"/>
  <c r="L40" i="10" s="1"/>
  <c r="G40" i="10"/>
  <c r="H40" i="10" s="1"/>
  <c r="K38" i="10"/>
  <c r="L38" i="10" s="1"/>
  <c r="G38" i="10"/>
  <c r="H38" i="10" s="1"/>
  <c r="O38" i="10" s="1"/>
  <c r="K37" i="10"/>
  <c r="L37" i="10" s="1"/>
  <c r="G37" i="10"/>
  <c r="H37" i="10" s="1"/>
  <c r="K36" i="10"/>
  <c r="L36" i="10" s="1"/>
  <c r="G36" i="10"/>
  <c r="H36" i="10" s="1"/>
  <c r="O36" i="10" s="1"/>
  <c r="K35" i="10"/>
  <c r="L35" i="10" s="1"/>
  <c r="G35" i="10"/>
  <c r="H35" i="10" s="1"/>
  <c r="O35" i="10" s="1"/>
  <c r="K34" i="10"/>
  <c r="L34" i="10" s="1"/>
  <c r="G34" i="10"/>
  <c r="H34" i="10" s="1"/>
  <c r="O34" i="10" s="1"/>
  <c r="K33" i="10"/>
  <c r="L33" i="10" s="1"/>
  <c r="G33" i="10"/>
  <c r="H33" i="10" s="1"/>
  <c r="K32" i="10"/>
  <c r="L32" i="10" s="1"/>
  <c r="G32" i="10"/>
  <c r="H32" i="10" s="1"/>
  <c r="O32" i="10" s="1"/>
  <c r="K31" i="10"/>
  <c r="L31" i="10" s="1"/>
  <c r="G31" i="10"/>
  <c r="H31" i="10" s="1"/>
  <c r="K30" i="10"/>
  <c r="L30" i="10" s="1"/>
  <c r="G30" i="10"/>
  <c r="H30" i="10" s="1"/>
  <c r="O30" i="10" s="1"/>
  <c r="K29" i="10"/>
  <c r="L29" i="10" s="1"/>
  <c r="G29" i="10"/>
  <c r="H29" i="10" s="1"/>
  <c r="L28" i="10"/>
  <c r="H28" i="10"/>
  <c r="O28" i="10" s="1"/>
  <c r="L27" i="10"/>
  <c r="H27" i="10"/>
  <c r="O27" i="10" s="1"/>
  <c r="L26" i="10"/>
  <c r="H26" i="10"/>
  <c r="L25" i="10"/>
  <c r="H25" i="10"/>
  <c r="O25" i="10" s="1"/>
  <c r="L24" i="10"/>
  <c r="H24" i="10"/>
  <c r="O24" i="10" s="1"/>
  <c r="L23" i="10"/>
  <c r="H23" i="10"/>
  <c r="N44" i="21" l="1"/>
  <c r="O44" i="21" s="1"/>
  <c r="N28" i="10"/>
  <c r="N25" i="10"/>
  <c r="G50" i="10"/>
  <c r="H50" i="10" s="1"/>
  <c r="N27" i="10"/>
  <c r="N24" i="10"/>
  <c r="N45" i="10"/>
  <c r="O45" i="10" s="1"/>
  <c r="N46" i="26"/>
  <c r="O46" i="26" s="1"/>
  <c r="L53" i="26"/>
  <c r="N53" i="26" s="1"/>
  <c r="O53" i="26" s="1"/>
  <c r="K55" i="26"/>
  <c r="L55" i="26" s="1"/>
  <c r="N61" i="24"/>
  <c r="O61" i="24" s="1"/>
  <c r="N46" i="24"/>
  <c r="O46" i="24" s="1"/>
  <c r="L39" i="21"/>
  <c r="K52" i="21"/>
  <c r="K55" i="21" s="1"/>
  <c r="L55" i="21" s="1"/>
  <c r="H59" i="21"/>
  <c r="N59" i="21" s="1"/>
  <c r="O59" i="21" s="1"/>
  <c r="K58" i="21"/>
  <c r="L58" i="21" s="1"/>
  <c r="N58" i="21" s="1"/>
  <c r="O58" i="21" s="1"/>
  <c r="K53" i="24"/>
  <c r="L52" i="24"/>
  <c r="N52" i="24" s="1"/>
  <c r="O52" i="24" s="1"/>
  <c r="H53" i="24"/>
  <c r="G55" i="24"/>
  <c r="H55" i="24" s="1"/>
  <c r="H56" i="11"/>
  <c r="N31" i="11"/>
  <c r="O31" i="11" s="1"/>
  <c r="N46" i="11"/>
  <c r="O46" i="11" s="1"/>
  <c r="N40" i="11"/>
  <c r="N53" i="11"/>
  <c r="O53" i="11" s="1"/>
  <c r="L45" i="11"/>
  <c r="H48" i="24"/>
  <c r="H51" i="24" s="1"/>
  <c r="L56" i="10"/>
  <c r="N56" i="10" s="1"/>
  <c r="O56" i="10" s="1"/>
  <c r="N56" i="21"/>
  <c r="O56" i="21" s="1"/>
  <c r="L50" i="10"/>
  <c r="L49" i="10"/>
  <c r="N49" i="10" s="1"/>
  <c r="O49" i="10" s="1"/>
  <c r="D56" i="28"/>
  <c r="G52" i="21"/>
  <c r="H59" i="11"/>
  <c r="K59" i="11"/>
  <c r="L59" i="11" s="1"/>
  <c r="E56" i="28"/>
  <c r="H57" i="10"/>
  <c r="K57" i="10"/>
  <c r="L57" i="10" s="1"/>
  <c r="O33" i="10"/>
  <c r="N33" i="10"/>
  <c r="H59" i="10"/>
  <c r="K59" i="10"/>
  <c r="L59" i="10" s="1"/>
  <c r="H61" i="10"/>
  <c r="O61" i="10" s="1"/>
  <c r="N59" i="26"/>
  <c r="O59" i="26" s="1"/>
  <c r="O52" i="26"/>
  <c r="H48" i="26"/>
  <c r="N57" i="26"/>
  <c r="O57" i="26" s="1"/>
  <c r="N39" i="26"/>
  <c r="O39" i="26" s="1"/>
  <c r="L48" i="26"/>
  <c r="N61" i="26"/>
  <c r="O61" i="26" s="1"/>
  <c r="N50" i="26"/>
  <c r="O50" i="26" s="1"/>
  <c r="N57" i="24"/>
  <c r="O57" i="24" s="1"/>
  <c r="N50" i="24"/>
  <c r="O50" i="24" s="1"/>
  <c r="N58" i="24"/>
  <c r="O58" i="24" s="1"/>
  <c r="L48" i="24"/>
  <c r="N39" i="24"/>
  <c r="O39" i="24" s="1"/>
  <c r="N42" i="21"/>
  <c r="O42" i="21" s="1"/>
  <c r="N50" i="21"/>
  <c r="O50" i="21" s="1"/>
  <c r="N47" i="21"/>
  <c r="N34" i="21"/>
  <c r="N38" i="21"/>
  <c r="N35" i="21"/>
  <c r="N46" i="21"/>
  <c r="O46" i="21" s="1"/>
  <c r="H39" i="21"/>
  <c r="N37" i="21"/>
  <c r="N32" i="21"/>
  <c r="N36" i="21"/>
  <c r="N43" i="21"/>
  <c r="O43" i="21" s="1"/>
  <c r="K57" i="21"/>
  <c r="L57" i="21" s="1"/>
  <c r="H57" i="21"/>
  <c r="N30" i="21"/>
  <c r="K41" i="21"/>
  <c r="L41" i="21" s="1"/>
  <c r="H41" i="21"/>
  <c r="H61" i="21"/>
  <c r="K61" i="21"/>
  <c r="L61" i="21" s="1"/>
  <c r="N49" i="21"/>
  <c r="O49" i="21" s="1"/>
  <c r="N33" i="21"/>
  <c r="N33" i="11"/>
  <c r="O33" i="11"/>
  <c r="N34" i="11"/>
  <c r="K55" i="11"/>
  <c r="L55" i="11" s="1"/>
  <c r="K57" i="11"/>
  <c r="L57" i="11" s="1"/>
  <c r="H48" i="11"/>
  <c r="H55" i="11"/>
  <c r="H57" i="11"/>
  <c r="N27" i="11"/>
  <c r="N38" i="11"/>
  <c r="H39" i="11"/>
  <c r="N41" i="11"/>
  <c r="N29" i="11"/>
  <c r="O29" i="11" s="1"/>
  <c r="N32" i="11"/>
  <c r="N43" i="11"/>
  <c r="N42" i="11"/>
  <c r="L48" i="11"/>
  <c r="N23" i="11"/>
  <c r="O23" i="11" s="1"/>
  <c r="L39" i="11"/>
  <c r="N30" i="11"/>
  <c r="N37" i="11"/>
  <c r="N28" i="11"/>
  <c r="G52" i="11"/>
  <c r="H52" i="11" s="1"/>
  <c r="G51" i="11"/>
  <c r="H51" i="11" s="1"/>
  <c r="K58" i="11"/>
  <c r="L58" i="11" s="1"/>
  <c r="H58" i="11"/>
  <c r="N25" i="11"/>
  <c r="N35" i="11"/>
  <c r="N44" i="11"/>
  <c r="H49" i="11"/>
  <c r="N24" i="11"/>
  <c r="N26" i="11"/>
  <c r="N36" i="11"/>
  <c r="K56" i="11"/>
  <c r="L56" i="11" s="1"/>
  <c r="N29" i="10"/>
  <c r="O29" i="10" s="1"/>
  <c r="N35" i="10"/>
  <c r="N42" i="10"/>
  <c r="O42" i="10" s="1"/>
  <c r="L39" i="10"/>
  <c r="N36" i="10"/>
  <c r="H39" i="10"/>
  <c r="O26" i="10"/>
  <c r="N26" i="10"/>
  <c r="N32" i="10"/>
  <c r="O37" i="10"/>
  <c r="N37" i="10"/>
  <c r="K52" i="10"/>
  <c r="L46" i="10"/>
  <c r="N34" i="10"/>
  <c r="N43" i="10"/>
  <c r="O43" i="10" s="1"/>
  <c r="H46" i="10"/>
  <c r="G52" i="10"/>
  <c r="K60" i="10"/>
  <c r="L60" i="10" s="1"/>
  <c r="H60" i="10"/>
  <c r="N23" i="10"/>
  <c r="N30" i="10"/>
  <c r="N31" i="10"/>
  <c r="O31" i="10" s="1"/>
  <c r="N38" i="10"/>
  <c r="N40" i="10"/>
  <c r="O40" i="10" s="1"/>
  <c r="N41" i="10"/>
  <c r="O41" i="10" s="1"/>
  <c r="L47" i="10"/>
  <c r="N54" i="10"/>
  <c r="O54" i="10" s="1"/>
  <c r="K58" i="10"/>
  <c r="L58" i="10" s="1"/>
  <c r="H58" i="10"/>
  <c r="L48" i="21" l="1"/>
  <c r="L48" i="10"/>
  <c r="H48" i="10"/>
  <c r="N39" i="21"/>
  <c r="N50" i="10"/>
  <c r="O50" i="10" s="1"/>
  <c r="L52" i="21"/>
  <c r="K53" i="21"/>
  <c r="L53" i="21" s="1"/>
  <c r="H52" i="21"/>
  <c r="G55" i="21"/>
  <c r="H55" i="21" s="1"/>
  <c r="K55" i="24"/>
  <c r="L55" i="24" s="1"/>
  <c r="L53" i="24"/>
  <c r="N59" i="10"/>
  <c r="O59" i="10" s="1"/>
  <c r="N45" i="11"/>
  <c r="O45" i="11" s="1"/>
  <c r="N55" i="11"/>
  <c r="O55" i="11" s="1"/>
  <c r="N59" i="11"/>
  <c r="O59" i="11" s="1"/>
  <c r="N57" i="11"/>
  <c r="O57" i="11" s="1"/>
  <c r="G53" i="21"/>
  <c r="H53" i="21" s="1"/>
  <c r="N61" i="10"/>
  <c r="E57" i="28"/>
  <c r="O23" i="10"/>
  <c r="N57" i="10"/>
  <c r="O57" i="10" s="1"/>
  <c r="H51" i="26"/>
  <c r="N48" i="26"/>
  <c r="O48" i="26" s="1"/>
  <c r="L51" i="26"/>
  <c r="L51" i="24"/>
  <c r="N48" i="24"/>
  <c r="O48" i="24" s="1"/>
  <c r="H67" i="24"/>
  <c r="H63" i="24"/>
  <c r="N57" i="21"/>
  <c r="O57" i="21" s="1"/>
  <c r="N61" i="21"/>
  <c r="O61" i="21" s="1"/>
  <c r="N41" i="21"/>
  <c r="O41" i="21" s="1"/>
  <c r="H48" i="21"/>
  <c r="O39" i="21"/>
  <c r="N58" i="11"/>
  <c r="O58" i="11" s="1"/>
  <c r="N48" i="11"/>
  <c r="H47" i="11"/>
  <c r="L47" i="11"/>
  <c r="N39" i="11"/>
  <c r="O39" i="11" s="1"/>
  <c r="L49" i="11"/>
  <c r="L52" i="11"/>
  <c r="K51" i="11"/>
  <c r="L51" i="11" s="1"/>
  <c r="N56" i="11"/>
  <c r="O56" i="11" s="1"/>
  <c r="N58" i="10"/>
  <c r="O58" i="10" s="1"/>
  <c r="N60" i="10"/>
  <c r="O60" i="10" s="1"/>
  <c r="N47" i="10"/>
  <c r="N46" i="10"/>
  <c r="O46" i="10" s="1"/>
  <c r="G53" i="10"/>
  <c r="H52" i="10"/>
  <c r="L52" i="10"/>
  <c r="K53" i="10"/>
  <c r="N39" i="10"/>
  <c r="O39" i="10" s="1"/>
  <c r="N53" i="21" l="1"/>
  <c r="O53" i="21" s="1"/>
  <c r="H53" i="10"/>
  <c r="G55" i="10"/>
  <c r="H55" i="10" s="1"/>
  <c r="N52" i="21"/>
  <c r="O52" i="21" s="1"/>
  <c r="L53" i="10"/>
  <c r="K55" i="10"/>
  <c r="L55" i="10" s="1"/>
  <c r="N53" i="24"/>
  <c r="O53" i="24" s="1"/>
  <c r="E58" i="28"/>
  <c r="N51" i="26"/>
  <c r="O51" i="26" s="1"/>
  <c r="L67" i="26"/>
  <c r="L63" i="26"/>
  <c r="H63" i="26"/>
  <c r="H67" i="26"/>
  <c r="H68" i="24"/>
  <c r="N51" i="24"/>
  <c r="O51" i="24" s="1"/>
  <c r="L67" i="24"/>
  <c r="L63" i="24"/>
  <c r="H64" i="24"/>
  <c r="H65" i="24" s="1"/>
  <c r="H51" i="21"/>
  <c r="N48" i="21"/>
  <c r="O48" i="21" s="1"/>
  <c r="L51" i="21"/>
  <c r="N49" i="11"/>
  <c r="H50" i="11"/>
  <c r="N51" i="11"/>
  <c r="N52" i="11"/>
  <c r="O52" i="11" s="1"/>
  <c r="L50" i="11"/>
  <c r="N47" i="11"/>
  <c r="O47" i="11" s="1"/>
  <c r="H51" i="10"/>
  <c r="N52" i="10"/>
  <c r="O52" i="10" s="1"/>
  <c r="L51" i="10"/>
  <c r="N48" i="10"/>
  <c r="O48" i="10" s="1"/>
  <c r="N53" i="10" l="1"/>
  <c r="O53" i="10" s="1"/>
  <c r="H63" i="10"/>
  <c r="L67" i="11"/>
  <c r="L70" i="11" s="1"/>
  <c r="H68" i="26"/>
  <c r="H64" i="26"/>
  <c r="H65" i="26" s="1"/>
  <c r="L64" i="26"/>
  <c r="N63" i="26"/>
  <c r="O63" i="26" s="1"/>
  <c r="L68" i="26"/>
  <c r="L69" i="26" s="1"/>
  <c r="N67" i="26"/>
  <c r="O67" i="26" s="1"/>
  <c r="N63" i="24"/>
  <c r="O63" i="24" s="1"/>
  <c r="L64" i="24"/>
  <c r="L65" i="24" s="1"/>
  <c r="H69" i="24"/>
  <c r="N67" i="24"/>
  <c r="O67" i="24" s="1"/>
  <c r="L68" i="24"/>
  <c r="N51" i="21"/>
  <c r="O51" i="21" s="1"/>
  <c r="L67" i="21"/>
  <c r="L63" i="21"/>
  <c r="H63" i="21"/>
  <c r="H67" i="21"/>
  <c r="N50" i="11"/>
  <c r="L61" i="11"/>
  <c r="L64" i="11" s="1"/>
  <c r="H61" i="11"/>
  <c r="H67" i="11"/>
  <c r="H69" i="10"/>
  <c r="H72" i="10" s="1"/>
  <c r="N51" i="10"/>
  <c r="O51" i="10" s="1"/>
  <c r="L69" i="10"/>
  <c r="L72" i="10" s="1"/>
  <c r="L63" i="10"/>
  <c r="N72" i="10" l="1"/>
  <c r="O72" i="10" s="1"/>
  <c r="H79" i="10"/>
  <c r="H80" i="10" s="1"/>
  <c r="H81" i="10" s="1"/>
  <c r="H66" i="10"/>
  <c r="L79" i="10"/>
  <c r="L66" i="10"/>
  <c r="N64" i="11"/>
  <c r="O64" i="11" s="1"/>
  <c r="N70" i="11"/>
  <c r="O70" i="11" s="1"/>
  <c r="H64" i="10"/>
  <c r="H65" i="10" s="1"/>
  <c r="N64" i="26"/>
  <c r="O64" i="26" s="1"/>
  <c r="N68" i="26"/>
  <c r="O68" i="26" s="1"/>
  <c r="L65" i="26"/>
  <c r="H69" i="26"/>
  <c r="N68" i="24"/>
  <c r="O68" i="24" s="1"/>
  <c r="L69" i="24"/>
  <c r="N65" i="24"/>
  <c r="O65" i="24" s="1"/>
  <c r="N64" i="24"/>
  <c r="O64" i="24" s="1"/>
  <c r="N63" i="21"/>
  <c r="O63" i="21" s="1"/>
  <c r="L64" i="21"/>
  <c r="L65" i="21" s="1"/>
  <c r="H68" i="21"/>
  <c r="H69" i="21" s="1"/>
  <c r="N67" i="21"/>
  <c r="O67" i="21" s="1"/>
  <c r="L68" i="21"/>
  <c r="L69" i="21" s="1"/>
  <c r="H64" i="21"/>
  <c r="H65" i="21" s="1"/>
  <c r="H68" i="11"/>
  <c r="H69" i="11" s="1"/>
  <c r="H62" i="11"/>
  <c r="N61" i="11"/>
  <c r="L62" i="11"/>
  <c r="N67" i="11"/>
  <c r="O67" i="11" s="1"/>
  <c r="L68" i="11"/>
  <c r="N63" i="10"/>
  <c r="O63" i="10" s="1"/>
  <c r="L64" i="10"/>
  <c r="L65" i="10" s="1"/>
  <c r="H70" i="10"/>
  <c r="H71" i="10" s="1"/>
  <c r="H73" i="10" s="1"/>
  <c r="N69" i="10"/>
  <c r="O69" i="10" s="1"/>
  <c r="L70" i="10"/>
  <c r="L71" i="10" s="1"/>
  <c r="L73" i="10" s="1"/>
  <c r="H67" i="10" l="1"/>
  <c r="N79" i="10"/>
  <c r="O79" i="10" s="1"/>
  <c r="N73" i="10"/>
  <c r="O73" i="10" s="1"/>
  <c r="N66" i="10"/>
  <c r="O66" i="10" s="1"/>
  <c r="L80" i="10"/>
  <c r="L81" i="10" s="1"/>
  <c r="N81" i="10" s="1"/>
  <c r="O81" i="10" s="1"/>
  <c r="E59" i="28" s="1"/>
  <c r="L67" i="10"/>
  <c r="N69" i="26"/>
  <c r="O69" i="26" s="1"/>
  <c r="N65" i="26"/>
  <c r="O65" i="26" s="1"/>
  <c r="N69" i="24"/>
  <c r="O69" i="24" s="1"/>
  <c r="N64" i="21"/>
  <c r="O64" i="21" s="1"/>
  <c r="N69" i="21"/>
  <c r="O69" i="21" s="1"/>
  <c r="N65" i="21"/>
  <c r="O65" i="21" s="1"/>
  <c r="N68" i="21"/>
  <c r="O68" i="21" s="1"/>
  <c r="N68" i="11"/>
  <c r="O68" i="11" s="1"/>
  <c r="L69" i="11"/>
  <c r="L71" i="11" s="1"/>
  <c r="N71" i="11" s="1"/>
  <c r="O71" i="11" s="1"/>
  <c r="N62" i="11"/>
  <c r="O62" i="11" s="1"/>
  <c r="N64" i="10"/>
  <c r="O64" i="10" s="1"/>
  <c r="N71" i="10"/>
  <c r="O71" i="10" s="1"/>
  <c r="N65" i="10"/>
  <c r="O65" i="10" s="1"/>
  <c r="E60" i="28" s="1"/>
  <c r="N70" i="10"/>
  <c r="O70" i="10" s="1"/>
  <c r="N67" i="10" l="1"/>
  <c r="O67" i="10" s="1"/>
  <c r="N80" i="10"/>
  <c r="O80" i="10" s="1"/>
  <c r="N63" i="11"/>
  <c r="O63" i="11" s="1"/>
  <c r="L65" i="11"/>
  <c r="N65" i="11" s="1"/>
  <c r="O65" i="11" s="1"/>
  <c r="N69" i="11"/>
  <c r="O69" i="11" s="1"/>
  <c r="G61" i="9" l="1"/>
  <c r="G60" i="9"/>
  <c r="H60" i="9" s="1"/>
  <c r="K59" i="9"/>
  <c r="L59" i="9" s="1"/>
  <c r="H59" i="9"/>
  <c r="H58" i="9"/>
  <c r="K57" i="9"/>
  <c r="L57" i="9" s="1"/>
  <c r="H57" i="9"/>
  <c r="K56" i="9"/>
  <c r="J56" i="9"/>
  <c r="G56" i="9"/>
  <c r="H56" i="9" s="1"/>
  <c r="L54" i="9"/>
  <c r="H54" i="9"/>
  <c r="K49" i="9"/>
  <c r="K50" i="9" s="1"/>
  <c r="G49" i="9"/>
  <c r="G50" i="9" s="1"/>
  <c r="H50" i="9" s="1"/>
  <c r="J47" i="9"/>
  <c r="H47" i="9"/>
  <c r="O47" i="9" s="1"/>
  <c r="K46" i="9"/>
  <c r="K52" i="9" s="1"/>
  <c r="K53" i="9" s="1"/>
  <c r="G46" i="9"/>
  <c r="G52" i="9" s="1"/>
  <c r="K45" i="9"/>
  <c r="L45" i="9" s="1"/>
  <c r="G45" i="9"/>
  <c r="H45" i="9" s="1"/>
  <c r="L43" i="9"/>
  <c r="H43" i="9"/>
  <c r="K42" i="9"/>
  <c r="L42" i="9" s="1"/>
  <c r="G42" i="9"/>
  <c r="H42" i="9" s="1"/>
  <c r="L41" i="9"/>
  <c r="H41" i="9"/>
  <c r="K40" i="9"/>
  <c r="L40" i="9" s="1"/>
  <c r="G40" i="9"/>
  <c r="H40" i="9" s="1"/>
  <c r="K38" i="9"/>
  <c r="L38" i="9" s="1"/>
  <c r="G38" i="9"/>
  <c r="H38" i="9" s="1"/>
  <c r="O38" i="9" s="1"/>
  <c r="K37" i="9"/>
  <c r="L37" i="9" s="1"/>
  <c r="G37" i="9"/>
  <c r="H37" i="9" s="1"/>
  <c r="O37" i="9" s="1"/>
  <c r="K36" i="9"/>
  <c r="L36" i="9" s="1"/>
  <c r="G36" i="9"/>
  <c r="H36" i="9" s="1"/>
  <c r="O36" i="9" s="1"/>
  <c r="K35" i="9"/>
  <c r="L35" i="9" s="1"/>
  <c r="G35" i="9"/>
  <c r="H35" i="9" s="1"/>
  <c r="O35" i="9" s="1"/>
  <c r="K34" i="9"/>
  <c r="L34" i="9" s="1"/>
  <c r="G34" i="9"/>
  <c r="H34" i="9" s="1"/>
  <c r="O34" i="9" s="1"/>
  <c r="K33" i="9"/>
  <c r="L33" i="9" s="1"/>
  <c r="G33" i="9"/>
  <c r="H33" i="9" s="1"/>
  <c r="O33" i="9" s="1"/>
  <c r="K32" i="9"/>
  <c r="L32" i="9" s="1"/>
  <c r="G32" i="9"/>
  <c r="H32" i="9" s="1"/>
  <c r="O32" i="9" s="1"/>
  <c r="K31" i="9"/>
  <c r="L31" i="9" s="1"/>
  <c r="G31" i="9"/>
  <c r="H31" i="9" s="1"/>
  <c r="O31" i="9" s="1"/>
  <c r="K30" i="9"/>
  <c r="L30" i="9" s="1"/>
  <c r="G30" i="9"/>
  <c r="H30" i="9" s="1"/>
  <c r="O30" i="9" s="1"/>
  <c r="K29" i="9"/>
  <c r="L29" i="9" s="1"/>
  <c r="G29" i="9"/>
  <c r="H29" i="9" s="1"/>
  <c r="L28" i="9"/>
  <c r="H28" i="9"/>
  <c r="O28" i="9" s="1"/>
  <c r="L27" i="9"/>
  <c r="H27" i="9"/>
  <c r="O27" i="9" s="1"/>
  <c r="L26" i="9"/>
  <c r="H26" i="9"/>
  <c r="O26" i="9" s="1"/>
  <c r="L25" i="9"/>
  <c r="H25" i="9"/>
  <c r="O25" i="9" s="1"/>
  <c r="L24" i="9"/>
  <c r="H24" i="9"/>
  <c r="L23" i="9"/>
  <c r="H23" i="9"/>
  <c r="N34" i="9" l="1"/>
  <c r="H61" i="9"/>
  <c r="O61" i="9" s="1"/>
  <c r="N42" i="9"/>
  <c r="K61" i="9"/>
  <c r="L61" i="9" s="1"/>
  <c r="L47" i="9"/>
  <c r="H49" i="9"/>
  <c r="L53" i="9"/>
  <c r="K55" i="9"/>
  <c r="L55" i="9" s="1"/>
  <c r="L46" i="9"/>
  <c r="H46" i="9"/>
  <c r="N57" i="9"/>
  <c r="O57" i="9" s="1"/>
  <c r="L50" i="9"/>
  <c r="N50" i="9" s="1"/>
  <c r="O50" i="9" s="1"/>
  <c r="D51" i="28"/>
  <c r="L52" i="9"/>
  <c r="N31" i="9"/>
  <c r="E51" i="28"/>
  <c r="N29" i="9"/>
  <c r="O29" i="9" s="1"/>
  <c r="N45" i="9"/>
  <c r="O45" i="9" s="1"/>
  <c r="N36" i="9"/>
  <c r="N27" i="9"/>
  <c r="N37" i="9"/>
  <c r="N32" i="9"/>
  <c r="N59" i="9"/>
  <c r="O59" i="9" s="1"/>
  <c r="N23" i="9"/>
  <c r="L39" i="9"/>
  <c r="N38" i="9"/>
  <c r="H39" i="9"/>
  <c r="O24" i="9"/>
  <c r="N30" i="9"/>
  <c r="N33" i="9"/>
  <c r="N40" i="9"/>
  <c r="O40" i="9" s="1"/>
  <c r="N41" i="9"/>
  <c r="O41" i="9" s="1"/>
  <c r="O42" i="9"/>
  <c r="N28" i="9"/>
  <c r="N35" i="9"/>
  <c r="L49" i="9"/>
  <c r="N43" i="9"/>
  <c r="O43" i="9" s="1"/>
  <c r="N24" i="9"/>
  <c r="N25" i="9"/>
  <c r="N26" i="9"/>
  <c r="G53" i="9"/>
  <c r="H52" i="9"/>
  <c r="N54" i="9"/>
  <c r="O54" i="9" s="1"/>
  <c r="L56" i="9"/>
  <c r="K58" i="9"/>
  <c r="L58" i="9" s="1"/>
  <c r="K60" i="9"/>
  <c r="L60" i="9" s="1"/>
  <c r="H48" i="9" l="1"/>
  <c r="L48" i="9"/>
  <c r="N61" i="9"/>
  <c r="N47" i="9"/>
  <c r="H53" i="9"/>
  <c r="N53" i="9" s="1"/>
  <c r="O53" i="9" s="1"/>
  <c r="G55" i="9"/>
  <c r="H55" i="9" s="1"/>
  <c r="N46" i="9"/>
  <c r="O46" i="9" s="1"/>
  <c r="O23" i="9"/>
  <c r="E52" i="28"/>
  <c r="N58" i="9"/>
  <c r="O58" i="9" s="1"/>
  <c r="N56" i="9"/>
  <c r="O56" i="9" s="1"/>
  <c r="N49" i="9"/>
  <c r="O49" i="9" s="1"/>
  <c r="N52" i="9"/>
  <c r="O52" i="9" s="1"/>
  <c r="N60" i="9"/>
  <c r="O60" i="9" s="1"/>
  <c r="N39" i="9"/>
  <c r="O39" i="9" s="1"/>
  <c r="E53" i="28" l="1"/>
  <c r="L51" i="9"/>
  <c r="L69" i="9" s="1"/>
  <c r="L72" i="9" s="1"/>
  <c r="N72" i="9" s="1"/>
  <c r="O72" i="9" s="1"/>
  <c r="N48" i="9"/>
  <c r="O48" i="9" s="1"/>
  <c r="H51" i="9"/>
  <c r="H79" i="9" l="1"/>
  <c r="N51" i="9"/>
  <c r="O51" i="9" s="1"/>
  <c r="L63" i="9"/>
  <c r="L79" i="9" l="1"/>
  <c r="N79" i="9" s="1"/>
  <c r="O79" i="9" s="1"/>
  <c r="L66" i="9"/>
  <c r="H80" i="9"/>
  <c r="H81" i="9" s="1"/>
  <c r="N63" i="9"/>
  <c r="O63" i="9" s="1"/>
  <c r="L64" i="9"/>
  <c r="L65" i="9" s="1"/>
  <c r="N69" i="9"/>
  <c r="O69" i="9" s="1"/>
  <c r="L70" i="9"/>
  <c r="L80" i="9" l="1"/>
  <c r="L81" i="9" s="1"/>
  <c r="N81" i="9" s="1"/>
  <c r="O81" i="9" s="1"/>
  <c r="E54" i="28" s="1"/>
  <c r="L67" i="9"/>
  <c r="N67" i="9" s="1"/>
  <c r="O67" i="9" s="1"/>
  <c r="N66" i="9"/>
  <c r="O66" i="9" s="1"/>
  <c r="N70" i="9"/>
  <c r="O70" i="9" s="1"/>
  <c r="L71" i="9"/>
  <c r="L73" i="9" s="1"/>
  <c r="N73" i="9" s="1"/>
  <c r="O73" i="9" s="1"/>
  <c r="N64" i="9"/>
  <c r="O64" i="9" s="1"/>
  <c r="N65" i="9"/>
  <c r="O65" i="9" s="1"/>
  <c r="E55" i="28" s="1"/>
  <c r="N80" i="9" l="1"/>
  <c r="O80" i="9" s="1"/>
  <c r="N71" i="9"/>
  <c r="O71" i="9" s="1"/>
  <c r="G61" i="8" l="1"/>
  <c r="H61" i="8" s="1"/>
  <c r="O61" i="8" s="1"/>
  <c r="G60" i="8"/>
  <c r="H60" i="8" s="1"/>
  <c r="K59" i="8"/>
  <c r="L59" i="8" s="1"/>
  <c r="H59" i="8"/>
  <c r="K57" i="8"/>
  <c r="L57" i="8" s="1"/>
  <c r="H57" i="8"/>
  <c r="K56" i="8"/>
  <c r="J56" i="8"/>
  <c r="G56" i="8"/>
  <c r="H56" i="8" s="1"/>
  <c r="L54" i="8"/>
  <c r="H54" i="8"/>
  <c r="K49" i="8"/>
  <c r="K53" i="8" s="1"/>
  <c r="G49" i="8"/>
  <c r="H49" i="8" s="1"/>
  <c r="J47" i="8"/>
  <c r="L47" i="8" s="1"/>
  <c r="H47" i="8"/>
  <c r="O47" i="8" s="1"/>
  <c r="K46" i="8"/>
  <c r="L46" i="8" s="1"/>
  <c r="G46" i="8"/>
  <c r="K43" i="8"/>
  <c r="L43" i="8" s="1"/>
  <c r="G43" i="8"/>
  <c r="H43" i="8" s="1"/>
  <c r="K42" i="8"/>
  <c r="L42" i="8" s="1"/>
  <c r="G42" i="8"/>
  <c r="H42" i="8" s="1"/>
  <c r="O42" i="8" s="1"/>
  <c r="K41" i="8"/>
  <c r="L41" i="8" s="1"/>
  <c r="G41" i="8"/>
  <c r="H41" i="8" s="1"/>
  <c r="K40" i="8"/>
  <c r="L40" i="8" s="1"/>
  <c r="G40" i="8"/>
  <c r="H40" i="8" s="1"/>
  <c r="K38" i="8"/>
  <c r="L38" i="8" s="1"/>
  <c r="G38" i="8"/>
  <c r="H38" i="8" s="1"/>
  <c r="O38" i="8" s="1"/>
  <c r="K37" i="8"/>
  <c r="L37" i="8" s="1"/>
  <c r="G37" i="8"/>
  <c r="H37" i="8" s="1"/>
  <c r="K36" i="8"/>
  <c r="L36" i="8" s="1"/>
  <c r="G36" i="8"/>
  <c r="H36" i="8" s="1"/>
  <c r="O36" i="8" s="1"/>
  <c r="K35" i="8"/>
  <c r="L35" i="8" s="1"/>
  <c r="G35" i="8"/>
  <c r="H35" i="8" s="1"/>
  <c r="O35" i="8" s="1"/>
  <c r="K34" i="8"/>
  <c r="L34" i="8" s="1"/>
  <c r="G34" i="8"/>
  <c r="H34" i="8" s="1"/>
  <c r="O34" i="8" s="1"/>
  <c r="K33" i="8"/>
  <c r="L33" i="8" s="1"/>
  <c r="G33" i="8"/>
  <c r="H33" i="8" s="1"/>
  <c r="O33" i="8" s="1"/>
  <c r="K32" i="8"/>
  <c r="L32" i="8" s="1"/>
  <c r="G32" i="8"/>
  <c r="H32" i="8" s="1"/>
  <c r="O32" i="8" s="1"/>
  <c r="K31" i="8"/>
  <c r="L31" i="8" s="1"/>
  <c r="G31" i="8"/>
  <c r="H31" i="8" s="1"/>
  <c r="K30" i="8"/>
  <c r="L30" i="8" s="1"/>
  <c r="G30" i="8"/>
  <c r="H30" i="8" s="1"/>
  <c r="O30" i="8" s="1"/>
  <c r="K29" i="8"/>
  <c r="L29" i="8" s="1"/>
  <c r="G29" i="8"/>
  <c r="H29" i="8" s="1"/>
  <c r="L28" i="8"/>
  <c r="H28" i="8"/>
  <c r="O28" i="8" s="1"/>
  <c r="L27" i="8"/>
  <c r="H27" i="8"/>
  <c r="O27" i="8" s="1"/>
  <c r="L26" i="8"/>
  <c r="H26" i="8"/>
  <c r="O26" i="8" s="1"/>
  <c r="L25" i="8"/>
  <c r="H25" i="8"/>
  <c r="O25" i="8" s="1"/>
  <c r="L24" i="8"/>
  <c r="H24" i="8"/>
  <c r="O24" i="8" s="1"/>
  <c r="L23" i="8"/>
  <c r="H23" i="8"/>
  <c r="N26" i="8" l="1"/>
  <c r="N25" i="8"/>
  <c r="O37" i="8"/>
  <c r="N37" i="8"/>
  <c r="N27" i="8"/>
  <c r="K61" i="8"/>
  <c r="L61" i="8" s="1"/>
  <c r="N61" i="8" s="1"/>
  <c r="L53" i="8"/>
  <c r="K55" i="8"/>
  <c r="L55" i="8" s="1"/>
  <c r="N43" i="8"/>
  <c r="O43" i="8" s="1"/>
  <c r="G50" i="8"/>
  <c r="H50" i="8" s="1"/>
  <c r="G53" i="8"/>
  <c r="L56" i="8"/>
  <c r="N56" i="8" s="1"/>
  <c r="O56" i="8" s="1"/>
  <c r="N29" i="8"/>
  <c r="O29" i="8" s="1"/>
  <c r="D61" i="28"/>
  <c r="E61" i="28"/>
  <c r="K50" i="8"/>
  <c r="L50" i="8" s="1"/>
  <c r="K52" i="8"/>
  <c r="L52" i="8" s="1"/>
  <c r="N36" i="8"/>
  <c r="L39" i="8"/>
  <c r="N32" i="8"/>
  <c r="N41" i="8"/>
  <c r="O41" i="8" s="1"/>
  <c r="N23" i="8"/>
  <c r="N30" i="8"/>
  <c r="N31" i="8"/>
  <c r="O31" i="8" s="1"/>
  <c r="N38" i="8"/>
  <c r="N40" i="8"/>
  <c r="O40" i="8" s="1"/>
  <c r="N57" i="8"/>
  <c r="O57" i="8" s="1"/>
  <c r="N24" i="8"/>
  <c r="N28" i="8"/>
  <c r="N33" i="8"/>
  <c r="H39" i="8"/>
  <c r="N42" i="8"/>
  <c r="H46" i="8"/>
  <c r="G45" i="8"/>
  <c r="L49" i="8"/>
  <c r="N34" i="8"/>
  <c r="N35" i="8"/>
  <c r="N47" i="8"/>
  <c r="G52" i="8"/>
  <c r="H52" i="8" s="1"/>
  <c r="K58" i="8"/>
  <c r="L58" i="8" s="1"/>
  <c r="H58" i="8"/>
  <c r="N59" i="8"/>
  <c r="O59" i="8" s="1"/>
  <c r="N54" i="8"/>
  <c r="O54" i="8" s="1"/>
  <c r="K60" i="8"/>
  <c r="L60" i="8" s="1"/>
  <c r="H53" i="8" l="1"/>
  <c r="N53" i="8" s="1"/>
  <c r="O53" i="8" s="1"/>
  <c r="G55" i="8"/>
  <c r="H55" i="8" s="1"/>
  <c r="N52" i="8"/>
  <c r="O52" i="8" s="1"/>
  <c r="E62" i="28"/>
  <c r="N50" i="8"/>
  <c r="O50" i="8" s="1"/>
  <c r="O23" i="8"/>
  <c r="H45" i="8"/>
  <c r="H48" i="8" s="1"/>
  <c r="K45" i="8"/>
  <c r="L45" i="8" s="1"/>
  <c r="L48" i="8" s="1"/>
  <c r="N39" i="8"/>
  <c r="O39" i="8" s="1"/>
  <c r="N60" i="8"/>
  <c r="O60" i="8" s="1"/>
  <c r="N58" i="8"/>
  <c r="O58" i="8" s="1"/>
  <c r="N49" i="8"/>
  <c r="O49" i="8" s="1"/>
  <c r="N46" i="8"/>
  <c r="O46" i="8" s="1"/>
  <c r="E63" i="28" l="1"/>
  <c r="L51" i="8"/>
  <c r="N48" i="8"/>
  <c r="O48" i="8" s="1"/>
  <c r="H51" i="8"/>
  <c r="N45" i="8"/>
  <c r="O45" i="8" s="1"/>
  <c r="H63" i="8" l="1"/>
  <c r="H79" i="8" s="1"/>
  <c r="N51" i="8"/>
  <c r="O51" i="8" s="1"/>
  <c r="L63" i="8"/>
  <c r="L69" i="8"/>
  <c r="L72" i="8" s="1"/>
  <c r="N72" i="8" l="1"/>
  <c r="O72" i="8" s="1"/>
  <c r="L79" i="8"/>
  <c r="L66" i="8"/>
  <c r="H80" i="8"/>
  <c r="H81" i="8" s="1"/>
  <c r="L80" i="8"/>
  <c r="N79" i="8"/>
  <c r="O79" i="8" s="1"/>
  <c r="H64" i="8"/>
  <c r="H65" i="8" s="1"/>
  <c r="N63" i="8"/>
  <c r="O63" i="8" s="1"/>
  <c r="L64" i="8"/>
  <c r="L65" i="8" s="1"/>
  <c r="N69" i="8"/>
  <c r="O69" i="8" s="1"/>
  <c r="L70" i="8"/>
  <c r="L71" i="8" s="1"/>
  <c r="L73" i="8" s="1"/>
  <c r="N73" i="8" s="1"/>
  <c r="O73" i="8" s="1"/>
  <c r="L67" i="8" l="1"/>
  <c r="N67" i="8" s="1"/>
  <c r="O67" i="8" s="1"/>
  <c r="N66" i="8"/>
  <c r="O66" i="8" s="1"/>
  <c r="L81" i="8"/>
  <c r="N80" i="8"/>
  <c r="O80" i="8" s="1"/>
  <c r="N64" i="8"/>
  <c r="O64" i="8" s="1"/>
  <c r="N65" i="8"/>
  <c r="O65" i="8" s="1"/>
  <c r="E65" i="28" s="1"/>
  <c r="N70" i="8"/>
  <c r="O70" i="8" s="1"/>
  <c r="N81" i="8" l="1"/>
  <c r="O81" i="8" s="1"/>
  <c r="E64" i="28" s="1"/>
  <c r="N71" i="8"/>
  <c r="O71" i="8" s="1"/>
  <c r="G61" i="7" l="1"/>
  <c r="K60" i="7"/>
  <c r="L60" i="7" s="1"/>
  <c r="H60" i="7"/>
  <c r="H58" i="7"/>
  <c r="K56" i="7"/>
  <c r="J56" i="7"/>
  <c r="G56" i="7"/>
  <c r="H56" i="7" s="1"/>
  <c r="L54" i="7"/>
  <c r="H54" i="7"/>
  <c r="K49" i="7"/>
  <c r="K50" i="7" s="1"/>
  <c r="G49" i="7"/>
  <c r="H49" i="7" s="1"/>
  <c r="J47" i="7"/>
  <c r="L47" i="7" s="1"/>
  <c r="H47" i="7"/>
  <c r="O47" i="7" s="1"/>
  <c r="K46" i="7"/>
  <c r="K52" i="7" s="1"/>
  <c r="G46" i="7"/>
  <c r="G52" i="7" s="1"/>
  <c r="G53" i="7" s="1"/>
  <c r="K45" i="7"/>
  <c r="L45" i="7" s="1"/>
  <c r="G45" i="7"/>
  <c r="H45" i="7" s="1"/>
  <c r="L43" i="7"/>
  <c r="H43" i="7"/>
  <c r="K42" i="7"/>
  <c r="L42" i="7" s="1"/>
  <c r="G42" i="7"/>
  <c r="H42" i="7" s="1"/>
  <c r="K40" i="7"/>
  <c r="L40" i="7" s="1"/>
  <c r="G40" i="7"/>
  <c r="H40" i="7" s="1"/>
  <c r="K38" i="7"/>
  <c r="L38" i="7" s="1"/>
  <c r="G38" i="7"/>
  <c r="H38" i="7" s="1"/>
  <c r="O38" i="7" s="1"/>
  <c r="K37" i="7"/>
  <c r="L37" i="7" s="1"/>
  <c r="G37" i="7"/>
  <c r="H37" i="7" s="1"/>
  <c r="O37" i="7" s="1"/>
  <c r="K36" i="7"/>
  <c r="L36" i="7" s="1"/>
  <c r="G36" i="7"/>
  <c r="H36" i="7" s="1"/>
  <c r="O36" i="7" s="1"/>
  <c r="K35" i="7"/>
  <c r="L35" i="7" s="1"/>
  <c r="G35" i="7"/>
  <c r="H35" i="7" s="1"/>
  <c r="O35" i="7" s="1"/>
  <c r="K34" i="7"/>
  <c r="L34" i="7" s="1"/>
  <c r="G34" i="7"/>
  <c r="H34" i="7" s="1"/>
  <c r="O34" i="7" s="1"/>
  <c r="K33" i="7"/>
  <c r="L33" i="7" s="1"/>
  <c r="G33" i="7"/>
  <c r="H33" i="7" s="1"/>
  <c r="O33" i="7" s="1"/>
  <c r="K32" i="7"/>
  <c r="L32" i="7" s="1"/>
  <c r="G32" i="7"/>
  <c r="H32" i="7" s="1"/>
  <c r="O32" i="7" s="1"/>
  <c r="K31" i="7"/>
  <c r="L31" i="7" s="1"/>
  <c r="G31" i="7"/>
  <c r="H31" i="7" s="1"/>
  <c r="K30" i="7"/>
  <c r="L30" i="7" s="1"/>
  <c r="G30" i="7"/>
  <c r="H30" i="7" s="1"/>
  <c r="O30" i="7" s="1"/>
  <c r="K29" i="7"/>
  <c r="L29" i="7" s="1"/>
  <c r="G29" i="7"/>
  <c r="H29" i="7" s="1"/>
  <c r="L28" i="7"/>
  <c r="H28" i="7"/>
  <c r="O28" i="7" s="1"/>
  <c r="L27" i="7"/>
  <c r="H27" i="7"/>
  <c r="O27" i="7" s="1"/>
  <c r="L26" i="7"/>
  <c r="H26" i="7"/>
  <c r="O26" i="7" s="1"/>
  <c r="L25" i="7"/>
  <c r="H25" i="7"/>
  <c r="O25" i="7" s="1"/>
  <c r="L24" i="7"/>
  <c r="H24" i="7"/>
  <c r="O24" i="7" s="1"/>
  <c r="L23" i="7"/>
  <c r="H23" i="7"/>
  <c r="N31" i="7" l="1"/>
  <c r="O31" i="7" s="1"/>
  <c r="N60" i="7"/>
  <c r="O60" i="7" s="1"/>
  <c r="N54" i="7"/>
  <c r="O54" i="7" s="1"/>
  <c r="N42" i="7"/>
  <c r="O42" i="7" s="1"/>
  <c r="N26" i="7"/>
  <c r="N29" i="7"/>
  <c r="O29" i="7" s="1"/>
  <c r="N35" i="7"/>
  <c r="N34" i="7"/>
  <c r="N23" i="7"/>
  <c r="O23" i="7" s="1"/>
  <c r="N30" i="7"/>
  <c r="N32" i="7"/>
  <c r="N33" i="7"/>
  <c r="N38" i="7"/>
  <c r="N40" i="7"/>
  <c r="O40" i="7" s="1"/>
  <c r="N43" i="7"/>
  <c r="O43" i="7" s="1"/>
  <c r="N37" i="7"/>
  <c r="N28" i="7"/>
  <c r="N47" i="7"/>
  <c r="N27" i="7"/>
  <c r="N25" i="7"/>
  <c r="N36" i="7"/>
  <c r="N24" i="7"/>
  <c r="N45" i="7"/>
  <c r="O45" i="7" s="1"/>
  <c r="H53" i="7"/>
  <c r="G55" i="7"/>
  <c r="H55" i="7" s="1"/>
  <c r="G50" i="7"/>
  <c r="H50" i="7" s="1"/>
  <c r="H46" i="7"/>
  <c r="D46" i="28"/>
  <c r="L49" i="7"/>
  <c r="N49" i="7" s="1"/>
  <c r="O49" i="7" s="1"/>
  <c r="L50" i="7"/>
  <c r="E46" i="28"/>
  <c r="H57" i="7"/>
  <c r="K57" i="7"/>
  <c r="L57" i="7" s="1"/>
  <c r="K41" i="7"/>
  <c r="L41" i="7" s="1"/>
  <c r="H41" i="7"/>
  <c r="L39" i="7"/>
  <c r="H39" i="7"/>
  <c r="H52" i="7"/>
  <c r="H59" i="7"/>
  <c r="K59" i="7"/>
  <c r="L59" i="7" s="1"/>
  <c r="L46" i="7"/>
  <c r="K53" i="7"/>
  <c r="L52" i="7"/>
  <c r="K58" i="7"/>
  <c r="L58" i="7" s="1"/>
  <c r="K61" i="7"/>
  <c r="L61" i="7" s="1"/>
  <c r="H61" i="7"/>
  <c r="L56" i="7"/>
  <c r="N56" i="7" s="1"/>
  <c r="O56" i="7" s="1"/>
  <c r="L48" i="7" l="1"/>
  <c r="N59" i="7"/>
  <c r="O59" i="7" s="1"/>
  <c r="N57" i="7"/>
  <c r="O57" i="7" s="1"/>
  <c r="N61" i="7"/>
  <c r="O61" i="7" s="1"/>
  <c r="N52" i="7"/>
  <c r="O52" i="7" s="1"/>
  <c r="N46" i="7"/>
  <c r="O46" i="7" s="1"/>
  <c r="N50" i="7"/>
  <c r="O50" i="7" s="1"/>
  <c r="N39" i="7"/>
  <c r="O39" i="7" s="1"/>
  <c r="N58" i="7"/>
  <c r="O58" i="7" s="1"/>
  <c r="N41" i="7"/>
  <c r="O41" i="7" s="1"/>
  <c r="L53" i="7"/>
  <c r="K55" i="7"/>
  <c r="L55" i="7" s="1"/>
  <c r="E47" i="28"/>
  <c r="H48" i="7"/>
  <c r="N48" i="7" l="1"/>
  <c r="O48" i="7" s="1"/>
  <c r="N53" i="7"/>
  <c r="O53" i="7" s="1"/>
  <c r="E48" i="28"/>
  <c r="H51" i="7"/>
  <c r="L51" i="7"/>
  <c r="N51" i="7" l="1"/>
  <c r="O51" i="7" s="1"/>
  <c r="L67" i="7"/>
  <c r="L63" i="7"/>
  <c r="H67" i="7"/>
  <c r="H63" i="7"/>
  <c r="H75" i="7" l="1"/>
  <c r="H76" i="7" s="1"/>
  <c r="L75" i="7"/>
  <c r="N63" i="7"/>
  <c r="O63" i="7" s="1"/>
  <c r="N67" i="7"/>
  <c r="O67" i="7" s="1"/>
  <c r="H64" i="7"/>
  <c r="L68" i="7"/>
  <c r="H68" i="7"/>
  <c r="L64" i="7"/>
  <c r="N75" i="7" l="1"/>
  <c r="O75" i="7" s="1"/>
  <c r="H77" i="7"/>
  <c r="H65" i="7"/>
  <c r="H69" i="7"/>
  <c r="L69" i="7"/>
  <c r="N68" i="7"/>
  <c r="O68" i="7" s="1"/>
  <c r="L65" i="7"/>
  <c r="N64" i="7"/>
  <c r="O64" i="7" s="1"/>
  <c r="L76" i="7"/>
  <c r="N76" i="7" s="1"/>
  <c r="O76" i="7" s="1"/>
  <c r="L77" i="7" l="1"/>
  <c r="N77" i="7" s="1"/>
  <c r="O77" i="7" s="1"/>
  <c r="E49" i="28" s="1"/>
  <c r="N69" i="7"/>
  <c r="O69" i="7" s="1"/>
  <c r="N65" i="7"/>
  <c r="O65" i="7" s="1"/>
  <c r="E50" i="28" s="1"/>
  <c r="G61" i="6" l="1"/>
  <c r="K60" i="6"/>
  <c r="L60" i="6" s="1"/>
  <c r="H60" i="6"/>
  <c r="H59" i="6"/>
  <c r="K58" i="6"/>
  <c r="L58" i="6" s="1"/>
  <c r="H58" i="6"/>
  <c r="H57" i="6"/>
  <c r="K56" i="6"/>
  <c r="J56" i="6"/>
  <c r="G56" i="6"/>
  <c r="H56" i="6" s="1"/>
  <c r="L54" i="6"/>
  <c r="H54" i="6"/>
  <c r="K49" i="6"/>
  <c r="K50" i="6" s="1"/>
  <c r="G49" i="6"/>
  <c r="H49" i="6" s="1"/>
  <c r="J47" i="6"/>
  <c r="L47" i="6" s="1"/>
  <c r="H47" i="6"/>
  <c r="O47" i="6" s="1"/>
  <c r="K46" i="6"/>
  <c r="G46" i="6"/>
  <c r="G52" i="6" s="1"/>
  <c r="G53" i="6" s="1"/>
  <c r="G55" i="6" s="1"/>
  <c r="H55" i="6" s="1"/>
  <c r="K45" i="6"/>
  <c r="L45" i="6" s="1"/>
  <c r="G45" i="6"/>
  <c r="H45" i="6" s="1"/>
  <c r="L43" i="6"/>
  <c r="H43" i="6"/>
  <c r="K42" i="6"/>
  <c r="L42" i="6" s="1"/>
  <c r="G42" i="6"/>
  <c r="H42" i="6" s="1"/>
  <c r="K41" i="6"/>
  <c r="L41" i="6" s="1"/>
  <c r="H41" i="6"/>
  <c r="K40" i="6"/>
  <c r="L40" i="6" s="1"/>
  <c r="G40" i="6"/>
  <c r="H40" i="6" s="1"/>
  <c r="K38" i="6"/>
  <c r="L38" i="6" s="1"/>
  <c r="G38" i="6"/>
  <c r="H38" i="6" s="1"/>
  <c r="O38" i="6" s="1"/>
  <c r="K37" i="6"/>
  <c r="L37" i="6" s="1"/>
  <c r="G37" i="6"/>
  <c r="H37" i="6" s="1"/>
  <c r="O37" i="6" s="1"/>
  <c r="K36" i="6"/>
  <c r="L36" i="6" s="1"/>
  <c r="G36" i="6"/>
  <c r="H36" i="6" s="1"/>
  <c r="O36" i="6" s="1"/>
  <c r="K35" i="6"/>
  <c r="L35" i="6" s="1"/>
  <c r="G35" i="6"/>
  <c r="H35" i="6" s="1"/>
  <c r="O35" i="6" s="1"/>
  <c r="K34" i="6"/>
  <c r="L34" i="6" s="1"/>
  <c r="G34" i="6"/>
  <c r="H34" i="6" s="1"/>
  <c r="O34" i="6" s="1"/>
  <c r="K33" i="6"/>
  <c r="L33" i="6" s="1"/>
  <c r="G33" i="6"/>
  <c r="H33" i="6" s="1"/>
  <c r="O33" i="6" s="1"/>
  <c r="K32" i="6"/>
  <c r="L32" i="6" s="1"/>
  <c r="G32" i="6"/>
  <c r="H32" i="6" s="1"/>
  <c r="K31" i="6"/>
  <c r="L31" i="6" s="1"/>
  <c r="G31" i="6"/>
  <c r="H31" i="6" s="1"/>
  <c r="K30" i="6"/>
  <c r="L30" i="6" s="1"/>
  <c r="G30" i="6"/>
  <c r="H30" i="6" s="1"/>
  <c r="O30" i="6" s="1"/>
  <c r="K29" i="6"/>
  <c r="L29" i="6" s="1"/>
  <c r="G29" i="6"/>
  <c r="H29" i="6" s="1"/>
  <c r="L28" i="6"/>
  <c r="H28" i="6"/>
  <c r="O28" i="6" s="1"/>
  <c r="L27" i="6"/>
  <c r="H27" i="6"/>
  <c r="O27" i="6" s="1"/>
  <c r="L26" i="6"/>
  <c r="H26" i="6"/>
  <c r="O26" i="6" s="1"/>
  <c r="L25" i="6"/>
  <c r="H25" i="6"/>
  <c r="O25" i="6" s="1"/>
  <c r="L24" i="6"/>
  <c r="H24" i="6"/>
  <c r="O24" i="6" s="1"/>
  <c r="L23" i="6"/>
  <c r="H23" i="6"/>
  <c r="N54" i="6" l="1"/>
  <c r="O54" i="6" s="1"/>
  <c r="N47" i="6"/>
  <c r="N25" i="6"/>
  <c r="N35" i="6"/>
  <c r="N24" i="6"/>
  <c r="N28" i="6"/>
  <c r="D41" i="28"/>
  <c r="N36" i="6"/>
  <c r="N26" i="6"/>
  <c r="L46" i="6"/>
  <c r="K52" i="6"/>
  <c r="N45" i="6"/>
  <c r="O45" i="6" s="1"/>
  <c r="L56" i="6"/>
  <c r="N56" i="6" s="1"/>
  <c r="O56" i="6" s="1"/>
  <c r="L49" i="6"/>
  <c r="N49" i="6" s="1"/>
  <c r="O49" i="6" s="1"/>
  <c r="N23" i="6"/>
  <c r="O23" i="6" s="1"/>
  <c r="E41" i="28"/>
  <c r="N32" i="6"/>
  <c r="O32" i="6"/>
  <c r="N29" i="6"/>
  <c r="N34" i="6"/>
  <c r="N43" i="6"/>
  <c r="O43" i="6" s="1"/>
  <c r="N27" i="6"/>
  <c r="N33" i="6"/>
  <c r="N42" i="6"/>
  <c r="O42" i="6" s="1"/>
  <c r="H46" i="6"/>
  <c r="N31" i="6"/>
  <c r="O31" i="6" s="1"/>
  <c r="N37" i="6"/>
  <c r="N40" i="6"/>
  <c r="O40" i="6" s="1"/>
  <c r="N41" i="6"/>
  <c r="O41" i="6" s="1"/>
  <c r="L50" i="6"/>
  <c r="N58" i="6"/>
  <c r="O58" i="6" s="1"/>
  <c r="H39" i="6"/>
  <c r="H61" i="6"/>
  <c r="K61" i="6"/>
  <c r="L61" i="6" s="1"/>
  <c r="L39" i="6"/>
  <c r="N30" i="6"/>
  <c r="N38" i="6"/>
  <c r="G50" i="6"/>
  <c r="H50" i="6" s="1"/>
  <c r="N60" i="6"/>
  <c r="O60" i="6" s="1"/>
  <c r="K57" i="6"/>
  <c r="L57" i="6" s="1"/>
  <c r="K59" i="6"/>
  <c r="L59" i="6" s="1"/>
  <c r="L48" i="6" l="1"/>
  <c r="N46" i="6"/>
  <c r="O46" i="6" s="1"/>
  <c r="K53" i="6"/>
  <c r="L52" i="6"/>
  <c r="E42" i="28"/>
  <c r="O29" i="6"/>
  <c r="N59" i="6"/>
  <c r="O59" i="6" s="1"/>
  <c r="N50" i="6"/>
  <c r="O50" i="6" s="1"/>
  <c r="N61" i="6"/>
  <c r="O61" i="6" s="1"/>
  <c r="H52" i="6"/>
  <c r="H53" i="6"/>
  <c r="N57" i="6"/>
  <c r="O57" i="6" s="1"/>
  <c r="N39" i="6"/>
  <c r="O39" i="6" s="1"/>
  <c r="H48" i="6"/>
  <c r="K55" i="6" l="1"/>
  <c r="L55" i="6" s="1"/>
  <c r="L53" i="6"/>
  <c r="E43" i="28"/>
  <c r="H51" i="6"/>
  <c r="N48" i="6"/>
  <c r="O48" i="6" s="1"/>
  <c r="L51" i="6"/>
  <c r="N52" i="6"/>
  <c r="O52" i="6" s="1"/>
  <c r="N53" i="6" l="1"/>
  <c r="O53" i="6" s="1"/>
  <c r="N51" i="6"/>
  <c r="O51" i="6" s="1"/>
  <c r="L67" i="6"/>
  <c r="L63" i="6"/>
  <c r="L75" i="6" s="1"/>
  <c r="H67" i="6"/>
  <c r="H63" i="6"/>
  <c r="H75" i="6" s="1"/>
  <c r="L76" i="6" l="1"/>
  <c r="N75" i="6"/>
  <c r="O75" i="6" s="1"/>
  <c r="H76" i="6"/>
  <c r="H64" i="6"/>
  <c r="L68" i="6"/>
  <c r="L69" i="6" s="1"/>
  <c r="N67" i="6"/>
  <c r="O67" i="6" s="1"/>
  <c r="H68" i="6"/>
  <c r="H69" i="6" s="1"/>
  <c r="L64" i="6"/>
  <c r="N63" i="6"/>
  <c r="O63" i="6" s="1"/>
  <c r="N76" i="6" l="1"/>
  <c r="O76" i="6" s="1"/>
  <c r="L77" i="6"/>
  <c r="H77" i="6"/>
  <c r="N69" i="6"/>
  <c r="O69" i="6" s="1"/>
  <c r="N64" i="6"/>
  <c r="O64" i="6" s="1"/>
  <c r="H65" i="6"/>
  <c r="L65" i="6"/>
  <c r="N68" i="6"/>
  <c r="O68" i="6" s="1"/>
  <c r="N77" i="6" l="1"/>
  <c r="O77" i="6" s="1"/>
  <c r="E44" i="28" s="1"/>
  <c r="N65" i="6"/>
  <c r="O65" i="6" s="1"/>
  <c r="E45" i="28" s="1"/>
  <c r="K60" i="5" l="1"/>
  <c r="L60" i="5" s="1"/>
  <c r="H60" i="5"/>
  <c r="J56" i="5"/>
  <c r="L54" i="5"/>
  <c r="H54" i="5"/>
  <c r="K49" i="5"/>
  <c r="K50" i="5" s="1"/>
  <c r="G49" i="5"/>
  <c r="H49" i="5" s="1"/>
  <c r="J47" i="5"/>
  <c r="L47" i="5" s="1"/>
  <c r="H47" i="5"/>
  <c r="O47" i="5" s="1"/>
  <c r="K45" i="5"/>
  <c r="L45" i="5" s="1"/>
  <c r="G45" i="5"/>
  <c r="H45" i="5" s="1"/>
  <c r="L43" i="5"/>
  <c r="H43" i="5"/>
  <c r="H41" i="5"/>
  <c r="L40" i="5"/>
  <c r="G40" i="5"/>
  <c r="H40" i="5" s="1"/>
  <c r="K31" i="5"/>
  <c r="L31" i="5" s="1"/>
  <c r="G31" i="5"/>
  <c r="H31" i="5" s="1"/>
  <c r="K29" i="5"/>
  <c r="L29" i="5" s="1"/>
  <c r="G29" i="5"/>
  <c r="H29" i="5" s="1"/>
  <c r="L28" i="5"/>
  <c r="H28" i="5"/>
  <c r="O28" i="5" s="1"/>
  <c r="L27" i="5"/>
  <c r="H27" i="5"/>
  <c r="O27" i="5" s="1"/>
  <c r="L26" i="5"/>
  <c r="H26" i="5"/>
  <c r="O26" i="5" s="1"/>
  <c r="L25" i="5"/>
  <c r="H25" i="5"/>
  <c r="O25" i="5" s="1"/>
  <c r="L24" i="5"/>
  <c r="H24" i="5"/>
  <c r="O24" i="5" s="1"/>
  <c r="L23" i="5"/>
  <c r="H23" i="5"/>
  <c r="F18" i="5"/>
  <c r="G56" i="5" l="1"/>
  <c r="H56" i="5" s="1"/>
  <c r="K44" i="5"/>
  <c r="L44" i="5" s="1"/>
  <c r="G44" i="5"/>
  <c r="H44" i="5" s="1"/>
  <c r="K34" i="5"/>
  <c r="L34" i="5" s="1"/>
  <c r="K30" i="5"/>
  <c r="L30" i="5" s="1"/>
  <c r="N47" i="5"/>
  <c r="G59" i="5"/>
  <c r="G58" i="5"/>
  <c r="G57" i="5"/>
  <c r="K42" i="5"/>
  <c r="L42" i="5" s="1"/>
  <c r="G30" i="5"/>
  <c r="H30" i="5" s="1"/>
  <c r="O30" i="5" s="1"/>
  <c r="G33" i="5"/>
  <c r="H33" i="5" s="1"/>
  <c r="O33" i="5" s="1"/>
  <c r="K36" i="5"/>
  <c r="L36" i="5" s="1"/>
  <c r="G32" i="5"/>
  <c r="H32" i="5" s="1"/>
  <c r="O32" i="5" s="1"/>
  <c r="K35" i="5"/>
  <c r="L35" i="5" s="1"/>
  <c r="G42" i="5"/>
  <c r="H42" i="5" s="1"/>
  <c r="G50" i="5"/>
  <c r="H50" i="5" s="1"/>
  <c r="G61" i="5"/>
  <c r="H61" i="5" s="1"/>
  <c r="G37" i="5"/>
  <c r="H37" i="5" s="1"/>
  <c r="O37" i="5" s="1"/>
  <c r="G38" i="5"/>
  <c r="H38" i="5" s="1"/>
  <c r="O38" i="5" s="1"/>
  <c r="G34" i="5"/>
  <c r="H34" i="5" s="1"/>
  <c r="O34" i="5" s="1"/>
  <c r="K37" i="5"/>
  <c r="L37" i="5" s="1"/>
  <c r="K38" i="5"/>
  <c r="L38" i="5" s="1"/>
  <c r="G46" i="5"/>
  <c r="G52" i="5" s="1"/>
  <c r="G55" i="5" s="1"/>
  <c r="H55" i="5" s="1"/>
  <c r="N31" i="5"/>
  <c r="O31" i="5" s="1"/>
  <c r="N40" i="5"/>
  <c r="O40" i="5" s="1"/>
  <c r="N54" i="5"/>
  <c r="O54" i="5" s="1"/>
  <c r="L50" i="5"/>
  <c r="L49" i="5"/>
  <c r="N24" i="5"/>
  <c r="N28" i="5"/>
  <c r="N25" i="5"/>
  <c r="N43" i="5"/>
  <c r="O43" i="5" s="1"/>
  <c r="N26" i="5"/>
  <c r="N29" i="5"/>
  <c r="O29" i="5" s="1"/>
  <c r="N45" i="5"/>
  <c r="O45" i="5" s="1"/>
  <c r="N23" i="5"/>
  <c r="O23" i="5" s="1"/>
  <c r="N27" i="5"/>
  <c r="K32" i="5"/>
  <c r="L32" i="5" s="1"/>
  <c r="K33" i="5"/>
  <c r="L33" i="5" s="1"/>
  <c r="G35" i="5"/>
  <c r="H35" i="5" s="1"/>
  <c r="O35" i="5" s="1"/>
  <c r="G36" i="5"/>
  <c r="H36" i="5" s="1"/>
  <c r="L41" i="5"/>
  <c r="K46" i="5"/>
  <c r="K56" i="5"/>
  <c r="L56" i="5" s="1"/>
  <c r="N60" i="5"/>
  <c r="O60" i="5" s="1"/>
  <c r="N44" i="5" l="1"/>
  <c r="O44" i="5" s="1"/>
  <c r="K61" i="5"/>
  <c r="L61" i="5" s="1"/>
  <c r="N61" i="5" s="1"/>
  <c r="O61" i="5" s="1"/>
  <c r="N30" i="5"/>
  <c r="L39" i="5"/>
  <c r="H57" i="5"/>
  <c r="K57" i="5"/>
  <c r="L57" i="5" s="1"/>
  <c r="N50" i="5"/>
  <c r="O50" i="5" s="1"/>
  <c r="N38" i="5"/>
  <c r="N37" i="5"/>
  <c r="H46" i="5"/>
  <c r="N34" i="5"/>
  <c r="N49" i="5"/>
  <c r="O49" i="5" s="1"/>
  <c r="N56" i="5"/>
  <c r="O56" i="5" s="1"/>
  <c r="O36" i="5"/>
  <c r="N36" i="5"/>
  <c r="H58" i="5"/>
  <c r="K58" i="5"/>
  <c r="L58" i="5" s="1"/>
  <c r="N33" i="5"/>
  <c r="K59" i="5"/>
  <c r="L59" i="5" s="1"/>
  <c r="H59" i="5"/>
  <c r="H39" i="5"/>
  <c r="H52" i="5"/>
  <c r="G53" i="5"/>
  <c r="H53" i="5" s="1"/>
  <c r="N41" i="5"/>
  <c r="O41" i="5" s="1"/>
  <c r="N42" i="5"/>
  <c r="O42" i="5" s="1"/>
  <c r="K52" i="5"/>
  <c r="K55" i="5" s="1"/>
  <c r="L55" i="5" s="1"/>
  <c r="L46" i="5"/>
  <c r="N32" i="5"/>
  <c r="N35" i="5"/>
  <c r="L48" i="5" l="1"/>
  <c r="L51" i="5" s="1"/>
  <c r="N57" i="5"/>
  <c r="O57" i="5" s="1"/>
  <c r="N39" i="5"/>
  <c r="O39" i="5" s="1"/>
  <c r="N58" i="5"/>
  <c r="O58" i="5" s="1"/>
  <c r="N59" i="5"/>
  <c r="O59" i="5" s="1"/>
  <c r="H48" i="5"/>
  <c r="K53" i="5"/>
  <c r="L53" i="5" s="1"/>
  <c r="L52" i="5"/>
  <c r="N46" i="5"/>
  <c r="O46" i="5" s="1"/>
  <c r="L63" i="5" l="1"/>
  <c r="N52" i="5"/>
  <c r="O52" i="5" s="1"/>
  <c r="H51" i="5"/>
  <c r="N48" i="5"/>
  <c r="O48" i="5" s="1"/>
  <c r="N53" i="5"/>
  <c r="O53" i="5" s="1"/>
  <c r="L67" i="5"/>
  <c r="L64" i="5" l="1"/>
  <c r="H67" i="5"/>
  <c r="N67" i="5" s="1"/>
  <c r="H63" i="5"/>
  <c r="N51" i="5"/>
  <c r="O51" i="5" s="1"/>
  <c r="L68" i="5"/>
  <c r="L69" i="5" s="1"/>
  <c r="H64" i="5" l="1"/>
  <c r="N64" i="5" s="1"/>
  <c r="N63" i="5"/>
  <c r="O63" i="5" s="1"/>
  <c r="O67" i="5"/>
  <c r="H68" i="5"/>
  <c r="N68" i="5" s="1"/>
  <c r="L65" i="5"/>
  <c r="H69" i="5" l="1"/>
  <c r="H65" i="5"/>
  <c r="O64" i="5"/>
  <c r="O68" i="5"/>
  <c r="N65" i="5" l="1"/>
  <c r="O65" i="5" s="1"/>
  <c r="N69" i="5"/>
  <c r="O69" i="5" s="1"/>
  <c r="G61" i="4" l="1"/>
  <c r="K60" i="4"/>
  <c r="L60" i="4" s="1"/>
  <c r="H60" i="4"/>
  <c r="H59" i="4"/>
  <c r="H57" i="4"/>
  <c r="K56" i="4"/>
  <c r="J56" i="4"/>
  <c r="G56" i="4"/>
  <c r="H56" i="4" s="1"/>
  <c r="L54" i="4"/>
  <c r="H54" i="4"/>
  <c r="K49" i="4"/>
  <c r="G49" i="4"/>
  <c r="H49" i="4" s="1"/>
  <c r="J47" i="4"/>
  <c r="H47" i="4"/>
  <c r="O47" i="4" s="1"/>
  <c r="K46" i="4"/>
  <c r="G46" i="4"/>
  <c r="G52" i="4" s="1"/>
  <c r="G55" i="4" s="1"/>
  <c r="H55" i="4" s="1"/>
  <c r="K45" i="4"/>
  <c r="L45" i="4" s="1"/>
  <c r="G45" i="4"/>
  <c r="H45" i="4" s="1"/>
  <c r="L43" i="4"/>
  <c r="H43" i="4"/>
  <c r="L42" i="4"/>
  <c r="G42" i="4"/>
  <c r="H42" i="4" s="1"/>
  <c r="L40" i="4"/>
  <c r="G40" i="4"/>
  <c r="H40" i="4" s="1"/>
  <c r="K38" i="4"/>
  <c r="L38" i="4" s="1"/>
  <c r="G38" i="4"/>
  <c r="H38" i="4" s="1"/>
  <c r="O38" i="4" s="1"/>
  <c r="K37" i="4"/>
  <c r="L37" i="4" s="1"/>
  <c r="G37" i="4"/>
  <c r="H37" i="4" s="1"/>
  <c r="O37" i="4" s="1"/>
  <c r="K36" i="4"/>
  <c r="L36" i="4" s="1"/>
  <c r="G36" i="4"/>
  <c r="H36" i="4" s="1"/>
  <c r="K35" i="4"/>
  <c r="L35" i="4" s="1"/>
  <c r="G35" i="4"/>
  <c r="H35" i="4" s="1"/>
  <c r="O35" i="4" s="1"/>
  <c r="K34" i="4"/>
  <c r="L34" i="4" s="1"/>
  <c r="G34" i="4"/>
  <c r="H34" i="4" s="1"/>
  <c r="O34" i="4" s="1"/>
  <c r="K33" i="4"/>
  <c r="L33" i="4" s="1"/>
  <c r="G33" i="4"/>
  <c r="H33" i="4" s="1"/>
  <c r="O33" i="4" s="1"/>
  <c r="K32" i="4"/>
  <c r="L32" i="4" s="1"/>
  <c r="G32" i="4"/>
  <c r="H32" i="4" s="1"/>
  <c r="O32" i="4" s="1"/>
  <c r="K31" i="4"/>
  <c r="L31" i="4" s="1"/>
  <c r="G31" i="4"/>
  <c r="H31" i="4" s="1"/>
  <c r="K30" i="4"/>
  <c r="L30" i="4" s="1"/>
  <c r="G30" i="4"/>
  <c r="H30" i="4" s="1"/>
  <c r="O30" i="4" s="1"/>
  <c r="K29" i="4"/>
  <c r="L29" i="4" s="1"/>
  <c r="G29" i="4"/>
  <c r="H29" i="4" s="1"/>
  <c r="L28" i="4"/>
  <c r="H28" i="4"/>
  <c r="O28" i="4" s="1"/>
  <c r="L27" i="4"/>
  <c r="H27" i="4"/>
  <c r="O27" i="4" s="1"/>
  <c r="L26" i="4"/>
  <c r="H26" i="4"/>
  <c r="O26" i="4" s="1"/>
  <c r="L25" i="4"/>
  <c r="H25" i="4"/>
  <c r="O25" i="4" s="1"/>
  <c r="L24" i="4"/>
  <c r="H24" i="4"/>
  <c r="O24" i="4" s="1"/>
  <c r="L23" i="4"/>
  <c r="H23" i="4"/>
  <c r="D36" i="28" l="1"/>
  <c r="E36" i="28"/>
  <c r="H52" i="4"/>
  <c r="G53" i="4"/>
  <c r="H53" i="4" s="1"/>
  <c r="H46" i="4"/>
  <c r="L49" i="4"/>
  <c r="N49" i="4" s="1"/>
  <c r="O49" i="4" s="1"/>
  <c r="L56" i="4"/>
  <c r="N56" i="4" s="1"/>
  <c r="O56" i="4" s="1"/>
  <c r="H58" i="4"/>
  <c r="G50" i="4"/>
  <c r="H50" i="4" s="1"/>
  <c r="N37" i="4"/>
  <c r="L47" i="4"/>
  <c r="K58" i="4"/>
  <c r="L58" i="4" s="1"/>
  <c r="N29" i="4"/>
  <c r="O29" i="4" s="1"/>
  <c r="N40" i="4"/>
  <c r="O40" i="4" s="1"/>
  <c r="N45" i="4"/>
  <c r="O45" i="4" s="1"/>
  <c r="N32" i="4"/>
  <c r="L39" i="4"/>
  <c r="N28" i="4"/>
  <c r="N30" i="4"/>
  <c r="N35" i="4"/>
  <c r="O36" i="4"/>
  <c r="N36" i="4"/>
  <c r="N31" i="4"/>
  <c r="O31" i="4" s="1"/>
  <c r="H39" i="4"/>
  <c r="N33" i="4"/>
  <c r="N38" i="4"/>
  <c r="N43" i="4"/>
  <c r="O43" i="4" s="1"/>
  <c r="H61" i="4"/>
  <c r="K61" i="4"/>
  <c r="L61" i="4" s="1"/>
  <c r="H41" i="4"/>
  <c r="N60" i="4"/>
  <c r="O60" i="4" s="1"/>
  <c r="N23" i="4"/>
  <c r="N24" i="4"/>
  <c r="N25" i="4"/>
  <c r="N26" i="4"/>
  <c r="N27" i="4"/>
  <c r="N34" i="4"/>
  <c r="L41" i="4"/>
  <c r="N42" i="4"/>
  <c r="O42" i="4" s="1"/>
  <c r="K52" i="4"/>
  <c r="K55" i="4" s="1"/>
  <c r="L55" i="4" s="1"/>
  <c r="L46" i="4"/>
  <c r="K50" i="4"/>
  <c r="L50" i="4" s="1"/>
  <c r="N54" i="4"/>
  <c r="O54" i="4" s="1"/>
  <c r="K59" i="4"/>
  <c r="L59" i="4" s="1"/>
  <c r="K57" i="4"/>
  <c r="L57" i="4" s="1"/>
  <c r="L48" i="4" l="1"/>
  <c r="N58" i="4"/>
  <c r="O58" i="4" s="1"/>
  <c r="O23" i="4"/>
  <c r="E37" i="28"/>
  <c r="N47" i="4"/>
  <c r="N50" i="4"/>
  <c r="O50" i="4" s="1"/>
  <c r="N41" i="4"/>
  <c r="O41" i="4" s="1"/>
  <c r="N39" i="4"/>
  <c r="O39" i="4" s="1"/>
  <c r="N59" i="4"/>
  <c r="O59" i="4" s="1"/>
  <c r="N46" i="4"/>
  <c r="O46" i="4" s="1"/>
  <c r="N61" i="4"/>
  <c r="O61" i="4" s="1"/>
  <c r="L52" i="4"/>
  <c r="K53" i="4"/>
  <c r="L53" i="4" s="1"/>
  <c r="N57" i="4"/>
  <c r="O57" i="4" s="1"/>
  <c r="H48" i="4"/>
  <c r="E38" i="28" l="1"/>
  <c r="N52" i="4"/>
  <c r="O52" i="4" s="1"/>
  <c r="N48" i="4"/>
  <c r="O48" i="4" s="1"/>
  <c r="L51" i="4"/>
  <c r="H51" i="4"/>
  <c r="N53" i="4"/>
  <c r="O53" i="4" s="1"/>
  <c r="H63" i="4" l="1"/>
  <c r="H75" i="4" s="1"/>
  <c r="H67" i="4"/>
  <c r="N51" i="4"/>
  <c r="O51" i="4" s="1"/>
  <c r="L67" i="4"/>
  <c r="L63" i="4"/>
  <c r="L75" i="4" s="1"/>
  <c r="L76" i="4" l="1"/>
  <c r="N75" i="4"/>
  <c r="O75" i="4" s="1"/>
  <c r="H76" i="4"/>
  <c r="L64" i="4"/>
  <c r="N63" i="4"/>
  <c r="O63" i="4" s="1"/>
  <c r="L68" i="4"/>
  <c r="N67" i="4"/>
  <c r="O67" i="4" s="1"/>
  <c r="H68" i="4"/>
  <c r="H64" i="4"/>
  <c r="L77" i="4" l="1"/>
  <c r="H77" i="4"/>
  <c r="N76" i="4"/>
  <c r="O76" i="4" s="1"/>
  <c r="N68" i="4"/>
  <c r="O68" i="4" s="1"/>
  <c r="N64" i="4"/>
  <c r="O64" i="4" s="1"/>
  <c r="H65" i="4"/>
  <c r="L69" i="4"/>
  <c r="L65" i="4"/>
  <c r="H69" i="4"/>
  <c r="N77" i="4" l="1"/>
  <c r="O77" i="4" s="1"/>
  <c r="E39" i="28" s="1"/>
  <c r="N65" i="4"/>
  <c r="O65" i="4" s="1"/>
  <c r="E40" i="28" s="1"/>
  <c r="N69" i="4"/>
  <c r="O69" i="4" s="1"/>
  <c r="K60" i="3" l="1"/>
  <c r="L60" i="3" s="1"/>
  <c r="H60" i="3"/>
  <c r="J56" i="3"/>
  <c r="L54" i="3"/>
  <c r="H54" i="3"/>
  <c r="J47" i="3"/>
  <c r="L47" i="3" s="1"/>
  <c r="H47" i="3"/>
  <c r="O47" i="3" s="1"/>
  <c r="K45" i="3"/>
  <c r="L45" i="3" s="1"/>
  <c r="K40" i="3"/>
  <c r="L40" i="3" s="1"/>
  <c r="K31" i="3"/>
  <c r="L31" i="3" s="1"/>
  <c r="K29" i="3"/>
  <c r="L29" i="3" s="1"/>
  <c r="L28" i="3"/>
  <c r="H28" i="3"/>
  <c r="O28" i="3" s="1"/>
  <c r="L27" i="3"/>
  <c r="H27" i="3"/>
  <c r="O27" i="3" s="1"/>
  <c r="L26" i="3"/>
  <c r="H26" i="3"/>
  <c r="O26" i="3" s="1"/>
  <c r="L25" i="3"/>
  <c r="H25" i="3"/>
  <c r="O25" i="3" s="1"/>
  <c r="L24" i="3"/>
  <c r="H24" i="3"/>
  <c r="O24" i="3" s="1"/>
  <c r="L23" i="3"/>
  <c r="H23" i="3"/>
  <c r="F18" i="3"/>
  <c r="K37" i="3" l="1"/>
  <c r="L37" i="3" s="1"/>
  <c r="G44" i="3"/>
  <c r="H44" i="3" s="1"/>
  <c r="K44" i="3"/>
  <c r="L44" i="3" s="1"/>
  <c r="N44" i="3" s="1"/>
  <c r="G32" i="3"/>
  <c r="H32" i="3" s="1"/>
  <c r="O32" i="3" s="1"/>
  <c r="K46" i="3"/>
  <c r="L46" i="3" s="1"/>
  <c r="G59" i="3"/>
  <c r="H59" i="3" s="1"/>
  <c r="G58" i="3"/>
  <c r="G57" i="3"/>
  <c r="N54" i="3"/>
  <c r="O54" i="3" s="1"/>
  <c r="N23" i="3"/>
  <c r="O23" i="3" s="1"/>
  <c r="N60" i="3"/>
  <c r="O60" i="3" s="1"/>
  <c r="N25" i="3"/>
  <c r="N27" i="3"/>
  <c r="G34" i="3"/>
  <c r="H34" i="3" s="1"/>
  <c r="O34" i="3" s="1"/>
  <c r="K49" i="3"/>
  <c r="G45" i="3"/>
  <c r="H45" i="3" s="1"/>
  <c r="G40" i="3"/>
  <c r="H40" i="3" s="1"/>
  <c r="G31" i="3"/>
  <c r="H31" i="3" s="1"/>
  <c r="G29" i="3"/>
  <c r="H29" i="3" s="1"/>
  <c r="N29" i="3" s="1"/>
  <c r="K33" i="3"/>
  <c r="L33" i="3" s="1"/>
  <c r="G36" i="3"/>
  <c r="H36" i="3" s="1"/>
  <c r="O36" i="3" s="1"/>
  <c r="N24" i="3"/>
  <c r="N26" i="3"/>
  <c r="N28" i="3"/>
  <c r="G30" i="3"/>
  <c r="H30" i="3" s="1"/>
  <c r="O30" i="3" s="1"/>
  <c r="K35" i="3"/>
  <c r="L35" i="3" s="1"/>
  <c r="G38" i="3"/>
  <c r="H38" i="3" s="1"/>
  <c r="O38" i="3" s="1"/>
  <c r="G49" i="3"/>
  <c r="G56" i="3"/>
  <c r="H56" i="3" s="1"/>
  <c r="K56" i="3"/>
  <c r="L56" i="3" s="1"/>
  <c r="G46" i="3"/>
  <c r="H46" i="3" s="1"/>
  <c r="G61" i="3"/>
  <c r="L43" i="3"/>
  <c r="G42" i="3"/>
  <c r="H42" i="3" s="1"/>
  <c r="K38" i="3"/>
  <c r="L38" i="3" s="1"/>
  <c r="G37" i="3"/>
  <c r="H37" i="3" s="1"/>
  <c r="O37" i="3" s="1"/>
  <c r="K36" i="3"/>
  <c r="L36" i="3" s="1"/>
  <c r="G35" i="3"/>
  <c r="H35" i="3" s="1"/>
  <c r="O35" i="3" s="1"/>
  <c r="K34" i="3"/>
  <c r="L34" i="3" s="1"/>
  <c r="G33" i="3"/>
  <c r="H33" i="3" s="1"/>
  <c r="O33" i="3" s="1"/>
  <c r="K32" i="3"/>
  <c r="L32" i="3" s="1"/>
  <c r="K30" i="3"/>
  <c r="L30" i="3" s="1"/>
  <c r="K42" i="3"/>
  <c r="L42" i="3" s="1"/>
  <c r="N47" i="3"/>
  <c r="O44" i="3" l="1"/>
  <c r="N46" i="3"/>
  <c r="O46" i="3" s="1"/>
  <c r="K52" i="3"/>
  <c r="K55" i="3" s="1"/>
  <c r="L55" i="3" s="1"/>
  <c r="G52" i="3"/>
  <c r="K59" i="3"/>
  <c r="L59" i="3" s="1"/>
  <c r="N59" i="3" s="1"/>
  <c r="O59" i="3" s="1"/>
  <c r="N40" i="3"/>
  <c r="O40" i="3" s="1"/>
  <c r="H41" i="3"/>
  <c r="K41" i="3"/>
  <c r="L41" i="3" s="1"/>
  <c r="N32" i="3"/>
  <c r="L39" i="3"/>
  <c r="N35" i="3"/>
  <c r="K50" i="3"/>
  <c r="L50" i="3" s="1"/>
  <c r="L49" i="3"/>
  <c r="N37" i="3"/>
  <c r="N42" i="3"/>
  <c r="O42" i="3" s="1"/>
  <c r="N30" i="3"/>
  <c r="K58" i="3"/>
  <c r="L58" i="3" s="1"/>
  <c r="H58" i="3"/>
  <c r="N56" i="3"/>
  <c r="O56" i="3" s="1"/>
  <c r="G50" i="3"/>
  <c r="H50" i="3" s="1"/>
  <c r="H49" i="3"/>
  <c r="N33" i="3"/>
  <c r="N36" i="3"/>
  <c r="N43" i="3"/>
  <c r="O43" i="3" s="1"/>
  <c r="K61" i="3"/>
  <c r="L61" i="3" s="1"/>
  <c r="H61" i="3"/>
  <c r="O29" i="3"/>
  <c r="N34" i="3"/>
  <c r="N38" i="3"/>
  <c r="H57" i="3"/>
  <c r="K57" i="3"/>
  <c r="L57" i="3" s="1"/>
  <c r="N45" i="3"/>
  <c r="O45" i="3" s="1"/>
  <c r="H39" i="3"/>
  <c r="N31" i="3"/>
  <c r="O31" i="3" s="1"/>
  <c r="H48" i="3" l="1"/>
  <c r="K53" i="3"/>
  <c r="L53" i="3" s="1"/>
  <c r="L52" i="3"/>
  <c r="G55" i="3"/>
  <c r="H55" i="3" s="1"/>
  <c r="G53" i="3"/>
  <c r="H53" i="3" s="1"/>
  <c r="H52" i="3"/>
  <c r="N41" i="3"/>
  <c r="O41" i="3" s="1"/>
  <c r="N61" i="3"/>
  <c r="O61" i="3" s="1"/>
  <c r="L48" i="3"/>
  <c r="N39" i="3"/>
  <c r="O39" i="3" s="1"/>
  <c r="N57" i="3"/>
  <c r="O57" i="3" s="1"/>
  <c r="N58" i="3"/>
  <c r="O58" i="3" s="1"/>
  <c r="N49" i="3"/>
  <c r="O49" i="3" s="1"/>
  <c r="N50" i="3"/>
  <c r="O50" i="3" s="1"/>
  <c r="N53" i="3" l="1"/>
  <c r="O53" i="3" s="1"/>
  <c r="N52" i="3"/>
  <c r="O52" i="3" s="1"/>
  <c r="N48" i="3"/>
  <c r="O48" i="3" s="1"/>
  <c r="L51" i="3"/>
  <c r="H51" i="3"/>
  <c r="N51" i="3" l="1"/>
  <c r="O51" i="3" s="1"/>
  <c r="L67" i="3"/>
  <c r="L63" i="3"/>
  <c r="H63" i="3"/>
  <c r="H67" i="3"/>
  <c r="H68" i="3" l="1"/>
  <c r="H64" i="3"/>
  <c r="H65" i="3" s="1"/>
  <c r="N63" i="3"/>
  <c r="O63" i="3" s="1"/>
  <c r="L64" i="3"/>
  <c r="L65" i="3" s="1"/>
  <c r="N67" i="3"/>
  <c r="O67" i="3" s="1"/>
  <c r="L68" i="3"/>
  <c r="L69" i="3" s="1"/>
  <c r="N64" i="3" l="1"/>
  <c r="O64" i="3" s="1"/>
  <c r="N68" i="3"/>
  <c r="O68" i="3" s="1"/>
  <c r="N65" i="3"/>
  <c r="O65" i="3" s="1"/>
  <c r="H69" i="3"/>
  <c r="N69" i="3" l="1"/>
  <c r="O69" i="3" s="1"/>
  <c r="G60" i="2" l="1"/>
  <c r="K59" i="2"/>
  <c r="L59" i="2" s="1"/>
  <c r="H59" i="2"/>
  <c r="K57" i="2"/>
  <c r="L57" i="2" s="1"/>
  <c r="H57" i="2"/>
  <c r="H56" i="2"/>
  <c r="K55" i="2"/>
  <c r="J55" i="2"/>
  <c r="G55" i="2"/>
  <c r="H55" i="2" s="1"/>
  <c r="L53" i="2"/>
  <c r="H53" i="2"/>
  <c r="K48" i="2"/>
  <c r="K49" i="2" s="1"/>
  <c r="K52" i="2" s="1"/>
  <c r="L52" i="2" s="1"/>
  <c r="L46" i="2"/>
  <c r="H46" i="2"/>
  <c r="K45" i="2"/>
  <c r="G45" i="2"/>
  <c r="K44" i="2"/>
  <c r="L44" i="2" s="1"/>
  <c r="G44" i="2"/>
  <c r="H44" i="2" s="1"/>
  <c r="K43" i="2"/>
  <c r="L43" i="2" s="1"/>
  <c r="G43" i="2"/>
  <c r="H43" i="2" s="1"/>
  <c r="K42" i="2"/>
  <c r="L42" i="2" s="1"/>
  <c r="G42" i="2"/>
  <c r="H42" i="2" s="1"/>
  <c r="K41" i="2"/>
  <c r="L41" i="2" s="1"/>
  <c r="G41" i="2"/>
  <c r="H41" i="2" s="1"/>
  <c r="K40" i="2"/>
  <c r="L40" i="2" s="1"/>
  <c r="G40" i="2"/>
  <c r="H40" i="2" s="1"/>
  <c r="K38" i="2"/>
  <c r="L38" i="2" s="1"/>
  <c r="G38" i="2"/>
  <c r="H38" i="2" s="1"/>
  <c r="O38" i="2" s="1"/>
  <c r="K37" i="2"/>
  <c r="L37" i="2" s="1"/>
  <c r="G37" i="2"/>
  <c r="H37" i="2" s="1"/>
  <c r="O37" i="2" s="1"/>
  <c r="K36" i="2"/>
  <c r="L36" i="2" s="1"/>
  <c r="G36" i="2"/>
  <c r="H36" i="2" s="1"/>
  <c r="O36" i="2" s="1"/>
  <c r="K35" i="2"/>
  <c r="L35" i="2" s="1"/>
  <c r="G35" i="2"/>
  <c r="H35" i="2" s="1"/>
  <c r="O35" i="2" s="1"/>
  <c r="K34" i="2"/>
  <c r="L34" i="2" s="1"/>
  <c r="G34" i="2"/>
  <c r="H34" i="2" s="1"/>
  <c r="O34" i="2" s="1"/>
  <c r="K33" i="2"/>
  <c r="L33" i="2" s="1"/>
  <c r="G33" i="2"/>
  <c r="H33" i="2" s="1"/>
  <c r="O33" i="2" s="1"/>
  <c r="K32" i="2"/>
  <c r="L32" i="2" s="1"/>
  <c r="G32" i="2"/>
  <c r="H32" i="2" s="1"/>
  <c r="O32" i="2" s="1"/>
  <c r="K31" i="2"/>
  <c r="L31" i="2" s="1"/>
  <c r="G31" i="2"/>
  <c r="H31" i="2" s="1"/>
  <c r="K30" i="2"/>
  <c r="L30" i="2" s="1"/>
  <c r="G30" i="2"/>
  <c r="H30" i="2" s="1"/>
  <c r="O30" i="2" s="1"/>
  <c r="K29" i="2"/>
  <c r="L29" i="2" s="1"/>
  <c r="G29" i="2"/>
  <c r="H29" i="2" s="1"/>
  <c r="L28" i="2"/>
  <c r="H28" i="2"/>
  <c r="O28" i="2" s="1"/>
  <c r="L27" i="2"/>
  <c r="H27" i="2"/>
  <c r="O27" i="2" s="1"/>
  <c r="L26" i="2"/>
  <c r="H26" i="2"/>
  <c r="O26" i="2" s="1"/>
  <c r="L25" i="2"/>
  <c r="H25" i="2"/>
  <c r="O25" i="2" s="1"/>
  <c r="L24" i="2"/>
  <c r="H24" i="2"/>
  <c r="O24" i="2" s="1"/>
  <c r="L23" i="2"/>
  <c r="H23" i="2"/>
  <c r="N30" i="2" l="1"/>
  <c r="N43" i="2"/>
  <c r="O43" i="2" s="1"/>
  <c r="K60" i="2"/>
  <c r="L60" i="2" s="1"/>
  <c r="N33" i="2"/>
  <c r="L55" i="2"/>
  <c r="N55" i="2" s="1"/>
  <c r="O55" i="2" s="1"/>
  <c r="N29" i="2"/>
  <c r="O29" i="2" s="1"/>
  <c r="N34" i="2"/>
  <c r="N36" i="2"/>
  <c r="L45" i="2"/>
  <c r="N27" i="2"/>
  <c r="N42" i="2"/>
  <c r="O42" i="2" s="1"/>
  <c r="N59" i="2"/>
  <c r="O59" i="2" s="1"/>
  <c r="N26" i="2"/>
  <c r="N44" i="2"/>
  <c r="O44" i="2" s="1"/>
  <c r="H39" i="2"/>
  <c r="N25" i="2"/>
  <c r="N31" i="2"/>
  <c r="O31" i="2" s="1"/>
  <c r="N35" i="2"/>
  <c r="N37" i="2"/>
  <c r="N38" i="2"/>
  <c r="H48" i="2"/>
  <c r="G49" i="2"/>
  <c r="N23" i="2"/>
  <c r="O23" i="2" s="1"/>
  <c r="L39" i="2"/>
  <c r="N24" i="2"/>
  <c r="N28" i="2"/>
  <c r="N32" i="2"/>
  <c r="N40" i="2"/>
  <c r="O40" i="2" s="1"/>
  <c r="N41" i="2"/>
  <c r="O41" i="2" s="1"/>
  <c r="N46" i="2"/>
  <c r="O46" i="2" s="1"/>
  <c r="L49" i="2"/>
  <c r="N53" i="2"/>
  <c r="O53" i="2" s="1"/>
  <c r="H45" i="2"/>
  <c r="L48" i="2"/>
  <c r="K51" i="2"/>
  <c r="L51" i="2" s="1"/>
  <c r="N57" i="2"/>
  <c r="O57" i="2" s="1"/>
  <c r="K58" i="2"/>
  <c r="L58" i="2" s="1"/>
  <c r="H58" i="2"/>
  <c r="K56" i="2"/>
  <c r="L56" i="2" s="1"/>
  <c r="H60" i="2"/>
  <c r="N60" i="2" l="1"/>
  <c r="O60" i="2" s="1"/>
  <c r="G51" i="2"/>
  <c r="H51" i="2" s="1"/>
  <c r="G52" i="2"/>
  <c r="H52" i="2" s="1"/>
  <c r="H49" i="2"/>
  <c r="N45" i="2"/>
  <c r="O45" i="2" s="1"/>
  <c r="N56" i="2"/>
  <c r="O56" i="2" s="1"/>
  <c r="N58" i="2"/>
  <c r="O58" i="2" s="1"/>
  <c r="H47" i="2"/>
  <c r="N48" i="2"/>
  <c r="O48" i="2" s="1"/>
  <c r="L47" i="2"/>
  <c r="N39" i="2"/>
  <c r="O39" i="2" s="1"/>
  <c r="H50" i="2" l="1"/>
  <c r="N49" i="2"/>
  <c r="O49" i="2" s="1"/>
  <c r="N51" i="2"/>
  <c r="O51" i="2" s="1"/>
  <c r="N47" i="2"/>
  <c r="O47" i="2" s="1"/>
  <c r="L50" i="2"/>
  <c r="N52" i="2"/>
  <c r="O52" i="2" s="1"/>
  <c r="L68" i="2" l="1"/>
  <c r="L62" i="2"/>
  <c r="N50" i="2"/>
  <c r="O50" i="2" s="1"/>
  <c r="L65" i="2" l="1"/>
  <c r="N65" i="2" s="1"/>
  <c r="O65" i="2" s="1"/>
  <c r="L63" i="2"/>
  <c r="L64" i="2" s="1"/>
  <c r="L71" i="2"/>
  <c r="N71" i="2" s="1"/>
  <c r="O71" i="2" s="1"/>
  <c r="L69" i="2"/>
  <c r="L70" i="2" s="1"/>
  <c r="L72" i="2" s="1"/>
  <c r="N72" i="2" s="1"/>
  <c r="O72" i="2" s="1"/>
  <c r="N62" i="2"/>
  <c r="O62" i="2" s="1"/>
  <c r="N68" i="2"/>
  <c r="O68" i="2" s="1"/>
  <c r="N64" i="2" l="1"/>
  <c r="O64" i="2" s="1"/>
  <c r="L66" i="2"/>
  <c r="N66" i="2" s="1"/>
  <c r="O66" i="2" s="1"/>
  <c r="N69" i="2"/>
  <c r="O69" i="2" s="1"/>
  <c r="N63" i="2"/>
  <c r="O63" i="2" s="1"/>
  <c r="N70" i="2" l="1"/>
  <c r="O70" i="2"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List>
</comments>
</file>

<file path=xl/comments1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3" authorId="0">
      <text>
        <r>
          <rPr>
            <b/>
            <sz val="8"/>
            <color indexed="81"/>
            <rFont val="Tahoma"/>
            <family val="2"/>
          </rPr>
          <t>Insert each specific Deferral/Variance Account Disposition Rate Rider(s) as required</t>
        </r>
      </text>
    </comment>
    <comment ref="B44" authorId="0">
      <text>
        <r>
          <rPr>
            <b/>
            <sz val="8"/>
            <color indexed="81"/>
            <rFont val="Tahoma"/>
            <family val="2"/>
          </rPr>
          <t>Insert each specific Deferral/Variance Account Disposition Rate Rider(s) as required</t>
        </r>
      </text>
    </comment>
  </commentList>
</comments>
</file>

<file path=xl/comments1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1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1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comments2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4"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<sst xmlns="http://schemas.openxmlformats.org/spreadsheetml/2006/main" count="2559" uniqueCount="146">
  <si>
    <t>Bill Impacts</t>
  </si>
  <si>
    <t>Customer Class:</t>
  </si>
  <si>
    <t>Residential</t>
  </si>
  <si>
    <t>TOU / non-TOU:</t>
  </si>
  <si>
    <t>TOU</t>
  </si>
  <si>
    <t>Consumption</t>
  </si>
  <si>
    <t xml:space="preserve"> kWh</t>
  </si>
  <si>
    <t>Current Board-Approved</t>
  </si>
  <si>
    <t>Impact 2017 vs 2016</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</si>
  <si>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</si>
  <si>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</si>
  <si>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</si>
  <si>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</si>
  <si>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</si>
  <si>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</si>
  <si>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</si>
  <si>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</si>
  <si>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</si>
  <si>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</si>
  <si>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</si>
  <si>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</si>
  <si>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</si>
  <si>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</si>
  <si>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</si>
  <si>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</si>
  <si>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</si>
  <si>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</si>
  <si>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</si>
  <si>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</si>
  <si>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</si>
  <si>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</si>
  <si>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</si>
  <si>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</si>
  <si>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</si>
  <si>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</si>
  <si>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</si>
  <si>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</si>
  <si>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</si>
  <si>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</si>
  <si>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</si>
  <si>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</si>
  <si>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</si>
  <si>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</si>
  <si>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</si>
  <si>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t>Total Bill on RPP (before Taxes)</t>
  </si>
  <si>
    <t>Loss Factor (%)</t>
  </si>
  <si>
    <t xml:space="preserve">Note that the "Charge $" columns provide breakdowns of the amounts that each bill component contributes to the total monthly bill at the referenced </t>
  </si>
  <si>
    <t>consumption level at existing and proposed rates.</t>
  </si>
  <si>
    <t>to their service territory, class by class. A general guideline of consumption levels follows:</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</si>
  <si>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</si>
  <si>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</si>
  <si>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</si>
  <si>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</si>
  <si>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</si>
  <si>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</si>
  <si>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</si>
  <si>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</si>
  <si>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</si>
  <si>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</si>
  <si>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</si>
  <si>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</si>
  <si>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</si>
  <si>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</si>
  <si>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</si>
  <si>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</si>
  <si>
    <t>Rate Class</t>
  </si>
  <si>
    <t>Residential
 (800 kWh)</t>
  </si>
  <si>
    <t>Distribution Charge</t>
  </si>
  <si>
    <t>Change in Distribution Charge</t>
  </si>
  <si>
    <t>% Distribution Increase</t>
  </si>
  <si>
    <t>% Increase of Total Bill - No VA</t>
  </si>
  <si>
    <t>% Increase of Total Bill</t>
  </si>
  <si>
    <t>General Service &lt;50kW 
(2000 kWh)</t>
  </si>
  <si>
    <t>General Service 50-1,499 kWh 
(250 KW)</t>
  </si>
  <si>
    <t>General Service 1,500-4,999 kWh
(2500 KW)</t>
  </si>
  <si>
    <t>Large Use
 (7500KW)</t>
  </si>
  <si>
    <t>Sentinel Lighting
(0.4 KW)</t>
  </si>
  <si>
    <t>Street Lighting
(1 KW)</t>
  </si>
  <si>
    <t>Unmetered Scattered Load
(470 kWh)</t>
  </si>
  <si>
    <t>Variable</t>
  </si>
  <si>
    <t>GS &lt;50</t>
  </si>
  <si>
    <t>GS 50 to 1,499 kW</t>
  </si>
  <si>
    <t xml:space="preserve">GS 1,500 to 4,999 kW </t>
  </si>
  <si>
    <t>Large Use</t>
  </si>
  <si>
    <t>Standby Power  GS 50 to 1,499 kW</t>
  </si>
  <si>
    <t>Standby Power GS 1,500 to 4,999 kW</t>
  </si>
  <si>
    <t>Standby Power Large Use</t>
  </si>
  <si>
    <t>Fixed</t>
  </si>
  <si>
    <t>Distribution</t>
  </si>
  <si>
    <t>Rate Rider Calculation for Deferral / Variance Accounts Balances (excluding Global Adj.)</t>
  </si>
  <si>
    <t>1550, 1551, 1584, 1586, 1595</t>
  </si>
  <si>
    <t>$/kWh</t>
  </si>
  <si>
    <t>$/kW</t>
  </si>
  <si>
    <t/>
  </si>
  <si>
    <t>Rate Rider Calculation for RSVA - Power - Global Adjustment</t>
  </si>
  <si>
    <t>Rate Rider Calculation for Group 2 Accounts</t>
  </si>
  <si>
    <t>per customer per month</t>
  </si>
  <si>
    <t>Rate Rider Calculation for Accounts 1568 - LRAM</t>
  </si>
  <si>
    <t>Deferral/Variance Account Disposition Rate Rider Group 2</t>
  </si>
  <si>
    <t>Deferral/Variance Account Disposition Rate Rider Group 1</t>
  </si>
  <si>
    <t>Deferral/Variance Account Disposition Rate Rider Class 1</t>
  </si>
  <si>
    <t>Deferral/Variance Account Disposition Rate Rider Class 2</t>
  </si>
  <si>
    <t>Residential
 (232 kWh)</t>
  </si>
  <si>
    <t>Proposed Rate</t>
  </si>
  <si>
    <t>Rate Rider Calculation for Deferral / Variance Accounts Balances (excluding Global Adj.) - NON-WMP</t>
  </si>
  <si>
    <t>1580 and 1588</t>
  </si>
  <si>
    <t>Deferral / Variance Accounts Balances (excluding Global Adj.) - NON-WMP</t>
  </si>
  <si>
    <t>SME</t>
  </si>
  <si>
    <t>RTSR- Network</t>
  </si>
  <si>
    <t>RTSR- Line &amp; Transformation</t>
  </si>
  <si>
    <t>All Classes</t>
  </si>
  <si>
    <t>Rural Rate Protection</t>
  </si>
  <si>
    <t>Debt Retirement Charge</t>
  </si>
  <si>
    <t>TOU Pricing</t>
  </si>
  <si>
    <t>Off Peak</t>
  </si>
  <si>
    <t>Mid Peak</t>
  </si>
  <si>
    <t>On Peak</t>
  </si>
  <si>
    <t>Tier 1</t>
  </si>
  <si>
    <t>Tier 2</t>
  </si>
  <si>
    <t>Ontario Electricity Support Program</t>
  </si>
  <si>
    <t>Ontario Electricity Support (OESP)</t>
  </si>
  <si>
    <t xml:space="preserve">Rates Summary </t>
  </si>
  <si>
    <t>Residential
 (750 kWh)</t>
  </si>
  <si>
    <t>Residential
 (640 kWh)</t>
  </si>
  <si>
    <t>Current</t>
  </si>
  <si>
    <t>Rate Rider Calculation for WMS - Sub-account CBR Class B</t>
  </si>
  <si>
    <t>All Classes - Except Residential</t>
  </si>
  <si>
    <t>Loss Factors used for Bill Impacts</t>
  </si>
  <si>
    <t>All Classes who are SSS</t>
  </si>
  <si>
    <t>Wholesale Market Service Charge used for bill Impacts</t>
  </si>
  <si>
    <t>Residential - Non SSS Only</t>
  </si>
  <si>
    <t>GS &lt;50 - Non SSS Only</t>
  </si>
  <si>
    <t>Residential (kWh) - 100, 250, 500, 800, 1000, 1500, 2000</t>
  </si>
  <si>
    <t>Applicants must provide bill impacts for residential at 800 kWh and GS&lt;50kW at 2000 kWh. In addition, their filing must cover the range that is relevant</t>
  </si>
  <si>
    <t>Attachment 8-12(A)</t>
  </si>
  <si>
    <t>2018 Proposed</t>
  </si>
  <si>
    <t>Impact 2018 vs 2017</t>
  </si>
  <si>
    <t>8% Provincial Rebate</t>
  </si>
  <si>
    <t>Total Bill (including 8% Provincial Rebate)</t>
  </si>
  <si>
    <r>
      <t>Total Bill on RPP</t>
    </r>
    <r>
      <rPr>
        <sz val="10"/>
        <rFont val="Arial"/>
        <family val="2"/>
      </rPr>
      <t xml:space="preserve"> (before Taxes)</t>
    </r>
  </si>
  <si>
    <r>
      <t xml:space="preserve">Total Bill on TOU </t>
    </r>
    <r>
      <rPr>
        <sz val="10"/>
        <rFont val="Arial"/>
        <family val="2"/>
      </rPr>
      <t>(before Taxes)</t>
    </r>
  </si>
  <si>
    <r>
      <t>Total Bill</t>
    </r>
    <r>
      <rPr>
        <sz val="10"/>
        <rFont val="Arial"/>
        <family val="2"/>
      </rPr>
      <t xml:space="preserve"> (including 8% Provincial Rebate)</t>
    </r>
  </si>
  <si>
    <r>
      <t xml:space="preserve">Total Bill </t>
    </r>
    <r>
      <rPr>
        <sz val="10"/>
        <rFont val="Arial"/>
        <family val="2"/>
      </rPr>
      <t>(including 8% Provincial Rebate)</t>
    </r>
  </si>
  <si>
    <t>Total Bill (including HST)</t>
  </si>
  <si>
    <t>Street Lighting</t>
  </si>
  <si>
    <t>Sentinel Lighting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</si>
</sst>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 numFmtId="184" formatCode="_-* #,##0.00000_-;\-* #,##0.00000_-;_-* &quot;-&quot;??_-;_-@_-"/>
    <numFmt numFmtId="185" formatCode="0.0"/>
    <numFmt numFmtId="186" formatCode="_-* #,##0.0000_-;\-* #,##0.0000_-;_-* &quot;-&quot;??_-;_-@_-"/>
    <numFmt numFmtId="187" formatCode="0.00000"/>
    <numFmt numFmtId="188" formatCode="0.000000"/>
    <numFmt numFmtId="189" formatCode="0.000"/>
    <numFmt numFmtId="190" formatCode="0.0000"/>
    <numFmt numFmtId="191" formatCode="_-&quot;$&quot;* #,##0.000000_-;\-&quot;$&quot;* #,##0.000000_-;_-&quot;$&quot;* &quot;-&quot;??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sz val="10"/>
      <color rgb="FFFF000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1"/>
      <color theme="1"/>
      <name val="Helvetica"/>
      <family val="2"/>
    </font>
    <font>
      <sz val="11"/>
      <color theme="1"/>
      <name val="Helvetica"/>
      <family val="2"/>
    </font>
    <font>
      <sz val="11"/>
      <name val="Helvetica"/>
      <family val="2"/>
    </font>
    <font>
      <sz val="11"/>
      <color theme="9" tint="-0.249977111117893"/>
      <name val="Helvetica"/>
      <family val="2"/>
    </font>
    <font>
      <b/>
      <sz val="11"/>
      <color theme="1"/>
      <name val="Helvetica"/>
      <family val="2"/>
    </font>
    <font>
      <sz val="11"/>
      <name val="Calibri"/>
      <family val="2"/>
      <scheme val="minor"/>
    </font>
    <font>
      <b/>
      <sz val="10"/>
      <color rgb="FFFF0000"/>
      <name val="Arial"/>
      <family val="2"/>
    </font>
    <font>
      <b/>
      <sz val="11"/>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
      <patternFill patternType="solid">
        <fgColor rgb="FFFFFF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6657">
    <xf numFmtId="0" fontId="0"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168" fontId="23" fillId="0" borderId="0"/>
    <xf numFmtId="168"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8" fontId="23" fillId="0" borderId="0"/>
    <xf numFmtId="168" fontId="23" fillId="0" borderId="0"/>
    <xf numFmtId="170" fontId="23" fillId="0" borderId="0"/>
    <xf numFmtId="170" fontId="23" fillId="0" borderId="0"/>
    <xf numFmtId="170" fontId="23" fillId="0" borderId="0"/>
    <xf numFmtId="170" fontId="23" fillId="0" borderId="0"/>
    <xf numFmtId="171" fontId="23" fillId="0" borderId="0"/>
    <xf numFmtId="171" fontId="23" fillId="0" borderId="0"/>
    <xf numFmtId="171" fontId="23" fillId="0" borderId="0"/>
    <xf numFmtId="171" fontId="23" fillId="0" borderId="0"/>
    <xf numFmtId="170" fontId="23" fillId="0" borderId="0"/>
    <xf numFmtId="0" fontId="5" fillId="1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 fillId="10" borderId="0" applyNumberFormat="0" applyBorder="0" applyAlignment="0" applyProtection="0"/>
    <xf numFmtId="0" fontId="34" fillId="40" borderId="0" applyNumberFormat="0" applyBorder="0" applyAlignment="0" applyProtection="0"/>
    <xf numFmtId="0" fontId="5" fillId="1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5" fillId="40"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5"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5"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5"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4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5"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7"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5"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48"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5"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5" fillId="2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5" fillId="3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7" fillId="52"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11" fillId="3" borderId="0" applyNumberFormat="0" applyBorder="0" applyAlignment="0" applyProtection="0"/>
    <xf numFmtId="0" fontId="38" fillId="41" borderId="0" applyNumberFormat="0" applyBorder="0" applyAlignment="0" applyProtection="0"/>
    <xf numFmtId="0" fontId="11"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5" fillId="6"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1" fillId="58" borderId="30" applyNumberFormat="0" applyAlignment="0" applyProtection="0"/>
    <xf numFmtId="0" fontId="41" fillId="58" borderId="30" applyNumberFormat="0" applyAlignment="0" applyProtection="0"/>
    <xf numFmtId="0" fontId="15" fillId="6"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0" fillId="58" borderId="4" applyNumberFormat="0" applyAlignment="0" applyProtection="0"/>
    <xf numFmtId="0" fontId="41" fillId="58" borderId="30" applyNumberFormat="0" applyAlignment="0" applyProtection="0"/>
    <xf numFmtId="0" fontId="41" fillId="58" borderId="30" applyNumberFormat="0" applyAlignment="0" applyProtection="0"/>
    <xf numFmtId="0" fontId="41" fillId="58" borderId="30" applyNumberFormat="0" applyAlignment="0" applyProtection="0"/>
    <xf numFmtId="0" fontId="17" fillId="7" borderId="7" applyNumberFormat="0" applyAlignment="0" applyProtection="0"/>
    <xf numFmtId="0" fontId="17" fillId="7" borderId="7" applyNumberFormat="0" applyAlignment="0" applyProtection="0"/>
    <xf numFmtId="0" fontId="42" fillId="59" borderId="31" applyNumberFormat="0" applyAlignment="0" applyProtection="0"/>
    <xf numFmtId="41"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1" fontId="23" fillId="0" borderId="0">
      <alignment vertical="center"/>
    </xf>
    <xf numFmtId="41"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1" fontId="23" fillId="0" borderId="0">
      <alignment vertical="center"/>
    </xf>
    <xf numFmtId="41"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43" fillId="0" borderId="0" applyFont="0" applyFill="0" applyBorder="0" applyAlignment="0" applyProtection="0"/>
    <xf numFmtId="172" fontId="43" fillId="0" borderId="0" applyFont="0" applyFill="0" applyBorder="0" applyAlignment="0" applyProtection="0"/>
    <xf numFmtId="172" fontId="23" fillId="0" borderId="0">
      <alignment vertical="center"/>
    </xf>
    <xf numFmtId="172" fontId="23" fillId="0" borderId="0">
      <alignment vertical="center"/>
    </xf>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41" fontId="23" fillId="0" borderId="0">
      <alignment vertical="center"/>
    </xf>
    <xf numFmtId="41"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41" fontId="23" fillId="0" borderId="0">
      <alignment vertical="center"/>
    </xf>
    <xf numFmtId="41"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2" fontId="23" fillId="0" borderId="0">
      <alignment vertical="center"/>
    </xf>
    <xf numFmtId="17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3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9" fontId="45" fillId="60" borderId="32" applyAlignment="0" applyProtection="0"/>
    <xf numFmtId="43" fontId="43" fillId="0" borderId="0" applyFont="0" applyFill="0" applyBorder="0" applyAlignment="0" applyProtection="0"/>
    <xf numFmtId="49" fontId="45" fillId="60" borderId="32"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9" fontId="45" fillId="60" borderId="32"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lignment vertical="center"/>
    </xf>
    <xf numFmtId="4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23" fillId="0" borderId="0">
      <alignment vertical="center"/>
    </xf>
    <xf numFmtId="4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3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44"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lignment vertical="center"/>
    </xf>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23" fillId="0" borderId="0">
      <alignment vertical="center"/>
    </xf>
    <xf numFmtId="174" fontId="23" fillId="0" borderId="0" applyFont="0" applyFill="0" applyBorder="0" applyAlignment="0" applyProtection="0"/>
    <xf numFmtId="43" fontId="23" fillId="0" borderId="0">
      <alignment vertical="center"/>
    </xf>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3" fontId="4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43" fillId="0" borderId="0" applyFont="0" applyFill="0" applyBorder="0" applyAlignment="0" applyProtection="0"/>
    <xf numFmtId="173" fontId="23" fillId="0" borderId="0">
      <alignment vertical="center"/>
    </xf>
    <xf numFmtId="173" fontId="23" fillId="0" borderId="0">
      <alignment vertical="center"/>
    </xf>
    <xf numFmtId="43" fontId="47"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43" fontId="43" fillId="0" borderId="0" applyFont="0" applyFill="0" applyBorder="0" applyAlignment="0" applyProtection="0"/>
    <xf numFmtId="174"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43" fontId="5"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17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lignment vertical="center"/>
    </xf>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4"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6"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176"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68" fontId="34"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23" fillId="0" borderId="0">
      <alignment vertical="center"/>
    </xf>
    <xf numFmtId="173" fontId="34" fillId="0" borderId="0" applyFont="0" applyFill="0" applyBorder="0" applyAlignment="0" applyProtection="0"/>
    <xf numFmtId="173" fontId="23" fillId="0" borderId="0">
      <alignment vertical="center"/>
    </xf>
    <xf numFmtId="173" fontId="43"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34"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46" fillId="0" borderId="0" applyFont="0" applyFill="0" applyBorder="0" applyAlignment="0" applyProtection="0"/>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6" fontId="23" fillId="0" borderId="0" applyFont="0" applyFill="0" applyBorder="0" applyAlignment="0" applyProtection="0"/>
    <xf numFmtId="43" fontId="23" fillId="0" borderId="0">
      <alignment vertical="center"/>
    </xf>
    <xf numFmtId="43" fontId="23" fillId="0" borderId="0">
      <alignment vertical="center"/>
    </xf>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6" fontId="23" fillId="0" borderId="0" applyFont="0" applyFill="0" applyBorder="0" applyAlignment="0" applyProtection="0"/>
    <xf numFmtId="43" fontId="23" fillId="0" borderId="0">
      <alignment vertical="center"/>
    </xf>
    <xf numFmtId="43" fontId="23" fillId="0" borderId="0">
      <alignment vertical="center"/>
    </xf>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43" fontId="23" fillId="0" borderId="0">
      <alignment vertical="center"/>
    </xf>
    <xf numFmtId="173" fontId="46" fillId="0" borderId="0" applyFont="0" applyFill="0" applyBorder="0" applyAlignment="0" applyProtection="0"/>
    <xf numFmtId="173" fontId="23" fillId="0" borderId="0">
      <alignment vertical="center"/>
    </xf>
    <xf numFmtId="173" fontId="23" fillId="0" borderId="0">
      <alignment vertical="center"/>
    </xf>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44" fillId="0" borderId="0" applyFont="0" applyFill="0" applyBorder="0" applyAlignment="0" applyProtection="0"/>
    <xf numFmtId="43" fontId="23" fillId="0" borderId="0">
      <alignment vertical="center"/>
    </xf>
    <xf numFmtId="173" fontId="46"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23" fillId="0" borderId="0">
      <alignment vertical="center"/>
    </xf>
    <xf numFmtId="173" fontId="46"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44" fillId="0" borderId="0" applyFont="0" applyFill="0" applyBorder="0" applyAlignment="0" applyProtection="0"/>
    <xf numFmtId="43" fontId="23" fillId="0" borderId="0">
      <alignment vertical="center"/>
    </xf>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5"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5" fillId="0" borderId="0" applyFont="0" applyFill="0" applyBorder="0" applyAlignment="0" applyProtection="0"/>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173" fontId="43" fillId="0" borderId="0" applyFont="0" applyFill="0" applyBorder="0" applyAlignment="0" applyProtection="0"/>
    <xf numFmtId="173" fontId="23" fillId="0" borderId="0" applyFont="0" applyFill="0" applyBorder="0" applyAlignment="0" applyProtection="0"/>
    <xf numFmtId="173" fontId="44"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lignment vertical="center"/>
    </xf>
    <xf numFmtId="43" fontId="23" fillId="0" borderId="0">
      <alignment vertical="center"/>
    </xf>
    <xf numFmtId="173" fontId="23" fillId="0" borderId="0">
      <alignment vertical="center"/>
    </xf>
    <xf numFmtId="173" fontId="23" fillId="0" borderId="0">
      <alignment vertical="center"/>
    </xf>
    <xf numFmtId="173" fontId="23" fillId="0" borderId="0">
      <alignment vertical="center"/>
    </xf>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173" fontId="23" fillId="0" borderId="0">
      <alignment vertical="center"/>
    </xf>
    <xf numFmtId="173" fontId="23" fillId="0" borderId="0" applyFont="0" applyFill="0" applyBorder="0" applyAlignment="0" applyProtection="0"/>
    <xf numFmtId="173" fontId="23" fillId="0" borderId="0" applyFont="0" applyFill="0" applyBorder="0" applyAlignment="0" applyProtection="0"/>
    <xf numFmtId="43" fontId="23" fillId="0" borderId="0">
      <alignment vertical="center"/>
    </xf>
    <xf numFmtId="43" fontId="23" fillId="0" borderId="0">
      <alignment vertical="center"/>
    </xf>
    <xf numFmtId="43" fontId="23" fillId="0" borderId="0">
      <alignment vertical="center"/>
    </xf>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42"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42"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42" fontId="23" fillId="0" borderId="0">
      <alignment vertical="center"/>
    </xf>
    <xf numFmtId="42"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7" fontId="23" fillId="0" borderId="0">
      <alignment vertical="center"/>
    </xf>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172"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5" fillId="0" borderId="0" applyFont="0" applyFill="0" applyBorder="0" applyAlignment="0" applyProtection="0"/>
    <xf numFmtId="44" fontId="23" fillId="0" borderId="0" applyFont="0" applyFill="0" applyBorder="0" applyAlignment="0" applyProtection="0"/>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lignment vertical="center"/>
    </xf>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179" fontId="23" fillId="0" borderId="0" applyFont="0" applyFill="0" applyBorder="0" applyAlignment="0" applyProtection="0"/>
    <xf numFmtId="44" fontId="23" fillId="0" borderId="0">
      <alignment vertical="center"/>
    </xf>
    <xf numFmtId="44" fontId="23" fillId="0" borderId="0">
      <alignment vertical="center"/>
    </xf>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178" fontId="23" fillId="0" borderId="0">
      <alignment vertical="center"/>
    </xf>
    <xf numFmtId="44" fontId="23" fillId="0" borderId="0">
      <alignment vertical="center"/>
    </xf>
    <xf numFmtId="178"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178"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178" fontId="23" fillId="0" borderId="0">
      <alignment vertical="center"/>
    </xf>
    <xf numFmtId="44" fontId="23" fillId="0" borderId="0">
      <alignment vertical="center"/>
    </xf>
    <xf numFmtId="44" fontId="23" fillId="0" borderId="0">
      <alignment vertical="center"/>
    </xf>
    <xf numFmtId="44" fontId="23" fillId="0" borderId="0">
      <alignment vertical="center"/>
    </xf>
    <xf numFmtId="44" fontId="23" fillId="0" borderId="0">
      <alignment vertical="center"/>
    </xf>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4" fontId="23" fillId="0" borderId="0" applyFont="0" applyFill="0" applyBorder="0" applyAlignment="0" applyProtection="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4" fontId="23" fillId="0" borderId="0" applyFont="0" applyFill="0" applyBorder="0" applyAlignment="0" applyProtection="0"/>
    <xf numFmtId="15" fontId="23" fillId="0" borderId="0"/>
    <xf numFmtId="0" fontId="19"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0" fontId="10" fillId="2" borderId="0" applyNumberFormat="0" applyBorder="0" applyAlignment="0" applyProtection="0"/>
    <xf numFmtId="0" fontId="49" fillId="42" borderId="0" applyNumberFormat="0" applyBorder="0" applyAlignment="0" applyProtection="0"/>
    <xf numFmtId="0" fontId="10" fillId="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2" borderId="0" applyNumberFormat="0" applyBorder="0" applyAlignment="0" applyProtection="0"/>
    <xf numFmtId="0" fontId="50" fillId="4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42" borderId="0" applyNumberFormat="0" applyBorder="0" applyAlignment="0" applyProtection="0"/>
    <xf numFmtId="38" fontId="26" fillId="60" borderId="0" applyNumberFormat="0" applyBorder="0" applyAlignment="0" applyProtection="0"/>
    <xf numFmtId="0" fontId="7"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7"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2" fillId="0" borderId="33" applyNumberFormat="0" applyFill="0" applyAlignment="0" applyProtection="0"/>
    <xf numFmtId="0" fontId="8"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8"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4" applyNumberFormat="0" applyFill="0" applyAlignment="0" applyProtection="0"/>
    <xf numFmtId="0" fontId="9"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9"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5" applyNumberFormat="0" applyFill="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10" fontId="26" fillId="61" borderId="11" applyNumberFormat="0" applyBorder="0" applyAlignment="0" applyProtection="0"/>
    <xf numFmtId="0" fontId="13" fillId="5" borderId="4" applyNumberFormat="0" applyAlignment="0" applyProtection="0"/>
    <xf numFmtId="0" fontId="58" fillId="45" borderId="30" applyNumberFormat="0" applyAlignment="0" applyProtection="0"/>
    <xf numFmtId="0" fontId="58" fillId="45" borderId="30" applyNumberFormat="0" applyAlignment="0" applyProtection="0"/>
    <xf numFmtId="0" fontId="58" fillId="45" borderId="30" applyNumberFormat="0" applyAlignment="0" applyProtection="0"/>
    <xf numFmtId="0" fontId="13" fillId="5" borderId="4" applyNumberFormat="0" applyAlignment="0" applyProtection="0"/>
    <xf numFmtId="0" fontId="59" fillId="45" borderId="4" applyNumberFormat="0" applyAlignment="0" applyProtection="0"/>
    <xf numFmtId="0" fontId="59" fillId="45" borderId="4" applyNumberFormat="0" applyAlignment="0" applyProtection="0"/>
    <xf numFmtId="0" fontId="59" fillId="45" borderId="4" applyNumberFormat="0" applyAlignment="0" applyProtection="0"/>
    <xf numFmtId="0" fontId="59" fillId="45" borderId="4" applyNumberFormat="0" applyAlignment="0" applyProtection="0"/>
    <xf numFmtId="0" fontId="58" fillId="45" borderId="30" applyNumberFormat="0" applyAlignment="0" applyProtection="0"/>
    <xf numFmtId="0" fontId="58" fillId="45" borderId="30" applyNumberFormat="0" applyAlignment="0" applyProtection="0"/>
    <xf numFmtId="0" fontId="58" fillId="45" borderId="30" applyNumberFormat="0" applyAlignment="0" applyProtection="0"/>
    <xf numFmtId="0" fontId="16"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16"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36" applyNumberFormat="0" applyFill="0" applyAlignment="0" applyProtection="0"/>
    <xf numFmtId="182" fontId="23" fillId="0" borderId="0"/>
    <xf numFmtId="182" fontId="23" fillId="0" borderId="0"/>
    <xf numFmtId="182" fontId="23" fillId="0" borderId="0"/>
    <xf numFmtId="182" fontId="23" fillId="0" borderId="0"/>
    <xf numFmtId="180" fontId="23" fillId="0" borderId="0"/>
    <xf numFmtId="180" fontId="23" fillId="0" borderId="0"/>
    <xf numFmtId="180" fontId="23" fillId="0" borderId="0"/>
    <xf numFmtId="180" fontId="23" fillId="0" borderId="0"/>
    <xf numFmtId="182" fontId="23" fillId="0" borderId="0"/>
    <xf numFmtId="182" fontId="23" fillId="0" borderId="0"/>
    <xf numFmtId="182" fontId="23" fillId="0" borderId="0"/>
    <xf numFmtId="182" fontId="23" fillId="0" borderId="0"/>
    <xf numFmtId="0" fontId="1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62" borderId="0" applyNumberFormat="0" applyBorder="0" applyAlignment="0" applyProtection="0"/>
    <xf numFmtId="183" fontId="23" fillId="0" borderId="0"/>
    <xf numFmtId="183" fontId="23" fillId="0" borderId="0"/>
    <xf numFmtId="183" fontId="23" fillId="0" borderId="0"/>
    <xf numFmtId="183"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5"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23" fillId="0" borderId="0"/>
    <xf numFmtId="0" fontId="23" fillId="0" borderId="0"/>
    <xf numFmtId="0" fontId="23" fillId="0" borderId="0"/>
    <xf numFmtId="0" fontId="43" fillId="0" borderId="0"/>
    <xf numFmtId="0" fontId="23"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5" fillId="0" borderId="0"/>
    <xf numFmtId="0" fontId="46" fillId="0" borderId="0"/>
    <xf numFmtId="0" fontId="5" fillId="0" borderId="0"/>
    <xf numFmtId="0" fontId="5" fillId="0" borderId="0"/>
    <xf numFmtId="0" fontId="5"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34"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4" fillId="0" borderId="0"/>
    <xf numFmtId="0" fontId="34" fillId="0" borderId="0"/>
    <xf numFmtId="0" fontId="34" fillId="0" borderId="0"/>
    <xf numFmtId="0" fontId="43" fillId="0" borderId="0"/>
    <xf numFmtId="0" fontId="43" fillId="0" borderId="0"/>
    <xf numFmtId="0" fontId="34" fillId="0" borderId="0"/>
    <xf numFmtId="0" fontId="23" fillId="0" borderId="0"/>
    <xf numFmtId="0" fontId="23" fillId="0" borderId="0"/>
    <xf numFmtId="0" fontId="43" fillId="0" borderId="0"/>
    <xf numFmtId="0" fontId="43" fillId="0" borderId="0"/>
    <xf numFmtId="0" fontId="43" fillId="0" borderId="0"/>
    <xf numFmtId="0" fontId="34" fillId="0" borderId="0"/>
    <xf numFmtId="0" fontId="23" fillId="0" borderId="0"/>
    <xf numFmtId="0" fontId="23" fillId="0" borderId="0"/>
    <xf numFmtId="0" fontId="43" fillId="0" borderId="0"/>
    <xf numFmtId="0" fontId="23" fillId="0" borderId="0">
      <alignment vertical="center"/>
    </xf>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43" fillId="0" borderId="0"/>
    <xf numFmtId="0" fontId="23" fillId="0" borderId="0"/>
    <xf numFmtId="0" fontId="23" fillId="0" borderId="0"/>
    <xf numFmtId="0" fontId="43" fillId="0" borderId="0"/>
    <xf numFmtId="0" fontId="43" fillId="0" borderId="0"/>
    <xf numFmtId="0" fontId="23" fillId="0" borderId="0"/>
    <xf numFmtId="0" fontId="43" fillId="0" borderId="0"/>
    <xf numFmtId="0" fontId="43" fillId="0" borderId="0"/>
    <xf numFmtId="0" fontId="43" fillId="0" borderId="0"/>
    <xf numFmtId="0" fontId="43" fillId="0" borderId="0"/>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46"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23" fillId="0" borderId="0"/>
    <xf numFmtId="0" fontId="23" fillId="0" borderId="0"/>
    <xf numFmtId="0" fontId="23" fillId="0" borderId="0">
      <alignment vertical="center"/>
    </xf>
    <xf numFmtId="0" fontId="34" fillId="0" borderId="0"/>
    <xf numFmtId="0" fontId="23" fillId="0" borderId="0">
      <alignment vertical="center"/>
    </xf>
    <xf numFmtId="0" fontId="23" fillId="0" borderId="0">
      <alignment vertical="center"/>
    </xf>
    <xf numFmtId="0" fontId="34" fillId="0" borderId="0"/>
    <xf numFmtId="0" fontId="23" fillId="0" borderId="0"/>
    <xf numFmtId="0" fontId="43" fillId="0" borderId="0"/>
    <xf numFmtId="0" fontId="23" fillId="0" borderId="0"/>
    <xf numFmtId="0" fontId="34" fillId="0" borderId="0"/>
    <xf numFmtId="0" fontId="23" fillId="0" borderId="0"/>
    <xf numFmtId="0" fontId="23"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3" fillId="0" borderId="0"/>
    <xf numFmtId="0" fontId="23" fillId="0" borderId="0"/>
    <xf numFmtId="0" fontId="23" fillId="0" borderId="0"/>
    <xf numFmtId="0" fontId="43" fillId="0" borderId="0"/>
    <xf numFmtId="0" fontId="2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44" fillId="0" borderId="0"/>
    <xf numFmtId="0" fontId="44" fillId="0" borderId="0"/>
    <xf numFmtId="0" fontId="34" fillId="0" borderId="0"/>
    <xf numFmtId="0" fontId="44"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23"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23" fillId="0" borderId="0">
      <alignment vertical="center"/>
    </xf>
    <xf numFmtId="0" fontId="64" fillId="0" borderId="0">
      <alignment vertical="top"/>
    </xf>
    <xf numFmtId="0" fontId="23" fillId="0" borderId="0">
      <alignment vertical="center"/>
    </xf>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44" fillId="0" borderId="0"/>
    <xf numFmtId="0" fontId="34" fillId="0" borderId="0"/>
    <xf numFmtId="0" fontId="44" fillId="0" borderId="0"/>
    <xf numFmtId="0" fontId="23" fillId="0" borderId="0">
      <alignment vertical="center"/>
    </xf>
    <xf numFmtId="0" fontId="44" fillId="0" borderId="0"/>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alignment vertical="center"/>
    </xf>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4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23"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23" fillId="0" borderId="0">
      <alignment vertical="center"/>
    </xf>
    <xf numFmtId="0" fontId="23" fillId="0" borderId="0">
      <alignment vertical="center"/>
    </xf>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34" fillId="0" borderId="0"/>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23" fillId="0" borderId="0"/>
    <xf numFmtId="0" fontId="23" fillId="0" borderId="0"/>
    <xf numFmtId="0" fontId="34" fillId="0" borderId="0"/>
    <xf numFmtId="0" fontId="23" fillId="0" borderId="0"/>
    <xf numFmtId="0" fontId="23" fillId="0" borderId="0"/>
    <xf numFmtId="0" fontId="34" fillId="0" borderId="0"/>
    <xf numFmtId="0" fontId="23" fillId="0" borderId="0">
      <alignment vertical="center"/>
    </xf>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23" fillId="0" borderId="0"/>
    <xf numFmtId="0" fontId="23" fillId="0" borderId="0"/>
    <xf numFmtId="0" fontId="44" fillId="0" borderId="0"/>
    <xf numFmtId="0" fontId="34" fillId="0" borderId="0"/>
    <xf numFmtId="0" fontId="43" fillId="0" borderId="0"/>
    <xf numFmtId="0" fontId="4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7" fillId="63" borderId="37"/>
    <xf numFmtId="0" fontId="23" fillId="0" borderId="0"/>
    <xf numFmtId="0" fontId="23" fillId="0" borderId="0"/>
    <xf numFmtId="0" fontId="47" fillId="63" borderId="37"/>
    <xf numFmtId="0" fontId="34" fillId="0" borderId="0"/>
    <xf numFmtId="0" fontId="43"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34" fillId="0" borderId="0"/>
    <xf numFmtId="0" fontId="34" fillId="0" borderId="0"/>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43" fillId="0" borderId="0"/>
    <xf numFmtId="0" fontId="34" fillId="0" borderId="0"/>
    <xf numFmtId="0" fontId="34" fillId="0" borderId="0"/>
    <xf numFmtId="0" fontId="34" fillId="0" borderId="0"/>
    <xf numFmtId="0" fontId="46" fillId="0" borderId="0"/>
    <xf numFmtId="0" fontId="23" fillId="0" borderId="0">
      <alignment vertical="center"/>
    </xf>
    <xf numFmtId="0" fontId="23" fillId="0" borderId="0">
      <alignment vertical="center"/>
    </xf>
    <xf numFmtId="0" fontId="34" fillId="0" borderId="0"/>
    <xf numFmtId="0" fontId="23" fillId="0" borderId="0">
      <alignment vertical="center"/>
    </xf>
    <xf numFmtId="0" fontId="23" fillId="0" borderId="0"/>
    <xf numFmtId="0" fontId="23" fillId="0" borderId="0"/>
    <xf numFmtId="0" fontId="23" fillId="0" borderId="0">
      <alignment vertical="center"/>
    </xf>
    <xf numFmtId="0" fontId="34" fillId="0" borderId="0"/>
    <xf numFmtId="0" fontId="23" fillId="0" borderId="0"/>
    <xf numFmtId="0" fontId="23" fillId="0" borderId="0"/>
    <xf numFmtId="0" fontId="34" fillId="0" borderId="0"/>
    <xf numFmtId="0" fontId="23" fillId="0" borderId="0"/>
    <xf numFmtId="0" fontId="23" fillId="0" borderId="0"/>
    <xf numFmtId="0" fontId="64" fillId="0" borderId="0">
      <alignment vertical="top"/>
    </xf>
    <xf numFmtId="0" fontId="44"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44" fillId="0" borderId="0"/>
    <xf numFmtId="0" fontId="46"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34"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23" fillId="0" borderId="0"/>
    <xf numFmtId="0" fontId="23"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63" borderId="37"/>
    <xf numFmtId="0" fontId="23"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23" fillId="0" borderId="0">
      <alignment vertical="center"/>
    </xf>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34" fillId="0" borderId="0"/>
    <xf numFmtId="0" fontId="23" fillId="0" borderId="0">
      <alignment vertical="center"/>
    </xf>
    <xf numFmtId="0" fontId="34" fillId="0" borderId="0"/>
    <xf numFmtId="0" fontId="34" fillId="0" borderId="0"/>
    <xf numFmtId="0" fontId="23" fillId="0" borderId="0">
      <alignment vertical="center"/>
    </xf>
    <xf numFmtId="0" fontId="5" fillId="0" borderId="0"/>
    <xf numFmtId="0" fontId="4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34" fillId="0" borderId="0"/>
    <xf numFmtId="0" fontId="34"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5" fillId="0" borderId="0"/>
    <xf numFmtId="0" fontId="34"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34"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alignment vertical="center"/>
    </xf>
    <xf numFmtId="0" fontId="23" fillId="0" borderId="0">
      <alignment vertical="center"/>
    </xf>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34" fillId="0" borderId="0"/>
    <xf numFmtId="0" fontId="5" fillId="0" borderId="0"/>
    <xf numFmtId="0" fontId="5" fillId="0" borderId="0"/>
    <xf numFmtId="0" fontId="5" fillId="0" borderId="0"/>
    <xf numFmtId="0" fontId="23" fillId="0" borderId="0"/>
    <xf numFmtId="0" fontId="5" fillId="0" borderId="0"/>
    <xf numFmtId="0" fontId="34"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23" fillId="0" borderId="0">
      <alignment vertical="center"/>
    </xf>
    <xf numFmtId="0" fontId="23" fillId="0" borderId="0">
      <alignment vertical="center"/>
    </xf>
    <xf numFmtId="0" fontId="5"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44" fillId="0" borderId="0"/>
    <xf numFmtId="0" fontId="5" fillId="0" borderId="0"/>
    <xf numFmtId="0" fontId="5" fillId="0" borderId="0"/>
    <xf numFmtId="0" fontId="5" fillId="0" borderId="0"/>
    <xf numFmtId="0" fontId="5" fillId="0" borderId="0"/>
    <xf numFmtId="0" fontId="34"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34" fillId="0" borderId="0"/>
    <xf numFmtId="0" fontId="34" fillId="0" borderId="0"/>
    <xf numFmtId="0" fontId="23" fillId="0" borderId="0">
      <alignment vertical="center"/>
    </xf>
    <xf numFmtId="0" fontId="5" fillId="0" borderId="0"/>
    <xf numFmtId="0" fontId="34" fillId="0" borderId="0"/>
    <xf numFmtId="0" fontId="34" fillId="0" borderId="0"/>
    <xf numFmtId="0" fontId="34"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5" fillId="0" borderId="0"/>
    <xf numFmtId="0" fontId="23" fillId="0" borderId="0"/>
    <xf numFmtId="0" fontId="23"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34" fillId="0" borderId="0"/>
    <xf numFmtId="0" fontId="34"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alignment vertical="center"/>
    </xf>
    <xf numFmtId="0" fontId="44" fillId="0" borderId="0"/>
    <xf numFmtId="0" fontId="23" fillId="0" borderId="0">
      <alignment vertical="center"/>
    </xf>
    <xf numFmtId="0" fontId="23" fillId="0" borderId="0">
      <alignment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5" fillId="0" borderId="0"/>
    <xf numFmtId="0" fontId="5" fillId="0" borderId="0"/>
    <xf numFmtId="0" fontId="23"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44"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43" fillId="0" borderId="0"/>
    <xf numFmtId="0" fontId="23" fillId="0" borderId="0"/>
    <xf numFmtId="0" fontId="23" fillId="0" borderId="0"/>
    <xf numFmtId="0" fontId="23" fillId="0" borderId="0"/>
    <xf numFmtId="0" fontId="23" fillId="0" borderId="0"/>
    <xf numFmtId="0" fontId="43" fillId="0" borderId="0"/>
    <xf numFmtId="0" fontId="23" fillId="0" borderId="0">
      <alignment vertical="center"/>
    </xf>
    <xf numFmtId="0" fontId="23" fillId="0" borderId="0">
      <alignment vertical="center"/>
    </xf>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43"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23" fillId="0" borderId="0"/>
    <xf numFmtId="0" fontId="5" fillId="0" borderId="0"/>
    <xf numFmtId="0" fontId="23" fillId="0" borderId="0"/>
    <xf numFmtId="0" fontId="23" fillId="0" borderId="0"/>
    <xf numFmtId="0" fontId="4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43" fillId="0" borderId="0"/>
    <xf numFmtId="0" fontId="4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34" fillId="0" borderId="0"/>
    <xf numFmtId="0" fontId="34"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alignment vertical="center"/>
    </xf>
    <xf numFmtId="0" fontId="34"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34" fillId="0" borderId="0"/>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34"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43" fillId="0" borderId="0"/>
    <xf numFmtId="0" fontId="23" fillId="0" borderId="0">
      <alignment vertical="center"/>
    </xf>
    <xf numFmtId="0" fontId="23" fillId="0" borderId="0"/>
    <xf numFmtId="0" fontId="23" fillId="0" borderId="0"/>
    <xf numFmtId="0" fontId="23" fillId="0" borderId="0"/>
    <xf numFmtId="0" fontId="23" fillId="0" borderId="0"/>
    <xf numFmtId="0" fontId="34" fillId="0" borderId="0"/>
    <xf numFmtId="0" fontId="23" fillId="0" borderId="0">
      <alignment vertical="center"/>
    </xf>
    <xf numFmtId="0" fontId="23" fillId="0" borderId="0"/>
    <xf numFmtId="0" fontId="34" fillId="0" borderId="0"/>
    <xf numFmtId="0" fontId="43" fillId="0" borderId="0"/>
    <xf numFmtId="0" fontId="23" fillId="0" borderId="0"/>
    <xf numFmtId="0" fontId="34" fillId="0" borderId="0"/>
    <xf numFmtId="0" fontId="23" fillId="0" borderId="0"/>
    <xf numFmtId="0" fontId="34" fillId="0" borderId="0"/>
    <xf numFmtId="0" fontId="34" fillId="0" borderId="0"/>
    <xf numFmtId="0" fontId="34"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5" fillId="0" borderId="0"/>
    <xf numFmtId="0" fontId="23" fillId="0" borderId="0">
      <alignment vertical="center"/>
    </xf>
    <xf numFmtId="0" fontId="23" fillId="0" borderId="0"/>
    <xf numFmtId="0" fontId="23" fillId="0" borderId="0"/>
    <xf numFmtId="0" fontId="23" fillId="0" borderId="0"/>
    <xf numFmtId="0" fontId="23" fillId="0" borderId="0"/>
    <xf numFmtId="0" fontId="4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43" fillId="0" borderId="0"/>
    <xf numFmtId="0" fontId="23" fillId="0" borderId="0">
      <alignment vertical="center"/>
    </xf>
    <xf numFmtId="0" fontId="23" fillId="0" borderId="0"/>
    <xf numFmtId="0" fontId="23" fillId="0" borderId="0"/>
    <xf numFmtId="0" fontId="4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alignment vertical="center"/>
    </xf>
    <xf numFmtId="0" fontId="23" fillId="0" borderId="0">
      <alignment vertical="center"/>
    </xf>
    <xf numFmtId="0" fontId="5"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5" fillId="8" borderId="8" applyNumberFormat="0" applyFont="0" applyAlignment="0" applyProtection="0"/>
    <xf numFmtId="0" fontId="44" fillId="8" borderId="8" applyNumberFormat="0" applyFont="0" applyAlignment="0" applyProtection="0"/>
    <xf numFmtId="0" fontId="5"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14" fillId="6" borderId="5" applyNumberFormat="0" applyAlignment="0" applyProtection="0"/>
    <xf numFmtId="0" fontId="65" fillId="58" borderId="39" applyNumberFormat="0" applyAlignment="0" applyProtection="0"/>
    <xf numFmtId="0" fontId="65" fillId="58" borderId="39" applyNumberFormat="0" applyAlignment="0" applyProtection="0"/>
    <xf numFmtId="0" fontId="65" fillId="58" borderId="39" applyNumberFormat="0" applyAlignment="0" applyProtection="0"/>
    <xf numFmtId="0" fontId="14" fillId="6" borderId="5" applyNumberFormat="0" applyAlignment="0" applyProtection="0"/>
    <xf numFmtId="0" fontId="66" fillId="58" borderId="5" applyNumberFormat="0" applyAlignment="0" applyProtection="0"/>
    <xf numFmtId="0" fontId="66" fillId="58" borderId="5" applyNumberFormat="0" applyAlignment="0" applyProtection="0"/>
    <xf numFmtId="0" fontId="66" fillId="58" borderId="5" applyNumberFormat="0" applyAlignment="0" applyProtection="0"/>
    <xf numFmtId="0" fontId="66" fillId="58" borderId="5" applyNumberFormat="0" applyAlignment="0" applyProtection="0"/>
    <xf numFmtId="0" fontId="65" fillId="58" borderId="39" applyNumberFormat="0" applyAlignment="0" applyProtection="0"/>
    <xf numFmtId="0" fontId="65" fillId="58" borderId="39" applyNumberFormat="0" applyAlignment="0" applyProtection="0"/>
    <xf numFmtId="0" fontId="65" fillId="58" borderId="39" applyNumberFormat="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23"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lignment vertical="center"/>
    </xf>
    <xf numFmtId="9" fontId="5" fillId="0" borderId="0" applyFont="0" applyFill="0" applyBorder="0" applyAlignment="0" applyProtection="0"/>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9" fontId="23" fillId="0" borderId="0">
      <alignment vertical="center"/>
    </xf>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0" fillId="0" borderId="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20" fillId="0" borderId="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309">
    <xf numFmtId="0" fontId="0" fillId="0" borderId="0" xfId="0"/>
    <xf numFmtId="0" fontId="24" fillId="33" borderId="0" xfId="0" applyFont="1" applyFill="1" applyAlignment="1" applyProtection="1">
      <alignment vertical="top" wrapText="1"/>
    </xf>
    <xf numFmtId="0" fontId="0" fillId="33" borderId="0" xfId="0" applyFill="1" applyBorder="1" applyProtection="1"/>
    <xf numFmtId="0" fontId="27" fillId="33" borderId="0" xfId="0" applyFont="1" applyFill="1" applyBorder="1" applyAlignment="1" applyProtection="1"/>
    <xf numFmtId="0" fontId="0" fillId="33" borderId="0" xfId="0" applyFill="1" applyBorder="1" applyAlignment="1" applyProtection="1">
      <alignment horizontal="left" indent="1"/>
    </xf>
    <xf numFmtId="0" fontId="28" fillId="33" borderId="0" xfId="0" applyFont="1" applyFill="1" applyBorder="1" applyAlignment="1" applyProtection="1"/>
    <xf numFmtId="0" fontId="0" fillId="0" borderId="0" xfId="0" applyProtection="1"/>
    <xf numFmtId="0" fontId="25" fillId="0" borderId="0" xfId="0" applyFont="1" applyAlignment="1" applyProtection="1">
      <alignment horizontal="right"/>
    </xf>
    <xf numFmtId="0" fontId="23" fillId="0" borderId="0" xfId="0" applyFont="1" applyAlignment="1" applyProtection="1">
      <alignment horizontal="right"/>
    </xf>
    <xf numFmtId="0" fontId="28" fillId="0" borderId="0" xfId="0" applyFont="1" applyAlignment="1" applyProtection="1">
      <alignment horizontal="center"/>
    </xf>
    <xf numFmtId="0" fontId="30" fillId="35" borderId="0" xfId="0" applyFont="1" applyFill="1" applyAlignment="1" applyProtection="1">
      <alignment horizontal="center"/>
    </xf>
    <xf numFmtId="0" fontId="23" fillId="0" borderId="0" xfId="0" applyFont="1" applyProtection="1"/>
    <xf numFmtId="0" fontId="25" fillId="0" borderId="0" xfId="0" applyFont="1" applyProtection="1"/>
    <xf numFmtId="164" fontId="25" fillId="34" borderId="11" xfId="1" applyNumberFormat="1" applyFont="1" applyFill="1" applyBorder="1" applyProtection="1">
      <protection locked="0"/>
    </xf>
    <xf numFmtId="0" fontId="25" fillId="0" borderId="0" xfId="0" applyFont="1" applyAlignment="1" applyProtection="1"/>
    <xf numFmtId="0" fontId="25" fillId="0" borderId="0" xfId="0" applyFont="1" applyAlignment="1" applyProtection="1">
      <alignment horizontal="center"/>
    </xf>
    <xf numFmtId="0" fontId="25" fillId="0" borderId="15" xfId="0" applyFont="1" applyBorder="1" applyAlignment="1" applyProtection="1">
      <alignment horizontal="center"/>
    </xf>
    <xf numFmtId="0" fontId="25" fillId="0" borderId="16" xfId="0" applyFont="1" applyBorder="1" applyAlignment="1" applyProtection="1">
      <alignment horizontal="center"/>
    </xf>
    <xf numFmtId="0" fontId="25" fillId="0" borderId="17" xfId="0" applyFont="1" applyBorder="1" applyAlignment="1" applyProtection="1">
      <alignment horizontal="center"/>
    </xf>
    <xf numFmtId="0" fontId="25" fillId="0" borderId="19" xfId="0" quotePrefix="1" applyFont="1" applyBorder="1" applyAlignment="1" applyProtection="1">
      <alignment horizontal="center"/>
    </xf>
    <xf numFmtId="0" fontId="25"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5"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5" fillId="36" borderId="11" xfId="0" applyNumberFormat="1" applyFont="1" applyFill="1" applyBorder="1" applyAlignment="1" applyProtection="1">
      <alignment vertical="center"/>
    </xf>
    <xf numFmtId="10" fontId="25" fillId="36" borderId="14" xfId="3" applyNumberFormat="1" applyFont="1" applyFill="1" applyBorder="1" applyAlignment="1" applyProtection="1">
      <alignment vertical="center"/>
    </xf>
    <xf numFmtId="0" fontId="0" fillId="0" borderId="0" xfId="0" applyFill="1" applyProtection="1"/>
    <xf numFmtId="0" fontId="23"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23"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5"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5"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5" fillId="36" borderId="0" xfId="0" applyFont="1" applyFill="1" applyAlignment="1" applyProtection="1">
      <alignment vertical="center"/>
    </xf>
    <xf numFmtId="0" fontId="25" fillId="36" borderId="11" xfId="0" applyFont="1" applyFill="1" applyBorder="1" applyAlignment="1" applyProtection="1">
      <alignment vertical="center"/>
    </xf>
    <xf numFmtId="0" fontId="25" fillId="36" borderId="14" xfId="0" applyFont="1" applyFill="1" applyBorder="1" applyAlignment="1" applyProtection="1">
      <alignment vertical="center"/>
    </xf>
    <xf numFmtId="0" fontId="0" fillId="0" borderId="0" xfId="0" applyAlignment="1" applyProtection="1">
      <alignment vertical="top" wrapText="1"/>
    </xf>
    <xf numFmtId="165" fontId="23" fillId="34" borderId="18" xfId="2" applyNumberFormat="1" applyFill="1" applyBorder="1" applyAlignment="1" applyProtection="1">
      <alignment vertical="top"/>
      <protection locked="0"/>
    </xf>
    <xf numFmtId="44" fontId="23" fillId="0" borderId="16" xfId="2" applyBorder="1" applyAlignment="1" applyProtection="1">
      <alignment vertical="center"/>
    </xf>
    <xf numFmtId="10" fontId="23"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23" fillId="37" borderId="18" xfId="0" applyNumberFormat="1" applyFont="1" applyFill="1" applyBorder="1" applyAlignment="1" applyProtection="1">
      <alignment vertical="center"/>
    </xf>
    <xf numFmtId="0" fontId="23" fillId="0" borderId="0" xfId="4" applyFont="1" applyAlignment="1" applyProtection="1">
      <alignment vertical="top"/>
    </xf>
    <xf numFmtId="0" fontId="23" fillId="0" borderId="0" xfId="4" applyAlignment="1" applyProtection="1">
      <alignment vertical="top"/>
    </xf>
    <xf numFmtId="0" fontId="23" fillId="35" borderId="0" xfId="4" applyFill="1" applyAlignment="1" applyProtection="1">
      <alignment vertical="top"/>
      <protection locked="0"/>
    </xf>
    <xf numFmtId="0" fontId="23" fillId="0" borderId="0" xfId="4" applyFill="1" applyAlignment="1" applyProtection="1">
      <alignment vertical="top"/>
    </xf>
    <xf numFmtId="1" fontId="23" fillId="37" borderId="18" xfId="4" applyNumberFormat="1" applyFill="1" applyBorder="1" applyAlignment="1" applyProtection="1">
      <alignment vertical="center"/>
    </xf>
    <xf numFmtId="0" fontId="23" fillId="0" borderId="0" xfId="4" applyAlignment="1" applyProtection="1">
      <alignment vertical="center"/>
    </xf>
    <xf numFmtId="44" fontId="23" fillId="0" borderId="18" xfId="4" applyNumberFormat="1" applyBorder="1" applyAlignment="1" applyProtection="1">
      <alignment vertical="center"/>
    </xf>
    <xf numFmtId="0" fontId="23" fillId="0" borderId="0" xfId="4" applyProtection="1"/>
    <xf numFmtId="0" fontId="23"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23"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23"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23" fillId="39" borderId="26" xfId="3" applyNumberFormat="1" applyFill="1" applyBorder="1" applyAlignment="1" applyProtection="1">
      <alignment vertical="center"/>
    </xf>
    <xf numFmtId="0" fontId="25"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5" fillId="0" borderId="21" xfId="0" applyNumberFormat="1" applyFont="1" applyFill="1" applyBorder="1" applyAlignment="1" applyProtection="1">
      <alignment vertical="center"/>
    </xf>
    <xf numFmtId="0" fontId="25" fillId="0" borderId="18" xfId="0" applyFont="1" applyFill="1" applyBorder="1" applyAlignment="1" applyProtection="1">
      <alignment vertical="center"/>
    </xf>
    <xf numFmtId="9" fontId="25" fillId="0" borderId="18" xfId="0" applyNumberFormat="1" applyFont="1" applyFill="1" applyBorder="1" applyAlignment="1" applyProtection="1">
      <alignment vertical="center"/>
    </xf>
    <xf numFmtId="0" fontId="25" fillId="0" borderId="0" xfId="0" applyFont="1" applyFill="1" applyBorder="1" applyAlignment="1" applyProtection="1">
      <alignment vertical="center"/>
    </xf>
    <xf numFmtId="44" fontId="25" fillId="0" borderId="18" xfId="0" applyNumberFormat="1" applyFont="1" applyFill="1" applyBorder="1" applyAlignment="1" applyProtection="1">
      <alignment vertical="center"/>
    </xf>
    <xf numFmtId="10" fontId="25" fillId="0" borderId="16" xfId="3" applyNumberFormat="1" applyFont="1" applyFill="1" applyBorder="1" applyAlignment="1" applyProtection="1">
      <alignment vertical="center"/>
    </xf>
    <xf numFmtId="0" fontId="23"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23" fillId="0" borderId="21" xfId="0" applyNumberFormat="1" applyFont="1" applyFill="1" applyBorder="1" applyAlignment="1" applyProtection="1">
      <alignment vertical="center"/>
    </xf>
    <xf numFmtId="0" fontId="23" fillId="0" borderId="18" xfId="0" applyFont="1" applyFill="1" applyBorder="1" applyAlignment="1" applyProtection="1">
      <alignment vertical="center"/>
    </xf>
    <xf numFmtId="9" fontId="23" fillId="0" borderId="18" xfId="0" applyNumberFormat="1" applyFont="1" applyFill="1" applyBorder="1" applyAlignment="1" applyProtection="1">
      <alignment vertical="center"/>
      <protection locked="0"/>
    </xf>
    <xf numFmtId="44" fontId="23" fillId="0" borderId="16" xfId="0" applyNumberFormat="1" applyFont="1" applyFill="1" applyBorder="1" applyAlignment="1" applyProtection="1">
      <alignment vertical="center"/>
    </xf>
    <xf numFmtId="0" fontId="23" fillId="0" borderId="0" xfId="0" applyFont="1" applyFill="1" applyBorder="1" applyAlignment="1" applyProtection="1">
      <alignment vertical="center"/>
    </xf>
    <xf numFmtId="44" fontId="23" fillId="0" borderId="18" xfId="0" applyNumberFormat="1" applyFont="1" applyFill="1" applyBorder="1" applyAlignment="1" applyProtection="1">
      <alignment vertical="center"/>
    </xf>
    <xf numFmtId="10" fontId="23" fillId="0" borderId="16" xfId="3" applyNumberFormat="1" applyFont="1" applyFill="1" applyBorder="1" applyAlignment="1" applyProtection="1">
      <alignment vertical="center"/>
    </xf>
    <xf numFmtId="0" fontId="25" fillId="0" borderId="0" xfId="0" applyFont="1" applyAlignment="1" applyProtection="1">
      <alignment horizontal="left" vertical="top" wrapText="1" indent="1"/>
    </xf>
    <xf numFmtId="0" fontId="0" fillId="0" borderId="18" xfId="0" applyFill="1" applyBorder="1" applyAlignment="1" applyProtection="1">
      <alignment vertical="top"/>
    </xf>
    <xf numFmtId="0" fontId="23" fillId="39" borderId="22" xfId="4" applyFont="1" applyFill="1" applyBorder="1" applyProtection="1"/>
    <xf numFmtId="0" fontId="23" fillId="39" borderId="23" xfId="4" applyFill="1" applyBorder="1" applyAlignment="1" applyProtection="1">
      <alignment vertical="top"/>
    </xf>
    <xf numFmtId="0" fontId="23" fillId="39" borderId="23" xfId="4" applyFill="1" applyBorder="1" applyAlignment="1" applyProtection="1">
      <alignment vertical="top"/>
      <protection locked="0"/>
    </xf>
    <xf numFmtId="0" fontId="23" fillId="39" borderId="25" xfId="4" applyFill="1" applyBorder="1" applyAlignment="1" applyProtection="1">
      <alignment vertical="center"/>
      <protection locked="0"/>
    </xf>
    <xf numFmtId="0" fontId="23" fillId="39" borderId="23" xfId="4" applyFill="1" applyBorder="1" applyAlignment="1" applyProtection="1">
      <alignment vertical="center"/>
    </xf>
    <xf numFmtId="0" fontId="23" fillId="39" borderId="24" xfId="4" applyFill="1" applyBorder="1" applyAlignment="1" applyProtection="1">
      <alignment vertical="center"/>
      <protection locked="0"/>
    </xf>
    <xf numFmtId="44" fontId="23" fillId="39" borderId="24" xfId="4" applyNumberFormat="1" applyFill="1" applyBorder="1" applyAlignment="1" applyProtection="1">
      <alignment vertical="center"/>
    </xf>
    <xf numFmtId="0" fontId="25" fillId="0" borderId="0" xfId="4" applyFont="1" applyFill="1" applyAlignment="1" applyProtection="1">
      <alignment vertical="top"/>
    </xf>
    <xf numFmtId="9" fontId="23" fillId="0" borderId="18" xfId="4" applyNumberFormat="1" applyFill="1" applyBorder="1" applyAlignment="1" applyProtection="1">
      <alignment vertical="top"/>
    </xf>
    <xf numFmtId="9" fontId="23" fillId="0" borderId="0" xfId="4" applyNumberFormat="1" applyFill="1" applyBorder="1" applyAlignment="1" applyProtection="1">
      <alignment vertical="center"/>
    </xf>
    <xf numFmtId="44" fontId="25" fillId="0" borderId="21" xfId="4" applyNumberFormat="1" applyFont="1" applyFill="1" applyBorder="1" applyAlignment="1" applyProtection="1">
      <alignment vertical="center"/>
    </xf>
    <xf numFmtId="0" fontId="25" fillId="0" borderId="18" xfId="4" applyFont="1" applyFill="1" applyBorder="1" applyAlignment="1" applyProtection="1">
      <alignment vertical="center"/>
    </xf>
    <xf numFmtId="9" fontId="25" fillId="0" borderId="18" xfId="4" applyNumberFormat="1" applyFont="1" applyFill="1" applyBorder="1" applyAlignment="1" applyProtection="1">
      <alignment vertical="center"/>
    </xf>
    <xf numFmtId="0" fontId="25" fillId="0" borderId="0" xfId="4" applyFont="1" applyFill="1" applyBorder="1" applyAlignment="1" applyProtection="1">
      <alignment vertical="center"/>
    </xf>
    <xf numFmtId="44" fontId="25" fillId="0" borderId="18" xfId="4" applyNumberFormat="1" applyFont="1" applyFill="1" applyBorder="1" applyAlignment="1" applyProtection="1">
      <alignment vertical="center"/>
    </xf>
    <xf numFmtId="0" fontId="23" fillId="0" borderId="0" xfId="4" applyFont="1" applyFill="1" applyAlignment="1" applyProtection="1">
      <alignment horizontal="left" vertical="top" indent="1"/>
    </xf>
    <xf numFmtId="9" fontId="23" fillId="0" borderId="18" xfId="4" applyNumberFormat="1" applyFill="1" applyBorder="1" applyAlignment="1" applyProtection="1">
      <alignment vertical="top"/>
      <protection locked="0"/>
    </xf>
    <xf numFmtId="44" fontId="23" fillId="0" borderId="21" xfId="4" applyNumberFormat="1" applyFont="1" applyFill="1" applyBorder="1" applyAlignment="1" applyProtection="1">
      <alignment vertical="center"/>
    </xf>
    <xf numFmtId="0" fontId="23" fillId="0" borderId="18" xfId="4" applyFont="1" applyFill="1" applyBorder="1" applyAlignment="1" applyProtection="1">
      <alignment vertical="center"/>
    </xf>
    <xf numFmtId="9" fontId="23" fillId="0" borderId="18" xfId="4" applyNumberFormat="1" applyFont="1" applyFill="1" applyBorder="1" applyAlignment="1" applyProtection="1">
      <alignment vertical="top"/>
      <protection locked="0"/>
    </xf>
    <xf numFmtId="9" fontId="23" fillId="0" borderId="18" xfId="4" applyNumberFormat="1" applyFont="1" applyFill="1" applyBorder="1" applyAlignment="1" applyProtection="1">
      <alignment vertical="center"/>
    </xf>
    <xf numFmtId="44" fontId="23" fillId="0" borderId="16" xfId="4" applyNumberFormat="1" applyFont="1" applyFill="1" applyBorder="1" applyAlignment="1" applyProtection="1">
      <alignment vertical="center"/>
    </xf>
    <xf numFmtId="0" fontId="23" fillId="0" borderId="0" xfId="4" applyFont="1" applyFill="1" applyBorder="1" applyAlignment="1" applyProtection="1">
      <alignment vertical="center"/>
    </xf>
    <xf numFmtId="44" fontId="23" fillId="0" borderId="18" xfId="4" applyNumberFormat="1" applyFont="1" applyFill="1" applyBorder="1" applyAlignment="1" applyProtection="1">
      <alignment vertical="center"/>
    </xf>
    <xf numFmtId="0" fontId="25" fillId="0" borderId="0" xfId="4" applyFont="1" applyAlignment="1" applyProtection="1">
      <alignment horizontal="left" vertical="top" wrapText="1" indent="1"/>
    </xf>
    <xf numFmtId="0" fontId="23" fillId="0" borderId="18" xfId="4" applyFill="1" applyBorder="1" applyAlignment="1" applyProtection="1">
      <alignment vertical="top"/>
    </xf>
    <xf numFmtId="0" fontId="23" fillId="0" borderId="0" xfId="4" applyFill="1" applyBorder="1" applyAlignment="1" applyProtection="1">
      <alignment vertical="center"/>
    </xf>
    <xf numFmtId="165" fontId="23" fillId="39" borderId="25" xfId="2" applyNumberFormat="1" applyFill="1" applyBorder="1" applyAlignment="1" applyProtection="1">
      <alignment vertical="top"/>
      <protection locked="0"/>
    </xf>
    <xf numFmtId="0" fontId="23" fillId="39" borderId="23" xfId="4" applyFill="1" applyBorder="1" applyAlignment="1" applyProtection="1">
      <alignment vertical="center"/>
      <protection locked="0"/>
    </xf>
    <xf numFmtId="44" fontId="23" fillId="39" borderId="29" xfId="2" applyFill="1" applyBorder="1" applyAlignment="1" applyProtection="1">
      <alignment vertical="center"/>
    </xf>
    <xf numFmtId="0" fontId="23" fillId="39" borderId="25" xfId="4" applyFill="1" applyBorder="1" applyAlignment="1" applyProtection="1">
      <alignment vertical="center"/>
    </xf>
    <xf numFmtId="44" fontId="23" fillId="39" borderId="24" xfId="2" applyFill="1" applyBorder="1" applyAlignment="1" applyProtection="1">
      <alignment vertical="center"/>
    </xf>
    <xf numFmtId="44" fontId="23" fillId="39" borderId="25" xfId="4" applyNumberFormat="1" applyFill="1" applyBorder="1" applyAlignment="1" applyProtection="1">
      <alignment vertical="center"/>
    </xf>
    <xf numFmtId="44" fontId="0" fillId="0" borderId="0" xfId="0" applyNumberFormat="1" applyProtection="1"/>
    <xf numFmtId="167" fontId="23" fillId="34" borderId="11" xfId="3" applyNumberFormat="1" applyFill="1" applyBorder="1" applyProtection="1">
      <protection locked="0"/>
    </xf>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5" fontId="0" fillId="65" borderId="18" xfId="2" applyNumberFormat="1" applyFont="1" applyFill="1" applyBorder="1" applyAlignment="1" applyProtection="1">
      <alignment vertical="top"/>
      <protection locked="0"/>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184" fontId="0" fillId="34" borderId="18" xfId="1" applyNumberFormat="1" applyFont="1" applyFill="1" applyBorder="1" applyAlignment="1" applyProtection="1">
      <alignment vertical="center"/>
      <protection locked="0"/>
    </xf>
    <xf numFmtId="43" fontId="25" fillId="34" borderId="11" xfId="1" applyNumberFormat="1" applyFont="1" applyFill="1" applyBorder="1" applyProtection="1">
      <protection locked="0"/>
    </xf>
    <xf numFmtId="185" fontId="0" fillId="38" borderId="18" xfId="0" applyNumberFormat="1" applyFill="1" applyBorder="1" applyAlignment="1" applyProtection="1">
      <alignment vertical="center"/>
    </xf>
    <xf numFmtId="43" fontId="25" fillId="34" borderId="11" xfId="1" applyFont="1" applyFill="1" applyBorder="1" applyProtection="1">
      <protection locked="0"/>
    </xf>
    <xf numFmtId="186" fontId="0" fillId="34" borderId="18" xfId="1" applyNumberFormat="1" applyFont="1" applyFill="1" applyBorder="1" applyAlignment="1" applyProtection="1">
      <alignment vertical="center"/>
      <protection locked="0"/>
    </xf>
    <xf numFmtId="0" fontId="25" fillId="0" borderId="0" xfId="0" applyFont="1" applyFill="1"/>
    <xf numFmtId="0" fontId="26" fillId="0" borderId="0" xfId="0" applyFont="1" applyFill="1" applyAlignment="1">
      <alignment horizontal="right" vertical="top"/>
    </xf>
    <xf numFmtId="0" fontId="26" fillId="0" borderId="10" xfId="0" applyFont="1" applyFill="1" applyBorder="1" applyAlignment="1">
      <alignment horizontal="right" vertical="top"/>
    </xf>
    <xf numFmtId="0" fontId="29" fillId="0" borderId="0" xfId="0" applyFont="1" applyAlignment="1" applyProtection="1"/>
    <xf numFmtId="0" fontId="0" fillId="0" borderId="0" xfId="0" applyFill="1"/>
    <xf numFmtId="0" fontId="29" fillId="0" borderId="0" xfId="0" applyFont="1" applyFill="1" applyAlignment="1" applyProtection="1"/>
    <xf numFmtId="0" fontId="0" fillId="34" borderId="0" xfId="0" applyFill="1" applyProtection="1"/>
    <xf numFmtId="0" fontId="4" fillId="0" borderId="0" xfId="46642"/>
    <xf numFmtId="0" fontId="72" fillId="0" borderId="26" xfId="46642" applyFont="1" applyBorder="1" applyAlignment="1">
      <alignment horizontal="center" vertical="center" wrapText="1"/>
    </xf>
    <xf numFmtId="0" fontId="20" fillId="0" borderId="0" xfId="46642" applyFont="1"/>
    <xf numFmtId="10" fontId="0" fillId="0" borderId="0" xfId="46644" applyNumberFormat="1" applyFont="1"/>
    <xf numFmtId="10" fontId="4" fillId="0" borderId="0" xfId="46642" applyNumberFormat="1"/>
    <xf numFmtId="0" fontId="3" fillId="0" borderId="0" xfId="46642" applyFont="1"/>
    <xf numFmtId="0" fontId="2" fillId="0" borderId="0" xfId="46645"/>
    <xf numFmtId="0" fontId="20" fillId="0" borderId="0" xfId="46645" applyFont="1"/>
    <xf numFmtId="0" fontId="2" fillId="0" borderId="0" xfId="46649"/>
    <xf numFmtId="0" fontId="20" fillId="0" borderId="0" xfId="46649" applyFont="1"/>
    <xf numFmtId="186" fontId="2" fillId="0" borderId="0" xfId="46649" applyNumberFormat="1"/>
    <xf numFmtId="0" fontId="25" fillId="0" borderId="0" xfId="0" applyFont="1"/>
    <xf numFmtId="2" fontId="2" fillId="0" borderId="0" xfId="46653" applyNumberFormat="1"/>
    <xf numFmtId="187" fontId="2" fillId="0" borderId="0" xfId="46653" applyNumberFormat="1"/>
    <xf numFmtId="43" fontId="0" fillId="0" borderId="0" xfId="1" applyFont="1"/>
    <xf numFmtId="43" fontId="0" fillId="0" borderId="0" xfId="0" applyNumberFormat="1"/>
    <xf numFmtId="43" fontId="0" fillId="0" borderId="18" xfId="0" applyNumberFormat="1" applyFill="1" applyBorder="1" applyAlignment="1" applyProtection="1">
      <alignment vertical="center"/>
    </xf>
    <xf numFmtId="44" fontId="74" fillId="0" borderId="44" xfId="46643" applyFont="1" applyFill="1" applyBorder="1" applyAlignment="1">
      <alignment vertical="center" wrapText="1"/>
    </xf>
    <xf numFmtId="44" fontId="74" fillId="0" borderId="47" xfId="46643" applyFont="1" applyFill="1" applyBorder="1" applyAlignment="1">
      <alignment vertical="center" wrapText="1"/>
    </xf>
    <xf numFmtId="0" fontId="74" fillId="0" borderId="49" xfId="46642" applyFont="1" applyFill="1" applyBorder="1" applyAlignment="1">
      <alignment vertical="center" wrapText="1"/>
    </xf>
    <xf numFmtId="0" fontId="74" fillId="0" borderId="52" xfId="46642" applyFont="1" applyFill="1" applyBorder="1" applyAlignment="1">
      <alignment vertical="center" wrapText="1"/>
    </xf>
    <xf numFmtId="188" fontId="2" fillId="0" borderId="0" xfId="46653" applyNumberFormat="1"/>
    <xf numFmtId="0" fontId="76" fillId="0" borderId="41" xfId="46642" applyFont="1" applyBorder="1" applyAlignment="1">
      <alignment horizontal="center" vertical="center" wrapText="1"/>
    </xf>
    <xf numFmtId="188" fontId="2" fillId="0" borderId="0" xfId="46653" applyNumberFormat="1" applyFill="1"/>
    <xf numFmtId="188" fontId="0" fillId="0" borderId="0" xfId="0" applyNumberFormat="1"/>
    <xf numFmtId="0" fontId="0" fillId="0" borderId="0" xfId="0" applyFont="1"/>
    <xf numFmtId="0" fontId="1" fillId="0" borderId="0" xfId="46645" applyFont="1"/>
    <xf numFmtId="44" fontId="0" fillId="0" borderId="16" xfId="2" applyNumberFormat="1" applyFont="1" applyBorder="1" applyAlignment="1" applyProtection="1">
      <alignment vertical="center"/>
    </xf>
    <xf numFmtId="0" fontId="78"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78" fillId="0" borderId="0" xfId="4" applyFont="1" applyFill="1" applyBorder="1" applyAlignment="1" applyProtection="1">
      <alignment vertical="center"/>
    </xf>
    <xf numFmtId="0" fontId="31" fillId="0" borderId="0" xfId="4" applyFont="1" applyFill="1" applyBorder="1" applyAlignment="1" applyProtection="1">
      <alignment vertical="center"/>
    </xf>
    <xf numFmtId="0" fontId="31" fillId="0" borderId="0" xfId="0" applyFont="1" applyFill="1" applyBorder="1" applyProtection="1"/>
    <xf numFmtId="0" fontId="0" fillId="0" borderId="0" xfId="0" applyFill="1" applyBorder="1" applyProtection="1"/>
    <xf numFmtId="0" fontId="23" fillId="0" borderId="0" xfId="4" applyFill="1" applyBorder="1" applyProtection="1"/>
    <xf numFmtId="0" fontId="0" fillId="0" borderId="19" xfId="0" applyFill="1" applyBorder="1" applyAlignment="1" applyProtection="1">
      <alignment vertical="top"/>
    </xf>
    <xf numFmtId="0" fontId="0" fillId="0" borderId="27" xfId="0" applyFill="1" applyBorder="1" applyAlignment="1" applyProtection="1">
      <alignment vertical="center"/>
    </xf>
    <xf numFmtId="0" fontId="23" fillId="0" borderId="19" xfId="0" applyFont="1" applyFill="1" applyBorder="1" applyAlignment="1" applyProtection="1">
      <alignment vertical="center"/>
    </xf>
    <xf numFmtId="0" fontId="23" fillId="0" borderId="27" xfId="0" applyFont="1" applyFill="1" applyBorder="1" applyAlignment="1" applyProtection="1">
      <alignment vertical="center"/>
    </xf>
    <xf numFmtId="0" fontId="25" fillId="0" borderId="27" xfId="0" applyFont="1" applyBorder="1" applyAlignment="1" applyProtection="1">
      <alignment horizontal="left" vertical="top" wrapText="1" indent="1"/>
    </xf>
    <xf numFmtId="0" fontId="0" fillId="0" borderId="27" xfId="0" applyBorder="1" applyAlignment="1" applyProtection="1">
      <alignment vertical="top"/>
    </xf>
    <xf numFmtId="44" fontId="25" fillId="0" borderId="16" xfId="4" applyNumberFormat="1" applyFont="1" applyFill="1" applyBorder="1" applyAlignment="1" applyProtection="1">
      <alignment vertical="center"/>
    </xf>
    <xf numFmtId="44" fontId="25" fillId="0" borderId="16" xfId="0" applyNumberFormat="1" applyFont="1" applyFill="1" applyBorder="1" applyAlignment="1" applyProtection="1">
      <alignment vertical="center"/>
    </xf>
    <xf numFmtId="10" fontId="25" fillId="0" borderId="20" xfId="3" applyNumberFormat="1" applyFont="1" applyFill="1" applyBorder="1" applyAlignment="1" applyProtection="1">
      <alignment vertical="center"/>
    </xf>
    <xf numFmtId="44" fontId="25" fillId="0" borderId="19" xfId="0" applyNumberFormat="1" applyFont="1" applyFill="1" applyBorder="1" applyAlignment="1" applyProtection="1">
      <alignment vertical="center"/>
    </xf>
    <xf numFmtId="44" fontId="25" fillId="0" borderId="20" xfId="0" applyNumberFormat="1" applyFont="1" applyFill="1" applyBorder="1" applyAlignment="1" applyProtection="1">
      <alignment vertical="center"/>
    </xf>
    <xf numFmtId="44" fontId="25" fillId="0" borderId="28" xfId="0" applyNumberFormat="1" applyFont="1" applyFill="1" applyBorder="1" applyAlignment="1" applyProtection="1">
      <alignment vertical="center"/>
    </xf>
    <xf numFmtId="44" fontId="0" fillId="0" borderId="21" xfId="0" applyNumberFormat="1" applyFont="1" applyFill="1" applyBorder="1" applyAlignment="1" applyProtection="1">
      <alignment vertical="center"/>
    </xf>
    <xf numFmtId="44" fontId="25" fillId="39" borderId="25" xfId="4" applyNumberFormat="1" applyFont="1" applyFill="1" applyBorder="1" applyAlignment="1" applyProtection="1">
      <alignment vertical="center"/>
    </xf>
    <xf numFmtId="0" fontId="73" fillId="0" borderId="43" xfId="46642" applyFont="1" applyFill="1" applyBorder="1" applyAlignment="1">
      <alignment vertical="center" wrapText="1"/>
    </xf>
    <xf numFmtId="0" fontId="73" fillId="0" borderId="46" xfId="46642" applyFont="1" applyFill="1" applyBorder="1" applyAlignment="1">
      <alignment vertical="center" wrapText="1"/>
    </xf>
    <xf numFmtId="0" fontId="73" fillId="0" borderId="48" xfId="46642" applyFont="1" applyFill="1" applyBorder="1" applyAlignment="1">
      <alignment vertical="center" wrapText="1"/>
    </xf>
    <xf numFmtId="0" fontId="73" fillId="0" borderId="51" xfId="46642" applyFont="1" applyFill="1" applyBorder="1" applyAlignment="1">
      <alignment vertical="center" wrapText="1"/>
    </xf>
    <xf numFmtId="191" fontId="0" fillId="34" borderId="18" xfId="2" applyNumberFormat="1" applyFont="1" applyFill="1" applyBorder="1" applyAlignment="1" applyProtection="1">
      <alignment vertical="center"/>
      <protection locked="0"/>
    </xf>
    <xf numFmtId="0" fontId="0" fillId="0" borderId="18" xfId="0" applyNumberFormat="1" applyFill="1" applyBorder="1" applyAlignment="1" applyProtection="1">
      <alignment vertical="center"/>
    </xf>
    <xf numFmtId="0" fontId="29" fillId="0" borderId="0" xfId="39597" applyFont="1" applyProtection="1"/>
    <xf numFmtId="0" fontId="0" fillId="0" borderId="0" xfId="0" applyBorder="1" applyAlignment="1" applyProtection="1">
      <alignment vertical="center"/>
    </xf>
    <xf numFmtId="191" fontId="0" fillId="34" borderId="18" xfId="2" applyNumberFormat="1" applyFont="1" applyFill="1" applyBorder="1" applyAlignment="1" applyProtection="1">
      <alignment vertical="top"/>
      <protection locked="0"/>
    </xf>
    <xf numFmtId="0" fontId="20" fillId="0" borderId="0" xfId="46649" applyFont="1" applyFill="1"/>
    <xf numFmtId="43" fontId="77" fillId="0" borderId="0" xfId="46650" applyFont="1" applyFill="1"/>
    <xf numFmtId="0" fontId="20" fillId="0" borderId="0" xfId="46645" applyFont="1" applyFill="1"/>
    <xf numFmtId="190" fontId="77" fillId="0" borderId="0" xfId="46653" applyNumberFormat="1" applyFont="1" applyFill="1"/>
    <xf numFmtId="190" fontId="2" fillId="0" borderId="0" xfId="46653" applyNumberFormat="1" applyFill="1"/>
    <xf numFmtId="2" fontId="2" fillId="0" borderId="0" xfId="46653" applyNumberFormat="1" applyFill="1"/>
    <xf numFmtId="187" fontId="2" fillId="0" borderId="0" xfId="46653" applyNumberFormat="1" applyFill="1"/>
    <xf numFmtId="0" fontId="0" fillId="0" borderId="0" xfId="0" applyFont="1" applyFill="1"/>
    <xf numFmtId="190" fontId="0" fillId="0" borderId="0" xfId="0" applyNumberFormat="1" applyFill="1"/>
    <xf numFmtId="187" fontId="1" fillId="0" borderId="0" xfId="46653" applyNumberFormat="1" applyFont="1" applyFill="1"/>
    <xf numFmtId="190" fontId="1" fillId="0" borderId="0" xfId="46653" applyNumberFormat="1" applyFont="1" applyFill="1"/>
    <xf numFmtId="0" fontId="1" fillId="0" borderId="0" xfId="46645" applyFont="1" applyFill="1"/>
    <xf numFmtId="188" fontId="1" fillId="0" borderId="0" xfId="46653" applyNumberFormat="1" applyFont="1" applyFill="1"/>
    <xf numFmtId="2" fontId="1" fillId="0" borderId="0" xfId="46653" applyNumberFormat="1" applyFont="1" applyFill="1"/>
    <xf numFmtId="187" fontId="1" fillId="0" borderId="0" xfId="46645" applyNumberFormat="1" applyFont="1" applyFill="1"/>
    <xf numFmtId="189" fontId="1" fillId="0" borderId="0" xfId="46653" applyNumberFormat="1" applyFont="1" applyFill="1"/>
    <xf numFmtId="0" fontId="77" fillId="0" borderId="0" xfId="46645" applyFont="1" applyFill="1"/>
    <xf numFmtId="0" fontId="77" fillId="0" borderId="0" xfId="46645" applyFont="1"/>
    <xf numFmtId="0" fontId="79" fillId="0" borderId="0" xfId="46645" applyFont="1"/>
    <xf numFmtId="190" fontId="1" fillId="66" borderId="0" xfId="46653" applyNumberFormat="1" applyFont="1" applyFill="1"/>
    <xf numFmtId="0" fontId="23" fillId="0" borderId="16" xfId="0" applyFont="1" applyFill="1" applyBorder="1" applyAlignment="1" applyProtection="1">
      <alignment vertical="center"/>
    </xf>
    <xf numFmtId="0" fontId="0" fillId="0" borderId="0" xfId="0" applyFont="1" applyAlignment="1" applyProtection="1">
      <alignment horizontal="left" vertical="top" wrapText="1" indent="1"/>
    </xf>
    <xf numFmtId="0" fontId="25" fillId="0" borderId="0" xfId="0" applyFont="1" applyAlignment="1" applyProtection="1">
      <alignment horizontal="left" vertical="top" wrapText="1"/>
    </xf>
    <xf numFmtId="44" fontId="25" fillId="0" borderId="54" xfId="0" applyNumberFormat="1" applyFont="1" applyFill="1" applyBorder="1" applyAlignment="1" applyProtection="1">
      <alignment vertical="center"/>
    </xf>
    <xf numFmtId="0" fontId="23" fillId="0" borderId="21" xfId="0" applyFont="1" applyFill="1" applyBorder="1" applyAlignment="1" applyProtection="1">
      <alignment vertical="center"/>
    </xf>
    <xf numFmtId="0" fontId="23" fillId="0" borderId="54" xfId="0" applyFont="1" applyFill="1" applyBorder="1" applyAlignment="1" applyProtection="1">
      <alignment vertical="center"/>
    </xf>
    <xf numFmtId="44" fontId="25" fillId="0" borderId="55" xfId="0" applyNumberFormat="1" applyFont="1" applyFill="1" applyBorder="1" applyAlignment="1" applyProtection="1">
      <alignment vertical="center"/>
    </xf>
    <xf numFmtId="44" fontId="0" fillId="39" borderId="25" xfId="0" applyNumberFormat="1" applyFill="1" applyBorder="1" applyAlignment="1" applyProtection="1">
      <alignment vertical="center"/>
    </xf>
    <xf numFmtId="0" fontId="0" fillId="0" borderId="54" xfId="0" applyFill="1" applyBorder="1" applyAlignment="1" applyProtection="1">
      <alignment vertical="top"/>
    </xf>
    <xf numFmtId="44" fontId="0" fillId="0" borderId="18" xfId="0" applyNumberFormat="1" applyFont="1" applyFill="1" applyBorder="1" applyAlignment="1" applyProtection="1">
      <alignment vertical="center"/>
    </xf>
    <xf numFmtId="0" fontId="25" fillId="0" borderId="0" xfId="4" applyFont="1" applyAlignment="1" applyProtection="1">
      <alignment horizontal="left" vertical="top" wrapText="1"/>
    </xf>
    <xf numFmtId="44" fontId="25" fillId="0" borderId="55" xfId="4" applyNumberFormat="1" applyFont="1" applyFill="1" applyBorder="1" applyAlignment="1" applyProtection="1">
      <alignment vertical="center"/>
    </xf>
    <xf numFmtId="9" fontId="23" fillId="0" borderId="18" xfId="3" applyNumberFormat="1" applyFill="1" applyBorder="1" applyAlignment="1" applyProtection="1">
      <alignment vertical="top"/>
    </xf>
    <xf numFmtId="9" fontId="23" fillId="0" borderId="18" xfId="3" applyFont="1" applyFill="1" applyBorder="1" applyAlignment="1" applyProtection="1">
      <alignment vertical="center"/>
    </xf>
    <xf numFmtId="44" fontId="25" fillId="0" borderId="54" xfId="4"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9" fontId="0" fillId="0" borderId="16" xfId="3" applyFont="1" applyFill="1" applyBorder="1" applyAlignment="1" applyProtection="1">
      <alignment vertical="top"/>
    </xf>
    <xf numFmtId="9" fontId="0" fillId="0" borderId="55" xfId="0" applyNumberFormat="1" applyFill="1" applyBorder="1" applyAlignment="1" applyProtection="1">
      <alignment vertical="top"/>
    </xf>
    <xf numFmtId="9" fontId="0" fillId="0" borderId="18" xfId="3" applyFont="1" applyFill="1" applyBorder="1" applyAlignment="1" applyProtection="1">
      <alignment vertical="top"/>
    </xf>
    <xf numFmtId="0" fontId="25" fillId="0" borderId="21" xfId="0" applyFont="1" applyFill="1" applyBorder="1" applyAlignment="1" applyProtection="1">
      <alignment vertical="center"/>
    </xf>
    <xf numFmtId="9" fontId="25" fillId="0" borderId="55" xfId="0" applyNumberFormat="1" applyFont="1" applyFill="1" applyBorder="1" applyAlignment="1" applyProtection="1">
      <alignment vertical="center"/>
    </xf>
    <xf numFmtId="44" fontId="25" fillId="0" borderId="5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0" fontId="0" fillId="0" borderId="54" xfId="0" applyFill="1" applyBorder="1" applyAlignment="1" applyProtection="1">
      <alignment vertical="center"/>
    </xf>
    <xf numFmtId="44" fontId="0" fillId="0" borderId="16" xfId="0" applyNumberFormat="1" applyFont="1" applyFill="1" applyBorder="1" applyAlignment="1" applyProtection="1">
      <alignment vertical="center"/>
    </xf>
    <xf numFmtId="9" fontId="23" fillId="0" borderId="55" xfId="4" applyNumberFormat="1" applyFill="1" applyBorder="1" applyAlignment="1" applyProtection="1">
      <alignment vertical="top"/>
    </xf>
    <xf numFmtId="44" fontId="25" fillId="0" borderId="57" xfId="0" applyNumberFormat="1" applyFont="1" applyFill="1" applyBorder="1" applyAlignment="1" applyProtection="1">
      <alignment vertical="center"/>
    </xf>
    <xf numFmtId="44" fontId="25" fillId="0" borderId="58" xfId="0" applyNumberFormat="1" applyFont="1" applyFill="1" applyBorder="1" applyAlignment="1" applyProtection="1">
      <alignment vertical="center"/>
    </xf>
    <xf numFmtId="0" fontId="23" fillId="0" borderId="58" xfId="0" applyFont="1" applyFill="1" applyBorder="1" applyAlignment="1" applyProtection="1">
      <alignment vertical="center"/>
    </xf>
    <xf numFmtId="0" fontId="25" fillId="0" borderId="57" xfId="0" applyFont="1" applyFill="1" applyBorder="1" applyAlignment="1" applyProtection="1">
      <alignment vertical="center"/>
    </xf>
    <xf numFmtId="0" fontId="25" fillId="0" borderId="55" xfId="4" applyFont="1" applyFill="1" applyBorder="1" applyAlignment="1" applyProtection="1">
      <alignment vertical="center"/>
    </xf>
    <xf numFmtId="0" fontId="23" fillId="0" borderId="54" xfId="4" applyFont="1" applyFill="1" applyBorder="1" applyAlignment="1" applyProtection="1">
      <alignment vertical="center"/>
    </xf>
    <xf numFmtId="190" fontId="0" fillId="0" borderId="0" xfId="0" applyNumberFormat="1" applyFont="1" applyFill="1"/>
    <xf numFmtId="44" fontId="74" fillId="0" borderId="59" xfId="46643" applyFont="1" applyFill="1" applyBorder="1" applyAlignment="1">
      <alignment vertical="center" wrapText="1"/>
    </xf>
    <xf numFmtId="44" fontId="74" fillId="0" borderId="60" xfId="46643" applyFont="1" applyFill="1" applyBorder="1" applyAlignment="1">
      <alignment vertical="center" wrapText="1"/>
    </xf>
    <xf numFmtId="10" fontId="75" fillId="0" borderId="61" xfId="46644" applyNumberFormat="1" applyFont="1" applyFill="1" applyBorder="1" applyAlignment="1">
      <alignment vertical="center" wrapText="1"/>
    </xf>
    <xf numFmtId="10" fontId="74" fillId="0" borderId="61" xfId="46644" applyNumberFormat="1" applyFont="1" applyFill="1" applyBorder="1" applyAlignment="1">
      <alignment vertical="center" wrapText="1"/>
    </xf>
    <xf numFmtId="10" fontId="74" fillId="0" borderId="62" xfId="46644" applyNumberFormat="1" applyFont="1" applyFill="1" applyBorder="1" applyAlignment="1">
      <alignment vertical="center" wrapText="1"/>
    </xf>
    <xf numFmtId="10" fontId="0" fillId="0" borderId="0" xfId="3" applyNumberFormat="1" applyFont="1" applyProtection="1"/>
    <xf numFmtId="0" fontId="4" fillId="0" borderId="0" xfId="46642" applyFill="1"/>
    <xf numFmtId="0" fontId="73" fillId="0" borderId="42" xfId="46642" applyFont="1" applyFill="1" applyBorder="1" applyAlignment="1">
      <alignment horizontal="center" vertical="center" wrapText="1"/>
    </xf>
    <xf numFmtId="0" fontId="73" fillId="0" borderId="45" xfId="46642" applyFont="1" applyFill="1" applyBorder="1" applyAlignment="1">
      <alignment horizontal="center" vertical="center" wrapText="1"/>
    </xf>
    <xf numFmtId="0" fontId="73" fillId="0" borderId="50" xfId="46642" applyFont="1" applyFill="1" applyBorder="1" applyAlignment="1">
      <alignment horizontal="center" vertical="center" wrapText="1"/>
    </xf>
    <xf numFmtId="0" fontId="20" fillId="0" borderId="22" xfId="46642" applyFont="1" applyBorder="1" applyAlignment="1">
      <alignment horizontal="center"/>
    </xf>
    <xf numFmtId="0" fontId="20" fillId="0" borderId="23" xfId="46642" applyFont="1" applyBorder="1" applyAlignment="1">
      <alignment horizontal="center"/>
    </xf>
    <xf numFmtId="0" fontId="20" fillId="0" borderId="26" xfId="46642" applyFont="1" applyBorder="1" applyAlignment="1">
      <alignment horizontal="center"/>
    </xf>
    <xf numFmtId="0" fontId="25" fillId="0" borderId="53" xfId="0" applyFont="1" applyBorder="1" applyAlignment="1" applyProtection="1">
      <alignment horizontal="center" vertical="top" wrapText="1"/>
    </xf>
    <xf numFmtId="0" fontId="25" fillId="0" borderId="0" xfId="0" applyFont="1" applyAlignment="1" applyProtection="1">
      <alignment horizontal="center" wrapText="1"/>
    </xf>
    <xf numFmtId="0" fontId="0" fillId="0" borderId="0" xfId="0" applyAlignment="1">
      <alignment horizontal="center" wrapText="1"/>
    </xf>
    <xf numFmtId="0" fontId="25" fillId="0" borderId="18" xfId="0" applyFont="1" applyFill="1" applyBorder="1" applyAlignment="1" applyProtection="1">
      <alignment horizontal="center" wrapText="1"/>
    </xf>
    <xf numFmtId="0" fontId="0" fillId="0" borderId="19" xfId="0" applyBorder="1" applyAlignment="1">
      <alignment wrapText="1"/>
    </xf>
    <xf numFmtId="0" fontId="25" fillId="0" borderId="16" xfId="0" applyFont="1" applyFill="1" applyBorder="1" applyAlignment="1" applyProtection="1">
      <alignment horizontal="center" wrapText="1"/>
    </xf>
    <xf numFmtId="0" fontId="0" fillId="0" borderId="20" xfId="0" applyBorder="1" applyAlignment="1">
      <alignment wrapText="1"/>
    </xf>
    <xf numFmtId="0" fontId="27" fillId="33" borderId="0" xfId="0" applyFont="1" applyFill="1" applyBorder="1" applyAlignment="1" applyProtection="1">
      <alignment horizontal="left" indent="7"/>
    </xf>
    <xf numFmtId="0" fontId="28" fillId="34" borderId="0" xfId="0" applyFont="1" applyFill="1" applyAlignment="1" applyProtection="1">
      <alignment horizontal="left" vertic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25" fillId="0" borderId="14" xfId="0" applyFont="1" applyBorder="1" applyAlignment="1" applyProtection="1">
      <alignment horizontal="center"/>
    </xf>
    <xf numFmtId="0" fontId="25" fillId="0" borderId="15" xfId="0" applyFont="1" applyFill="1" applyBorder="1" applyAlignment="1" applyProtection="1">
      <alignment horizontal="center" wrapText="1"/>
    </xf>
    <xf numFmtId="0" fontId="25" fillId="0" borderId="19" xfId="0" applyFont="1" applyFill="1" applyBorder="1" applyAlignment="1" applyProtection="1">
      <alignment horizontal="center" wrapText="1"/>
    </xf>
    <xf numFmtId="0" fontId="25" fillId="0" borderId="53" xfId="0" applyFont="1" applyBorder="1" applyAlignment="1" applyProtection="1">
      <alignment horizontal="left" vertical="top" wrapText="1"/>
    </xf>
  </cellXfs>
  <cellStyles count="46657">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6"/>
    <cellStyle name="Comma 234" xfId="46650"/>
    <cellStyle name="Comma 235" xfId="46654"/>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48"/>
    <cellStyle name="Currency 202" xfId="46652"/>
    <cellStyle name="Currency 203" xfId="4665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5"/>
    <cellStyle name="Normal 346" xfId="46649"/>
    <cellStyle name="Normal 347" xfId="46653"/>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72" xfId="46644"/>
    <cellStyle name="Percent 73" xfId="46647"/>
    <cellStyle name="Percent 74" xfId="46651"/>
    <cellStyle name="Percent 75" xfId="46655"/>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43" Type="http://schemas.openxmlformats.org/officeDocument/2006/relationships/customXml" Target="../customXml/item5.xml"/></Relationships>
</file>

<file path=xl/ctrlProps/ctrlProp1.xml><?xml version="1.0" encoding="utf-8"?>
<formControlPr xmlns="http://schemas.microsoft.com/office/spreadsheetml/2009/9/main" objectType="Radio" checked="Checked" firstButton="1" fmlaLink="$Q$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Q$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Q$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Q$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Q$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Q$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Q$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Q$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Q$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Q$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Q$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Q$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Q$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Q$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Q$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Q$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Q$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Q$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Q$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Q$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Q$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Q$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Q$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Q$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Q$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Q$1"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7</xdr:row>
          <xdr:rowOff>53340</xdr:rowOff>
        </xdr:from>
        <xdr:to>
          <xdr:col>3</xdr:col>
          <xdr:colOff>556260</xdr:colOff>
          <xdr:row>7</xdr:row>
          <xdr:rowOff>144780</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7</xdr:row>
          <xdr:rowOff>7620</xdr:rowOff>
        </xdr:from>
        <xdr:to>
          <xdr:col>7</xdr:col>
          <xdr:colOff>7620</xdr:colOff>
          <xdr:row>8</xdr:row>
          <xdr:rowOff>0</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47105" name="Option 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47106" name="Option 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2881" name="Option Button 1" hidden="1">
              <a:extLst>
                <a:ext uri="{63B3BB69-23CF-44E3-9099-C40C66FF867C}">
                  <a14:compatExt spid="_x0000_s1228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2882" name="Option Button 2" hidden="1">
              <a:extLst>
                <a:ext uri="{63B3BB69-23CF-44E3-9099-C40C66FF867C}">
                  <a14:compatExt spid="_x0000_s1228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3905" name="Option Button 1" hidden="1">
              <a:extLst>
                <a:ext uri="{63B3BB69-23CF-44E3-9099-C40C66FF867C}">
                  <a14:compatExt spid="_x0000_s1239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3906" name="Option Button 2" hidden="1">
              <a:extLst>
                <a:ext uri="{63B3BB69-23CF-44E3-9099-C40C66FF867C}">
                  <a14:compatExt spid="_x0000_s1239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4929" name="Option Button 1" hidden="1">
              <a:extLst>
                <a:ext uri="{63B3BB69-23CF-44E3-9099-C40C66FF867C}">
                  <a14:compatExt spid="_x0000_s1249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4930" name="Option Button 2" hidden="1">
              <a:extLst>
                <a:ext uri="{63B3BB69-23CF-44E3-9099-C40C66FF867C}">
                  <a14:compatExt spid="_x0000_s1249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5953" name="Option Button 1" hidden="1">
              <a:extLst>
                <a:ext uri="{63B3BB69-23CF-44E3-9099-C40C66FF867C}">
                  <a14:compatExt spid="_x0000_s1259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5954" name="Option Button 2" hidden="1">
              <a:extLst>
                <a:ext uri="{63B3BB69-23CF-44E3-9099-C40C66FF867C}">
                  <a14:compatExt spid="_x0000_s1259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6977" name="Option Button 1" hidden="1">
              <a:extLst>
                <a:ext uri="{63B3BB69-23CF-44E3-9099-C40C66FF867C}">
                  <a14:compatExt spid="_x0000_s1269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6978" name="Option Button 2" hidden="1">
              <a:extLst>
                <a:ext uri="{63B3BB69-23CF-44E3-9099-C40C66FF867C}">
                  <a14:compatExt spid="_x0000_s1269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8001" name="Option Button 1" hidden="1">
              <a:extLst>
                <a:ext uri="{63B3BB69-23CF-44E3-9099-C40C66FF867C}">
                  <a14:compatExt spid="_x0000_s1280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8002" name="Option Button 2" hidden="1">
              <a:extLst>
                <a:ext uri="{63B3BB69-23CF-44E3-9099-C40C66FF867C}">
                  <a14:compatExt spid="_x0000_s12800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3</xdr:row>
          <xdr:rowOff>182880</xdr:rowOff>
        </xdr:from>
        <xdr:to>
          <xdr:col>1</xdr:col>
          <xdr:colOff>1424940</xdr:colOff>
          <xdr:row>4</xdr:row>
          <xdr:rowOff>45720</xdr:rowOff>
        </xdr:to>
        <xdr:sp macro="" textlink="">
          <xdr:nvSpPr>
            <xdr:cNvPr id="129025" name="Option Button 1" hidden="1">
              <a:extLst>
                <a:ext uri="{63B3BB69-23CF-44E3-9099-C40C66FF867C}">
                  <a14:compatExt spid="_x0000_s129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1356360</xdr:colOff>
          <xdr:row>3</xdr:row>
          <xdr:rowOff>160020</xdr:rowOff>
        </xdr:from>
        <xdr:to>
          <xdr:col>3</xdr:col>
          <xdr:colOff>510540</xdr:colOff>
          <xdr:row>4</xdr:row>
          <xdr:rowOff>76200</xdr:rowOff>
        </xdr:to>
        <xdr:sp macro="" textlink="">
          <xdr:nvSpPr>
            <xdr:cNvPr id="129026" name="Option Button 2" hidden="1">
              <a:extLst>
                <a:ext uri="{63B3BB69-23CF-44E3-9099-C40C66FF867C}">
                  <a14:compatExt spid="_x0000_s129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624840</xdr:colOff>
          <xdr:row>9</xdr:row>
          <xdr:rowOff>198120</xdr:rowOff>
        </xdr:from>
        <xdr:to>
          <xdr:col>5</xdr:col>
          <xdr:colOff>800100</xdr:colOff>
          <xdr:row>10</xdr:row>
          <xdr:rowOff>91440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9</xdr:row>
          <xdr:rowOff>167640</xdr:rowOff>
        </xdr:from>
        <xdr:to>
          <xdr:col>9</xdr:col>
          <xdr:colOff>533400</xdr:colOff>
          <xdr:row>10</xdr:row>
          <xdr:rowOff>160020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624840</xdr:colOff>
          <xdr:row>9</xdr:row>
          <xdr:rowOff>198120</xdr:rowOff>
        </xdr:from>
        <xdr:to>
          <xdr:col>5</xdr:col>
          <xdr:colOff>800100</xdr:colOff>
          <xdr:row>10</xdr:row>
          <xdr:rowOff>91440</xdr:rowOff>
        </xdr:to>
        <xdr:sp macro="" textlink="">
          <xdr:nvSpPr>
            <xdr:cNvPr id="130049" name="Option Button 1" hidden="1">
              <a:extLst>
                <a:ext uri="{63B3BB69-23CF-44E3-9099-C40C66FF867C}">
                  <a14:compatExt spid="_x0000_s130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9</xdr:row>
          <xdr:rowOff>167640</xdr:rowOff>
        </xdr:from>
        <xdr:to>
          <xdr:col>9</xdr:col>
          <xdr:colOff>533400</xdr:colOff>
          <xdr:row>10</xdr:row>
          <xdr:rowOff>160020</xdr:rowOff>
        </xdr:to>
        <xdr:sp macro="" textlink="">
          <xdr:nvSpPr>
            <xdr:cNvPr id="130050" name="Option Button 2" hidden="1">
              <a:extLst>
                <a:ext uri="{63B3BB69-23CF-44E3-9099-C40C66FF867C}">
                  <a14:compatExt spid="_x0000_s130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624840</xdr:colOff>
          <xdr:row>9</xdr:row>
          <xdr:rowOff>198120</xdr:rowOff>
        </xdr:from>
        <xdr:to>
          <xdr:col>5</xdr:col>
          <xdr:colOff>800100</xdr:colOff>
          <xdr:row>10</xdr:row>
          <xdr:rowOff>91440</xdr:rowOff>
        </xdr:to>
        <xdr:sp macro="" textlink="">
          <xdr:nvSpPr>
            <xdr:cNvPr id="131073" name="Option Button 1" hidden="1">
              <a:extLst>
                <a:ext uri="{63B3BB69-23CF-44E3-9099-C40C66FF867C}">
                  <a14:compatExt spid="_x0000_s131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9</xdr:row>
          <xdr:rowOff>167640</xdr:rowOff>
        </xdr:from>
        <xdr:to>
          <xdr:col>9</xdr:col>
          <xdr:colOff>533400</xdr:colOff>
          <xdr:row>10</xdr:row>
          <xdr:rowOff>160020</xdr:rowOff>
        </xdr:to>
        <xdr:sp macro="" textlink="">
          <xdr:nvSpPr>
            <xdr:cNvPr id="131074" name="Option Button 2" hidden="1">
              <a:extLst>
                <a:ext uri="{63B3BB69-23CF-44E3-9099-C40C66FF867C}">
                  <a14:compatExt spid="_x0000_s131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624840</xdr:colOff>
          <xdr:row>9</xdr:row>
          <xdr:rowOff>198120</xdr:rowOff>
        </xdr:from>
        <xdr:to>
          <xdr:col>5</xdr:col>
          <xdr:colOff>800100</xdr:colOff>
          <xdr:row>10</xdr:row>
          <xdr:rowOff>91440</xdr:rowOff>
        </xdr:to>
        <xdr:sp macro="" textlink="">
          <xdr:nvSpPr>
            <xdr:cNvPr id="132097" name="Option Button 1" hidden="1">
              <a:extLst>
                <a:ext uri="{63B3BB69-23CF-44E3-9099-C40C66FF867C}">
                  <a14:compatExt spid="_x0000_s132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9</xdr:row>
          <xdr:rowOff>167640</xdr:rowOff>
        </xdr:from>
        <xdr:to>
          <xdr:col>9</xdr:col>
          <xdr:colOff>480060</xdr:colOff>
          <xdr:row>10</xdr:row>
          <xdr:rowOff>160020</xdr:rowOff>
        </xdr:to>
        <xdr:sp macro="" textlink="">
          <xdr:nvSpPr>
            <xdr:cNvPr id="132098" name="Option Button 2" hidden="1">
              <a:extLst>
                <a:ext uri="{63B3BB69-23CF-44E3-9099-C40C66FF867C}">
                  <a14:compatExt spid="_x0000_s132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624840</xdr:colOff>
          <xdr:row>9</xdr:row>
          <xdr:rowOff>198120</xdr:rowOff>
        </xdr:from>
        <xdr:to>
          <xdr:col>5</xdr:col>
          <xdr:colOff>800100</xdr:colOff>
          <xdr:row>10</xdr:row>
          <xdr:rowOff>91440</xdr:rowOff>
        </xdr:to>
        <xdr:sp macro="" textlink="">
          <xdr:nvSpPr>
            <xdr:cNvPr id="133121" name="Option Button 1" hidden="1">
              <a:extLst>
                <a:ext uri="{63B3BB69-23CF-44E3-9099-C40C66FF867C}">
                  <a14:compatExt spid="_x0000_s133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9</xdr:row>
          <xdr:rowOff>167640</xdr:rowOff>
        </xdr:from>
        <xdr:to>
          <xdr:col>9</xdr:col>
          <xdr:colOff>472440</xdr:colOff>
          <xdr:row>10</xdr:row>
          <xdr:rowOff>160020</xdr:rowOff>
        </xdr:to>
        <xdr:sp macro="" textlink="">
          <xdr:nvSpPr>
            <xdr:cNvPr id="133122" name="Option Button 2" hidden="1">
              <a:extLst>
                <a:ext uri="{63B3BB69-23CF-44E3-9099-C40C66FF867C}">
                  <a14:compatExt spid="_x0000_s133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274320</xdr:colOff>
          <xdr:row>9</xdr:row>
          <xdr:rowOff>53340</xdr:rowOff>
        </xdr:from>
        <xdr:to>
          <xdr:col>5</xdr:col>
          <xdr:colOff>350520</xdr:colOff>
          <xdr:row>9</xdr:row>
          <xdr:rowOff>175260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xdr:row>
          <xdr:rowOff>22860</xdr:rowOff>
        </xdr:from>
        <xdr:to>
          <xdr:col>9</xdr:col>
          <xdr:colOff>83820</xdr:colOff>
          <xdr:row>9</xdr:row>
          <xdr:rowOff>236220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274320</xdr:colOff>
          <xdr:row>9</xdr:row>
          <xdr:rowOff>53340</xdr:rowOff>
        </xdr:from>
        <xdr:to>
          <xdr:col>5</xdr:col>
          <xdr:colOff>358140</xdr:colOff>
          <xdr:row>9</xdr:row>
          <xdr:rowOff>175260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22860</xdr:rowOff>
        </xdr:from>
        <xdr:to>
          <xdr:col>9</xdr:col>
          <xdr:colOff>53340</xdr:colOff>
          <xdr:row>9</xdr:row>
          <xdr:rowOff>236220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487680</xdr:colOff>
          <xdr:row>9</xdr:row>
          <xdr:rowOff>198120</xdr:rowOff>
        </xdr:from>
        <xdr:to>
          <xdr:col>5</xdr:col>
          <xdr:colOff>655320</xdr:colOff>
          <xdr:row>10</xdr:row>
          <xdr:rowOff>91440</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9</xdr:row>
          <xdr:rowOff>167640</xdr:rowOff>
        </xdr:from>
        <xdr:to>
          <xdr:col>9</xdr:col>
          <xdr:colOff>525780</xdr:colOff>
          <xdr:row>10</xdr:row>
          <xdr:rowOff>160020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274320</xdr:colOff>
          <xdr:row>9</xdr:row>
          <xdr:rowOff>53340</xdr:rowOff>
        </xdr:from>
        <xdr:to>
          <xdr:col>5</xdr:col>
          <xdr:colOff>358140</xdr:colOff>
          <xdr:row>9</xdr:row>
          <xdr:rowOff>175260</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22860</xdr:rowOff>
        </xdr:from>
        <xdr:to>
          <xdr:col>9</xdr:col>
          <xdr:colOff>38100</xdr:colOff>
          <xdr:row>9</xdr:row>
          <xdr:rowOff>236220</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9</xdr:row>
          <xdr:rowOff>53340</xdr:rowOff>
        </xdr:from>
        <xdr:to>
          <xdr:col>5</xdr:col>
          <xdr:colOff>411480</xdr:colOff>
          <xdr:row>9</xdr:row>
          <xdr:rowOff>175260</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281940</xdr:colOff>
          <xdr:row>9</xdr:row>
          <xdr:rowOff>22860</xdr:rowOff>
        </xdr:from>
        <xdr:to>
          <xdr:col>8</xdr:col>
          <xdr:colOff>167640</xdr:colOff>
          <xdr:row>9</xdr:row>
          <xdr:rowOff>236220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9</xdr:row>
          <xdr:rowOff>53340</xdr:rowOff>
        </xdr:from>
        <xdr:to>
          <xdr:col>5</xdr:col>
          <xdr:colOff>426720</xdr:colOff>
          <xdr:row>9</xdr:row>
          <xdr:rowOff>175260</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9</xdr:row>
          <xdr:rowOff>22860</xdr:rowOff>
        </xdr:from>
        <xdr:to>
          <xdr:col>8</xdr:col>
          <xdr:colOff>76200</xdr:colOff>
          <xdr:row>9</xdr:row>
          <xdr:rowOff>236220</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9</xdr:row>
          <xdr:rowOff>53340</xdr:rowOff>
        </xdr:from>
        <xdr:to>
          <xdr:col>5</xdr:col>
          <xdr:colOff>464820</xdr:colOff>
          <xdr:row>9</xdr:row>
          <xdr:rowOff>175260</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22860</xdr:rowOff>
        </xdr:from>
        <xdr:to>
          <xdr:col>8</xdr:col>
          <xdr:colOff>106680</xdr:colOff>
          <xdr:row>9</xdr:row>
          <xdr:rowOff>236220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8</xdr:row>
          <xdr:rowOff>15240</xdr:rowOff>
        </xdr:from>
        <xdr:to>
          <xdr:col>5</xdr:col>
          <xdr:colOff>175260</xdr:colOff>
          <xdr:row>9</xdr:row>
          <xdr:rowOff>30480</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xdr:row>
          <xdr:rowOff>175260</xdr:rowOff>
        </xdr:from>
        <xdr:to>
          <xdr:col>7</xdr:col>
          <xdr:colOff>441960</xdr:colOff>
          <xdr:row>9</xdr:row>
          <xdr:rowOff>83820</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487680</xdr:colOff>
          <xdr:row>9</xdr:row>
          <xdr:rowOff>198120</xdr:rowOff>
        </xdr:from>
        <xdr:to>
          <xdr:col>5</xdr:col>
          <xdr:colOff>655320</xdr:colOff>
          <xdr:row>10</xdr:row>
          <xdr:rowOff>91440</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167640</xdr:rowOff>
        </xdr:from>
        <xdr:to>
          <xdr:col>9</xdr:col>
          <xdr:colOff>647700</xdr:colOff>
          <xdr:row>10</xdr:row>
          <xdr:rowOff>160020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9</xdr:row>
          <xdr:rowOff>190500</xdr:rowOff>
        </xdr:from>
        <xdr:to>
          <xdr:col>5</xdr:col>
          <xdr:colOff>662940</xdr:colOff>
          <xdr:row>10</xdr:row>
          <xdr:rowOff>83820</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152400</xdr:rowOff>
        </xdr:from>
        <xdr:to>
          <xdr:col>9</xdr:col>
          <xdr:colOff>640080</xdr:colOff>
          <xdr:row>10</xdr:row>
          <xdr:rowOff>144780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487680</xdr:colOff>
          <xdr:row>9</xdr:row>
          <xdr:rowOff>198120</xdr:rowOff>
        </xdr:from>
        <xdr:to>
          <xdr:col>5</xdr:col>
          <xdr:colOff>655320</xdr:colOff>
          <xdr:row>10</xdr:row>
          <xdr:rowOff>91440</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167640</xdr:rowOff>
        </xdr:from>
        <xdr:to>
          <xdr:col>9</xdr:col>
          <xdr:colOff>655320</xdr:colOff>
          <xdr:row>10</xdr:row>
          <xdr:rowOff>160020</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refreshError="1"/>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refreshError="1"/>
      <sheetData sheetId="76" refreshError="1"/>
      <sheetData sheetId="77" refreshError="1"/>
      <sheetData sheetId="78"/>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13.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omments" Target="../comments14.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mments" Target="../comments1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omments" Target="../comments16.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omments" Target="../comments1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omments" Target="../comments1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omments" Target="../comments2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omments" Target="../comments21.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omments" Target="../comments2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omments" Target="../comments23.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omments" Target="../comments24.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omments" Target="../comments25.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omments" Target="../comments26.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88"/>
  <sheetViews>
    <sheetView view="pageBreakPreview" topLeftCell="A5" zoomScale="130" zoomScaleNormal="70" zoomScaleSheetLayoutView="130" workbookViewId="0">
      <selection activeCell="D74" sqref="D74"/>
    </sheetView>
  </sheetViews>
  <sheetFormatPr defaultColWidth="9.109375" defaultRowHeight="14.4" x14ac:dyDescent="0.3"/>
  <cols>
    <col min="1" max="1" width="1.88671875" style="170" customWidth="1"/>
    <col min="2" max="2" width="22" style="170" customWidth="1"/>
    <col min="3" max="3" width="33.88671875" style="170" customWidth="1"/>
    <col min="4" max="4" width="15.88671875" style="170" customWidth="1"/>
    <col min="5" max="5" width="21.33203125" style="170" customWidth="1"/>
    <col min="6" max="6" width="1.6640625" style="170" customWidth="1"/>
    <col min="7" max="16384" width="9.109375" style="170"/>
  </cols>
  <sheetData>
    <row r="1" spans="2:5" ht="6.75" customHeight="1" x14ac:dyDescent="0.3"/>
    <row r="2" spans="2:5" ht="6.75" customHeight="1" x14ac:dyDescent="0.3"/>
    <row r="3" spans="2:5" ht="6.75" customHeight="1" x14ac:dyDescent="0.3"/>
    <row r="4" spans="2:5" ht="6.75" customHeight="1" x14ac:dyDescent="0.3"/>
    <row r="5" spans="2:5" ht="17.399999999999999" x14ac:dyDescent="0.3">
      <c r="C5" s="166" t="s">
        <v>134</v>
      </c>
    </row>
    <row r="6" spans="2:5" ht="17.399999999999999" x14ac:dyDescent="0.3">
      <c r="C6" s="166" t="s">
        <v>0</v>
      </c>
    </row>
    <row r="7" spans="2:5" ht="6.75" customHeight="1" x14ac:dyDescent="0.3"/>
    <row r="8" spans="2:5" ht="6.75" customHeight="1" thickBot="1" x14ac:dyDescent="0.35"/>
    <row r="9" spans="2:5" ht="15" thickBot="1" x14ac:dyDescent="0.35">
      <c r="B9" s="291" t="s">
        <v>121</v>
      </c>
      <c r="C9" s="292"/>
      <c r="D9" s="292"/>
      <c r="E9" s="293"/>
    </row>
    <row r="10" spans="2:5" ht="49.5" customHeight="1" thickBot="1" x14ac:dyDescent="0.35">
      <c r="B10" s="192" t="s">
        <v>65</v>
      </c>
      <c r="C10" s="171"/>
      <c r="D10" s="171">
        <v>2017</v>
      </c>
      <c r="E10" s="171" t="s">
        <v>135</v>
      </c>
    </row>
    <row r="11" spans="2:5" ht="15" customHeight="1" x14ac:dyDescent="0.3">
      <c r="B11" s="288" t="s">
        <v>66</v>
      </c>
      <c r="C11" s="219" t="s">
        <v>67</v>
      </c>
      <c r="D11" s="187">
        <f>'Res (800)'!H23+'Res (800)'!H29</f>
        <v>28.68</v>
      </c>
      <c r="E11" s="281">
        <f>'Res (800)'!L23+'Res (800)'!L29</f>
        <v>28.910000000000004</v>
      </c>
    </row>
    <row r="12" spans="2:5" x14ac:dyDescent="0.3">
      <c r="B12" s="289"/>
      <c r="C12" s="220" t="s">
        <v>68</v>
      </c>
      <c r="D12" s="188"/>
      <c r="E12" s="282">
        <f>'Res (800)'!N23+'Res (800)'!N29</f>
        <v>0.23000000000000043</v>
      </c>
    </row>
    <row r="13" spans="2:5" x14ac:dyDescent="0.3">
      <c r="B13" s="289"/>
      <c r="C13" s="221" t="s">
        <v>69</v>
      </c>
      <c r="D13" s="189"/>
      <c r="E13" s="283">
        <f>E12/D11</f>
        <v>8.0195258019525959E-3</v>
      </c>
    </row>
    <row r="14" spans="2:5" x14ac:dyDescent="0.3">
      <c r="B14" s="289"/>
      <c r="C14" s="221" t="s">
        <v>70</v>
      </c>
      <c r="D14" s="189"/>
      <c r="E14" s="284">
        <f>'Res (800)'!O79</f>
        <v>1.5392537413712153E-3</v>
      </c>
    </row>
    <row r="15" spans="2:5" ht="15" thickBot="1" x14ac:dyDescent="0.35">
      <c r="B15" s="290"/>
      <c r="C15" s="222" t="s">
        <v>71</v>
      </c>
      <c r="D15" s="190"/>
      <c r="E15" s="285">
        <f>'Res (800)'!O65</f>
        <v>1.0169939810291503E-2</v>
      </c>
    </row>
    <row r="16" spans="2:5" x14ac:dyDescent="0.3">
      <c r="B16" s="288" t="s">
        <v>122</v>
      </c>
      <c r="C16" s="219" t="s">
        <v>67</v>
      </c>
      <c r="D16" s="187">
        <f>'Res (750)'!H23+'Res (750)'!H29</f>
        <v>27.925000000000004</v>
      </c>
      <c r="E16" s="281">
        <f>'Res (750)'!L23+'Res (750)'!L29</f>
        <v>28.385000000000002</v>
      </c>
    </row>
    <row r="17" spans="2:5" x14ac:dyDescent="0.3">
      <c r="B17" s="289"/>
      <c r="C17" s="220" t="s">
        <v>68</v>
      </c>
      <c r="D17" s="188"/>
      <c r="E17" s="282">
        <f>'Res (750)'!N23+'Res (750)'!N29</f>
        <v>0.45999999999999996</v>
      </c>
    </row>
    <row r="18" spans="2:5" x14ac:dyDescent="0.3">
      <c r="B18" s="289"/>
      <c r="C18" s="221" t="s">
        <v>69</v>
      </c>
      <c r="D18" s="189"/>
      <c r="E18" s="283">
        <f>E17/D16</f>
        <v>1.6472694717994625E-2</v>
      </c>
    </row>
    <row r="19" spans="2:5" x14ac:dyDescent="0.3">
      <c r="B19" s="289"/>
      <c r="C19" s="221" t="s">
        <v>70</v>
      </c>
      <c r="D19" s="189"/>
      <c r="E19" s="284">
        <f>'Res (750)'!O79</f>
        <v>3.8437121538084026E-3</v>
      </c>
    </row>
    <row r="20" spans="2:5" ht="15" thickBot="1" x14ac:dyDescent="0.35">
      <c r="B20" s="290"/>
      <c r="C20" s="222" t="s">
        <v>71</v>
      </c>
      <c r="D20" s="190"/>
      <c r="E20" s="285">
        <f>'Res (750)'!O65</f>
        <v>1.24099122287209E-2</v>
      </c>
    </row>
    <row r="21" spans="2:5" x14ac:dyDescent="0.3">
      <c r="B21" s="288" t="s">
        <v>123</v>
      </c>
      <c r="C21" s="219" t="s">
        <v>67</v>
      </c>
      <c r="D21" s="187">
        <f>'Res (640)'!H23+'Res (640)'!H29</f>
        <v>26.264000000000003</v>
      </c>
      <c r="E21" s="281">
        <f>'Res (640)'!L23+'Res (640)'!L29</f>
        <v>27.230000000000004</v>
      </c>
    </row>
    <row r="22" spans="2:5" x14ac:dyDescent="0.3">
      <c r="B22" s="289"/>
      <c r="C22" s="220" t="s">
        <v>68</v>
      </c>
      <c r="D22" s="188"/>
      <c r="E22" s="282">
        <f>'Res (640)'!N23+'Res (640)'!N29</f>
        <v>0.96600000000000108</v>
      </c>
    </row>
    <row r="23" spans="2:5" x14ac:dyDescent="0.3">
      <c r="B23" s="289"/>
      <c r="C23" s="221" t="s">
        <v>69</v>
      </c>
      <c r="D23" s="189"/>
      <c r="E23" s="283">
        <f>E22/D21</f>
        <v>3.6780383795309207E-2</v>
      </c>
    </row>
    <row r="24" spans="2:5" x14ac:dyDescent="0.3">
      <c r="B24" s="289"/>
      <c r="C24" s="221" t="s">
        <v>70</v>
      </c>
      <c r="D24" s="189"/>
      <c r="E24" s="284">
        <f>'Res (640)'!O79</f>
        <v>9.9391356529611972E-3</v>
      </c>
    </row>
    <row r="25" spans="2:5" ht="15" thickBot="1" x14ac:dyDescent="0.35">
      <c r="B25" s="290"/>
      <c r="C25" s="222" t="s">
        <v>71</v>
      </c>
      <c r="D25" s="190"/>
      <c r="E25" s="285">
        <f>'Res (640)'!O65</f>
        <v>1.8330576698203906E-2</v>
      </c>
    </row>
    <row r="26" spans="2:5" x14ac:dyDescent="0.3">
      <c r="B26" s="288" t="s">
        <v>102</v>
      </c>
      <c r="C26" s="219" t="s">
        <v>67</v>
      </c>
      <c r="D26" s="187">
        <f>+'Res (232)'!H23+'Res (232)'!H29</f>
        <v>20.103200000000001</v>
      </c>
      <c r="E26" s="281">
        <f>+'Res (232)'!L23+'Res (232)'!L29</f>
        <v>22.946000000000002</v>
      </c>
    </row>
    <row r="27" spans="2:5" x14ac:dyDescent="0.3">
      <c r="B27" s="289"/>
      <c r="C27" s="220" t="s">
        <v>68</v>
      </c>
      <c r="D27" s="188"/>
      <c r="E27" s="282">
        <f>+'Res (232)'!N23+'Res (232)'!N29</f>
        <v>2.8428</v>
      </c>
    </row>
    <row r="28" spans="2:5" x14ac:dyDescent="0.3">
      <c r="B28" s="289"/>
      <c r="C28" s="221" t="s">
        <v>69</v>
      </c>
      <c r="D28" s="189"/>
      <c r="E28" s="283">
        <f>E27/D26</f>
        <v>0.14141032273468901</v>
      </c>
    </row>
    <row r="29" spans="2:5" x14ac:dyDescent="0.3">
      <c r="B29" s="289"/>
      <c r="C29" s="221" t="s">
        <v>70</v>
      </c>
      <c r="D29" s="189"/>
      <c r="E29" s="284">
        <f>'Res (232)'!O79</f>
        <v>6.3132312671898824E-2</v>
      </c>
    </row>
    <row r="30" spans="2:5" ht="15" thickBot="1" x14ac:dyDescent="0.35">
      <c r="B30" s="290"/>
      <c r="C30" s="222" t="s">
        <v>71</v>
      </c>
      <c r="D30" s="190"/>
      <c r="E30" s="285">
        <f>'Res (232)'!O63</f>
        <v>6.9741929139961689E-2</v>
      </c>
    </row>
    <row r="31" spans="2:5" ht="15" customHeight="1" x14ac:dyDescent="0.3">
      <c r="B31" s="288" t="s">
        <v>72</v>
      </c>
      <c r="C31" s="219" t="s">
        <v>67</v>
      </c>
      <c r="D31" s="187">
        <f>'SC (2000)'!H23+'SC (2000)'!H29</f>
        <v>63.290000000000006</v>
      </c>
      <c r="E31" s="281">
        <f>'SC (2000)'!L23+'SC (2000)'!L29</f>
        <v>66.2</v>
      </c>
    </row>
    <row r="32" spans="2:5" x14ac:dyDescent="0.3">
      <c r="B32" s="289"/>
      <c r="C32" s="220" t="s">
        <v>68</v>
      </c>
      <c r="D32" s="188"/>
      <c r="E32" s="282">
        <f>'SC (2000)'!N23+'SC (2000)'!N29</f>
        <v>2.9099999999999966</v>
      </c>
    </row>
    <row r="33" spans="2:5" x14ac:dyDescent="0.3">
      <c r="B33" s="289"/>
      <c r="C33" s="221" t="s">
        <v>69</v>
      </c>
      <c r="D33" s="189"/>
      <c r="E33" s="283">
        <f>E32/D31</f>
        <v>4.5978827618897079E-2</v>
      </c>
    </row>
    <row r="34" spans="2:5" x14ac:dyDescent="0.3">
      <c r="B34" s="289"/>
      <c r="C34" s="221" t="s">
        <v>70</v>
      </c>
      <c r="D34" s="189"/>
      <c r="E34" s="284">
        <f>'SC (2000)'!O80</f>
        <v>1.1812431578058552E-2</v>
      </c>
    </row>
    <row r="35" spans="2:5" ht="15" thickBot="1" x14ac:dyDescent="0.35">
      <c r="B35" s="290"/>
      <c r="C35" s="222" t="s">
        <v>71</v>
      </c>
      <c r="D35" s="190"/>
      <c r="E35" s="285">
        <f>'SC (2000)'!O66</f>
        <v>1.8011067156264354E-2</v>
      </c>
    </row>
    <row r="36" spans="2:5" ht="15" customHeight="1" x14ac:dyDescent="0.3">
      <c r="B36" s="288" t="s">
        <v>73</v>
      </c>
      <c r="C36" s="219" t="s">
        <v>67</v>
      </c>
      <c r="D36" s="187">
        <f>+'&gt;50 (250)'!H23+'&gt;50 (250)'!H29</f>
        <v>1281.125</v>
      </c>
      <c r="E36" s="281">
        <f>+'&gt;50 (250)'!L23+'&gt;50 (250)'!L29</f>
        <v>1346.2749999999999</v>
      </c>
    </row>
    <row r="37" spans="2:5" x14ac:dyDescent="0.3">
      <c r="B37" s="289"/>
      <c r="C37" s="220" t="s">
        <v>68</v>
      </c>
      <c r="D37" s="188"/>
      <c r="E37" s="282">
        <f>+'&gt;50 (250)'!N23+'&gt;50 (250)'!N29</f>
        <v>65.149999999999864</v>
      </c>
    </row>
    <row r="38" spans="2:5" x14ac:dyDescent="0.3">
      <c r="B38" s="289"/>
      <c r="C38" s="221" t="s">
        <v>69</v>
      </c>
      <c r="D38" s="189"/>
      <c r="E38" s="283">
        <f>E37/D36</f>
        <v>5.0853741828470966E-2</v>
      </c>
    </row>
    <row r="39" spans="2:5" x14ac:dyDescent="0.3">
      <c r="B39" s="289"/>
      <c r="C39" s="221" t="s">
        <v>70</v>
      </c>
      <c r="D39" s="189"/>
      <c r="E39" s="284">
        <f>'&gt;50 (250)'!O77</f>
        <v>3.2107626510604263E-3</v>
      </c>
    </row>
    <row r="40" spans="2:5" ht="15" thickBot="1" x14ac:dyDescent="0.35">
      <c r="B40" s="290"/>
      <c r="C40" s="222" t="s">
        <v>71</v>
      </c>
      <c r="D40" s="190"/>
      <c r="E40" s="285">
        <f>'&gt;50 (250)'!O65</f>
        <v>2.8377719676343404E-2</v>
      </c>
    </row>
    <row r="41" spans="2:5" ht="15" customHeight="1" x14ac:dyDescent="0.3">
      <c r="B41" s="288" t="s">
        <v>74</v>
      </c>
      <c r="C41" s="219" t="s">
        <v>67</v>
      </c>
      <c r="D41" s="187">
        <f>+'&gt;1500(2500)'!H23+'&gt;1500(2500)'!H29</f>
        <v>13989.18</v>
      </c>
      <c r="E41" s="281">
        <f>+'&gt;1500(2500)'!L23+'&gt;1500(2500)'!L29</f>
        <v>14652.43</v>
      </c>
    </row>
    <row r="42" spans="2:5" x14ac:dyDescent="0.3">
      <c r="B42" s="289"/>
      <c r="C42" s="220" t="s">
        <v>68</v>
      </c>
      <c r="D42" s="188"/>
      <c r="E42" s="282">
        <f>+'&gt;1500(2500)'!N23+'&gt;1500(2500)'!N29</f>
        <v>663.25</v>
      </c>
    </row>
    <row r="43" spans="2:5" x14ac:dyDescent="0.3">
      <c r="B43" s="289"/>
      <c r="C43" s="221" t="s">
        <v>69</v>
      </c>
      <c r="D43" s="189"/>
      <c r="E43" s="283">
        <f>E42/D41</f>
        <v>4.7411642426503912E-2</v>
      </c>
    </row>
    <row r="44" spans="2:5" x14ac:dyDescent="0.3">
      <c r="B44" s="289"/>
      <c r="C44" s="221" t="s">
        <v>70</v>
      </c>
      <c r="D44" s="189"/>
      <c r="E44" s="284">
        <f>'&gt;1500(2500)'!O77</f>
        <v>3.3041829492776015E-3</v>
      </c>
    </row>
    <row r="45" spans="2:5" ht="15" thickBot="1" x14ac:dyDescent="0.35">
      <c r="B45" s="290"/>
      <c r="C45" s="222" t="s">
        <v>71</v>
      </c>
      <c r="D45" s="190"/>
      <c r="E45" s="285">
        <f>'&gt;1500(2500)'!O65</f>
        <v>2.9003393422908301E-2</v>
      </c>
    </row>
    <row r="46" spans="2:5" ht="15" customHeight="1" x14ac:dyDescent="0.3">
      <c r="B46" s="288" t="s">
        <v>75</v>
      </c>
      <c r="C46" s="219" t="s">
        <v>67</v>
      </c>
      <c r="D46" s="187">
        <f>+'LU(7500)'!H23+'LU(7500)'!H29</f>
        <v>43130.57</v>
      </c>
      <c r="E46" s="281">
        <f>+'LU(7500)'!L23+'LU(7500)'!L29</f>
        <v>45013.82</v>
      </c>
    </row>
    <row r="47" spans="2:5" x14ac:dyDescent="0.3">
      <c r="B47" s="289"/>
      <c r="C47" s="220" t="s">
        <v>68</v>
      </c>
      <c r="D47" s="188"/>
      <c r="E47" s="282">
        <f>+'LU(7500)'!N23+'LU(7500)'!N29</f>
        <v>1883.25</v>
      </c>
    </row>
    <row r="48" spans="2:5" x14ac:dyDescent="0.3">
      <c r="B48" s="289"/>
      <c r="C48" s="221" t="s">
        <v>69</v>
      </c>
      <c r="D48" s="189"/>
      <c r="E48" s="283">
        <f>E47/D46</f>
        <v>4.366392561007193E-2</v>
      </c>
    </row>
    <row r="49" spans="1:5" x14ac:dyDescent="0.3">
      <c r="B49" s="289"/>
      <c r="C49" s="221" t="s">
        <v>70</v>
      </c>
      <c r="D49" s="189"/>
      <c r="E49" s="284">
        <f>'LU(7500)'!O77</f>
        <v>3.0166802999760591E-3</v>
      </c>
    </row>
    <row r="50" spans="1:5" ht="15" thickBot="1" x14ac:dyDescent="0.35">
      <c r="B50" s="290"/>
      <c r="C50" s="222" t="s">
        <v>71</v>
      </c>
      <c r="D50" s="190"/>
      <c r="E50" s="285">
        <f>'LU(7500)'!O65</f>
        <v>3.051862672618489E-2</v>
      </c>
    </row>
    <row r="51" spans="1:5" ht="15" customHeight="1" x14ac:dyDescent="0.3">
      <c r="B51" s="288" t="s">
        <v>76</v>
      </c>
      <c r="C51" s="219" t="s">
        <v>67</v>
      </c>
      <c r="D51" s="187">
        <f>+'SN (.4)'!H23+'SN (.4)'!H29</f>
        <v>7.951760000000001</v>
      </c>
      <c r="E51" s="281">
        <f>+'SN (.4)'!L23+'SN (.4)'!L29</f>
        <v>8.7814000000000014</v>
      </c>
    </row>
    <row r="52" spans="1:5" x14ac:dyDescent="0.3">
      <c r="B52" s="289"/>
      <c r="C52" s="220" t="s">
        <v>68</v>
      </c>
      <c r="D52" s="188"/>
      <c r="E52" s="282">
        <f>+'SN (.4)'!N23+'SN (.4)'!N29</f>
        <v>0.82963999999999949</v>
      </c>
    </row>
    <row r="53" spans="1:5" x14ac:dyDescent="0.3">
      <c r="A53" s="175"/>
      <c r="B53" s="289"/>
      <c r="C53" s="221" t="s">
        <v>69</v>
      </c>
      <c r="D53" s="189"/>
      <c r="E53" s="283">
        <f>E52/D51</f>
        <v>0.10433413483304317</v>
      </c>
    </row>
    <row r="54" spans="1:5" x14ac:dyDescent="0.3">
      <c r="B54" s="289"/>
      <c r="C54" s="221" t="s">
        <v>70</v>
      </c>
      <c r="D54" s="189"/>
      <c r="E54" s="284">
        <f>'SN (.4)'!O81</f>
        <v>4.4262650917624866E-2</v>
      </c>
    </row>
    <row r="55" spans="1:5" ht="15" thickBot="1" x14ac:dyDescent="0.35">
      <c r="B55" s="290"/>
      <c r="C55" s="222" t="s">
        <v>71</v>
      </c>
      <c r="D55" s="190"/>
      <c r="E55" s="285">
        <f>'SN (.4)'!O65</f>
        <v>4.9995647024375423E-2</v>
      </c>
    </row>
    <row r="56" spans="1:5" ht="15" customHeight="1" x14ac:dyDescent="0.3">
      <c r="B56" s="288" t="s">
        <v>77</v>
      </c>
      <c r="C56" s="219" t="s">
        <v>67</v>
      </c>
      <c r="D56" s="187">
        <f>+'StLght (1.5)'!H23+'StLght (1.5)'!H29</f>
        <v>6.4500999999999999</v>
      </c>
      <c r="E56" s="281">
        <f>+'StLght (1.5)'!L23+'StLght (1.5)'!L29</f>
        <v>6.8257999999999992</v>
      </c>
    </row>
    <row r="57" spans="1:5" x14ac:dyDescent="0.3">
      <c r="B57" s="289"/>
      <c r="C57" s="220" t="s">
        <v>68</v>
      </c>
      <c r="D57" s="188"/>
      <c r="E57" s="282">
        <f>+'StLght (1.5)'!N23+'StLght (1.5)'!N29</f>
        <v>0.37569999999999937</v>
      </c>
    </row>
    <row r="58" spans="1:5" x14ac:dyDescent="0.3">
      <c r="A58" s="175"/>
      <c r="B58" s="289"/>
      <c r="C58" s="221" t="s">
        <v>69</v>
      </c>
      <c r="D58" s="189"/>
      <c r="E58" s="283">
        <f>E57/D56</f>
        <v>5.8247158958775733E-2</v>
      </c>
    </row>
    <row r="59" spans="1:5" x14ac:dyDescent="0.3">
      <c r="B59" s="289"/>
      <c r="C59" s="221" t="s">
        <v>70</v>
      </c>
      <c r="D59" s="189"/>
      <c r="E59" s="284">
        <f>'StLght (1.5)'!O81</f>
        <v>1.5646804257812012E-2</v>
      </c>
    </row>
    <row r="60" spans="1:5" ht="15" thickBot="1" x14ac:dyDescent="0.35">
      <c r="B60" s="290"/>
      <c r="C60" s="222" t="s">
        <v>71</v>
      </c>
      <c r="D60" s="190"/>
      <c r="E60" s="285">
        <f>'StLght (1.5)'!O65</f>
        <v>4.4838816747230482E-2</v>
      </c>
    </row>
    <row r="61" spans="1:5" x14ac:dyDescent="0.3">
      <c r="B61" s="288" t="s">
        <v>78</v>
      </c>
      <c r="C61" s="219" t="s">
        <v>67</v>
      </c>
      <c r="D61" s="187">
        <f>+'USL (470)'!H23+'USL (470)'!H29</f>
        <v>15.222</v>
      </c>
      <c r="E61" s="281">
        <f>+'USL (470)'!L23+'USL (470)'!L29</f>
        <v>15.875</v>
      </c>
    </row>
    <row r="62" spans="1:5" x14ac:dyDescent="0.3">
      <c r="A62" s="175"/>
      <c r="B62" s="289"/>
      <c r="C62" s="220" t="s">
        <v>68</v>
      </c>
      <c r="D62" s="188"/>
      <c r="E62" s="282">
        <f>+'USL (470)'!N23+'USL (470)'!N29</f>
        <v>0.65300000000000047</v>
      </c>
    </row>
    <row r="63" spans="1:5" x14ac:dyDescent="0.3">
      <c r="B63" s="289"/>
      <c r="C63" s="221" t="s">
        <v>69</v>
      </c>
      <c r="D63" s="189"/>
      <c r="E63" s="283">
        <f>E62/D61</f>
        <v>4.2898436473525196E-2</v>
      </c>
    </row>
    <row r="64" spans="1:5" x14ac:dyDescent="0.3">
      <c r="B64" s="289"/>
      <c r="C64" s="221" t="s">
        <v>70</v>
      </c>
      <c r="D64" s="189"/>
      <c r="E64" s="284">
        <f>'USL (470)'!O81</f>
        <v>9.3431200741040943E-3</v>
      </c>
    </row>
    <row r="65" spans="2:6" ht="15" thickBot="1" x14ac:dyDescent="0.35">
      <c r="B65" s="290"/>
      <c r="C65" s="222" t="s">
        <v>71</v>
      </c>
      <c r="D65" s="190"/>
      <c r="E65" s="285">
        <f>'USL (470)'!O65</f>
        <v>1.7439167225123297E-2</v>
      </c>
    </row>
    <row r="66" spans="2:6" ht="3.75" customHeight="1" x14ac:dyDescent="0.3">
      <c r="B66" s="287"/>
      <c r="C66" s="287"/>
      <c r="D66" s="287"/>
      <c r="E66" s="287"/>
    </row>
    <row r="68" spans="2:6" x14ac:dyDescent="0.3">
      <c r="C68" s="172"/>
      <c r="E68" s="173"/>
      <c r="F68" s="174"/>
    </row>
    <row r="70" spans="2:6" x14ac:dyDescent="0.3">
      <c r="E70" s="174"/>
      <c r="F70" s="174"/>
    </row>
    <row r="71" spans="2:6" x14ac:dyDescent="0.3">
      <c r="E71" s="174"/>
      <c r="F71" s="174"/>
    </row>
    <row r="72" spans="2:6" x14ac:dyDescent="0.3">
      <c r="E72" s="174"/>
      <c r="F72" s="174"/>
    </row>
    <row r="73" spans="2:6" x14ac:dyDescent="0.3">
      <c r="E73" s="174"/>
      <c r="F73" s="174"/>
    </row>
    <row r="74" spans="2:6" x14ac:dyDescent="0.3">
      <c r="E74" s="174"/>
      <c r="F74" s="174"/>
    </row>
    <row r="75" spans="2:6" x14ac:dyDescent="0.3">
      <c r="E75" s="174"/>
      <c r="F75" s="174"/>
    </row>
    <row r="76" spans="2:6" x14ac:dyDescent="0.3">
      <c r="E76" s="174"/>
      <c r="F76" s="174"/>
    </row>
    <row r="77" spans="2:6" x14ac:dyDescent="0.3">
      <c r="E77" s="174"/>
      <c r="F77" s="174"/>
    </row>
    <row r="79" spans="2:6" x14ac:dyDescent="0.3">
      <c r="C79" s="172"/>
      <c r="E79" s="173"/>
      <c r="F79" s="174"/>
    </row>
    <row r="81" spans="5:6" x14ac:dyDescent="0.3">
      <c r="E81" s="174"/>
      <c r="F81" s="174"/>
    </row>
    <row r="82" spans="5:6" x14ac:dyDescent="0.3">
      <c r="E82" s="174"/>
      <c r="F82" s="174"/>
    </row>
    <row r="83" spans="5:6" x14ac:dyDescent="0.3">
      <c r="E83" s="174"/>
      <c r="F83" s="174"/>
    </row>
    <row r="84" spans="5:6" x14ac:dyDescent="0.3">
      <c r="E84" s="174"/>
      <c r="F84" s="174"/>
    </row>
    <row r="85" spans="5:6" x14ac:dyDescent="0.3">
      <c r="E85" s="174"/>
      <c r="F85" s="174"/>
    </row>
    <row r="86" spans="5:6" x14ac:dyDescent="0.3">
      <c r="E86" s="174"/>
      <c r="F86" s="174"/>
    </row>
    <row r="87" spans="5:6" x14ac:dyDescent="0.3">
      <c r="E87" s="174"/>
      <c r="F87" s="174"/>
    </row>
    <row r="88" spans="5:6" x14ac:dyDescent="0.3">
      <c r="E88" s="174"/>
      <c r="F88" s="174"/>
    </row>
  </sheetData>
  <mergeCells count="12">
    <mergeCell ref="B26:B30"/>
    <mergeCell ref="B9:E9"/>
    <mergeCell ref="B56:B60"/>
    <mergeCell ref="B61:B65"/>
    <mergeCell ref="B11:B15"/>
    <mergeCell ref="B31:B35"/>
    <mergeCell ref="B36:B40"/>
    <mergeCell ref="B41:B45"/>
    <mergeCell ref="B46:B50"/>
    <mergeCell ref="B51:B55"/>
    <mergeCell ref="B16:B20"/>
    <mergeCell ref="B21:B25"/>
  </mergeCells>
  <pageMargins left="0.31496062992125984" right="0.31496062992125984" top="0.74803149606299213" bottom="0.74803149606299213" header="0.31496062992125984" footer="0.31496062992125984"/>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0"/>
  <sheetViews>
    <sheetView view="pageBreakPreview" topLeftCell="A70" zoomScaleNormal="90" zoomScaleSheetLayoutView="100" workbookViewId="0">
      <selection activeCell="C86" sqref="C86"/>
    </sheetView>
  </sheetViews>
  <sheetFormatPr defaultRowHeight="13.2" x14ac:dyDescent="0.25"/>
  <cols>
    <col min="1" max="1" width="7.109375" customWidth="1"/>
    <col min="3" max="3" width="50.44140625" customWidth="1"/>
    <col min="4" max="4" width="13.109375" style="167" customWidth="1"/>
    <col min="5" max="5" width="11.88671875" style="167" bestFit="1" customWidth="1"/>
    <col min="6" max="7" width="11.88671875" bestFit="1" customWidth="1"/>
    <col min="8" max="8" width="12.33203125" bestFit="1" customWidth="1"/>
    <col min="9" max="9" width="13.44140625" customWidth="1"/>
    <col min="10" max="10" width="13.109375" customWidth="1"/>
    <col min="11" max="11" width="11.109375" bestFit="1" customWidth="1"/>
    <col min="12" max="16" width="10.5546875" bestFit="1" customWidth="1"/>
    <col min="17" max="17" width="12.88671875" bestFit="1" customWidth="1"/>
    <col min="18" max="18" width="11.33203125" bestFit="1" customWidth="1"/>
  </cols>
  <sheetData>
    <row r="1" spans="1:9" ht="17.399999999999999" x14ac:dyDescent="0.3">
      <c r="C1" s="166" t="s">
        <v>134</v>
      </c>
    </row>
    <row r="2" spans="1:9" ht="17.399999999999999" x14ac:dyDescent="0.3">
      <c r="A2" s="181"/>
      <c r="C2" s="166" t="s">
        <v>0</v>
      </c>
    </row>
    <row r="4" spans="1:9" x14ac:dyDescent="0.25">
      <c r="A4" s="181" t="s">
        <v>88</v>
      </c>
    </row>
    <row r="5" spans="1:9" ht="14.4" x14ac:dyDescent="0.3">
      <c r="C5" s="181"/>
      <c r="D5" s="163" t="s">
        <v>124</v>
      </c>
      <c r="E5" s="163" t="s">
        <v>103</v>
      </c>
      <c r="F5" s="180"/>
      <c r="G5" s="178"/>
      <c r="H5" s="178"/>
      <c r="I5" s="178"/>
    </row>
    <row r="6" spans="1:9" ht="14.4" x14ac:dyDescent="0.3">
      <c r="B6" s="179" t="s">
        <v>87</v>
      </c>
      <c r="C6" s="178"/>
      <c r="D6" s="228">
        <v>2017</v>
      </c>
      <c r="E6" s="228">
        <v>2018</v>
      </c>
    </row>
    <row r="7" spans="1:9" ht="14.4" x14ac:dyDescent="0.3">
      <c r="C7" s="179" t="s">
        <v>2</v>
      </c>
      <c r="D7" s="229">
        <v>16.600000000000001</v>
      </c>
      <c r="E7" s="229">
        <v>20.51</v>
      </c>
      <c r="G7" s="185"/>
    </row>
    <row r="8" spans="1:9" ht="14.4" x14ac:dyDescent="0.3">
      <c r="C8" s="179" t="s">
        <v>80</v>
      </c>
      <c r="D8" s="229">
        <v>17.89</v>
      </c>
      <c r="E8" s="229">
        <v>18.600000000000001</v>
      </c>
    </row>
    <row r="9" spans="1:9" ht="14.4" x14ac:dyDescent="0.3">
      <c r="C9" s="179" t="s">
        <v>81</v>
      </c>
      <c r="D9" s="229">
        <v>200</v>
      </c>
      <c r="E9" s="229">
        <v>200</v>
      </c>
    </row>
    <row r="10" spans="1:9" ht="14.4" x14ac:dyDescent="0.3">
      <c r="C10" s="179" t="s">
        <v>82</v>
      </c>
      <c r="D10" s="229">
        <v>4193.93</v>
      </c>
      <c r="E10" s="229">
        <v>4193.93</v>
      </c>
    </row>
    <row r="11" spans="1:9" ht="14.4" x14ac:dyDescent="0.3">
      <c r="C11" s="179" t="s">
        <v>83</v>
      </c>
      <c r="D11" s="229">
        <v>15231.32</v>
      </c>
      <c r="E11" s="229">
        <v>15231.32</v>
      </c>
    </row>
    <row r="12" spans="1:9" ht="14.4" x14ac:dyDescent="0.3">
      <c r="C12" s="179" t="s">
        <v>144</v>
      </c>
      <c r="D12" s="229">
        <v>0.8</v>
      </c>
      <c r="E12" s="229">
        <v>0.85</v>
      </c>
    </row>
    <row r="13" spans="1:9" ht="14.4" x14ac:dyDescent="0.3">
      <c r="C13" s="179" t="s">
        <v>145</v>
      </c>
      <c r="D13" s="229">
        <v>3.04</v>
      </c>
      <c r="E13" s="229">
        <v>3.25</v>
      </c>
    </row>
    <row r="14" spans="1:9" ht="14.4" x14ac:dyDescent="0.3">
      <c r="C14" s="179" t="s">
        <v>62</v>
      </c>
      <c r="D14" s="229">
        <v>4.5999999999999996</v>
      </c>
      <c r="E14" s="229">
        <v>4.83</v>
      </c>
    </row>
    <row r="15" spans="1:9" ht="14.4" x14ac:dyDescent="0.3">
      <c r="C15" s="179" t="s">
        <v>84</v>
      </c>
      <c r="D15" s="229">
        <v>132.38</v>
      </c>
      <c r="E15" s="229">
        <v>138.53</v>
      </c>
    </row>
    <row r="16" spans="1:9" ht="14.4" x14ac:dyDescent="0.3">
      <c r="C16" s="179" t="s">
        <v>85</v>
      </c>
      <c r="D16" s="229">
        <v>132.38</v>
      </c>
      <c r="E16" s="229">
        <v>138.53</v>
      </c>
    </row>
    <row r="17" spans="2:6" ht="14.4" x14ac:dyDescent="0.3">
      <c r="C17" s="179" t="s">
        <v>86</v>
      </c>
      <c r="D17" s="229">
        <v>132.38</v>
      </c>
      <c r="E17" s="229">
        <v>138.53</v>
      </c>
    </row>
    <row r="18" spans="2:6" ht="13.5" customHeight="1" x14ac:dyDescent="0.25"/>
    <row r="19" spans="2:6" ht="14.4" x14ac:dyDescent="0.3">
      <c r="B19" s="177" t="s">
        <v>79</v>
      </c>
      <c r="C19" s="176"/>
      <c r="D19" s="228">
        <v>2017</v>
      </c>
      <c r="E19" s="228">
        <v>2018</v>
      </c>
    </row>
    <row r="20" spans="2:6" ht="14.4" x14ac:dyDescent="0.3">
      <c r="C20" s="177" t="s">
        <v>2</v>
      </c>
      <c r="D20" s="231">
        <v>1.5100000000000001E-2</v>
      </c>
      <c r="E20" s="231">
        <v>1.0500000000000001E-2</v>
      </c>
      <c r="F20" t="s">
        <v>91</v>
      </c>
    </row>
    <row r="21" spans="2:6" ht="14.4" x14ac:dyDescent="0.3">
      <c r="C21" s="177" t="s">
        <v>80</v>
      </c>
      <c r="D21" s="231">
        <v>2.2700000000000001E-2</v>
      </c>
      <c r="E21" s="231">
        <v>2.3800000000000002E-2</v>
      </c>
      <c r="F21" t="s">
        <v>91</v>
      </c>
    </row>
    <row r="22" spans="2:6" ht="14.4" x14ac:dyDescent="0.3">
      <c r="C22" s="177" t="s">
        <v>81</v>
      </c>
      <c r="D22" s="231">
        <v>4.3244999999999996</v>
      </c>
      <c r="E22" s="231">
        <v>4.5850999999999997</v>
      </c>
      <c r="F22" t="s">
        <v>92</v>
      </c>
    </row>
    <row r="23" spans="2:6" ht="14.4" x14ac:dyDescent="0.3">
      <c r="C23" s="177" t="s">
        <v>82</v>
      </c>
      <c r="D23" s="231">
        <v>3.9180999999999999</v>
      </c>
      <c r="E23" s="231">
        <v>4.1833999999999998</v>
      </c>
      <c r="F23" t="s">
        <v>92</v>
      </c>
    </row>
    <row r="24" spans="2:6" ht="14.4" x14ac:dyDescent="0.3">
      <c r="C24" s="177" t="s">
        <v>83</v>
      </c>
      <c r="D24" s="231">
        <v>3.7199</v>
      </c>
      <c r="E24" s="231">
        <v>3.9710000000000001</v>
      </c>
      <c r="F24" t="s">
        <v>92</v>
      </c>
    </row>
    <row r="25" spans="2:6" ht="14.4" x14ac:dyDescent="0.3">
      <c r="C25" s="179" t="s">
        <v>144</v>
      </c>
      <c r="D25" s="231">
        <v>5.6501000000000001</v>
      </c>
      <c r="E25" s="231">
        <v>5.9757999999999996</v>
      </c>
      <c r="F25" t="s">
        <v>92</v>
      </c>
    </row>
    <row r="26" spans="2:6" ht="14.4" x14ac:dyDescent="0.3">
      <c r="C26" s="179" t="s">
        <v>145</v>
      </c>
      <c r="D26" s="231">
        <v>12.279400000000001</v>
      </c>
      <c r="E26" s="231">
        <v>13.8285</v>
      </c>
      <c r="F26" t="s">
        <v>92</v>
      </c>
    </row>
    <row r="27" spans="2:6" ht="14.4" x14ac:dyDescent="0.3">
      <c r="C27" s="177" t="s">
        <v>62</v>
      </c>
      <c r="D27" s="231">
        <v>2.2599999999999999E-2</v>
      </c>
      <c r="E27" s="231">
        <v>2.35E-2</v>
      </c>
      <c r="F27" t="s">
        <v>91</v>
      </c>
    </row>
    <row r="28" spans="2:6" ht="14.4" x14ac:dyDescent="0.3">
      <c r="C28" s="177" t="s">
        <v>84</v>
      </c>
      <c r="D28" s="231">
        <v>1.7668999999999999</v>
      </c>
      <c r="E28" s="231">
        <v>1.8489</v>
      </c>
      <c r="F28" t="s">
        <v>92</v>
      </c>
    </row>
    <row r="29" spans="2:6" ht="14.4" x14ac:dyDescent="0.3">
      <c r="C29" s="177" t="s">
        <v>85</v>
      </c>
      <c r="D29" s="231">
        <v>1.6206</v>
      </c>
      <c r="E29" s="231">
        <v>1.6958</v>
      </c>
      <c r="F29" t="s">
        <v>92</v>
      </c>
    </row>
    <row r="30" spans="2:6" ht="14.4" x14ac:dyDescent="0.3">
      <c r="C30" s="177" t="s">
        <v>86</v>
      </c>
      <c r="D30" s="231">
        <v>1.7984</v>
      </c>
      <c r="E30" s="231">
        <v>1.8818999999999999</v>
      </c>
      <c r="F30" t="s">
        <v>92</v>
      </c>
    </row>
    <row r="33" spans="1:13" x14ac:dyDescent="0.25">
      <c r="A33" s="181" t="s">
        <v>24</v>
      </c>
    </row>
    <row r="34" spans="1:13" x14ac:dyDescent="0.25">
      <c r="A34" s="181"/>
    </row>
    <row r="35" spans="1:13" x14ac:dyDescent="0.25">
      <c r="B35" s="181" t="s">
        <v>89</v>
      </c>
    </row>
    <row r="36" spans="1:13" x14ac:dyDescent="0.25">
      <c r="B36" s="181" t="s">
        <v>90</v>
      </c>
    </row>
    <row r="37" spans="1:13" ht="14.4" x14ac:dyDescent="0.3">
      <c r="D37" s="228">
        <v>2017</v>
      </c>
      <c r="E37" s="228">
        <v>2018</v>
      </c>
      <c r="G37" s="177"/>
    </row>
    <row r="38" spans="1:13" ht="14.4" x14ac:dyDescent="0.3">
      <c r="C38" s="177" t="s">
        <v>2</v>
      </c>
      <c r="D38" s="232">
        <v>-1E-4</v>
      </c>
      <c r="E38" s="232">
        <v>-4.0000000000000002E-4</v>
      </c>
      <c r="F38" t="s">
        <v>91</v>
      </c>
      <c r="G38" s="191"/>
      <c r="H38" s="194"/>
      <c r="I38" s="194"/>
      <c r="M38" s="184"/>
    </row>
    <row r="39" spans="1:13" ht="14.4" x14ac:dyDescent="0.3">
      <c r="C39" s="177" t="s">
        <v>80</v>
      </c>
      <c r="D39" s="232">
        <f t="shared" ref="D39:D48" si="0">ROUND(G39,6)</f>
        <v>0</v>
      </c>
      <c r="E39" s="232">
        <v>-4.0000000000000002E-4</v>
      </c>
      <c r="F39" t="s">
        <v>91</v>
      </c>
      <c r="G39" s="191"/>
      <c r="H39" s="194"/>
      <c r="I39" s="194"/>
      <c r="M39" s="184"/>
    </row>
    <row r="40" spans="1:13" ht="14.4" x14ac:dyDescent="0.3">
      <c r="C40" s="177" t="s">
        <v>81</v>
      </c>
      <c r="D40" s="232">
        <v>1.17E-2</v>
      </c>
      <c r="E40" s="232">
        <v>-0.16650000000000001</v>
      </c>
      <c r="F40" s="195" t="s">
        <v>92</v>
      </c>
      <c r="G40" s="191"/>
      <c r="H40" s="194"/>
      <c r="I40" s="194"/>
      <c r="M40" s="184"/>
    </row>
    <row r="41" spans="1:13" ht="14.4" x14ac:dyDescent="0.3">
      <c r="C41" s="177" t="s">
        <v>82</v>
      </c>
      <c r="D41" s="232">
        <v>1.2999999999999999E-2</v>
      </c>
      <c r="E41" s="232">
        <v>-0.1847</v>
      </c>
      <c r="F41" s="195" t="s">
        <v>92</v>
      </c>
      <c r="G41" s="191"/>
      <c r="H41" s="194"/>
      <c r="I41" s="194"/>
      <c r="M41" s="184"/>
    </row>
    <row r="42" spans="1:13" ht="14.4" x14ac:dyDescent="0.3">
      <c r="C42" s="177" t="s">
        <v>83</v>
      </c>
      <c r="D42" s="232">
        <v>1.54E-2</v>
      </c>
      <c r="E42" s="232">
        <v>-0.2185</v>
      </c>
      <c r="F42" s="195" t="s">
        <v>92</v>
      </c>
      <c r="G42" s="191"/>
      <c r="H42" s="194"/>
      <c r="I42" s="194"/>
      <c r="M42" s="184"/>
    </row>
    <row r="43" spans="1:13" ht="14.4" x14ac:dyDescent="0.3">
      <c r="C43" s="179" t="s">
        <v>144</v>
      </c>
      <c r="D43" s="232">
        <v>9.9000000000000008E-3</v>
      </c>
      <c r="E43" s="232">
        <v>-0.1404</v>
      </c>
      <c r="F43" s="195" t="s">
        <v>92</v>
      </c>
      <c r="G43" s="191"/>
      <c r="H43" s="194"/>
      <c r="I43" s="194"/>
    </row>
    <row r="44" spans="1:13" ht="14.4" x14ac:dyDescent="0.3">
      <c r="C44" s="179" t="s">
        <v>145</v>
      </c>
      <c r="D44" s="232">
        <v>6.1999999999999998E-3</v>
      </c>
      <c r="E44" s="232">
        <v>-8.7800000000000003E-2</v>
      </c>
      <c r="F44" s="195" t="s">
        <v>92</v>
      </c>
      <c r="G44" s="191"/>
      <c r="H44" s="194"/>
    </row>
    <row r="45" spans="1:13" ht="14.4" x14ac:dyDescent="0.3">
      <c r="C45" s="177" t="s">
        <v>62</v>
      </c>
      <c r="D45" s="232">
        <f t="shared" si="0"/>
        <v>0</v>
      </c>
      <c r="E45" s="232">
        <v>-4.0000000000000002E-4</v>
      </c>
      <c r="F45" t="s">
        <v>91</v>
      </c>
      <c r="G45" s="191"/>
      <c r="H45" s="194"/>
    </row>
    <row r="46" spans="1:13" ht="14.4" x14ac:dyDescent="0.3">
      <c r="C46" s="177" t="s">
        <v>84</v>
      </c>
      <c r="D46" s="232">
        <f t="shared" si="0"/>
        <v>0</v>
      </c>
      <c r="E46" s="232"/>
      <c r="F46" t="s">
        <v>92</v>
      </c>
      <c r="G46" s="191"/>
      <c r="H46" s="194"/>
    </row>
    <row r="47" spans="1:13" ht="14.4" x14ac:dyDescent="0.3">
      <c r="C47" s="177" t="s">
        <v>85</v>
      </c>
      <c r="D47" s="232">
        <f t="shared" si="0"/>
        <v>0</v>
      </c>
      <c r="E47" s="232"/>
      <c r="F47" t="s">
        <v>92</v>
      </c>
      <c r="G47" s="191"/>
      <c r="H47" s="194"/>
    </row>
    <row r="48" spans="1:13" ht="14.4" x14ac:dyDescent="0.3">
      <c r="C48" s="177" t="s">
        <v>86</v>
      </c>
      <c r="D48" s="232">
        <f t="shared" si="0"/>
        <v>0</v>
      </c>
      <c r="E48" s="232"/>
      <c r="F48" t="s">
        <v>92</v>
      </c>
      <c r="G48" s="191"/>
      <c r="H48" s="194"/>
    </row>
    <row r="49" spans="2:14" ht="14.4" x14ac:dyDescent="0.3">
      <c r="C49" s="177"/>
      <c r="D49" s="230"/>
      <c r="H49" t="s">
        <v>93</v>
      </c>
    </row>
    <row r="50" spans="2:14" x14ac:dyDescent="0.25">
      <c r="B50" s="181" t="s">
        <v>95</v>
      </c>
    </row>
    <row r="51" spans="2:14" ht="14.4" x14ac:dyDescent="0.3">
      <c r="D51" s="228">
        <v>2017</v>
      </c>
      <c r="E51" s="228">
        <v>2018</v>
      </c>
      <c r="G51" s="177"/>
    </row>
    <row r="52" spans="2:14" ht="14.4" x14ac:dyDescent="0.3">
      <c r="C52" s="177" t="s">
        <v>2</v>
      </c>
      <c r="D52" s="233">
        <v>0.02</v>
      </c>
      <c r="E52" s="233"/>
      <c r="F52" t="s">
        <v>96</v>
      </c>
      <c r="G52" s="182"/>
      <c r="N52" s="184"/>
    </row>
    <row r="53" spans="2:14" ht="14.4" x14ac:dyDescent="0.3">
      <c r="C53" s="177" t="s">
        <v>80</v>
      </c>
      <c r="D53" s="232">
        <v>0</v>
      </c>
      <c r="E53" s="232"/>
      <c r="F53" t="s">
        <v>91</v>
      </c>
      <c r="G53" s="183"/>
      <c r="N53" s="184"/>
    </row>
    <row r="54" spans="2:14" ht="14.4" x14ac:dyDescent="0.3">
      <c r="C54" s="177" t="s">
        <v>81</v>
      </c>
      <c r="D54" s="232">
        <v>1.29E-2</v>
      </c>
      <c r="E54" s="232"/>
      <c r="F54" t="s">
        <v>92</v>
      </c>
      <c r="G54" s="183"/>
      <c r="N54" s="184"/>
    </row>
    <row r="55" spans="2:14" ht="14.4" x14ac:dyDescent="0.3">
      <c r="C55" s="177" t="s">
        <v>82</v>
      </c>
      <c r="D55" s="232">
        <v>1.43E-2</v>
      </c>
      <c r="E55" s="232"/>
      <c r="F55" t="s">
        <v>92</v>
      </c>
      <c r="G55" s="183"/>
      <c r="N55" s="184"/>
    </row>
    <row r="56" spans="2:14" ht="14.4" x14ac:dyDescent="0.3">
      <c r="C56" s="177" t="s">
        <v>83</v>
      </c>
      <c r="D56" s="232">
        <v>1.7000000000000001E-2</v>
      </c>
      <c r="E56" s="232"/>
      <c r="F56" t="s">
        <v>92</v>
      </c>
      <c r="G56" s="183"/>
      <c r="N56" s="184"/>
    </row>
    <row r="57" spans="2:14" ht="14.4" x14ac:dyDescent="0.3">
      <c r="C57" s="179" t="s">
        <v>144</v>
      </c>
      <c r="D57" s="232">
        <v>1.09E-2</v>
      </c>
      <c r="E57" s="232"/>
      <c r="F57" t="s">
        <v>92</v>
      </c>
      <c r="G57" s="183"/>
      <c r="N57" s="184"/>
    </row>
    <row r="58" spans="2:14" ht="14.4" x14ac:dyDescent="0.3">
      <c r="C58" s="179" t="s">
        <v>145</v>
      </c>
      <c r="D58" s="232">
        <v>6.7999999999999996E-3</v>
      </c>
      <c r="E58" s="232"/>
      <c r="F58" t="s">
        <v>92</v>
      </c>
      <c r="G58" s="183"/>
      <c r="N58" s="184"/>
    </row>
    <row r="59" spans="2:14" ht="14.4" x14ac:dyDescent="0.3">
      <c r="C59" s="177" t="s">
        <v>62</v>
      </c>
      <c r="D59" s="232">
        <v>0</v>
      </c>
      <c r="E59" s="232"/>
      <c r="F59" t="s">
        <v>91</v>
      </c>
      <c r="G59" s="183"/>
      <c r="N59" s="184"/>
    </row>
    <row r="60" spans="2:14" ht="14.4" x14ac:dyDescent="0.3">
      <c r="C60" s="177" t="s">
        <v>84</v>
      </c>
      <c r="D60" s="232">
        <v>0</v>
      </c>
      <c r="E60" s="232"/>
      <c r="F60" t="s">
        <v>92</v>
      </c>
      <c r="G60" s="183"/>
      <c r="N60" s="184"/>
    </row>
    <row r="61" spans="2:14" ht="14.4" x14ac:dyDescent="0.3">
      <c r="C61" s="177" t="s">
        <v>85</v>
      </c>
      <c r="D61" s="232">
        <v>0</v>
      </c>
      <c r="E61" s="232"/>
      <c r="F61" t="s">
        <v>92</v>
      </c>
      <c r="G61" s="183"/>
      <c r="N61" s="184"/>
    </row>
    <row r="62" spans="2:14" ht="14.4" x14ac:dyDescent="0.3">
      <c r="C62" s="177" t="s">
        <v>86</v>
      </c>
      <c r="D62" s="232">
        <v>0</v>
      </c>
      <c r="E62" s="232"/>
      <c r="F62" t="s">
        <v>92</v>
      </c>
      <c r="G62" s="183"/>
      <c r="N62" s="184"/>
    </row>
    <row r="63" spans="2:14" ht="14.4" x14ac:dyDescent="0.3">
      <c r="C63" s="177"/>
      <c r="D63" s="230"/>
      <c r="H63" t="s">
        <v>93</v>
      </c>
    </row>
    <row r="65" spans="2:18" x14ac:dyDescent="0.25">
      <c r="B65" s="181" t="s">
        <v>97</v>
      </c>
    </row>
    <row r="66" spans="2:18" ht="14.4" x14ac:dyDescent="0.3">
      <c r="B66" s="181"/>
      <c r="D66" s="228">
        <v>2017</v>
      </c>
      <c r="E66" s="228">
        <v>2018</v>
      </c>
    </row>
    <row r="67" spans="2:18" ht="14.4" x14ac:dyDescent="0.3">
      <c r="C67" s="177" t="s">
        <v>2</v>
      </c>
      <c r="D67" s="234"/>
      <c r="E67" s="234"/>
      <c r="F67" t="s">
        <v>91</v>
      </c>
      <c r="N67" s="184"/>
    </row>
    <row r="68" spans="2:18" ht="14.4" x14ac:dyDescent="0.3">
      <c r="C68" s="177" t="s">
        <v>80</v>
      </c>
      <c r="D68" s="234"/>
      <c r="E68" s="234"/>
      <c r="F68" t="s">
        <v>91</v>
      </c>
      <c r="N68" s="184"/>
    </row>
    <row r="69" spans="2:18" ht="14.4" x14ac:dyDescent="0.3">
      <c r="C69" s="177" t="s">
        <v>81</v>
      </c>
      <c r="D69" s="234"/>
      <c r="E69" s="234"/>
      <c r="F69" t="s">
        <v>92</v>
      </c>
      <c r="N69" s="184"/>
    </row>
    <row r="70" spans="2:18" ht="14.4" x14ac:dyDescent="0.3">
      <c r="C70" s="177" t="s">
        <v>82</v>
      </c>
      <c r="D70" s="234"/>
      <c r="E70" s="234"/>
      <c r="F70" t="s">
        <v>92</v>
      </c>
      <c r="N70" s="184"/>
    </row>
    <row r="71" spans="2:18" ht="14.4" x14ac:dyDescent="0.3">
      <c r="C71" s="177" t="s">
        <v>83</v>
      </c>
      <c r="D71" s="234"/>
      <c r="E71" s="234"/>
      <c r="F71" t="s">
        <v>92</v>
      </c>
      <c r="N71" s="184"/>
    </row>
    <row r="72" spans="2:18" ht="14.4" x14ac:dyDescent="0.3">
      <c r="C72" s="179" t="s">
        <v>144</v>
      </c>
      <c r="D72" s="234"/>
      <c r="E72" s="234"/>
      <c r="F72" t="s">
        <v>92</v>
      </c>
      <c r="N72" s="184"/>
    </row>
    <row r="73" spans="2:18" ht="14.4" x14ac:dyDescent="0.3">
      <c r="C73" s="179" t="s">
        <v>145</v>
      </c>
      <c r="D73" s="234"/>
      <c r="E73" s="234"/>
      <c r="F73" t="s">
        <v>92</v>
      </c>
      <c r="N73" s="184"/>
    </row>
    <row r="74" spans="2:18" ht="14.4" x14ac:dyDescent="0.3">
      <c r="C74" s="177" t="s">
        <v>62</v>
      </c>
      <c r="D74" s="234"/>
      <c r="E74" s="234"/>
      <c r="F74" t="s">
        <v>91</v>
      </c>
      <c r="N74" s="184"/>
    </row>
    <row r="75" spans="2:18" ht="14.4" x14ac:dyDescent="0.3">
      <c r="C75" s="177" t="s">
        <v>84</v>
      </c>
      <c r="D75" s="234"/>
      <c r="E75" s="234"/>
      <c r="F75" t="s">
        <v>92</v>
      </c>
      <c r="N75" s="184"/>
    </row>
    <row r="76" spans="2:18" ht="14.4" x14ac:dyDescent="0.3">
      <c r="C76" s="177" t="s">
        <v>85</v>
      </c>
      <c r="D76" s="234"/>
      <c r="E76" s="234"/>
      <c r="F76" t="s">
        <v>92</v>
      </c>
      <c r="N76" s="184"/>
    </row>
    <row r="77" spans="2:18" ht="14.4" x14ac:dyDescent="0.3">
      <c r="C77" s="177" t="s">
        <v>86</v>
      </c>
      <c r="D77" s="234"/>
      <c r="E77" s="234"/>
      <c r="F77" t="s">
        <v>92</v>
      </c>
      <c r="N77" s="184"/>
    </row>
    <row r="78" spans="2:18" ht="14.4" x14ac:dyDescent="0.3">
      <c r="C78" s="177"/>
      <c r="D78" s="230"/>
      <c r="H78" t="s">
        <v>93</v>
      </c>
      <c r="R78" s="184"/>
    </row>
    <row r="79" spans="2:18" x14ac:dyDescent="0.25">
      <c r="B79" s="181" t="s">
        <v>94</v>
      </c>
      <c r="D79" s="235"/>
    </row>
    <row r="80" spans="2:18" ht="14.4" x14ac:dyDescent="0.3">
      <c r="D80" s="228">
        <v>2017</v>
      </c>
      <c r="E80" s="228">
        <v>2018</v>
      </c>
    </row>
    <row r="81" spans="2:9" ht="14.4" x14ac:dyDescent="0.3">
      <c r="C81" s="246" t="s">
        <v>130</v>
      </c>
      <c r="D81" s="234">
        <v>-1.9E-3</v>
      </c>
      <c r="E81" s="234"/>
      <c r="F81" t="s">
        <v>91</v>
      </c>
      <c r="G81" s="177"/>
    </row>
    <row r="82" spans="2:9" ht="14.4" x14ac:dyDescent="0.3">
      <c r="C82" s="246" t="s">
        <v>131</v>
      </c>
      <c r="D82" s="234">
        <v>-1.9E-3</v>
      </c>
      <c r="E82" s="234"/>
      <c r="F82" t="s">
        <v>91</v>
      </c>
      <c r="G82" s="177"/>
    </row>
    <row r="83" spans="2:9" ht="14.4" x14ac:dyDescent="0.3">
      <c r="C83" s="177" t="s">
        <v>81</v>
      </c>
      <c r="D83" s="234">
        <v>-1.9E-3</v>
      </c>
      <c r="E83" s="234"/>
      <c r="F83" t="s">
        <v>91</v>
      </c>
      <c r="G83" s="177"/>
    </row>
    <row r="84" spans="2:9" ht="14.4" x14ac:dyDescent="0.3">
      <c r="C84" s="177" t="s">
        <v>82</v>
      </c>
      <c r="D84" s="234">
        <v>-1.9E-3</v>
      </c>
      <c r="E84" s="234"/>
      <c r="F84" t="s">
        <v>91</v>
      </c>
      <c r="G84" s="177"/>
    </row>
    <row r="85" spans="2:9" ht="14.4" x14ac:dyDescent="0.3">
      <c r="C85" s="177" t="s">
        <v>83</v>
      </c>
      <c r="D85" s="234">
        <v>-1.9E-3</v>
      </c>
      <c r="E85" s="234"/>
      <c r="F85" t="s">
        <v>91</v>
      </c>
      <c r="G85" s="177"/>
    </row>
    <row r="86" spans="2:9" ht="14.4" x14ac:dyDescent="0.3">
      <c r="C86" s="179" t="s">
        <v>144</v>
      </c>
      <c r="D86" s="234">
        <v>-1.9E-3</v>
      </c>
      <c r="E86" s="234"/>
      <c r="F86" t="s">
        <v>91</v>
      </c>
      <c r="G86" s="177"/>
    </row>
    <row r="87" spans="2:9" ht="14.4" x14ac:dyDescent="0.3">
      <c r="C87" s="179" t="s">
        <v>145</v>
      </c>
      <c r="D87" s="234">
        <v>0</v>
      </c>
      <c r="E87" s="234"/>
      <c r="F87" t="s">
        <v>91</v>
      </c>
      <c r="G87" s="177"/>
    </row>
    <row r="88" spans="2:9" ht="14.4" x14ac:dyDescent="0.3">
      <c r="C88" s="177" t="s">
        <v>62</v>
      </c>
      <c r="D88" s="234">
        <v>0</v>
      </c>
      <c r="E88" s="234"/>
      <c r="F88" t="s">
        <v>91</v>
      </c>
      <c r="G88" s="177"/>
    </row>
    <row r="89" spans="2:9" ht="14.4" x14ac:dyDescent="0.3">
      <c r="C89" s="177" t="s">
        <v>84</v>
      </c>
      <c r="D89" s="234">
        <v>0</v>
      </c>
      <c r="E89" s="234"/>
      <c r="F89" t="s">
        <v>91</v>
      </c>
      <c r="G89" s="177"/>
    </row>
    <row r="90" spans="2:9" ht="14.4" x14ac:dyDescent="0.3">
      <c r="C90" s="177" t="s">
        <v>85</v>
      </c>
      <c r="D90" s="234">
        <v>0</v>
      </c>
      <c r="E90" s="234"/>
      <c r="F90" t="s">
        <v>91</v>
      </c>
      <c r="G90" s="177"/>
    </row>
    <row r="91" spans="2:9" ht="14.4" x14ac:dyDescent="0.3">
      <c r="C91" s="177" t="s">
        <v>86</v>
      </c>
      <c r="D91" s="234">
        <v>0</v>
      </c>
      <c r="E91" s="234"/>
      <c r="F91" t="s">
        <v>91</v>
      </c>
      <c r="G91" s="177"/>
    </row>
    <row r="92" spans="2:9" x14ac:dyDescent="0.25">
      <c r="H92" t="s">
        <v>93</v>
      </c>
    </row>
    <row r="93" spans="2:9" x14ac:dyDescent="0.25">
      <c r="B93" s="181" t="s">
        <v>104</v>
      </c>
      <c r="C93" s="181"/>
      <c r="D93" s="163"/>
      <c r="E93" s="163"/>
      <c r="F93" s="181"/>
      <c r="G93" s="181"/>
      <c r="H93" s="181"/>
      <c r="I93" s="181"/>
    </row>
    <row r="94" spans="2:9" x14ac:dyDescent="0.25">
      <c r="B94" s="181" t="s">
        <v>105</v>
      </c>
      <c r="C94" s="181"/>
      <c r="D94" s="163"/>
      <c r="E94" s="163"/>
      <c r="F94" s="181"/>
      <c r="G94" s="181"/>
      <c r="H94" s="181"/>
      <c r="I94" s="181"/>
    </row>
    <row r="95" spans="2:9" x14ac:dyDescent="0.25">
      <c r="B95" s="181"/>
      <c r="C95" s="181"/>
      <c r="D95" s="163"/>
      <c r="E95" s="163"/>
      <c r="F95" s="181"/>
      <c r="G95" s="181"/>
      <c r="H95" s="181"/>
      <c r="I95" s="181"/>
    </row>
    <row r="96" spans="2:9" ht="14.4" x14ac:dyDescent="0.3">
      <c r="D96" s="228">
        <v>2017</v>
      </c>
      <c r="E96" s="228">
        <v>2018</v>
      </c>
      <c r="G96" s="177"/>
    </row>
    <row r="97" spans="2:7" ht="14.4" x14ac:dyDescent="0.3">
      <c r="C97" s="177" t="s">
        <v>2</v>
      </c>
      <c r="D97" s="232">
        <v>-2.3E-3</v>
      </c>
      <c r="E97" s="232">
        <v>-8.0000000000000004E-4</v>
      </c>
      <c r="F97" t="s">
        <v>91</v>
      </c>
      <c r="G97" s="193"/>
    </row>
    <row r="98" spans="2:7" ht="14.4" x14ac:dyDescent="0.3">
      <c r="C98" s="177" t="s">
        <v>80</v>
      </c>
      <c r="D98" s="232">
        <v>-2.3E-3</v>
      </c>
      <c r="E98" s="232">
        <v>-8.0000000000000004E-4</v>
      </c>
      <c r="F98" t="s">
        <v>91</v>
      </c>
      <c r="G98" s="193"/>
    </row>
    <row r="99" spans="2:7" ht="14.4" x14ac:dyDescent="0.3">
      <c r="C99" s="177" t="s">
        <v>81</v>
      </c>
      <c r="D99" s="232">
        <v>-0.9869</v>
      </c>
      <c r="E99" s="232">
        <v>-0.33910000000000001</v>
      </c>
      <c r="F99" t="s">
        <v>92</v>
      </c>
      <c r="G99" s="193"/>
    </row>
    <row r="100" spans="2:7" ht="14.4" x14ac:dyDescent="0.3">
      <c r="C100" s="177" t="s">
        <v>82</v>
      </c>
      <c r="D100" s="232">
        <v>-1.0875999999999999</v>
      </c>
      <c r="E100" s="232">
        <v>-0.3735</v>
      </c>
      <c r="F100" t="s">
        <v>92</v>
      </c>
      <c r="G100" s="193"/>
    </row>
    <row r="101" spans="2:7" ht="14.4" x14ac:dyDescent="0.3">
      <c r="C101" s="177" t="s">
        <v>83</v>
      </c>
      <c r="D101" s="232">
        <v>-1.2968999999999999</v>
      </c>
      <c r="E101" s="232">
        <v>-0.4451</v>
      </c>
      <c r="F101" t="s">
        <v>92</v>
      </c>
      <c r="G101" s="193"/>
    </row>
    <row r="102" spans="2:7" ht="14.4" x14ac:dyDescent="0.3">
      <c r="C102" s="179" t="s">
        <v>144</v>
      </c>
      <c r="D102" s="232">
        <v>-0.83130000000000004</v>
      </c>
      <c r="E102" s="232">
        <v>-0.28610000000000002</v>
      </c>
      <c r="F102" t="s">
        <v>92</v>
      </c>
      <c r="G102" s="193"/>
    </row>
    <row r="103" spans="2:7" ht="14.4" x14ac:dyDescent="0.3">
      <c r="C103" s="179" t="s">
        <v>145</v>
      </c>
      <c r="D103" s="232">
        <v>-0.52110000000000001</v>
      </c>
      <c r="E103" s="232">
        <v>-0.1789</v>
      </c>
      <c r="F103" t="s">
        <v>92</v>
      </c>
      <c r="G103" s="193"/>
    </row>
    <row r="104" spans="2:7" ht="14.4" x14ac:dyDescent="0.3">
      <c r="C104" s="177" t="s">
        <v>62</v>
      </c>
      <c r="D104" s="232">
        <v>-2.3E-3</v>
      </c>
      <c r="E104" s="232">
        <v>-8.0000000000000004E-4</v>
      </c>
      <c r="F104" t="s">
        <v>91</v>
      </c>
      <c r="G104" s="193"/>
    </row>
    <row r="105" spans="2:7" ht="14.4" x14ac:dyDescent="0.3">
      <c r="C105" s="177" t="s">
        <v>84</v>
      </c>
      <c r="D105" s="232"/>
      <c r="E105" s="232"/>
      <c r="F105" t="s">
        <v>92</v>
      </c>
      <c r="G105" s="193"/>
    </row>
    <row r="106" spans="2:7" ht="14.4" x14ac:dyDescent="0.3">
      <c r="C106" s="177" t="s">
        <v>85</v>
      </c>
      <c r="D106" s="232"/>
      <c r="E106" s="232"/>
      <c r="F106" t="s">
        <v>92</v>
      </c>
      <c r="G106" s="193"/>
    </row>
    <row r="107" spans="2:7" ht="14.4" x14ac:dyDescent="0.3">
      <c r="C107" s="177" t="s">
        <v>86</v>
      </c>
      <c r="D107" s="232"/>
      <c r="E107" s="232"/>
      <c r="F107" t="s">
        <v>92</v>
      </c>
      <c r="G107" s="193"/>
    </row>
    <row r="109" spans="2:7" ht="18.75" customHeight="1" x14ac:dyDescent="0.25">
      <c r="B109" s="181" t="s">
        <v>125</v>
      </c>
    </row>
    <row r="110" spans="2:7" ht="18.75" customHeight="1" x14ac:dyDescent="0.3">
      <c r="B110" s="181"/>
      <c r="D110" s="228">
        <v>2017</v>
      </c>
      <c r="E110" s="228">
        <v>2018</v>
      </c>
    </row>
    <row r="111" spans="2:7" ht="18.75" customHeight="1" x14ac:dyDescent="0.3">
      <c r="B111" s="181"/>
      <c r="C111" s="177" t="s">
        <v>2</v>
      </c>
      <c r="D111" s="193">
        <v>2.7E-4</v>
      </c>
      <c r="E111" s="193"/>
      <c r="F111" t="s">
        <v>91</v>
      </c>
    </row>
    <row r="112" spans="2:7" ht="18.75" customHeight="1" x14ac:dyDescent="0.3">
      <c r="B112" s="181"/>
      <c r="C112" s="177" t="s">
        <v>80</v>
      </c>
      <c r="D112" s="193">
        <v>2.7E-4</v>
      </c>
      <c r="E112" s="193"/>
      <c r="F112" t="s">
        <v>91</v>
      </c>
    </row>
    <row r="113" spans="2:9" ht="18.75" customHeight="1" x14ac:dyDescent="0.3">
      <c r="B113" s="181"/>
      <c r="C113" s="177" t="s">
        <v>81</v>
      </c>
      <c r="D113" s="193">
        <v>2.7E-4</v>
      </c>
      <c r="E113" s="193"/>
      <c r="F113" t="s">
        <v>91</v>
      </c>
    </row>
    <row r="114" spans="2:9" ht="17.399999999999999" x14ac:dyDescent="0.3">
      <c r="B114" s="225"/>
      <c r="C114" s="177" t="s">
        <v>82</v>
      </c>
      <c r="D114" s="193">
        <v>2.7E-4</v>
      </c>
      <c r="E114" s="193"/>
      <c r="F114" t="s">
        <v>91</v>
      </c>
    </row>
    <row r="115" spans="2:9" ht="17.399999999999999" x14ac:dyDescent="0.3">
      <c r="B115" s="225"/>
      <c r="C115" s="177" t="s">
        <v>83</v>
      </c>
      <c r="D115" s="193">
        <v>2.7E-4</v>
      </c>
      <c r="E115" s="193"/>
      <c r="F115" t="s">
        <v>91</v>
      </c>
    </row>
    <row r="116" spans="2:9" ht="17.399999999999999" x14ac:dyDescent="0.3">
      <c r="B116" s="225"/>
      <c r="C116" s="179" t="s">
        <v>144</v>
      </c>
      <c r="D116" s="193">
        <v>2.7E-4</v>
      </c>
      <c r="E116" s="193"/>
      <c r="F116" t="s">
        <v>91</v>
      </c>
    </row>
    <row r="117" spans="2:9" ht="17.399999999999999" x14ac:dyDescent="0.3">
      <c r="B117" s="225"/>
      <c r="C117" s="179" t="s">
        <v>145</v>
      </c>
      <c r="D117" s="193">
        <v>2.7E-4</v>
      </c>
      <c r="E117" s="193"/>
      <c r="F117" t="s">
        <v>91</v>
      </c>
    </row>
    <row r="118" spans="2:9" ht="17.399999999999999" x14ac:dyDescent="0.3">
      <c r="B118" s="225"/>
      <c r="C118" s="177" t="s">
        <v>62</v>
      </c>
      <c r="D118" s="193">
        <v>2.7E-4</v>
      </c>
      <c r="E118" s="193"/>
      <c r="F118" t="s">
        <v>91</v>
      </c>
    </row>
    <row r="119" spans="2:9" ht="17.399999999999999" x14ac:dyDescent="0.3">
      <c r="B119" s="225"/>
      <c r="C119" s="177" t="s">
        <v>84</v>
      </c>
      <c r="D119" s="232">
        <v>0</v>
      </c>
      <c r="E119" s="232"/>
      <c r="F119" t="s">
        <v>91</v>
      </c>
    </row>
    <row r="120" spans="2:9" ht="17.399999999999999" x14ac:dyDescent="0.3">
      <c r="B120" s="225"/>
      <c r="C120" s="177" t="s">
        <v>85</v>
      </c>
      <c r="D120" s="232">
        <v>0</v>
      </c>
      <c r="E120" s="232"/>
      <c r="F120" t="s">
        <v>91</v>
      </c>
    </row>
    <row r="121" spans="2:9" ht="17.399999999999999" x14ac:dyDescent="0.3">
      <c r="B121" s="225"/>
      <c r="C121" s="177" t="s">
        <v>86</v>
      </c>
      <c r="D121" s="232">
        <v>0</v>
      </c>
      <c r="E121" s="232"/>
      <c r="F121" t="s">
        <v>91</v>
      </c>
    </row>
    <row r="122" spans="2:9" ht="17.399999999999999" x14ac:dyDescent="0.3">
      <c r="B122" s="225"/>
      <c r="D122" s="236"/>
    </row>
    <row r="123" spans="2:9" x14ac:dyDescent="0.25">
      <c r="B123" s="181" t="s">
        <v>25</v>
      </c>
      <c r="C123" s="181"/>
      <c r="D123" s="163"/>
      <c r="E123" s="163"/>
      <c r="F123" s="181"/>
      <c r="G123" s="181"/>
      <c r="H123" s="181"/>
      <c r="I123" s="181"/>
    </row>
    <row r="124" spans="2:9" x14ac:dyDescent="0.25">
      <c r="B124" s="181"/>
      <c r="C124" s="181"/>
      <c r="D124" s="163"/>
      <c r="E124" s="163"/>
      <c r="F124" s="181"/>
      <c r="G124" s="181"/>
      <c r="H124" s="181"/>
      <c r="I124" s="181"/>
    </row>
    <row r="125" spans="2:9" ht="14.4" x14ac:dyDescent="0.3">
      <c r="D125" s="228">
        <v>2017</v>
      </c>
      <c r="E125" s="228">
        <v>2018</v>
      </c>
      <c r="G125" s="177"/>
    </row>
    <row r="126" spans="2:9" ht="14.4" x14ac:dyDescent="0.3">
      <c r="C126" s="177" t="s">
        <v>2</v>
      </c>
      <c r="D126" s="237">
        <v>6.9999999999999994E-5</v>
      </c>
      <c r="E126" s="237">
        <v>6.0000000000000002E-5</v>
      </c>
      <c r="G126" s="193"/>
    </row>
    <row r="127" spans="2:9" ht="14.4" x14ac:dyDescent="0.3">
      <c r="C127" s="177" t="s">
        <v>80</v>
      </c>
      <c r="D127" s="237">
        <v>6.9999999999999994E-5</v>
      </c>
      <c r="E127" s="237">
        <v>6.0000000000000002E-5</v>
      </c>
      <c r="G127" s="193"/>
    </row>
    <row r="128" spans="2:9" ht="14.4" x14ac:dyDescent="0.3">
      <c r="C128" s="177" t="s">
        <v>81</v>
      </c>
      <c r="D128" s="237">
        <v>2.632E-2</v>
      </c>
      <c r="E128" s="237">
        <v>2.3820000000000001E-2</v>
      </c>
      <c r="G128" s="193"/>
    </row>
    <row r="129" spans="2:11" ht="14.4" x14ac:dyDescent="0.3">
      <c r="C129" s="177" t="s">
        <v>82</v>
      </c>
      <c r="D129" s="237">
        <v>2.8129999999999999E-2</v>
      </c>
      <c r="E129" s="237">
        <v>2.546E-2</v>
      </c>
      <c r="G129" s="193"/>
    </row>
    <row r="130" spans="2:11" ht="14.4" x14ac:dyDescent="0.3">
      <c r="C130" s="177" t="s">
        <v>83</v>
      </c>
      <c r="D130" s="237">
        <v>3.168E-2</v>
      </c>
      <c r="E130" s="237">
        <v>2.8670000000000001E-2</v>
      </c>
      <c r="G130" s="193"/>
    </row>
    <row r="131" spans="2:11" ht="14.4" x14ac:dyDescent="0.3">
      <c r="C131" s="179" t="s">
        <v>144</v>
      </c>
      <c r="D131" s="237">
        <v>1.9959999999999999E-2</v>
      </c>
      <c r="E131" s="237">
        <v>1.8069999999999999E-2</v>
      </c>
      <c r="G131" s="193"/>
    </row>
    <row r="132" spans="2:11" ht="14.4" x14ac:dyDescent="0.3">
      <c r="C132" s="179" t="s">
        <v>145</v>
      </c>
      <c r="D132" s="237">
        <v>1.9550000000000001E-2</v>
      </c>
      <c r="E132" s="237">
        <v>1.77E-2</v>
      </c>
      <c r="G132" s="193"/>
    </row>
    <row r="133" spans="2:11" ht="14.4" x14ac:dyDescent="0.3">
      <c r="C133" s="177" t="s">
        <v>62</v>
      </c>
      <c r="D133" s="237">
        <v>6.9999999999999994E-5</v>
      </c>
      <c r="E133" s="237">
        <v>6.0000000000000002E-5</v>
      </c>
      <c r="G133" s="193"/>
    </row>
    <row r="134" spans="2:11" ht="14.4" x14ac:dyDescent="0.3">
      <c r="C134" s="177" t="s">
        <v>84</v>
      </c>
      <c r="D134" s="239"/>
      <c r="E134" s="240"/>
      <c r="F134" s="195"/>
      <c r="G134" s="195"/>
      <c r="H134" s="195"/>
      <c r="I134" s="195"/>
      <c r="K134" s="193"/>
    </row>
    <row r="135" spans="2:11" ht="14.4" x14ac:dyDescent="0.3">
      <c r="C135" s="177" t="s">
        <v>85</v>
      </c>
      <c r="D135" s="239"/>
      <c r="E135" s="240"/>
      <c r="F135" s="195"/>
      <c r="G135" s="195"/>
      <c r="H135" s="195"/>
      <c r="I135" s="195"/>
      <c r="K135" s="193"/>
    </row>
    <row r="136" spans="2:11" ht="14.4" x14ac:dyDescent="0.3">
      <c r="C136" s="177" t="s">
        <v>86</v>
      </c>
      <c r="D136" s="239"/>
      <c r="E136" s="240"/>
      <c r="F136" s="195"/>
      <c r="G136" s="195"/>
      <c r="H136" s="195"/>
      <c r="I136" s="195"/>
      <c r="K136" s="193"/>
    </row>
    <row r="138" spans="2:11" x14ac:dyDescent="0.25">
      <c r="B138" s="181" t="s">
        <v>107</v>
      </c>
      <c r="C138" s="181"/>
      <c r="D138" s="163"/>
      <c r="E138" s="163"/>
      <c r="F138" s="181"/>
      <c r="G138" s="181"/>
      <c r="H138" s="181"/>
      <c r="I138" s="181"/>
    </row>
    <row r="139" spans="2:11" x14ac:dyDescent="0.25">
      <c r="B139" s="181"/>
      <c r="C139" s="181"/>
      <c r="D139" s="163"/>
      <c r="E139" s="163"/>
      <c r="F139" s="181"/>
      <c r="G139" s="181"/>
      <c r="H139" s="181"/>
      <c r="I139" s="181"/>
    </row>
    <row r="140" spans="2:11" ht="14.4" x14ac:dyDescent="0.3">
      <c r="D140" s="228">
        <v>2017</v>
      </c>
      <c r="E140" s="228">
        <v>2018</v>
      </c>
      <c r="F140" s="195"/>
      <c r="G140" s="195"/>
      <c r="H140" s="195"/>
      <c r="I140" s="195"/>
      <c r="K140" s="177"/>
    </row>
    <row r="141" spans="2:11" ht="14.4" x14ac:dyDescent="0.3">
      <c r="C141" s="177" t="s">
        <v>2</v>
      </c>
      <c r="D141" s="241">
        <v>0.79</v>
      </c>
      <c r="E141" s="241">
        <v>0.79</v>
      </c>
      <c r="F141" s="195"/>
      <c r="G141" s="195"/>
      <c r="H141" s="195"/>
      <c r="I141" s="195"/>
      <c r="K141" s="193"/>
    </row>
    <row r="142" spans="2:11" ht="14.4" x14ac:dyDescent="0.3">
      <c r="C142" s="177" t="s">
        <v>80</v>
      </c>
      <c r="D142" s="241">
        <v>0.79</v>
      </c>
      <c r="E142" s="241">
        <v>0.79</v>
      </c>
      <c r="F142" s="195"/>
      <c r="G142" s="195"/>
      <c r="H142" s="195"/>
      <c r="I142" s="195"/>
      <c r="K142" s="193"/>
    </row>
    <row r="143" spans="2:11" ht="14.4" x14ac:dyDescent="0.3">
      <c r="C143" s="177" t="s">
        <v>81</v>
      </c>
      <c r="D143" s="239"/>
      <c r="E143" s="240"/>
      <c r="F143" s="195"/>
      <c r="G143" s="195"/>
      <c r="H143" s="195"/>
      <c r="I143" s="195"/>
      <c r="K143" s="193"/>
    </row>
    <row r="144" spans="2:11" ht="14.4" x14ac:dyDescent="0.3">
      <c r="C144" s="177" t="s">
        <v>82</v>
      </c>
      <c r="D144" s="239"/>
      <c r="E144" s="240"/>
      <c r="F144" s="195"/>
      <c r="G144" s="195"/>
      <c r="H144" s="195"/>
      <c r="I144" s="195"/>
      <c r="K144" s="193"/>
    </row>
    <row r="145" spans="2:11" ht="14.4" x14ac:dyDescent="0.3">
      <c r="C145" s="177" t="s">
        <v>83</v>
      </c>
      <c r="D145" s="239"/>
      <c r="E145" s="240"/>
      <c r="F145" s="195"/>
      <c r="G145" s="195"/>
      <c r="H145" s="195"/>
      <c r="I145" s="195"/>
      <c r="K145" s="193"/>
    </row>
    <row r="146" spans="2:11" ht="14.4" x14ac:dyDescent="0.3">
      <c r="C146" s="179" t="s">
        <v>144</v>
      </c>
      <c r="D146" s="239"/>
      <c r="E146" s="240"/>
      <c r="F146" s="195"/>
      <c r="G146" s="195"/>
      <c r="H146" s="195"/>
      <c r="I146" s="195"/>
      <c r="K146" s="193"/>
    </row>
    <row r="147" spans="2:11" ht="14.4" x14ac:dyDescent="0.3">
      <c r="C147" s="179" t="s">
        <v>145</v>
      </c>
      <c r="D147" s="239"/>
      <c r="E147" s="240"/>
      <c r="F147" s="195"/>
      <c r="G147" s="195"/>
      <c r="H147" s="195"/>
      <c r="I147" s="195"/>
      <c r="K147" s="193"/>
    </row>
    <row r="148" spans="2:11" ht="14.4" x14ac:dyDescent="0.3">
      <c r="C148" s="177" t="s">
        <v>62</v>
      </c>
      <c r="D148" s="239"/>
      <c r="E148" s="240"/>
      <c r="F148" s="195"/>
      <c r="G148" s="195"/>
      <c r="H148" s="195"/>
      <c r="I148" s="195"/>
      <c r="K148" s="193"/>
    </row>
    <row r="149" spans="2:11" ht="14.4" x14ac:dyDescent="0.3">
      <c r="C149" s="177" t="s">
        <v>84</v>
      </c>
      <c r="D149" s="239"/>
      <c r="E149" s="240"/>
      <c r="K149" s="193"/>
    </row>
    <row r="150" spans="2:11" ht="14.4" x14ac:dyDescent="0.3">
      <c r="C150" s="177" t="s">
        <v>85</v>
      </c>
      <c r="D150" s="239"/>
      <c r="E150" s="240"/>
      <c r="F150" s="181"/>
      <c r="G150" s="181"/>
      <c r="H150" s="181"/>
      <c r="I150" s="181"/>
      <c r="K150" s="193"/>
    </row>
    <row r="151" spans="2:11" ht="14.4" x14ac:dyDescent="0.3">
      <c r="C151" s="177" t="s">
        <v>86</v>
      </c>
      <c r="D151" s="239"/>
      <c r="E151" s="240"/>
      <c r="F151" s="181"/>
      <c r="G151" s="181"/>
      <c r="H151" s="181"/>
      <c r="I151" s="181"/>
      <c r="K151" s="193"/>
    </row>
    <row r="152" spans="2:11" ht="14.4" x14ac:dyDescent="0.3">
      <c r="F152" s="177"/>
      <c r="G152" s="177"/>
      <c r="H152" s="177"/>
      <c r="I152" s="177"/>
    </row>
    <row r="153" spans="2:11" x14ac:dyDescent="0.25">
      <c r="B153" s="181" t="s">
        <v>108</v>
      </c>
      <c r="C153" s="181"/>
      <c r="D153" s="163"/>
      <c r="E153" s="163"/>
      <c r="F153" s="195"/>
      <c r="G153" s="195"/>
      <c r="H153" s="195"/>
      <c r="I153" s="195"/>
    </row>
    <row r="154" spans="2:11" x14ac:dyDescent="0.25">
      <c r="B154" s="181"/>
      <c r="C154" s="181"/>
      <c r="D154" s="163"/>
      <c r="E154" s="163"/>
      <c r="F154" s="195"/>
      <c r="G154" s="195"/>
      <c r="H154" s="195"/>
      <c r="I154" s="195"/>
    </row>
    <row r="155" spans="2:11" ht="14.4" x14ac:dyDescent="0.3">
      <c r="D155" s="228">
        <v>2017</v>
      </c>
      <c r="E155" s="228">
        <v>2018</v>
      </c>
      <c r="F155" s="195"/>
      <c r="G155" s="195"/>
      <c r="H155" s="195"/>
    </row>
    <row r="156" spans="2:11" ht="14.4" x14ac:dyDescent="0.3">
      <c r="C156" s="177" t="s">
        <v>2</v>
      </c>
      <c r="D156" s="235">
        <v>7.4000000000000003E-3</v>
      </c>
      <c r="E156" s="235">
        <v>7.4999999999999997E-3</v>
      </c>
      <c r="F156" s="195"/>
      <c r="G156" s="195"/>
      <c r="H156" s="195"/>
    </row>
    <row r="157" spans="2:11" ht="14.4" x14ac:dyDescent="0.3">
      <c r="C157" s="177" t="s">
        <v>80</v>
      </c>
      <c r="D157" s="235">
        <v>6.7999999999999996E-3</v>
      </c>
      <c r="E157" s="235">
        <v>6.8999999999999999E-3</v>
      </c>
      <c r="F157" s="195"/>
      <c r="G157" s="195"/>
      <c r="H157" s="195"/>
    </row>
    <row r="158" spans="2:11" ht="14.4" x14ac:dyDescent="0.3">
      <c r="C158" s="177" t="s">
        <v>81</v>
      </c>
      <c r="D158" s="235">
        <v>2.8016000000000001</v>
      </c>
      <c r="E158" s="235">
        <v>2.8473000000000002</v>
      </c>
      <c r="F158" s="195"/>
      <c r="G158" s="195"/>
      <c r="H158" s="195"/>
    </row>
    <row r="159" spans="2:11" ht="14.4" x14ac:dyDescent="0.3">
      <c r="C159" s="177" t="s">
        <v>82</v>
      </c>
      <c r="D159" s="235">
        <v>2.9089</v>
      </c>
      <c r="E159" s="235">
        <v>2.9563000000000001</v>
      </c>
      <c r="F159" s="195"/>
      <c r="G159" s="195"/>
      <c r="H159" s="195"/>
    </row>
    <row r="160" spans="2:11" ht="14.4" x14ac:dyDescent="0.3">
      <c r="C160" s="177" t="s">
        <v>83</v>
      </c>
      <c r="D160" s="235">
        <v>3.2246000000000001</v>
      </c>
      <c r="E160" s="235">
        <v>3.2772000000000001</v>
      </c>
      <c r="F160" s="195"/>
      <c r="G160" s="195"/>
      <c r="H160" s="195"/>
    </row>
    <row r="161" spans="2:8" ht="14.4" x14ac:dyDescent="0.3">
      <c r="C161" s="179" t="s">
        <v>144</v>
      </c>
      <c r="D161" s="235">
        <v>2.0785999999999998</v>
      </c>
      <c r="E161" s="235">
        <v>2.1124999999999998</v>
      </c>
      <c r="F161" s="195"/>
      <c r="G161" s="195"/>
      <c r="H161" s="195"/>
    </row>
    <row r="162" spans="2:8" ht="14.4" x14ac:dyDescent="0.3">
      <c r="C162" s="179" t="s">
        <v>145</v>
      </c>
      <c r="D162" s="235">
        <v>2.0680999999999998</v>
      </c>
      <c r="E162" s="235">
        <v>2.1019000000000001</v>
      </c>
      <c r="F162" s="195"/>
      <c r="G162" s="195"/>
      <c r="H162" s="195"/>
    </row>
    <row r="163" spans="2:8" ht="14.4" x14ac:dyDescent="0.3">
      <c r="C163" s="177" t="s">
        <v>62</v>
      </c>
      <c r="D163" s="235">
        <v>6.7999999999999996E-3</v>
      </c>
      <c r="E163" s="235">
        <v>6.8999999999999999E-3</v>
      </c>
      <c r="F163" s="195"/>
      <c r="G163" s="195"/>
      <c r="H163" s="195"/>
    </row>
    <row r="164" spans="2:8" ht="14.4" x14ac:dyDescent="0.3">
      <c r="C164" s="177" t="s">
        <v>84</v>
      </c>
      <c r="D164" s="239"/>
      <c r="E164" s="240"/>
    </row>
    <row r="165" spans="2:8" ht="14.4" x14ac:dyDescent="0.3">
      <c r="C165" s="177" t="s">
        <v>85</v>
      </c>
      <c r="D165" s="239"/>
      <c r="E165" s="240"/>
      <c r="F165" s="181"/>
      <c r="G165" s="181"/>
      <c r="H165" s="181"/>
    </row>
    <row r="166" spans="2:8" ht="14.4" x14ac:dyDescent="0.3">
      <c r="C166" s="177" t="s">
        <v>86</v>
      </c>
      <c r="D166" s="239"/>
      <c r="E166" s="240"/>
      <c r="F166" s="181"/>
      <c r="G166" s="181"/>
      <c r="H166" s="181"/>
    </row>
    <row r="167" spans="2:8" ht="14.4" x14ac:dyDescent="0.3">
      <c r="F167" s="177"/>
      <c r="G167" s="177"/>
      <c r="H167" s="177"/>
    </row>
    <row r="168" spans="2:8" x14ac:dyDescent="0.25">
      <c r="B168" s="181" t="s">
        <v>109</v>
      </c>
      <c r="C168" s="181"/>
      <c r="D168" s="163"/>
      <c r="E168" s="163"/>
      <c r="F168" s="195"/>
      <c r="G168" s="195"/>
      <c r="H168" s="195"/>
    </row>
    <row r="169" spans="2:8" x14ac:dyDescent="0.25">
      <c r="B169" s="181"/>
      <c r="C169" s="181"/>
      <c r="D169" s="163"/>
      <c r="E169" s="163"/>
      <c r="F169" s="195"/>
      <c r="G169" s="195"/>
      <c r="H169" s="195"/>
    </row>
    <row r="170" spans="2:8" ht="14.4" x14ac:dyDescent="0.3">
      <c r="D170" s="228">
        <v>2017</v>
      </c>
      <c r="E170" s="228">
        <v>2018</v>
      </c>
      <c r="F170" s="195"/>
      <c r="G170" s="195"/>
      <c r="H170" s="195"/>
    </row>
    <row r="171" spans="2:8" ht="14.4" x14ac:dyDescent="0.3">
      <c r="C171" s="177" t="s">
        <v>2</v>
      </c>
      <c r="D171" s="235">
        <v>4.7000000000000002E-3</v>
      </c>
      <c r="E171" s="235">
        <v>4.7999999999999996E-3</v>
      </c>
      <c r="F171" s="195"/>
      <c r="G171" s="195"/>
      <c r="H171" s="195"/>
    </row>
    <row r="172" spans="2:8" ht="14.4" x14ac:dyDescent="0.3">
      <c r="C172" s="177" t="s">
        <v>80</v>
      </c>
      <c r="D172" s="235">
        <v>4.4999999999999997E-3</v>
      </c>
      <c r="E172" s="235">
        <v>4.5999999999999999E-3</v>
      </c>
      <c r="F172" s="195"/>
      <c r="G172" s="195"/>
      <c r="H172" s="195"/>
    </row>
    <row r="173" spans="2:8" ht="14.4" x14ac:dyDescent="0.3">
      <c r="C173" s="177" t="s">
        <v>81</v>
      </c>
      <c r="D173" s="235">
        <v>1.8173999999999999</v>
      </c>
      <c r="E173" s="235">
        <v>1.8407</v>
      </c>
      <c r="F173" s="195"/>
      <c r="G173" s="195"/>
      <c r="H173" s="195"/>
    </row>
    <row r="174" spans="2:8" ht="14.4" x14ac:dyDescent="0.3">
      <c r="C174" s="177" t="s">
        <v>82</v>
      </c>
      <c r="D174" s="235">
        <v>1.9422999999999999</v>
      </c>
      <c r="E174" s="235">
        <v>1.9672000000000001</v>
      </c>
      <c r="F174" s="195"/>
      <c r="G174" s="195"/>
      <c r="H174" s="195"/>
    </row>
    <row r="175" spans="2:8" ht="14.4" x14ac:dyDescent="0.3">
      <c r="C175" s="177" t="s">
        <v>83</v>
      </c>
      <c r="D175" s="235">
        <v>2.1873</v>
      </c>
      <c r="E175" s="235">
        <v>2.2153</v>
      </c>
      <c r="F175" s="195"/>
      <c r="G175" s="195"/>
      <c r="H175" s="195"/>
    </row>
    <row r="176" spans="2:8" ht="14.4" x14ac:dyDescent="0.3">
      <c r="C176" s="179" t="s">
        <v>144</v>
      </c>
      <c r="D176" s="235">
        <v>1.3783000000000001</v>
      </c>
      <c r="E176" s="280">
        <v>1.3959999999999999</v>
      </c>
      <c r="F176" s="195"/>
      <c r="G176" s="195"/>
      <c r="H176" s="195"/>
    </row>
    <row r="177" spans="2:11" ht="14.4" x14ac:dyDescent="0.3">
      <c r="C177" s="179" t="s">
        <v>145</v>
      </c>
      <c r="D177" s="235">
        <v>1.3501000000000001</v>
      </c>
      <c r="E177" s="235">
        <v>1.3673999999999999</v>
      </c>
      <c r="F177" s="195"/>
      <c r="G177" s="195"/>
      <c r="H177" s="195"/>
    </row>
    <row r="178" spans="2:11" ht="14.4" x14ac:dyDescent="0.3">
      <c r="C178" s="177" t="s">
        <v>62</v>
      </c>
      <c r="D178" s="235">
        <v>4.4999999999999997E-3</v>
      </c>
      <c r="E178" s="235">
        <v>4.5999999999999999E-3</v>
      </c>
      <c r="F178" s="195"/>
      <c r="G178" s="195"/>
      <c r="H178" s="195"/>
    </row>
    <row r="179" spans="2:11" ht="14.4" x14ac:dyDescent="0.3">
      <c r="C179" s="177" t="s">
        <v>84</v>
      </c>
      <c r="D179" s="239"/>
      <c r="E179" s="240"/>
      <c r="K179" s="193"/>
    </row>
    <row r="180" spans="2:11" ht="14.4" x14ac:dyDescent="0.3">
      <c r="C180" s="177" t="s">
        <v>85</v>
      </c>
      <c r="D180" s="239"/>
      <c r="E180" s="240"/>
      <c r="F180" s="181"/>
      <c r="G180" s="181"/>
      <c r="H180" s="181"/>
      <c r="I180" s="181"/>
      <c r="K180" s="193"/>
    </row>
    <row r="181" spans="2:11" ht="14.4" x14ac:dyDescent="0.3">
      <c r="C181" s="177" t="s">
        <v>86</v>
      </c>
      <c r="D181" s="239"/>
      <c r="E181" s="240"/>
      <c r="F181" s="181"/>
      <c r="G181" s="181"/>
      <c r="H181" s="181"/>
      <c r="I181" s="181"/>
      <c r="K181" s="193"/>
    </row>
    <row r="182" spans="2:11" ht="14.4" x14ac:dyDescent="0.3">
      <c r="F182" s="177"/>
      <c r="G182" s="177"/>
      <c r="H182" s="177"/>
      <c r="I182" s="177"/>
    </row>
    <row r="183" spans="2:11" x14ac:dyDescent="0.25">
      <c r="B183" s="181" t="s">
        <v>129</v>
      </c>
      <c r="C183" s="181"/>
      <c r="D183" s="163"/>
      <c r="E183" s="163"/>
      <c r="F183" s="195"/>
      <c r="G183" s="195"/>
      <c r="H183" s="195"/>
      <c r="I183" s="195"/>
    </row>
    <row r="184" spans="2:11" x14ac:dyDescent="0.25">
      <c r="B184" s="181"/>
      <c r="C184" s="181"/>
      <c r="D184" s="163"/>
      <c r="E184" s="163"/>
      <c r="F184" s="195"/>
      <c r="G184" s="195"/>
      <c r="H184" s="195"/>
      <c r="I184" s="195"/>
    </row>
    <row r="185" spans="2:11" ht="14.4" x14ac:dyDescent="0.3">
      <c r="D185" s="228">
        <v>2017</v>
      </c>
      <c r="E185" s="228">
        <v>2018</v>
      </c>
      <c r="F185" s="181"/>
      <c r="G185" s="181"/>
      <c r="H185" s="181"/>
      <c r="I185" s="181"/>
      <c r="K185" s="177"/>
    </row>
    <row r="186" spans="2:11" ht="14.4" x14ac:dyDescent="0.3">
      <c r="C186" s="196" t="s">
        <v>110</v>
      </c>
      <c r="D186" s="238">
        <v>3.5999999999999999E-3</v>
      </c>
      <c r="E186" s="247">
        <v>3.5999999999999999E-3</v>
      </c>
      <c r="F186" s="181"/>
      <c r="G186" s="181"/>
      <c r="H186" s="181"/>
      <c r="I186" s="181"/>
      <c r="K186" s="193"/>
    </row>
    <row r="187" spans="2:11" ht="14.4" x14ac:dyDescent="0.3">
      <c r="C187" s="177"/>
      <c r="D187" s="239"/>
      <c r="E187" s="240"/>
      <c r="F187" s="177"/>
      <c r="G187" s="177"/>
      <c r="H187" s="177"/>
      <c r="I187" s="177"/>
      <c r="K187" s="193"/>
    </row>
    <row r="188" spans="2:11" x14ac:dyDescent="0.25">
      <c r="B188" s="181" t="s">
        <v>111</v>
      </c>
      <c r="C188" s="181"/>
      <c r="D188" s="163"/>
      <c r="E188" s="163"/>
      <c r="F188" s="195"/>
      <c r="G188" s="195"/>
      <c r="H188" s="195"/>
      <c r="I188" s="195"/>
    </row>
    <row r="189" spans="2:11" x14ac:dyDescent="0.25">
      <c r="B189" s="181"/>
      <c r="C189" s="181"/>
      <c r="D189" s="163"/>
      <c r="E189" s="163"/>
      <c r="F189" s="195"/>
      <c r="G189" s="195"/>
      <c r="H189" s="195"/>
      <c r="I189" s="195"/>
    </row>
    <row r="190" spans="2:11" ht="14.4" x14ac:dyDescent="0.3">
      <c r="D190" s="228">
        <v>2017</v>
      </c>
      <c r="E190" s="228">
        <v>2018</v>
      </c>
      <c r="F190" s="181"/>
      <c r="G190" s="181"/>
      <c r="H190" s="181"/>
      <c r="I190" s="181"/>
      <c r="K190" s="177"/>
    </row>
    <row r="191" spans="2:11" ht="14.4" x14ac:dyDescent="0.3">
      <c r="C191" s="196" t="s">
        <v>110</v>
      </c>
      <c r="D191" s="238">
        <v>2.9999999999999997E-4</v>
      </c>
      <c r="E191" s="238">
        <v>2.9999999999999997E-4</v>
      </c>
      <c r="F191" s="181"/>
      <c r="G191" s="181"/>
      <c r="H191" s="181"/>
      <c r="I191" s="181"/>
      <c r="K191" s="193"/>
    </row>
    <row r="192" spans="2:11" ht="14.4" x14ac:dyDescent="0.3">
      <c r="C192" s="177"/>
      <c r="D192" s="239"/>
      <c r="E192" s="240"/>
      <c r="F192" s="177"/>
      <c r="G192" s="177"/>
      <c r="H192" s="177"/>
      <c r="I192" s="177"/>
      <c r="K192" s="193"/>
    </row>
    <row r="193" spans="2:11" x14ac:dyDescent="0.25">
      <c r="B193" s="181" t="s">
        <v>34</v>
      </c>
      <c r="C193" s="181"/>
      <c r="D193" s="163"/>
      <c r="E193" s="163"/>
      <c r="F193" s="195"/>
      <c r="G193" s="195"/>
      <c r="H193" s="195"/>
      <c r="I193" s="195"/>
    </row>
    <row r="194" spans="2:11" x14ac:dyDescent="0.25">
      <c r="B194" s="181"/>
      <c r="C194" s="181"/>
      <c r="D194" s="163"/>
      <c r="E194" s="163"/>
      <c r="F194" s="195"/>
      <c r="G194" s="195"/>
      <c r="H194" s="195"/>
      <c r="I194" s="195"/>
    </row>
    <row r="195" spans="2:11" ht="14.4" x14ac:dyDescent="0.3">
      <c r="D195" s="228">
        <v>2017</v>
      </c>
      <c r="E195" s="228">
        <v>2018</v>
      </c>
      <c r="F195" s="181"/>
      <c r="G195" s="181"/>
      <c r="H195" s="181"/>
      <c r="I195" s="181"/>
      <c r="K195" s="177"/>
    </row>
    <row r="196" spans="2:11" ht="14.4" x14ac:dyDescent="0.3">
      <c r="C196" s="245" t="s">
        <v>128</v>
      </c>
      <c r="D196" s="239">
        <v>0.25</v>
      </c>
      <c r="E196" s="241">
        <v>0.25</v>
      </c>
      <c r="F196" s="181"/>
      <c r="G196" s="181"/>
      <c r="H196" s="181"/>
      <c r="I196" s="181"/>
      <c r="K196" s="193"/>
    </row>
    <row r="197" spans="2:11" ht="14.4" x14ac:dyDescent="0.3">
      <c r="C197" s="177"/>
      <c r="D197" s="239"/>
      <c r="E197" s="240"/>
      <c r="F197" s="177"/>
      <c r="G197" s="177"/>
      <c r="H197" s="177"/>
      <c r="I197" s="177"/>
      <c r="K197" s="193"/>
    </row>
    <row r="198" spans="2:11" x14ac:dyDescent="0.25">
      <c r="B198" s="181" t="s">
        <v>127</v>
      </c>
      <c r="C198" s="181"/>
      <c r="D198" s="163"/>
      <c r="E198" s="163"/>
      <c r="F198" s="195"/>
      <c r="G198" s="195"/>
      <c r="H198" s="195"/>
      <c r="I198" s="195"/>
    </row>
    <row r="199" spans="2:11" x14ac:dyDescent="0.25">
      <c r="B199" s="181"/>
      <c r="C199" s="181"/>
      <c r="D199" s="163"/>
      <c r="E199" s="163"/>
      <c r="F199" s="195"/>
      <c r="G199" s="195"/>
      <c r="H199" s="195"/>
      <c r="I199" s="195"/>
    </row>
    <row r="200" spans="2:11" ht="14.4" x14ac:dyDescent="0.3">
      <c r="D200" s="228">
        <v>2017</v>
      </c>
      <c r="E200" s="228">
        <v>2018</v>
      </c>
      <c r="F200" s="195"/>
      <c r="G200" s="195"/>
      <c r="H200" s="195"/>
      <c r="I200" s="195"/>
      <c r="K200" s="177"/>
    </row>
    <row r="201" spans="2:11" ht="14.4" x14ac:dyDescent="0.3">
      <c r="C201" s="177" t="s">
        <v>2</v>
      </c>
      <c r="D201" s="238">
        <v>3.3500000000000002E-2</v>
      </c>
      <c r="E201" s="238">
        <v>3.3500000000000002E-2</v>
      </c>
      <c r="F201" s="195"/>
      <c r="G201" s="195"/>
      <c r="H201" s="195"/>
      <c r="I201" s="195"/>
      <c r="K201" s="193"/>
    </row>
    <row r="202" spans="2:11" ht="14.4" x14ac:dyDescent="0.3">
      <c r="C202" s="177" t="s">
        <v>80</v>
      </c>
      <c r="D202" s="238">
        <v>3.3500000000000002E-2</v>
      </c>
      <c r="E202" s="238">
        <v>3.3500000000000002E-2</v>
      </c>
      <c r="F202" s="195"/>
      <c r="G202" s="195"/>
      <c r="H202" s="195"/>
      <c r="I202" s="195"/>
      <c r="K202" s="193"/>
    </row>
    <row r="203" spans="2:11" ht="14.4" x14ac:dyDescent="0.3">
      <c r="C203" s="177" t="s">
        <v>81</v>
      </c>
      <c r="D203" s="238">
        <v>3.3500000000000002E-2</v>
      </c>
      <c r="E203" s="238">
        <v>3.3500000000000002E-2</v>
      </c>
      <c r="F203" s="195"/>
      <c r="G203" s="195"/>
      <c r="H203" s="195"/>
      <c r="I203" s="195"/>
      <c r="K203" s="193"/>
    </row>
    <row r="204" spans="2:11" ht="14.4" x14ac:dyDescent="0.3">
      <c r="C204" s="177" t="s">
        <v>82</v>
      </c>
      <c r="D204" s="238">
        <v>3.3500000000000002E-2</v>
      </c>
      <c r="E204" s="238">
        <v>3.3500000000000002E-2</v>
      </c>
      <c r="F204" s="195"/>
      <c r="G204" s="195"/>
      <c r="H204" s="195"/>
      <c r="I204" s="195"/>
      <c r="K204" s="193"/>
    </row>
    <row r="205" spans="2:11" ht="14.4" x14ac:dyDescent="0.3">
      <c r="C205" s="177" t="s">
        <v>83</v>
      </c>
      <c r="D205" s="238">
        <v>6.1999999999999998E-3</v>
      </c>
      <c r="E205" s="238">
        <v>6.1999999999999998E-3</v>
      </c>
      <c r="F205" s="195"/>
      <c r="G205" s="195"/>
      <c r="H205" s="195"/>
      <c r="I205" s="195"/>
      <c r="K205" s="193"/>
    </row>
    <row r="206" spans="2:11" ht="14.4" x14ac:dyDescent="0.3">
      <c r="C206" s="179" t="s">
        <v>144</v>
      </c>
      <c r="D206" s="238">
        <v>3.3500000000000002E-2</v>
      </c>
      <c r="E206" s="238">
        <v>3.3500000000000002E-2</v>
      </c>
      <c r="F206" s="195"/>
      <c r="G206" s="195"/>
      <c r="H206" s="195"/>
      <c r="I206" s="195"/>
      <c r="K206" s="193"/>
    </row>
    <row r="207" spans="2:11" ht="14.4" x14ac:dyDescent="0.3">
      <c r="C207" s="179" t="s">
        <v>145</v>
      </c>
      <c r="D207" s="238">
        <v>3.3500000000000002E-2</v>
      </c>
      <c r="E207" s="238">
        <v>3.3500000000000002E-2</v>
      </c>
      <c r="F207" s="195"/>
      <c r="G207" s="195"/>
      <c r="H207" s="195"/>
      <c r="I207" s="195"/>
      <c r="K207" s="193"/>
    </row>
    <row r="208" spans="2:11" ht="14.4" x14ac:dyDescent="0.3">
      <c r="C208" s="177" t="s">
        <v>62</v>
      </c>
      <c r="D208" s="238">
        <v>3.3500000000000002E-2</v>
      </c>
      <c r="E208" s="238">
        <v>3.3500000000000002E-2</v>
      </c>
      <c r="F208" s="195"/>
      <c r="G208" s="195"/>
      <c r="H208" s="195"/>
      <c r="I208" s="195"/>
      <c r="K208" s="193"/>
    </row>
    <row r="209" spans="2:11" ht="14.4" x14ac:dyDescent="0.3">
      <c r="C209" s="177" t="s">
        <v>84</v>
      </c>
      <c r="D209" s="239"/>
      <c r="E209" s="240"/>
      <c r="K209" s="193"/>
    </row>
    <row r="210" spans="2:11" ht="14.4" x14ac:dyDescent="0.3">
      <c r="C210" s="177" t="s">
        <v>85</v>
      </c>
      <c r="D210" s="239"/>
      <c r="E210" s="240"/>
      <c r="F210" s="181"/>
      <c r="G210" s="181"/>
      <c r="H210" s="181"/>
      <c r="I210" s="181"/>
      <c r="K210" s="193"/>
    </row>
    <row r="211" spans="2:11" ht="14.4" x14ac:dyDescent="0.3">
      <c r="C211" s="177" t="s">
        <v>86</v>
      </c>
      <c r="D211" s="239"/>
      <c r="E211" s="240"/>
      <c r="F211" s="181"/>
      <c r="G211" s="181"/>
      <c r="H211" s="181"/>
      <c r="I211" s="181"/>
      <c r="K211" s="193"/>
    </row>
    <row r="212" spans="2:11" ht="14.4" x14ac:dyDescent="0.3">
      <c r="F212" s="177"/>
      <c r="G212" s="177"/>
      <c r="H212" s="177"/>
      <c r="I212" s="177"/>
    </row>
    <row r="213" spans="2:11" x14ac:dyDescent="0.25">
      <c r="B213" s="181" t="s">
        <v>112</v>
      </c>
      <c r="C213" s="181"/>
      <c r="D213" s="163"/>
      <c r="E213" s="163"/>
      <c r="F213" s="195"/>
      <c r="G213" s="195"/>
      <c r="H213" s="195"/>
      <c r="I213" s="195"/>
    </row>
    <row r="214" spans="2:11" x14ac:dyDescent="0.25">
      <c r="B214" s="181"/>
      <c r="C214" s="181"/>
      <c r="D214" s="163"/>
      <c r="E214" s="163"/>
    </row>
    <row r="215" spans="2:11" ht="14.4" x14ac:dyDescent="0.3">
      <c r="D215" s="228">
        <v>2017</v>
      </c>
      <c r="E215" s="228">
        <v>2018</v>
      </c>
      <c r="F215" s="181"/>
      <c r="G215" s="181"/>
      <c r="H215" s="181"/>
      <c r="I215" s="181"/>
      <c r="K215" s="177"/>
    </row>
    <row r="216" spans="2:11" ht="14.4" x14ac:dyDescent="0.3">
      <c r="C216" s="244" t="s">
        <v>126</v>
      </c>
      <c r="D216" s="242">
        <v>6.94E-3</v>
      </c>
      <c r="E216" s="242">
        <v>6.94E-3</v>
      </c>
      <c r="F216" s="181"/>
      <c r="G216" s="181"/>
      <c r="H216" s="181"/>
      <c r="I216" s="181"/>
      <c r="K216" s="193"/>
    </row>
    <row r="217" spans="2:11" ht="14.4" x14ac:dyDescent="0.3">
      <c r="F217" s="177"/>
      <c r="G217" s="177"/>
      <c r="H217" s="177"/>
      <c r="I217" s="177"/>
    </row>
    <row r="218" spans="2:11" x14ac:dyDescent="0.25">
      <c r="B218" s="181" t="s">
        <v>119</v>
      </c>
      <c r="C218" s="181"/>
      <c r="D218" s="163"/>
      <c r="E218" s="163"/>
      <c r="F218" s="195"/>
      <c r="G218" s="195"/>
      <c r="H218" s="195"/>
      <c r="I218" s="195"/>
    </row>
    <row r="219" spans="2:11" x14ac:dyDescent="0.25">
      <c r="B219" s="181"/>
      <c r="C219" s="181"/>
      <c r="D219" s="163"/>
      <c r="E219" s="163"/>
    </row>
    <row r="220" spans="2:11" ht="14.4" x14ac:dyDescent="0.3">
      <c r="D220" s="228">
        <v>2017</v>
      </c>
      <c r="E220" s="228">
        <v>2018</v>
      </c>
      <c r="F220" s="181"/>
      <c r="G220" s="181"/>
      <c r="H220" s="181"/>
      <c r="I220" s="181"/>
      <c r="K220" s="177"/>
    </row>
    <row r="221" spans="2:11" ht="14.4" x14ac:dyDescent="0.3">
      <c r="C221" s="196" t="s">
        <v>110</v>
      </c>
      <c r="D221" s="238">
        <v>0</v>
      </c>
      <c r="E221" s="238">
        <v>0</v>
      </c>
      <c r="F221" s="181"/>
      <c r="G221" s="181"/>
      <c r="H221" s="181"/>
      <c r="I221" s="181"/>
      <c r="K221" s="193"/>
    </row>
    <row r="222" spans="2:11" ht="14.4" x14ac:dyDescent="0.3">
      <c r="F222" s="177"/>
      <c r="G222" s="177"/>
      <c r="H222" s="177"/>
      <c r="I222" s="177"/>
    </row>
    <row r="223" spans="2:11" x14ac:dyDescent="0.25">
      <c r="B223" s="181" t="s">
        <v>113</v>
      </c>
      <c r="C223" s="181"/>
      <c r="D223" s="163"/>
      <c r="E223" s="163"/>
      <c r="F223" s="195"/>
      <c r="G223" s="195"/>
      <c r="H223" s="195"/>
      <c r="I223" s="195"/>
    </row>
    <row r="224" spans="2:11" x14ac:dyDescent="0.25">
      <c r="B224" s="181"/>
      <c r="C224" s="181"/>
      <c r="D224" s="163"/>
      <c r="E224" s="163"/>
    </row>
    <row r="225" spans="3:11" ht="14.4" x14ac:dyDescent="0.3">
      <c r="D225" s="228">
        <v>2017</v>
      </c>
      <c r="E225" s="228">
        <v>2018</v>
      </c>
      <c r="K225" s="177"/>
    </row>
    <row r="226" spans="3:11" ht="14.4" x14ac:dyDescent="0.3">
      <c r="C226" s="196" t="s">
        <v>114</v>
      </c>
      <c r="D226" s="243">
        <v>6.5000000000000002E-2</v>
      </c>
      <c r="E226" s="243">
        <v>6.5000000000000002E-2</v>
      </c>
      <c r="K226" s="193"/>
    </row>
    <row r="227" spans="3:11" ht="14.4" x14ac:dyDescent="0.3">
      <c r="C227" t="s">
        <v>115</v>
      </c>
      <c r="D227" s="243">
        <v>9.5000000000000001E-2</v>
      </c>
      <c r="E227" s="243">
        <v>9.5000000000000001E-2</v>
      </c>
    </row>
    <row r="228" spans="3:11" ht="14.4" x14ac:dyDescent="0.3">
      <c r="C228" t="s">
        <v>116</v>
      </c>
      <c r="D228" s="243">
        <v>0.13200000000000001</v>
      </c>
      <c r="E228" s="243">
        <v>0.13200000000000001</v>
      </c>
    </row>
    <row r="229" spans="3:11" ht="14.4" x14ac:dyDescent="0.3">
      <c r="C229" t="s">
        <v>117</v>
      </c>
      <c r="D229" s="243">
        <v>7.6999999999999999E-2</v>
      </c>
      <c r="E229" s="243">
        <v>7.6999999999999999E-2</v>
      </c>
    </row>
    <row r="230" spans="3:11" ht="14.4" x14ac:dyDescent="0.3">
      <c r="C230" t="s">
        <v>118</v>
      </c>
      <c r="D230" s="243">
        <v>0.09</v>
      </c>
      <c r="E230" s="243">
        <v>0.09</v>
      </c>
    </row>
  </sheetData>
  <pageMargins left="0.70866141732283472" right="0.70866141732283472" top="0.74803149606299213" bottom="0.74803149606299213" header="0.31496062992125984" footer="0.31496062992125984"/>
  <pageSetup scale="70" orientation="landscape" r:id="rId1"/>
  <rowBreaks count="2" manualBreakCount="2">
    <brk id="49" max="16383" man="1"/>
    <brk id="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91"/>
  <sheetViews>
    <sheetView showGridLines="0" tabSelected="1" view="pageBreakPreview" topLeftCell="A58"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8" width="2.88671875" style="202" customWidth="1"/>
    <col min="19" max="16384" width="9.109375" style="6"/>
  </cols>
  <sheetData>
    <row r="1" spans="1:18" s="2" customFormat="1" ht="15" customHeight="1" x14ac:dyDescent="0.25">
      <c r="A1" s="1"/>
      <c r="B1" s="1"/>
      <c r="C1" s="1"/>
      <c r="D1" s="1"/>
      <c r="E1" s="1"/>
      <c r="F1" s="1"/>
      <c r="G1" s="1"/>
      <c r="H1" s="1"/>
      <c r="I1" s="1"/>
      <c r="J1" s="1"/>
      <c r="K1" s="1"/>
      <c r="N1" s="163"/>
      <c r="O1" s="164"/>
      <c r="P1"/>
      <c r="Q1" s="202">
        <v>1</v>
      </c>
      <c r="R1" s="202">
        <v>1</v>
      </c>
    </row>
    <row r="2" spans="1:18" s="2" customFormat="1" ht="15" customHeight="1" x14ac:dyDescent="0.3">
      <c r="A2" s="3"/>
      <c r="B2" s="3"/>
      <c r="C2" s="3"/>
      <c r="D2" s="3"/>
      <c r="E2" s="3"/>
      <c r="F2" s="3"/>
      <c r="G2" s="3"/>
      <c r="H2" s="3"/>
      <c r="I2" s="3"/>
      <c r="J2" s="3"/>
      <c r="K2" s="3"/>
      <c r="N2" s="163"/>
      <c r="O2" s="165"/>
      <c r="P2"/>
      <c r="Q2" s="202"/>
      <c r="R2" s="202"/>
    </row>
    <row r="3" spans="1:18" s="2" customFormat="1" ht="15" customHeight="1" x14ac:dyDescent="0.3">
      <c r="A3" s="301"/>
      <c r="B3" s="301"/>
      <c r="C3" s="301"/>
      <c r="D3" s="301"/>
      <c r="E3" s="301"/>
      <c r="F3" s="301"/>
      <c r="G3" s="301"/>
      <c r="H3" s="301"/>
      <c r="I3" s="301"/>
      <c r="J3" s="301"/>
      <c r="K3" s="301"/>
      <c r="N3" s="163"/>
      <c r="O3" s="165"/>
      <c r="P3"/>
      <c r="Q3" s="202"/>
      <c r="R3" s="202"/>
    </row>
    <row r="4" spans="1:18" s="2" customFormat="1" ht="15" customHeight="1" x14ac:dyDescent="0.3">
      <c r="A4" s="3"/>
      <c r="B4" s="3"/>
      <c r="C4" s="3"/>
      <c r="D4" s="3"/>
      <c r="E4" s="3"/>
      <c r="F4" s="3"/>
      <c r="G4" s="3"/>
      <c r="H4" s="3"/>
      <c r="I4" s="4"/>
      <c r="J4" s="4"/>
      <c r="K4" s="4"/>
      <c r="N4" s="163"/>
      <c r="O4" s="165"/>
      <c r="P4"/>
      <c r="Q4" s="202"/>
      <c r="R4" s="202"/>
    </row>
    <row r="5" spans="1:18" s="2" customFormat="1" ht="15" customHeight="1" x14ac:dyDescent="0.3">
      <c r="C5" s="5"/>
      <c r="D5" s="5"/>
      <c r="E5" s="5"/>
      <c r="N5" s="163"/>
      <c r="O5" s="164"/>
      <c r="P5"/>
      <c r="Q5" s="202"/>
      <c r="R5" s="202"/>
    </row>
    <row r="6" spans="1:18" s="2" customFormat="1" ht="9" customHeight="1" x14ac:dyDescent="0.25">
      <c r="N6" s="163"/>
      <c r="O6" s="164"/>
      <c r="P6"/>
      <c r="Q6" s="202"/>
      <c r="R6" s="202"/>
    </row>
    <row r="7" spans="1:18" s="2" customFormat="1" x14ac:dyDescent="0.25">
      <c r="N7" s="163"/>
      <c r="O7" s="164"/>
      <c r="P7"/>
      <c r="Q7" s="202"/>
      <c r="R7" s="202"/>
    </row>
    <row r="8" spans="1:18" s="2" customFormat="1" ht="15" customHeight="1" x14ac:dyDescent="0.25">
      <c r="N8" s="6"/>
      <c r="O8"/>
      <c r="P8"/>
      <c r="Q8" s="202"/>
      <c r="R8" s="202"/>
    </row>
    <row r="9" spans="1:18" ht="7.5" customHeight="1" x14ac:dyDescent="0.25">
      <c r="L9"/>
      <c r="M9"/>
      <c r="N9"/>
      <c r="O9"/>
      <c r="P9"/>
    </row>
    <row r="10" spans="1:18" ht="18.75" customHeight="1" x14ac:dyDescent="0.3">
      <c r="C10" s="166"/>
      <c r="D10" s="166"/>
      <c r="E10" s="166"/>
      <c r="F10" s="166" t="s">
        <v>134</v>
      </c>
      <c r="G10" s="166"/>
      <c r="H10" s="166"/>
      <c r="I10" s="166"/>
      <c r="J10" s="166"/>
      <c r="K10" s="166"/>
      <c r="L10" s="166"/>
      <c r="M10" s="166"/>
      <c r="N10" s="166"/>
      <c r="O10" s="166"/>
      <c r="P10"/>
    </row>
    <row r="11" spans="1:18" ht="18.75" customHeight="1" x14ac:dyDescent="0.3">
      <c r="C11" s="166"/>
      <c r="D11" s="166"/>
      <c r="E11" s="166"/>
      <c r="F11" s="166" t="s">
        <v>0</v>
      </c>
      <c r="G11" s="166"/>
      <c r="H11" s="166"/>
      <c r="I11" s="166"/>
      <c r="J11" s="166"/>
      <c r="K11" s="166"/>
      <c r="L11" s="166"/>
      <c r="M11" s="166"/>
      <c r="N11" s="166"/>
      <c r="O11" s="166"/>
      <c r="P11"/>
    </row>
    <row r="12" spans="1:18" ht="7.5" customHeight="1" x14ac:dyDescent="0.25">
      <c r="L12"/>
      <c r="M12"/>
      <c r="N12"/>
      <c r="O12"/>
      <c r="P12"/>
    </row>
    <row r="13" spans="1:18" ht="7.5" customHeight="1" x14ac:dyDescent="0.25">
      <c r="L13"/>
      <c r="M13"/>
      <c r="N13"/>
      <c r="O13"/>
      <c r="P13"/>
    </row>
    <row r="14" spans="1:18" ht="15.6" x14ac:dyDescent="0.25">
      <c r="B14" s="7" t="s">
        <v>1</v>
      </c>
      <c r="D14" s="302" t="s">
        <v>2</v>
      </c>
      <c r="E14" s="302"/>
      <c r="F14" s="302"/>
      <c r="G14" s="302"/>
      <c r="H14" s="302"/>
      <c r="I14" s="302"/>
      <c r="J14" s="302"/>
      <c r="K14" s="302"/>
      <c r="L14" s="302"/>
      <c r="M14" s="302"/>
      <c r="N14" s="302"/>
      <c r="O14" s="302"/>
      <c r="P14" s="169"/>
    </row>
    <row r="15" spans="1:18" ht="7.5" customHeight="1" x14ac:dyDescent="0.3">
      <c r="B15" s="8"/>
      <c r="D15" s="9"/>
      <c r="E15" s="9"/>
      <c r="F15" s="9"/>
      <c r="G15" s="9"/>
      <c r="H15" s="9"/>
      <c r="I15" s="9"/>
      <c r="J15" s="9"/>
      <c r="K15" s="9"/>
      <c r="L15" s="9"/>
      <c r="M15" s="9"/>
      <c r="N15" s="9"/>
      <c r="O15" s="9"/>
    </row>
    <row r="16" spans="1:18" ht="15.6" x14ac:dyDescent="0.3">
      <c r="B16" s="7" t="s">
        <v>3</v>
      </c>
      <c r="D16" s="10" t="s">
        <v>4</v>
      </c>
      <c r="E16" s="9"/>
      <c r="F16" s="9"/>
      <c r="G16" s="9"/>
      <c r="H16" s="9"/>
      <c r="I16" s="9"/>
      <c r="J16" s="9"/>
      <c r="K16" s="9"/>
      <c r="L16" s="9"/>
      <c r="M16" s="9"/>
      <c r="N16" s="9"/>
      <c r="O16" s="9"/>
    </row>
    <row r="17" spans="2:18" ht="15.6" x14ac:dyDescent="0.3">
      <c r="B17" s="8"/>
      <c r="D17" s="9"/>
      <c r="E17" s="9"/>
      <c r="F17" s="9"/>
      <c r="G17" s="9"/>
      <c r="H17" s="9"/>
      <c r="I17" s="9"/>
      <c r="J17" s="9"/>
      <c r="K17" s="9"/>
      <c r="L17" s="9"/>
      <c r="M17" s="9"/>
      <c r="N17" s="9"/>
      <c r="O17" s="9"/>
    </row>
    <row r="18" spans="2:18" x14ac:dyDescent="0.25">
      <c r="B18" s="11"/>
      <c r="D18" s="12" t="s">
        <v>5</v>
      </c>
      <c r="E18" s="12"/>
      <c r="F18" s="13">
        <v>100</v>
      </c>
      <c r="G18" s="12" t="s">
        <v>6</v>
      </c>
    </row>
    <row r="19" spans="2:18" x14ac:dyDescent="0.25">
      <c r="B19" s="11"/>
    </row>
    <row r="20" spans="2:18" x14ac:dyDescent="0.25">
      <c r="B20" s="11"/>
      <c r="D20" s="14"/>
      <c r="E20" s="14"/>
      <c r="F20" s="303" t="s">
        <v>7</v>
      </c>
      <c r="G20" s="304"/>
      <c r="H20" s="305"/>
      <c r="J20" s="303" t="s">
        <v>135</v>
      </c>
      <c r="K20" s="304"/>
      <c r="L20" s="305"/>
      <c r="N20" s="303" t="s">
        <v>136</v>
      </c>
      <c r="O20" s="305"/>
    </row>
    <row r="21" spans="2:18" x14ac:dyDescent="0.25">
      <c r="B21" s="11"/>
      <c r="D21" s="295" t="s">
        <v>9</v>
      </c>
      <c r="E21" s="15"/>
      <c r="F21" s="16" t="s">
        <v>10</v>
      </c>
      <c r="G21" s="16" t="s">
        <v>11</v>
      </c>
      <c r="H21" s="17" t="s">
        <v>12</v>
      </c>
      <c r="J21" s="16" t="s">
        <v>10</v>
      </c>
      <c r="K21" s="18" t="s">
        <v>11</v>
      </c>
      <c r="L21" s="17" t="s">
        <v>12</v>
      </c>
      <c r="N21" s="297" t="s">
        <v>13</v>
      </c>
      <c r="O21" s="299" t="s">
        <v>14</v>
      </c>
    </row>
    <row r="22" spans="2:18" x14ac:dyDescent="0.25">
      <c r="B22" s="11"/>
      <c r="D22" s="296"/>
      <c r="E22" s="15"/>
      <c r="F22" s="19" t="s">
        <v>15</v>
      </c>
      <c r="G22" s="19"/>
      <c r="H22" s="20" t="s">
        <v>15</v>
      </c>
      <c r="J22" s="19" t="s">
        <v>15</v>
      </c>
      <c r="K22" s="20"/>
      <c r="L22" s="20" t="s">
        <v>15</v>
      </c>
      <c r="N22" s="298"/>
      <c r="O22" s="300"/>
    </row>
    <row r="23" spans="2:18" x14ac:dyDescent="0.25">
      <c r="B23" s="21" t="s">
        <v>16</v>
      </c>
      <c r="C23" s="21"/>
      <c r="D23" s="22" t="s">
        <v>17</v>
      </c>
      <c r="E23" s="23"/>
      <c r="F23" s="24">
        <f>'Proposed Rates'!D7</f>
        <v>16.600000000000001</v>
      </c>
      <c r="G23" s="25">
        <v>1</v>
      </c>
      <c r="H23" s="26">
        <f>G23*F23</f>
        <v>16.600000000000001</v>
      </c>
      <c r="I23" s="27"/>
      <c r="J23" s="28">
        <f>+'Proposed Rates'!E7</f>
        <v>20.51</v>
      </c>
      <c r="K23" s="29">
        <v>1</v>
      </c>
      <c r="L23" s="26">
        <f>K23*J23</f>
        <v>20.51</v>
      </c>
      <c r="M23" s="27"/>
      <c r="N23" s="30">
        <f>L23-H23</f>
        <v>3.91</v>
      </c>
      <c r="O23" s="31">
        <f>IF((H23)=0,"",(N23/H23))</f>
        <v>0.23554216867469879</v>
      </c>
      <c r="Q23" s="199"/>
      <c r="R23" s="199"/>
    </row>
    <row r="24" spans="2:18"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99"/>
      <c r="R24" s="199"/>
    </row>
    <row r="25" spans="2:18"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99"/>
      <c r="R25" s="199"/>
    </row>
    <row r="26" spans="2:18" x14ac:dyDescent="0.25">
      <c r="B26" s="32"/>
      <c r="C26" s="21"/>
      <c r="D26" s="22"/>
      <c r="E26" s="23"/>
      <c r="F26" s="24"/>
      <c r="G26" s="25">
        <v>1</v>
      </c>
      <c r="H26" s="26">
        <f t="shared" si="0"/>
        <v>0</v>
      </c>
      <c r="I26" s="27"/>
      <c r="J26" s="28"/>
      <c r="K26" s="29">
        <v>1</v>
      </c>
      <c r="L26" s="26">
        <f t="shared" si="1"/>
        <v>0</v>
      </c>
      <c r="M26" s="27"/>
      <c r="N26" s="30">
        <f t="shared" si="2"/>
        <v>0</v>
      </c>
      <c r="O26" s="31" t="str">
        <f t="shared" si="3"/>
        <v/>
      </c>
      <c r="Q26" s="199"/>
      <c r="R26" s="199"/>
    </row>
    <row r="27" spans="2:18" x14ac:dyDescent="0.25">
      <c r="B27" s="32"/>
      <c r="C27" s="21"/>
      <c r="D27" s="22"/>
      <c r="E27" s="23"/>
      <c r="F27" s="24"/>
      <c r="G27" s="25">
        <v>1</v>
      </c>
      <c r="H27" s="26">
        <f t="shared" si="0"/>
        <v>0</v>
      </c>
      <c r="I27" s="27"/>
      <c r="J27" s="28"/>
      <c r="K27" s="29">
        <v>1</v>
      </c>
      <c r="L27" s="26">
        <f t="shared" si="1"/>
        <v>0</v>
      </c>
      <c r="M27" s="27"/>
      <c r="N27" s="30">
        <f t="shared" si="2"/>
        <v>0</v>
      </c>
      <c r="O27" s="31" t="str">
        <f t="shared" si="3"/>
        <v/>
      </c>
      <c r="Q27" s="199"/>
      <c r="R27" s="199"/>
    </row>
    <row r="28" spans="2:18" x14ac:dyDescent="0.25">
      <c r="B28" s="32"/>
      <c r="C28" s="21"/>
      <c r="D28" s="22"/>
      <c r="E28" s="23"/>
      <c r="F28" s="24"/>
      <c r="G28" s="25">
        <v>1</v>
      </c>
      <c r="H28" s="26">
        <f t="shared" si="0"/>
        <v>0</v>
      </c>
      <c r="I28" s="27"/>
      <c r="J28" s="28"/>
      <c r="K28" s="29">
        <v>1</v>
      </c>
      <c r="L28" s="26">
        <f t="shared" si="1"/>
        <v>0</v>
      </c>
      <c r="M28" s="27"/>
      <c r="N28" s="30">
        <f t="shared" si="2"/>
        <v>0</v>
      </c>
      <c r="O28" s="31" t="str">
        <f t="shared" si="3"/>
        <v/>
      </c>
      <c r="Q28" s="199"/>
      <c r="R28" s="199"/>
    </row>
    <row r="29" spans="2:18" x14ac:dyDescent="0.25">
      <c r="B29" s="21" t="s">
        <v>19</v>
      </c>
      <c r="C29" s="21"/>
      <c r="D29" s="22" t="s">
        <v>20</v>
      </c>
      <c r="E29" s="23"/>
      <c r="F29" s="24">
        <f>'Proposed Rates'!D20</f>
        <v>1.5100000000000001E-2</v>
      </c>
      <c r="G29" s="25">
        <f>$F$18</f>
        <v>100</v>
      </c>
      <c r="H29" s="26">
        <f t="shared" si="0"/>
        <v>1.51</v>
      </c>
      <c r="I29" s="27"/>
      <c r="J29" s="28">
        <f>+'Proposed Rates'!E20</f>
        <v>1.0500000000000001E-2</v>
      </c>
      <c r="K29" s="25">
        <f>$F$18</f>
        <v>100</v>
      </c>
      <c r="L29" s="26">
        <f t="shared" si="1"/>
        <v>1.05</v>
      </c>
      <c r="M29" s="27"/>
      <c r="N29" s="30">
        <f t="shared" si="2"/>
        <v>-0.45999999999999996</v>
      </c>
      <c r="O29" s="31">
        <f t="shared" si="3"/>
        <v>-0.30463576158940397</v>
      </c>
      <c r="Q29" s="199"/>
      <c r="R29" s="199"/>
    </row>
    <row r="30" spans="2:18" x14ac:dyDescent="0.25">
      <c r="B30" s="21" t="s">
        <v>21</v>
      </c>
      <c r="C30" s="21"/>
      <c r="D30" s="22"/>
      <c r="E30" s="23"/>
      <c r="F30" s="24"/>
      <c r="G30" s="25">
        <f t="shared" ref="G30" si="4">$F$18</f>
        <v>100</v>
      </c>
      <c r="H30" s="26">
        <f t="shared" si="0"/>
        <v>0</v>
      </c>
      <c r="I30" s="27"/>
      <c r="J30" s="28"/>
      <c r="K30" s="25">
        <f t="shared" ref="K30:K38" si="5">$F$18</f>
        <v>100</v>
      </c>
      <c r="L30" s="26">
        <f t="shared" si="1"/>
        <v>0</v>
      </c>
      <c r="M30" s="27"/>
      <c r="N30" s="30">
        <f t="shared" si="2"/>
        <v>0</v>
      </c>
      <c r="O30" s="31" t="str">
        <f t="shared" si="3"/>
        <v/>
      </c>
      <c r="Q30" s="199"/>
      <c r="R30" s="199"/>
    </row>
    <row r="31" spans="2:18" x14ac:dyDescent="0.25">
      <c r="B31" s="21" t="s">
        <v>22</v>
      </c>
      <c r="C31" s="21"/>
      <c r="D31" s="22" t="s">
        <v>20</v>
      </c>
      <c r="E31" s="23"/>
      <c r="F31" s="50">
        <f>'Proposed Rates'!D67</f>
        <v>0</v>
      </c>
      <c r="G31" s="25">
        <f>$F$18</f>
        <v>100</v>
      </c>
      <c r="H31" s="197">
        <f>G31*F31</f>
        <v>0</v>
      </c>
      <c r="I31" s="27"/>
      <c r="J31" s="52">
        <f>+'Proposed Rates'!E67</f>
        <v>0</v>
      </c>
      <c r="K31" s="25">
        <f t="shared" si="5"/>
        <v>100</v>
      </c>
      <c r="L31" s="26">
        <f t="shared" si="1"/>
        <v>0</v>
      </c>
      <c r="M31" s="27"/>
      <c r="N31" s="30">
        <f t="shared" si="2"/>
        <v>0</v>
      </c>
      <c r="O31" s="31" t="str">
        <f t="shared" si="3"/>
        <v/>
      </c>
      <c r="Q31" s="199"/>
      <c r="R31" s="199"/>
    </row>
    <row r="32" spans="2:18" x14ac:dyDescent="0.25">
      <c r="B32" s="33"/>
      <c r="C32" s="21"/>
      <c r="D32" s="22"/>
      <c r="E32" s="23"/>
      <c r="F32" s="24"/>
      <c r="G32" s="25">
        <f t="shared" ref="G32:G38" si="6">$F$18</f>
        <v>100</v>
      </c>
      <c r="H32" s="26">
        <f t="shared" si="0"/>
        <v>0</v>
      </c>
      <c r="I32" s="27"/>
      <c r="J32" s="28"/>
      <c r="K32" s="25">
        <f t="shared" si="5"/>
        <v>100</v>
      </c>
      <c r="L32" s="26">
        <f t="shared" si="1"/>
        <v>0</v>
      </c>
      <c r="M32" s="27"/>
      <c r="N32" s="30">
        <f t="shared" si="2"/>
        <v>0</v>
      </c>
      <c r="O32" s="31" t="str">
        <f t="shared" si="3"/>
        <v/>
      </c>
      <c r="Q32" s="199"/>
      <c r="R32" s="199"/>
    </row>
    <row r="33" spans="2:18" x14ac:dyDescent="0.25">
      <c r="B33" s="33"/>
      <c r="C33" s="21"/>
      <c r="D33" s="22"/>
      <c r="E33" s="23"/>
      <c r="F33" s="24"/>
      <c r="G33" s="25">
        <f t="shared" si="6"/>
        <v>100</v>
      </c>
      <c r="H33" s="26">
        <f t="shared" si="0"/>
        <v>0</v>
      </c>
      <c r="I33" s="27"/>
      <c r="J33" s="28"/>
      <c r="K33" s="25">
        <f t="shared" si="5"/>
        <v>100</v>
      </c>
      <c r="L33" s="26">
        <f t="shared" si="1"/>
        <v>0</v>
      </c>
      <c r="M33" s="27"/>
      <c r="N33" s="30">
        <f t="shared" si="2"/>
        <v>0</v>
      </c>
      <c r="O33" s="31" t="str">
        <f t="shared" si="3"/>
        <v/>
      </c>
      <c r="Q33" s="199"/>
      <c r="R33" s="199"/>
    </row>
    <row r="34" spans="2:18" x14ac:dyDescent="0.25">
      <c r="B34" s="33"/>
      <c r="C34" s="21"/>
      <c r="D34" s="22"/>
      <c r="E34" s="23"/>
      <c r="F34" s="24"/>
      <c r="G34" s="25">
        <f t="shared" si="6"/>
        <v>100</v>
      </c>
      <c r="H34" s="26">
        <f t="shared" si="0"/>
        <v>0</v>
      </c>
      <c r="I34" s="27"/>
      <c r="J34" s="28"/>
      <c r="K34" s="25">
        <f t="shared" si="5"/>
        <v>100</v>
      </c>
      <c r="L34" s="26">
        <f t="shared" si="1"/>
        <v>0</v>
      </c>
      <c r="M34" s="27"/>
      <c r="N34" s="30">
        <f t="shared" si="2"/>
        <v>0</v>
      </c>
      <c r="O34" s="31" t="str">
        <f t="shared" si="3"/>
        <v/>
      </c>
      <c r="Q34" s="199"/>
      <c r="R34" s="199"/>
    </row>
    <row r="35" spans="2:18" x14ac:dyDescent="0.25">
      <c r="B35" s="33"/>
      <c r="C35" s="21"/>
      <c r="D35" s="22"/>
      <c r="E35" s="23"/>
      <c r="F35" s="24"/>
      <c r="G35" s="25">
        <f t="shared" si="6"/>
        <v>100</v>
      </c>
      <c r="H35" s="26">
        <f t="shared" si="0"/>
        <v>0</v>
      </c>
      <c r="I35" s="27"/>
      <c r="J35" s="28"/>
      <c r="K35" s="25">
        <f t="shared" si="5"/>
        <v>100</v>
      </c>
      <c r="L35" s="26">
        <f t="shared" si="1"/>
        <v>0</v>
      </c>
      <c r="M35" s="27"/>
      <c r="N35" s="30">
        <f t="shared" si="2"/>
        <v>0</v>
      </c>
      <c r="O35" s="31" t="str">
        <f t="shared" si="3"/>
        <v/>
      </c>
      <c r="Q35" s="199"/>
      <c r="R35" s="199"/>
    </row>
    <row r="36" spans="2:18" x14ac:dyDescent="0.25">
      <c r="B36" s="33"/>
      <c r="C36" s="21"/>
      <c r="D36" s="22"/>
      <c r="E36" s="23"/>
      <c r="F36" s="24"/>
      <c r="G36" s="25">
        <f t="shared" si="6"/>
        <v>100</v>
      </c>
      <c r="H36" s="26">
        <f t="shared" si="0"/>
        <v>0</v>
      </c>
      <c r="I36" s="27"/>
      <c r="J36" s="28"/>
      <c r="K36" s="25">
        <f t="shared" si="5"/>
        <v>100</v>
      </c>
      <c r="L36" s="26">
        <f t="shared" si="1"/>
        <v>0</v>
      </c>
      <c r="M36" s="27"/>
      <c r="N36" s="30">
        <f t="shared" si="2"/>
        <v>0</v>
      </c>
      <c r="O36" s="31" t="str">
        <f t="shared" si="3"/>
        <v/>
      </c>
      <c r="Q36" s="199"/>
      <c r="R36" s="199"/>
    </row>
    <row r="37" spans="2:18" x14ac:dyDescent="0.25">
      <c r="B37" s="33"/>
      <c r="C37" s="21"/>
      <c r="D37" s="22"/>
      <c r="E37" s="23"/>
      <c r="F37" s="24"/>
      <c r="G37" s="25">
        <f t="shared" si="6"/>
        <v>100</v>
      </c>
      <c r="H37" s="26">
        <f t="shared" si="0"/>
        <v>0</v>
      </c>
      <c r="I37" s="27"/>
      <c r="J37" s="28"/>
      <c r="K37" s="25">
        <f t="shared" si="5"/>
        <v>100</v>
      </c>
      <c r="L37" s="26">
        <f t="shared" si="1"/>
        <v>0</v>
      </c>
      <c r="M37" s="27"/>
      <c r="N37" s="30">
        <f t="shared" si="2"/>
        <v>0</v>
      </c>
      <c r="O37" s="31" t="str">
        <f t="shared" si="3"/>
        <v/>
      </c>
      <c r="Q37" s="199"/>
      <c r="R37" s="199"/>
    </row>
    <row r="38" spans="2:18" x14ac:dyDescent="0.25">
      <c r="B38" s="33"/>
      <c r="C38" s="21"/>
      <c r="D38" s="22"/>
      <c r="E38" s="23"/>
      <c r="F38" s="24"/>
      <c r="G38" s="25">
        <f t="shared" si="6"/>
        <v>100</v>
      </c>
      <c r="H38" s="26">
        <f t="shared" si="0"/>
        <v>0</v>
      </c>
      <c r="I38" s="27"/>
      <c r="J38" s="28"/>
      <c r="K38" s="25">
        <f t="shared" si="5"/>
        <v>100</v>
      </c>
      <c r="L38" s="26">
        <f t="shared" si="1"/>
        <v>0</v>
      </c>
      <c r="M38" s="27"/>
      <c r="N38" s="30">
        <f t="shared" si="2"/>
        <v>0</v>
      </c>
      <c r="O38" s="31" t="str">
        <f t="shared" si="3"/>
        <v/>
      </c>
      <c r="Q38" s="199"/>
      <c r="R38" s="199"/>
    </row>
    <row r="39" spans="2:18" s="45" customFormat="1" x14ac:dyDescent="0.25">
      <c r="B39" s="34" t="s">
        <v>23</v>
      </c>
      <c r="C39" s="35"/>
      <c r="D39" s="36"/>
      <c r="E39" s="35"/>
      <c r="F39" s="37"/>
      <c r="G39" s="38"/>
      <c r="H39" s="39">
        <f>SUM(H23:H38)</f>
        <v>18.110000000000003</v>
      </c>
      <c r="I39" s="40"/>
      <c r="J39" s="41"/>
      <c r="K39" s="42"/>
      <c r="L39" s="39">
        <f>SUM(L23:L38)</f>
        <v>21.560000000000002</v>
      </c>
      <c r="M39" s="40"/>
      <c r="N39" s="43">
        <f t="shared" si="2"/>
        <v>3.4499999999999993</v>
      </c>
      <c r="O39" s="44">
        <f t="shared" si="3"/>
        <v>0.19050248481501925</v>
      </c>
      <c r="Q39" s="199"/>
      <c r="R39" s="199"/>
    </row>
    <row r="40" spans="2:18" ht="26.4" x14ac:dyDescent="0.25">
      <c r="B40" s="154" t="s">
        <v>99</v>
      </c>
      <c r="C40" s="21"/>
      <c r="D40" s="22" t="s">
        <v>20</v>
      </c>
      <c r="E40" s="23"/>
      <c r="F40" s="223">
        <f>'Proposed Rates'!D38</f>
        <v>-1E-4</v>
      </c>
      <c r="G40" s="25">
        <f>$F$18</f>
        <v>100</v>
      </c>
      <c r="H40" s="26">
        <f>G40*F40</f>
        <v>-0.01</v>
      </c>
      <c r="I40" s="27"/>
      <c r="J40" s="28">
        <f>+'Proposed Rates'!E38</f>
        <v>-4.0000000000000002E-4</v>
      </c>
      <c r="K40" s="25">
        <f>$F$18</f>
        <v>100</v>
      </c>
      <c r="L40" s="26">
        <f>K40*J40</f>
        <v>-0.04</v>
      </c>
      <c r="M40" s="27"/>
      <c r="N40" s="30">
        <f>L40-H40</f>
        <v>-0.03</v>
      </c>
      <c r="O40" s="31">
        <f>IF((H40)=0,"",(N40/H40))</f>
        <v>3</v>
      </c>
      <c r="Q40" s="199"/>
      <c r="R40" s="199"/>
    </row>
    <row r="41" spans="2:18" ht="26.4" x14ac:dyDescent="0.25">
      <c r="B41" s="154" t="s">
        <v>98</v>
      </c>
      <c r="C41" s="21"/>
      <c r="D41" s="22" t="s">
        <v>17</v>
      </c>
      <c r="E41" s="23"/>
      <c r="F41" s="24">
        <f>'Proposed Rates'!D52</f>
        <v>0.02</v>
      </c>
      <c r="G41" s="25">
        <v>1</v>
      </c>
      <c r="H41" s="26">
        <f>G41*F41</f>
        <v>0.02</v>
      </c>
      <c r="I41" s="47"/>
      <c r="J41" s="28">
        <f>+'Proposed Rates'!E52</f>
        <v>0</v>
      </c>
      <c r="K41" s="25">
        <v>1</v>
      </c>
      <c r="L41" s="26">
        <f t="shared" ref="L41:L45" si="7">K41*J41</f>
        <v>0</v>
      </c>
      <c r="M41" s="48"/>
      <c r="N41" s="30">
        <f t="shared" ref="N41:N45" si="8">L41-H41</f>
        <v>-0.02</v>
      </c>
      <c r="O41" s="31">
        <f>IF((H41)=0,"",(N41/H41))</f>
        <v>-1</v>
      </c>
      <c r="Q41" s="199"/>
      <c r="R41" s="199"/>
    </row>
    <row r="42" spans="2:18" ht="39.6" x14ac:dyDescent="0.25">
      <c r="B42" s="154" t="s">
        <v>106</v>
      </c>
      <c r="C42" s="21"/>
      <c r="D42" s="22" t="s">
        <v>20</v>
      </c>
      <c r="E42" s="23"/>
      <c r="F42" s="24">
        <f>'Proposed Rates'!D97</f>
        <v>-2.3E-3</v>
      </c>
      <c r="G42" s="25">
        <f t="shared" ref="G42" si="9">$F$18</f>
        <v>100</v>
      </c>
      <c r="H42" s="26">
        <f t="shared" ref="H42:H45" si="10">G42*F42</f>
        <v>-0.22999999999999998</v>
      </c>
      <c r="I42" s="47"/>
      <c r="J42" s="28">
        <f>+'Proposed Rates'!E97</f>
        <v>-8.0000000000000004E-4</v>
      </c>
      <c r="K42" s="25">
        <f t="shared" ref="K42:K43" si="11">$F$18</f>
        <v>100</v>
      </c>
      <c r="L42" s="26">
        <f t="shared" si="7"/>
        <v>-0.08</v>
      </c>
      <c r="M42" s="48"/>
      <c r="N42" s="30">
        <f t="shared" si="8"/>
        <v>0.14999999999999997</v>
      </c>
      <c r="O42" s="31">
        <f>IF((H42)=0,"",(N42/H42))</f>
        <v>-0.65217391304347816</v>
      </c>
      <c r="Q42" s="199"/>
      <c r="R42" s="199"/>
    </row>
    <row r="43" spans="2:18" ht="42.75" customHeight="1" x14ac:dyDescent="0.25">
      <c r="B43" s="46" t="s">
        <v>125</v>
      </c>
      <c r="C43" s="21"/>
      <c r="D43" s="22" t="s">
        <v>20</v>
      </c>
      <c r="E43" s="23"/>
      <c r="F43" s="24">
        <f>'Proposed Rates'!D111</f>
        <v>2.7E-4</v>
      </c>
      <c r="G43" s="51">
        <f>$F$18</f>
        <v>100</v>
      </c>
      <c r="H43" s="26">
        <f t="shared" si="10"/>
        <v>2.7E-2</v>
      </c>
      <c r="I43" s="47"/>
      <c r="J43" s="223">
        <f>'Proposed Rates'!E111</f>
        <v>0</v>
      </c>
      <c r="K43" s="25">
        <f t="shared" si="11"/>
        <v>100</v>
      </c>
      <c r="L43" s="26">
        <f t="shared" si="7"/>
        <v>0</v>
      </c>
      <c r="M43" s="48"/>
      <c r="N43" s="30">
        <f t="shared" si="8"/>
        <v>-2.7E-2</v>
      </c>
      <c r="O43" s="31">
        <f>IF((H43)=0,"",(N43/H43))</f>
        <v>-1</v>
      </c>
      <c r="Q43" s="199"/>
      <c r="R43" s="199"/>
    </row>
    <row r="44" spans="2:18" x14ac:dyDescent="0.25">
      <c r="B44" s="49" t="s">
        <v>25</v>
      </c>
      <c r="C44" s="21"/>
      <c r="D44" s="22" t="s">
        <v>20</v>
      </c>
      <c r="E44" s="23"/>
      <c r="F44" s="50">
        <f>'Proposed Rates'!D126</f>
        <v>6.9999999999999994E-5</v>
      </c>
      <c r="G44" s="51">
        <f>$F$18*(1+F74)</f>
        <v>103.35000000000001</v>
      </c>
      <c r="H44" s="26">
        <f>G44*F44</f>
        <v>7.2344999999999996E-3</v>
      </c>
      <c r="I44" s="27"/>
      <c r="J44" s="52">
        <f>'Proposed Rates'!E126</f>
        <v>6.0000000000000002E-5</v>
      </c>
      <c r="K44" s="51">
        <f>$F$18*(1+J74)</f>
        <v>103.35000000000001</v>
      </c>
      <c r="L44" s="26">
        <f>K44*J44</f>
        <v>6.2010000000000008E-3</v>
      </c>
      <c r="M44" s="27"/>
      <c r="N44" s="30">
        <f>L44-H44</f>
        <v>-1.0334999999999988E-3</v>
      </c>
      <c r="O44" s="31">
        <f>IF((H44)=0,"",(N44/H44))</f>
        <v>-0.14285714285714271</v>
      </c>
      <c r="Q44" s="199"/>
      <c r="R44" s="199"/>
    </row>
    <row r="45" spans="2:18" x14ac:dyDescent="0.25">
      <c r="B45" s="49" t="s">
        <v>26</v>
      </c>
      <c r="C45" s="21"/>
      <c r="D45" s="22"/>
      <c r="E45" s="23"/>
      <c r="F45" s="53">
        <f>IF(ISBLANK(D16)=TRUE, 0, IF(D16="TOU", 0.65*$F$55+0.17*$F$56+0.18*$F$57, IF(AND(D16="non-TOU", G59&gt;0), F59,F58)))</f>
        <v>8.2160000000000011E-2</v>
      </c>
      <c r="G45" s="54">
        <f>$F$18*(1+$F$74)-$F$18</f>
        <v>3.3500000000000085</v>
      </c>
      <c r="H45" s="26">
        <f t="shared" si="10"/>
        <v>0.27523600000000076</v>
      </c>
      <c r="I45" s="27"/>
      <c r="J45" s="55">
        <f>0.65*$J$55+0.17*$J$56+0.18*$J$57</f>
        <v>8.2160000000000011E-2</v>
      </c>
      <c r="K45" s="54">
        <f>$F$18*(1+$J$74)-$F$18</f>
        <v>3.3500000000000085</v>
      </c>
      <c r="L45" s="26">
        <f t="shared" si="7"/>
        <v>0.27523600000000076</v>
      </c>
      <c r="M45" s="27"/>
      <c r="N45" s="30">
        <f t="shared" si="8"/>
        <v>0</v>
      </c>
      <c r="O45" s="31">
        <f t="shared" ref="O45:O63" si="12">IF((H45)=0,"",(N45/H45))</f>
        <v>0</v>
      </c>
      <c r="Q45" s="199"/>
      <c r="R45" s="199"/>
    </row>
    <row r="46" spans="2:18" x14ac:dyDescent="0.25">
      <c r="B46" s="49" t="s">
        <v>27</v>
      </c>
      <c r="C46" s="21"/>
      <c r="D46" s="22" t="s">
        <v>17</v>
      </c>
      <c r="E46" s="23"/>
      <c r="F46" s="53">
        <f>'Proposed Rates'!D141</f>
        <v>0.79</v>
      </c>
      <c r="G46" s="25">
        <v>1</v>
      </c>
      <c r="H46" s="26">
        <f>G46*F46</f>
        <v>0.79</v>
      </c>
      <c r="I46" s="27"/>
      <c r="J46" s="53">
        <f>'Proposed Rates'!E141</f>
        <v>0.79</v>
      </c>
      <c r="K46" s="25">
        <v>1</v>
      </c>
      <c r="L46" s="26">
        <f>K46*J46</f>
        <v>0.79</v>
      </c>
      <c r="M46" s="27"/>
      <c r="N46" s="30">
        <f>L46-H46</f>
        <v>0</v>
      </c>
      <c r="O46" s="31">
        <f t="shared" si="12"/>
        <v>0</v>
      </c>
      <c r="Q46" s="199"/>
      <c r="R46" s="199"/>
    </row>
    <row r="47" spans="2:18" ht="26.4" x14ac:dyDescent="0.25">
      <c r="B47" s="56" t="s">
        <v>28</v>
      </c>
      <c r="C47" s="57"/>
      <c r="D47" s="57"/>
      <c r="E47" s="57"/>
      <c r="F47" s="58"/>
      <c r="G47" s="59"/>
      <c r="H47" s="60">
        <f>SUM(H40:H46)+H39</f>
        <v>18.989470500000003</v>
      </c>
      <c r="I47" s="40"/>
      <c r="J47" s="59"/>
      <c r="K47" s="61"/>
      <c r="L47" s="60">
        <f>SUM(L40:L46)+L39</f>
        <v>22.511437000000004</v>
      </c>
      <c r="M47" s="40"/>
      <c r="N47" s="43">
        <f t="shared" ref="N47:N63" si="13">L47-H47</f>
        <v>3.5219665000000013</v>
      </c>
      <c r="O47" s="44">
        <f t="shared" si="12"/>
        <v>0.18546944213110106</v>
      </c>
      <c r="Q47" s="199"/>
      <c r="R47" s="199"/>
    </row>
    <row r="48" spans="2:18" x14ac:dyDescent="0.25">
      <c r="B48" s="27" t="s">
        <v>29</v>
      </c>
      <c r="C48" s="27"/>
      <c r="D48" s="62" t="s">
        <v>20</v>
      </c>
      <c r="E48" s="63"/>
      <c r="F48" s="28">
        <f>'Proposed Rates'!D156</f>
        <v>7.4000000000000003E-3</v>
      </c>
      <c r="G48" s="64">
        <f>F18*(1+F74)</f>
        <v>103.35000000000001</v>
      </c>
      <c r="H48" s="26">
        <f>G48*F48</f>
        <v>0.76479000000000008</v>
      </c>
      <c r="I48" s="27"/>
      <c r="J48" s="28">
        <f>'Proposed Rates'!E156</f>
        <v>7.4999999999999997E-3</v>
      </c>
      <c r="K48" s="65">
        <f>F18*(1+J74)</f>
        <v>103.35000000000001</v>
      </c>
      <c r="L48" s="26">
        <f>K48*J48</f>
        <v>0.77512500000000006</v>
      </c>
      <c r="M48" s="27"/>
      <c r="N48" s="30">
        <f t="shared" si="13"/>
        <v>1.0334999999999983E-2</v>
      </c>
      <c r="O48" s="31">
        <f>IF((H48)=0,"",(N48/H48))</f>
        <v>1.351351351351349E-2</v>
      </c>
      <c r="Q48" s="199"/>
      <c r="R48" s="199"/>
    </row>
    <row r="49" spans="2:18" ht="26.4" x14ac:dyDescent="0.25">
      <c r="B49" s="66" t="s">
        <v>30</v>
      </c>
      <c r="C49" s="27"/>
      <c r="D49" s="62" t="s">
        <v>20</v>
      </c>
      <c r="E49" s="63"/>
      <c r="F49" s="28">
        <f>'Proposed Rates'!D171</f>
        <v>4.7000000000000002E-3</v>
      </c>
      <c r="G49" s="64">
        <f>G48</f>
        <v>103.35000000000001</v>
      </c>
      <c r="H49" s="26">
        <f>G49*F49</f>
        <v>0.48574500000000004</v>
      </c>
      <c r="I49" s="27"/>
      <c r="J49" s="28">
        <f>'Proposed Rates'!E171</f>
        <v>4.7999999999999996E-3</v>
      </c>
      <c r="K49" s="65">
        <f>K48</f>
        <v>103.35000000000001</v>
      </c>
      <c r="L49" s="26">
        <f>K49*J49</f>
        <v>0.49608000000000002</v>
      </c>
      <c r="M49" s="27"/>
      <c r="N49" s="30">
        <f t="shared" si="13"/>
        <v>1.0334999999999983E-2</v>
      </c>
      <c r="O49" s="31">
        <f>IF((H49)=0,"",(N49/H49))</f>
        <v>2.1276595744680816E-2</v>
      </c>
      <c r="Q49" s="199"/>
      <c r="R49" s="199"/>
    </row>
    <row r="50" spans="2:18" ht="26.4" x14ac:dyDescent="0.25">
      <c r="B50" s="56" t="s">
        <v>31</v>
      </c>
      <c r="C50" s="35"/>
      <c r="D50" s="35"/>
      <c r="E50" s="35"/>
      <c r="F50" s="67"/>
      <c r="G50" s="59"/>
      <c r="H50" s="60">
        <f>SUM(H47:H49)</f>
        <v>20.240005500000006</v>
      </c>
      <c r="I50" s="68"/>
      <c r="J50" s="69"/>
      <c r="K50" s="70"/>
      <c r="L50" s="60">
        <f>SUM(L47:L49)</f>
        <v>23.782642000000003</v>
      </c>
      <c r="M50" s="68"/>
      <c r="N50" s="43">
        <f t="shared" si="13"/>
        <v>3.5426364999999969</v>
      </c>
      <c r="O50" s="44">
        <f>IF((H50)=0,"",(N50/H50))</f>
        <v>0.17503140006557785</v>
      </c>
      <c r="Q50" s="198"/>
      <c r="R50" s="198"/>
    </row>
    <row r="51" spans="2:18" ht="26.4" x14ac:dyDescent="0.25">
      <c r="B51" s="71" t="s">
        <v>32</v>
      </c>
      <c r="C51" s="21"/>
      <c r="D51" s="22" t="s">
        <v>20</v>
      </c>
      <c r="E51" s="23"/>
      <c r="F51" s="72">
        <f>'Proposed Rates'!D186</f>
        <v>3.5999999999999999E-3</v>
      </c>
      <c r="G51" s="64">
        <f>G49</f>
        <v>103.35000000000001</v>
      </c>
      <c r="H51" s="73">
        <f t="shared" ref="H51:H57" si="14">G51*F51</f>
        <v>0.37206</v>
      </c>
      <c r="I51" s="27"/>
      <c r="J51" s="72">
        <f>F51</f>
        <v>3.5999999999999999E-3</v>
      </c>
      <c r="K51" s="65">
        <f>K49</f>
        <v>103.35000000000001</v>
      </c>
      <c r="L51" s="73">
        <f t="shared" ref="L51:L57" si="15">K51*J51</f>
        <v>0.37206</v>
      </c>
      <c r="M51" s="27"/>
      <c r="N51" s="30">
        <f t="shared" si="13"/>
        <v>0</v>
      </c>
      <c r="O51" s="74">
        <f>IF((H51)=0,"",(N51/H51))</f>
        <v>0</v>
      </c>
      <c r="Q51" s="199"/>
      <c r="R51" s="199"/>
    </row>
    <row r="52" spans="2:18" ht="26.4" x14ac:dyDescent="0.25">
      <c r="B52" s="71" t="s">
        <v>33</v>
      </c>
      <c r="C52" s="21"/>
      <c r="D52" s="22" t="s">
        <v>20</v>
      </c>
      <c r="E52" s="23"/>
      <c r="F52" s="72">
        <f>'Proposed Rates'!D191</f>
        <v>2.9999999999999997E-4</v>
      </c>
      <c r="G52" s="64">
        <f>G49</f>
        <v>103.35000000000001</v>
      </c>
      <c r="H52" s="73">
        <f t="shared" si="14"/>
        <v>3.1005000000000001E-2</v>
      </c>
      <c r="I52" s="27"/>
      <c r="J52" s="72">
        <f>F52</f>
        <v>2.9999999999999997E-4</v>
      </c>
      <c r="K52" s="65">
        <f>K49</f>
        <v>103.35000000000001</v>
      </c>
      <c r="L52" s="73">
        <f t="shared" si="15"/>
        <v>3.1005000000000001E-2</v>
      </c>
      <c r="M52" s="27"/>
      <c r="N52" s="30">
        <f t="shared" si="13"/>
        <v>0</v>
      </c>
      <c r="O52" s="74">
        <f t="shared" si="12"/>
        <v>0</v>
      </c>
      <c r="Q52" s="199"/>
      <c r="R52" s="199"/>
    </row>
    <row r="53" spans="2:18" x14ac:dyDescent="0.25">
      <c r="B53" s="21" t="s">
        <v>34</v>
      </c>
      <c r="C53" s="21"/>
      <c r="D53" s="22" t="s">
        <v>17</v>
      </c>
      <c r="E53" s="23"/>
      <c r="F53" s="72">
        <f>'Proposed Rates'!D196</f>
        <v>0.25</v>
      </c>
      <c r="G53" s="25">
        <v>1</v>
      </c>
      <c r="H53" s="73">
        <f t="shared" si="14"/>
        <v>0.25</v>
      </c>
      <c r="I53" s="27"/>
      <c r="J53" s="72">
        <f>'Proposed Rates'!E196</f>
        <v>0.25</v>
      </c>
      <c r="K53" s="29">
        <v>1</v>
      </c>
      <c r="L53" s="73">
        <f t="shared" si="15"/>
        <v>0.25</v>
      </c>
      <c r="M53" s="27"/>
      <c r="N53" s="30">
        <f t="shared" si="13"/>
        <v>0</v>
      </c>
      <c r="O53" s="74">
        <f t="shared" si="12"/>
        <v>0</v>
      </c>
      <c r="Q53" s="199"/>
      <c r="R53" s="199"/>
    </row>
    <row r="54" spans="2:18" x14ac:dyDescent="0.25">
      <c r="B54" s="21" t="s">
        <v>120</v>
      </c>
      <c r="C54" s="21"/>
      <c r="D54" s="22"/>
      <c r="E54" s="23"/>
      <c r="F54" s="72">
        <f>'Proposed Rates'!D221</f>
        <v>0</v>
      </c>
      <c r="G54" s="64">
        <f>F18*(1+F74)</f>
        <v>103.35000000000001</v>
      </c>
      <c r="H54" s="73">
        <f>G54*F54</f>
        <v>0</v>
      </c>
      <c r="I54" s="27"/>
      <c r="J54" s="72">
        <f>F54</f>
        <v>0</v>
      </c>
      <c r="K54" s="65">
        <f>F18*(1+J74)</f>
        <v>103.35000000000001</v>
      </c>
      <c r="L54" s="73">
        <f>K54*J54</f>
        <v>0</v>
      </c>
      <c r="M54" s="27"/>
      <c r="N54" s="30"/>
      <c r="O54" s="74"/>
      <c r="Q54" s="199"/>
      <c r="R54" s="199"/>
    </row>
    <row r="55" spans="2:18" x14ac:dyDescent="0.25">
      <c r="B55" s="49" t="s">
        <v>36</v>
      </c>
      <c r="C55" s="21"/>
      <c r="D55" s="22"/>
      <c r="E55" s="23"/>
      <c r="F55" s="72">
        <f>'Proposed Rates'!D226</f>
        <v>6.5000000000000002E-2</v>
      </c>
      <c r="G55" s="77">
        <f>0.65*$F$18</f>
        <v>65</v>
      </c>
      <c r="H55" s="73">
        <f t="shared" si="14"/>
        <v>4.2250000000000005</v>
      </c>
      <c r="I55" s="27"/>
      <c r="J55" s="72">
        <f t="shared" ref="J55:J59" si="16">F55</f>
        <v>6.5000000000000002E-2</v>
      </c>
      <c r="K55" s="77">
        <f>$G$55</f>
        <v>65</v>
      </c>
      <c r="L55" s="73">
        <f t="shared" si="15"/>
        <v>4.2250000000000005</v>
      </c>
      <c r="M55" s="27"/>
      <c r="N55" s="30">
        <f t="shared" si="13"/>
        <v>0</v>
      </c>
      <c r="O55" s="74">
        <f t="shared" si="12"/>
        <v>0</v>
      </c>
      <c r="Q55" s="199"/>
      <c r="R55" s="199"/>
    </row>
    <row r="56" spans="2:18" x14ac:dyDescent="0.25">
      <c r="B56" s="49" t="s">
        <v>37</v>
      </c>
      <c r="C56" s="21"/>
      <c r="D56" s="22"/>
      <c r="E56" s="23"/>
      <c r="F56" s="72">
        <f>'Proposed Rates'!D227</f>
        <v>9.5000000000000001E-2</v>
      </c>
      <c r="G56" s="77">
        <f>0.17*$F$18</f>
        <v>17</v>
      </c>
      <c r="H56" s="73">
        <f t="shared" si="14"/>
        <v>1.615</v>
      </c>
      <c r="I56" s="27"/>
      <c r="J56" s="72">
        <f t="shared" si="16"/>
        <v>9.5000000000000001E-2</v>
      </c>
      <c r="K56" s="77">
        <f>$G$56</f>
        <v>17</v>
      </c>
      <c r="L56" s="73">
        <f t="shared" si="15"/>
        <v>1.615</v>
      </c>
      <c r="M56" s="27"/>
      <c r="N56" s="30">
        <f t="shared" si="13"/>
        <v>0</v>
      </c>
      <c r="O56" s="74">
        <f t="shared" si="12"/>
        <v>0</v>
      </c>
      <c r="Q56" s="199"/>
      <c r="R56" s="199"/>
    </row>
    <row r="57" spans="2:18" x14ac:dyDescent="0.25">
      <c r="B57" s="11" t="s">
        <v>38</v>
      </c>
      <c r="C57" s="21"/>
      <c r="D57" s="22"/>
      <c r="E57" s="23"/>
      <c r="F57" s="72">
        <f>'Proposed Rates'!D228</f>
        <v>0.13200000000000001</v>
      </c>
      <c r="G57" s="77">
        <f>0.18*$F$18</f>
        <v>18</v>
      </c>
      <c r="H57" s="73">
        <f t="shared" si="14"/>
        <v>2.3760000000000003</v>
      </c>
      <c r="I57" s="27"/>
      <c r="J57" s="72">
        <f t="shared" si="16"/>
        <v>0.13200000000000001</v>
      </c>
      <c r="K57" s="77">
        <f>$G$57</f>
        <v>18</v>
      </c>
      <c r="L57" s="73">
        <f t="shared" si="15"/>
        <v>2.3760000000000003</v>
      </c>
      <c r="M57" s="27"/>
      <c r="N57" s="30">
        <f t="shared" si="13"/>
        <v>0</v>
      </c>
      <c r="O57" s="74">
        <f t="shared" si="12"/>
        <v>0</v>
      </c>
      <c r="Q57" s="199"/>
      <c r="R57" s="199"/>
    </row>
    <row r="58" spans="2:18" s="85" customFormat="1" x14ac:dyDescent="0.25">
      <c r="B58" s="78" t="s">
        <v>39</v>
      </c>
      <c r="C58" s="79"/>
      <c r="D58" s="80"/>
      <c r="E58" s="81"/>
      <c r="F58" s="72">
        <f>'Proposed Rates'!D229</f>
        <v>7.6999999999999999E-2</v>
      </c>
      <c r="G58" s="82">
        <f>IF(AND($Q$1=1, F18&gt;=600), 600, IF(AND($Q$1=1, AND(F18&lt;600, F18&gt;=0)), F18, IF(AND($Q$1=2, F18&gt;=1000), 1000, IF(AND($Q$1=2, AND(F18&lt;1000, F18&gt;=0)), F18))))</f>
        <v>100</v>
      </c>
      <c r="H58" s="73">
        <f>G58*F58</f>
        <v>7.7</v>
      </c>
      <c r="I58" s="83"/>
      <c r="J58" s="72">
        <f t="shared" si="16"/>
        <v>7.6999999999999999E-2</v>
      </c>
      <c r="K58" s="82">
        <f>$G$58</f>
        <v>100</v>
      </c>
      <c r="L58" s="73">
        <f>K58*J58</f>
        <v>7.7</v>
      </c>
      <c r="M58" s="83"/>
      <c r="N58" s="84">
        <f t="shared" si="13"/>
        <v>0</v>
      </c>
      <c r="O58" s="74">
        <f t="shared" si="12"/>
        <v>0</v>
      </c>
      <c r="Q58" s="201"/>
      <c r="R58" s="201"/>
    </row>
    <row r="59" spans="2:18" s="85" customFormat="1" ht="13.8" thickBot="1" x14ac:dyDescent="0.3">
      <c r="B59" s="78" t="s">
        <v>40</v>
      </c>
      <c r="C59" s="79"/>
      <c r="D59" s="80"/>
      <c r="E59" s="81"/>
      <c r="F59" s="72">
        <f>'Proposed Rates'!D230</f>
        <v>0.09</v>
      </c>
      <c r="G59" s="82">
        <f>IF(AND($Q$1=1, F18&gt;=600), F18-600, IF(AND($Q$1=1, AND(F18&lt;600, F18&gt;=0)), 0, IF(AND($Q$1=2, F18&gt;=1000), F18-1000, IF(AND($Q$1=2, AND(F18&lt;1000, F18&gt;=0)), 0))))</f>
        <v>0</v>
      </c>
      <c r="H59" s="73">
        <f>G59*F59</f>
        <v>0</v>
      </c>
      <c r="I59" s="83"/>
      <c r="J59" s="72">
        <f t="shared" si="16"/>
        <v>0.09</v>
      </c>
      <c r="K59" s="82">
        <f>$G$59</f>
        <v>0</v>
      </c>
      <c r="L59" s="73">
        <f>K59*J59</f>
        <v>0</v>
      </c>
      <c r="M59" s="83"/>
      <c r="N59" s="84">
        <f t="shared" si="13"/>
        <v>0</v>
      </c>
      <c r="O59" s="74" t="str">
        <f t="shared" si="12"/>
        <v/>
      </c>
      <c r="Q59" s="201"/>
      <c r="R59" s="201"/>
    </row>
    <row r="60" spans="2:18" ht="8.25" customHeight="1" thickBot="1" x14ac:dyDescent="0.3">
      <c r="B60" s="86"/>
      <c r="C60" s="87"/>
      <c r="D60" s="88"/>
      <c r="E60" s="87"/>
      <c r="F60" s="89"/>
      <c r="G60" s="90"/>
      <c r="H60" s="91"/>
      <c r="I60" s="92"/>
      <c r="J60" s="89"/>
      <c r="K60" s="93"/>
      <c r="L60" s="91"/>
      <c r="M60" s="92"/>
      <c r="N60" s="94"/>
      <c r="O60" s="95"/>
      <c r="Q60" s="199"/>
      <c r="R60" s="199"/>
    </row>
    <row r="61" spans="2:18" x14ac:dyDescent="0.25">
      <c r="B61" s="96" t="s">
        <v>140</v>
      </c>
      <c r="C61" s="21"/>
      <c r="D61" s="21"/>
      <c r="E61" s="21"/>
      <c r="F61" s="97"/>
      <c r="G61" s="98"/>
      <c r="H61" s="99">
        <f>SUM(H51:H57,H50)</f>
        <v>29.109070500000009</v>
      </c>
      <c r="I61" s="100"/>
      <c r="J61" s="101"/>
      <c r="K61" s="101"/>
      <c r="L61" s="254">
        <f>SUM(L51:L57,L50)</f>
        <v>32.651707000000002</v>
      </c>
      <c r="M61" s="102"/>
      <c r="N61" s="103">
        <f t="shared" ref="N61" si="17">L61-H61</f>
        <v>3.5426364999999933</v>
      </c>
      <c r="O61" s="104">
        <f>IF((H61)=0,"",(N61/H61))</f>
        <v>0.12170215122464979</v>
      </c>
      <c r="Q61" s="198"/>
      <c r="R61" s="198"/>
    </row>
    <row r="62" spans="2:18" x14ac:dyDescent="0.25">
      <c r="B62" s="105" t="s">
        <v>42</v>
      </c>
      <c r="C62" s="21"/>
      <c r="D62" s="21"/>
      <c r="E62" s="21"/>
      <c r="F62" s="106">
        <v>0.13</v>
      </c>
      <c r="G62" s="107"/>
      <c r="H62" s="108">
        <f>H61*F62</f>
        <v>3.7841791650000012</v>
      </c>
      <c r="I62" s="109"/>
      <c r="J62" s="110">
        <v>0.13</v>
      </c>
      <c r="K62" s="109"/>
      <c r="L62" s="111">
        <f>L61*J62</f>
        <v>4.24472191</v>
      </c>
      <c r="M62" s="112"/>
      <c r="N62" s="113">
        <f t="shared" si="13"/>
        <v>0.46054274499999881</v>
      </c>
      <c r="O62" s="114">
        <f t="shared" si="12"/>
        <v>0.12170215122464971</v>
      </c>
      <c r="Q62" s="199"/>
      <c r="R62" s="199"/>
    </row>
    <row r="63" spans="2:18" x14ac:dyDescent="0.25">
      <c r="B63" s="250" t="s">
        <v>43</v>
      </c>
      <c r="C63" s="21"/>
      <c r="D63" s="21"/>
      <c r="E63" s="21"/>
      <c r="F63" s="116"/>
      <c r="G63" s="107"/>
      <c r="H63" s="99">
        <f>H61+H62</f>
        <v>32.893249665000013</v>
      </c>
      <c r="I63" s="109"/>
      <c r="J63" s="109"/>
      <c r="K63" s="109"/>
      <c r="L63" s="212">
        <f>L61+L62</f>
        <v>36.896428910000004</v>
      </c>
      <c r="M63" s="112"/>
      <c r="N63" s="103">
        <f t="shared" si="13"/>
        <v>4.0031792449999912</v>
      </c>
      <c r="O63" s="104">
        <f t="shared" si="12"/>
        <v>0.12170215122464975</v>
      </c>
      <c r="Q63" s="199"/>
      <c r="R63" s="199"/>
    </row>
    <row r="64" spans="2:18" x14ac:dyDescent="0.25">
      <c r="B64" s="249" t="s">
        <v>137</v>
      </c>
      <c r="C64" s="21"/>
      <c r="D64" s="21"/>
      <c r="E64" s="21"/>
      <c r="F64" s="106">
        <v>-0.08</v>
      </c>
      <c r="G64" s="107"/>
      <c r="H64" s="257">
        <f>F64*H61</f>
        <v>-2.3287256400000009</v>
      </c>
      <c r="I64" s="112"/>
      <c r="J64" s="106">
        <v>-0.08</v>
      </c>
      <c r="K64" s="248"/>
      <c r="L64" s="257">
        <f>J64*L61</f>
        <v>-2.6121365600000002</v>
      </c>
      <c r="M64" s="112"/>
      <c r="N64" s="257">
        <f>L64-H64</f>
        <v>-0.28341091999999923</v>
      </c>
      <c r="O64" s="114">
        <f t="shared" ref="O64:O65" si="18">IF((H64)=0,"",(N64/H64))</f>
        <v>0.12170215122464968</v>
      </c>
      <c r="Q64" s="199"/>
      <c r="R64" s="199"/>
    </row>
    <row r="65" spans="1:18" ht="13.5" customHeight="1" thickBot="1" x14ac:dyDescent="0.3">
      <c r="B65" s="294" t="s">
        <v>141</v>
      </c>
      <c r="C65" s="294"/>
      <c r="D65" s="294"/>
      <c r="E65" s="21"/>
      <c r="F65" s="256"/>
      <c r="G65" s="107"/>
      <c r="H65" s="251">
        <f>SUM(H63:H64)</f>
        <v>30.564524025000011</v>
      </c>
      <c r="I65" s="112"/>
      <c r="J65" s="253"/>
      <c r="K65" s="248"/>
      <c r="L65" s="251">
        <f>SUM(L63:L64)</f>
        <v>34.284292350000001</v>
      </c>
      <c r="M65" s="112"/>
      <c r="N65" s="103">
        <f t="shared" ref="N65" si="19">L65-H65</f>
        <v>3.7197683249999898</v>
      </c>
      <c r="O65" s="104">
        <f t="shared" si="18"/>
        <v>0.12170215122464968</v>
      </c>
      <c r="Q65" s="199"/>
      <c r="R65" s="199"/>
    </row>
    <row r="66" spans="1:18" s="85" customFormat="1" ht="8.25" customHeight="1" thickBot="1" x14ac:dyDescent="0.3">
      <c r="B66" s="117"/>
      <c r="C66" s="118"/>
      <c r="D66" s="119"/>
      <c r="E66" s="118"/>
      <c r="F66" s="89"/>
      <c r="G66" s="120"/>
      <c r="H66" s="91"/>
      <c r="I66" s="121"/>
      <c r="J66" s="89"/>
      <c r="K66" s="122"/>
      <c r="L66" s="91"/>
      <c r="M66" s="121"/>
      <c r="N66" s="123"/>
      <c r="O66" s="95"/>
      <c r="Q66" s="201"/>
      <c r="R66" s="201"/>
    </row>
    <row r="67" spans="1:18" s="85" customFormat="1" x14ac:dyDescent="0.25">
      <c r="B67" s="124" t="s">
        <v>139</v>
      </c>
      <c r="C67" s="79"/>
      <c r="D67" s="79"/>
      <c r="E67" s="79"/>
      <c r="F67" s="125"/>
      <c r="G67" s="126"/>
      <c r="H67" s="127">
        <f>SUM(H58:H59,H50,H51:H53)</f>
        <v>28.593070500000007</v>
      </c>
      <c r="I67" s="128"/>
      <c r="J67" s="129"/>
      <c r="K67" s="129"/>
      <c r="L67" s="259">
        <f>SUM(L58:L59,L50,L51:L53)</f>
        <v>32.135707000000004</v>
      </c>
      <c r="M67" s="130"/>
      <c r="N67" s="131">
        <f t="shared" ref="N67:N69" si="20">L67-H67</f>
        <v>3.5426364999999969</v>
      </c>
      <c r="O67" s="104">
        <f t="shared" ref="O67:O69" si="21">IF((H67)=0,"",(N67/H67))</f>
        <v>0.12389842846713493</v>
      </c>
      <c r="Q67" s="200"/>
      <c r="R67" s="200"/>
    </row>
    <row r="68" spans="1:18" s="85" customFormat="1" x14ac:dyDescent="0.25">
      <c r="B68" s="132" t="s">
        <v>42</v>
      </c>
      <c r="C68" s="79"/>
      <c r="D68" s="79"/>
      <c r="E68" s="79"/>
      <c r="F68" s="133">
        <v>0.13</v>
      </c>
      <c r="G68" s="126"/>
      <c r="H68" s="134">
        <f>H67*F68</f>
        <v>3.7170991650000009</v>
      </c>
      <c r="I68" s="135"/>
      <c r="J68" s="136">
        <v>0.13</v>
      </c>
      <c r="K68" s="137"/>
      <c r="L68" s="138">
        <f>L67*J68</f>
        <v>4.1776419100000002</v>
      </c>
      <c r="M68" s="139"/>
      <c r="N68" s="140">
        <f t="shared" si="20"/>
        <v>0.46054274499999925</v>
      </c>
      <c r="O68" s="114">
        <f t="shared" si="21"/>
        <v>0.12389842846713484</v>
      </c>
      <c r="Q68" s="201"/>
      <c r="R68" s="201"/>
    </row>
    <row r="69" spans="1:18" s="85" customFormat="1" x14ac:dyDescent="0.25">
      <c r="B69" s="258" t="s">
        <v>43</v>
      </c>
      <c r="C69" s="79"/>
      <c r="D69" s="79"/>
      <c r="E69" s="79"/>
      <c r="F69" s="142"/>
      <c r="G69" s="143"/>
      <c r="H69" s="127">
        <f>H67+H68</f>
        <v>32.310169665000011</v>
      </c>
      <c r="I69" s="135"/>
      <c r="J69" s="135"/>
      <c r="K69" s="135"/>
      <c r="L69" s="211">
        <f>L67+L68</f>
        <v>36.313348910000002</v>
      </c>
      <c r="M69" s="139"/>
      <c r="N69" s="131">
        <f t="shared" si="20"/>
        <v>4.0031792449999912</v>
      </c>
      <c r="O69" s="104">
        <f t="shared" si="21"/>
        <v>0.12389842846713475</v>
      </c>
      <c r="Q69" s="201"/>
      <c r="R69" s="201"/>
    </row>
    <row r="70" spans="1:18" s="85" customFormat="1" x14ac:dyDescent="0.25">
      <c r="B70" s="249" t="s">
        <v>137</v>
      </c>
      <c r="C70" s="21"/>
      <c r="D70" s="21"/>
      <c r="E70" s="79"/>
      <c r="F70" s="106">
        <v>-0.08</v>
      </c>
      <c r="G70" s="143"/>
      <c r="H70" s="257">
        <f>F70*H67</f>
        <v>-2.2874456400000005</v>
      </c>
      <c r="I70" s="135"/>
      <c r="J70" s="106">
        <v>-0.08</v>
      </c>
      <c r="K70" s="135"/>
      <c r="L70" s="257">
        <f>J70*L67</f>
        <v>-2.5708565600000002</v>
      </c>
      <c r="M70" s="139"/>
      <c r="N70" s="140">
        <f t="shared" ref="N70:N71" si="22">L70-H70</f>
        <v>-0.28341091999999968</v>
      </c>
      <c r="O70" s="114">
        <f t="shared" ref="O70:O71" si="23">IF((H70)=0,"",(N70/H70))</f>
        <v>0.12389842846713491</v>
      </c>
      <c r="Q70" s="201"/>
      <c r="R70" s="201"/>
    </row>
    <row r="71" spans="1:18" s="85" customFormat="1" ht="13.8" thickBot="1" x14ac:dyDescent="0.3">
      <c r="B71" s="294" t="s">
        <v>142</v>
      </c>
      <c r="C71" s="294"/>
      <c r="D71" s="294"/>
      <c r="E71" s="79"/>
      <c r="F71" s="142"/>
      <c r="G71" s="143"/>
      <c r="H71" s="251">
        <f>SUM(H69:H70)</f>
        <v>30.022724025000009</v>
      </c>
      <c r="I71" s="135"/>
      <c r="J71" s="135"/>
      <c r="K71" s="135"/>
      <c r="L71" s="251">
        <f>SUM(L69:L70)</f>
        <v>33.742492349999999</v>
      </c>
      <c r="M71" s="139"/>
      <c r="N71" s="131">
        <f t="shared" si="22"/>
        <v>3.7197683249999898</v>
      </c>
      <c r="O71" s="104">
        <f t="shared" si="23"/>
        <v>0.1238984284671347</v>
      </c>
      <c r="Q71" s="201"/>
      <c r="R71" s="201"/>
    </row>
    <row r="72" spans="1:18" s="85" customFormat="1" ht="8.25" customHeight="1" thickBot="1" x14ac:dyDescent="0.3">
      <c r="B72" s="117"/>
      <c r="C72" s="118"/>
      <c r="D72" s="119"/>
      <c r="E72" s="118"/>
      <c r="F72" s="144"/>
      <c r="G72" s="145"/>
      <c r="H72" s="146"/>
      <c r="I72" s="147"/>
      <c r="J72" s="144"/>
      <c r="K72" s="120"/>
      <c r="L72" s="148"/>
      <c r="M72" s="121"/>
      <c r="N72" s="149"/>
      <c r="O72" s="95"/>
      <c r="Q72" s="201"/>
      <c r="R72" s="201"/>
    </row>
    <row r="73" spans="1:18" x14ac:dyDescent="0.25">
      <c r="L73" s="150"/>
    </row>
    <row r="74" spans="1:18" x14ac:dyDescent="0.25">
      <c r="B74" s="12" t="s">
        <v>45</v>
      </c>
      <c r="F74" s="151">
        <f>'Proposed Rates'!D201</f>
        <v>3.3500000000000002E-2</v>
      </c>
      <c r="J74" s="151">
        <f>'Proposed Rates'!E201</f>
        <v>3.3500000000000002E-2</v>
      </c>
    </row>
    <row r="76" spans="1:18" ht="13.5" customHeight="1" x14ac:dyDescent="0.25"/>
    <row r="77" spans="1:18" ht="12" customHeight="1" x14ac:dyDescent="0.25">
      <c r="A77" s="6" t="s">
        <v>46</v>
      </c>
    </row>
    <row r="78" spans="1:18" x14ac:dyDescent="0.25">
      <c r="A78" s="6" t="s">
        <v>47</v>
      </c>
    </row>
    <row r="80" spans="1:18" x14ac:dyDescent="0.25">
      <c r="A80" s="153" t="s">
        <v>133</v>
      </c>
    </row>
    <row r="81" spans="1:2" x14ac:dyDescent="0.25">
      <c r="A81" s="11" t="s">
        <v>48</v>
      </c>
    </row>
    <row r="83" spans="1:2" x14ac:dyDescent="0.25">
      <c r="A83" s="6" t="s">
        <v>132</v>
      </c>
    </row>
    <row r="84" spans="1:2" x14ac:dyDescent="0.25">
      <c r="A84" s="6" t="s">
        <v>49</v>
      </c>
    </row>
    <row r="85" spans="1:2" x14ac:dyDescent="0.25">
      <c r="A85" s="6" t="s">
        <v>50</v>
      </c>
    </row>
    <row r="86" spans="1:2" x14ac:dyDescent="0.25">
      <c r="A86" s="6" t="s">
        <v>51</v>
      </c>
    </row>
    <row r="87" spans="1:2" x14ac:dyDescent="0.25">
      <c r="A87" s="6" t="s">
        <v>52</v>
      </c>
    </row>
    <row r="89" spans="1:2" x14ac:dyDescent="0.25">
      <c r="A89" s="152"/>
      <c r="B89" s="6" t="s">
        <v>53</v>
      </c>
    </row>
    <row r="91" spans="1:2" x14ac:dyDescent="0.25">
      <c r="B91" s="153" t="s">
        <v>54</v>
      </c>
    </row>
  </sheetData>
  <sheetProtection selectLockedCells="1"/>
  <mergeCells count="10">
    <mergeCell ref="A3:K3"/>
    <mergeCell ref="D14:O14"/>
    <mergeCell ref="F20:H20"/>
    <mergeCell ref="J20:L20"/>
    <mergeCell ref="N20:O20"/>
    <mergeCell ref="B65:D65"/>
    <mergeCell ref="B71:D71"/>
    <mergeCell ref="D21:D22"/>
    <mergeCell ref="N21:N22"/>
    <mergeCell ref="O21:O22"/>
  </mergeCells>
  <dataValidations count="3">
    <dataValidation type="list" allowBlank="1" showInputMessage="1" showErrorMessage="1" sqref="E48:E49 E72 E66 E23:E38 E40:E46 E51:E60">
      <formula1>#REF!</formula1>
    </dataValidation>
    <dataValidation type="list" allowBlank="1" showInputMessage="1" showErrorMessage="1" prompt="Select Charge Unit - monthly, per kWh, per kW" sqref="D72 D66 D23:D38 D40:D46 D48:D49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1</xdr:col>
                    <xdr:colOff>1676400</xdr:colOff>
                    <xdr:row>7</xdr:row>
                    <xdr:rowOff>53340</xdr:rowOff>
                  </from>
                  <to>
                    <xdr:col>3</xdr:col>
                    <xdr:colOff>556260</xdr:colOff>
                    <xdr:row>7</xdr:row>
                    <xdr:rowOff>144780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3</xdr:col>
                    <xdr:colOff>441960</xdr:colOff>
                    <xdr:row>7</xdr:row>
                    <xdr:rowOff>7620</xdr:rowOff>
                  </from>
                  <to>
                    <xdr:col>7</xdr:col>
                    <xdr:colOff>7620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232</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232</v>
      </c>
      <c r="H29" s="26">
        <f t="shared" si="0"/>
        <v>3.5032000000000001</v>
      </c>
      <c r="I29" s="27"/>
      <c r="J29" s="28">
        <f>+'Res (100)'!J29</f>
        <v>1.0500000000000001E-2</v>
      </c>
      <c r="K29" s="25">
        <f>$F$18</f>
        <v>232</v>
      </c>
      <c r="L29" s="26">
        <f t="shared" si="1"/>
        <v>2.4359999999999999</v>
      </c>
      <c r="M29" s="27"/>
      <c r="N29" s="30">
        <f t="shared" si="2"/>
        <v>-1.0672000000000001</v>
      </c>
      <c r="O29" s="31">
        <f t="shared" si="3"/>
        <v>-0.30463576158940403</v>
      </c>
      <c r="Q29" s="107"/>
      <c r="S29" s="107"/>
      <c r="U29" s="107"/>
      <c r="W29" s="107"/>
    </row>
    <row r="30" spans="2:23" x14ac:dyDescent="0.25">
      <c r="B30" s="21" t="s">
        <v>21</v>
      </c>
      <c r="C30" s="21"/>
      <c r="D30" s="22"/>
      <c r="E30" s="23"/>
      <c r="F30" s="24"/>
      <c r="G30" s="25">
        <f t="shared" ref="G30" si="4">$F$18</f>
        <v>232</v>
      </c>
      <c r="H30" s="26">
        <f t="shared" si="0"/>
        <v>0</v>
      </c>
      <c r="I30" s="27"/>
      <c r="J30" s="28"/>
      <c r="K30" s="25">
        <f t="shared" ref="K30:K38" si="5">$F$18</f>
        <v>232</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232</v>
      </c>
      <c r="H31" s="26">
        <f>G31*F31</f>
        <v>0</v>
      </c>
      <c r="I31" s="27"/>
      <c r="J31" s="52">
        <f>+'Res (100)'!J31</f>
        <v>0</v>
      </c>
      <c r="K31" s="25">
        <f t="shared" si="5"/>
        <v>232</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232</v>
      </c>
      <c r="H32" s="26">
        <f t="shared" si="0"/>
        <v>0</v>
      </c>
      <c r="I32" s="27"/>
      <c r="J32" s="28"/>
      <c r="K32" s="25">
        <f t="shared" si="5"/>
        <v>232</v>
      </c>
      <c r="L32" s="26">
        <f t="shared" si="1"/>
        <v>0</v>
      </c>
      <c r="M32" s="27"/>
      <c r="N32" s="30">
        <f t="shared" si="2"/>
        <v>0</v>
      </c>
      <c r="O32" s="31" t="str">
        <f t="shared" si="3"/>
        <v/>
      </c>
      <c r="Q32" s="107"/>
      <c r="S32" s="107"/>
      <c r="U32" s="107"/>
      <c r="W32" s="107"/>
    </row>
    <row r="33" spans="2:23" x14ac:dyDescent="0.25">
      <c r="B33" s="33"/>
      <c r="C33" s="21"/>
      <c r="D33" s="22"/>
      <c r="E33" s="23"/>
      <c r="F33" s="24"/>
      <c r="G33" s="25">
        <f t="shared" si="6"/>
        <v>232</v>
      </c>
      <c r="H33" s="26">
        <f t="shared" si="0"/>
        <v>0</v>
      </c>
      <c r="I33" s="27"/>
      <c r="J33" s="28"/>
      <c r="K33" s="25">
        <f t="shared" si="5"/>
        <v>232</v>
      </c>
      <c r="L33" s="26">
        <f t="shared" si="1"/>
        <v>0</v>
      </c>
      <c r="M33" s="27"/>
      <c r="N33" s="30">
        <f t="shared" si="2"/>
        <v>0</v>
      </c>
      <c r="O33" s="31" t="str">
        <f t="shared" si="3"/>
        <v/>
      </c>
      <c r="Q33" s="107"/>
      <c r="S33" s="107"/>
      <c r="U33" s="107"/>
      <c r="W33" s="107"/>
    </row>
    <row r="34" spans="2:23" x14ac:dyDescent="0.25">
      <c r="B34" s="33"/>
      <c r="C34" s="21"/>
      <c r="D34" s="22"/>
      <c r="E34" s="23"/>
      <c r="F34" s="24"/>
      <c r="G34" s="25">
        <f t="shared" si="6"/>
        <v>232</v>
      </c>
      <c r="H34" s="26">
        <f t="shared" si="0"/>
        <v>0</v>
      </c>
      <c r="I34" s="27"/>
      <c r="J34" s="28"/>
      <c r="K34" s="25">
        <f t="shared" si="5"/>
        <v>232</v>
      </c>
      <c r="L34" s="26">
        <f t="shared" si="1"/>
        <v>0</v>
      </c>
      <c r="M34" s="27"/>
      <c r="N34" s="30">
        <f t="shared" si="2"/>
        <v>0</v>
      </c>
      <c r="O34" s="31" t="str">
        <f t="shared" si="3"/>
        <v/>
      </c>
      <c r="Q34" s="107"/>
      <c r="S34" s="107"/>
      <c r="U34" s="107"/>
      <c r="W34" s="107"/>
    </row>
    <row r="35" spans="2:23" x14ac:dyDescent="0.25">
      <c r="B35" s="33"/>
      <c r="C35" s="21"/>
      <c r="D35" s="22"/>
      <c r="E35" s="23"/>
      <c r="F35" s="24"/>
      <c r="G35" s="25">
        <f t="shared" si="6"/>
        <v>232</v>
      </c>
      <c r="H35" s="26">
        <f t="shared" si="0"/>
        <v>0</v>
      </c>
      <c r="I35" s="27"/>
      <c r="J35" s="28"/>
      <c r="K35" s="25">
        <f t="shared" si="5"/>
        <v>232</v>
      </c>
      <c r="L35" s="26">
        <f t="shared" si="1"/>
        <v>0</v>
      </c>
      <c r="M35" s="27"/>
      <c r="N35" s="30">
        <f t="shared" si="2"/>
        <v>0</v>
      </c>
      <c r="O35" s="31" t="str">
        <f t="shared" si="3"/>
        <v/>
      </c>
      <c r="Q35" s="107"/>
      <c r="S35" s="107"/>
      <c r="U35" s="107"/>
      <c r="W35" s="107"/>
    </row>
    <row r="36" spans="2:23" x14ac:dyDescent="0.25">
      <c r="B36" s="33"/>
      <c r="C36" s="21"/>
      <c r="D36" s="22"/>
      <c r="E36" s="23"/>
      <c r="F36" s="24"/>
      <c r="G36" s="25">
        <f t="shared" si="6"/>
        <v>232</v>
      </c>
      <c r="H36" s="26">
        <f t="shared" si="0"/>
        <v>0</v>
      </c>
      <c r="I36" s="27"/>
      <c r="J36" s="28"/>
      <c r="K36" s="25">
        <f t="shared" si="5"/>
        <v>232</v>
      </c>
      <c r="L36" s="26">
        <f t="shared" si="1"/>
        <v>0</v>
      </c>
      <c r="M36" s="27"/>
      <c r="N36" s="30">
        <f t="shared" si="2"/>
        <v>0</v>
      </c>
      <c r="O36" s="31" t="str">
        <f t="shared" si="3"/>
        <v/>
      </c>
      <c r="Q36" s="107"/>
      <c r="S36" s="107"/>
      <c r="U36" s="107"/>
      <c r="W36" s="107"/>
    </row>
    <row r="37" spans="2:23" x14ac:dyDescent="0.25">
      <c r="B37" s="33"/>
      <c r="C37" s="21"/>
      <c r="D37" s="22"/>
      <c r="E37" s="23"/>
      <c r="F37" s="24"/>
      <c r="G37" s="25">
        <f t="shared" si="6"/>
        <v>232</v>
      </c>
      <c r="H37" s="26">
        <f t="shared" si="0"/>
        <v>0</v>
      </c>
      <c r="I37" s="27"/>
      <c r="J37" s="28"/>
      <c r="K37" s="25">
        <f t="shared" si="5"/>
        <v>232</v>
      </c>
      <c r="L37" s="26">
        <f t="shared" si="1"/>
        <v>0</v>
      </c>
      <c r="M37" s="27"/>
      <c r="N37" s="30">
        <f t="shared" si="2"/>
        <v>0</v>
      </c>
      <c r="O37" s="31" t="str">
        <f t="shared" si="3"/>
        <v/>
      </c>
      <c r="Q37" s="107"/>
      <c r="S37" s="107"/>
      <c r="U37" s="107"/>
      <c r="W37" s="107"/>
    </row>
    <row r="38" spans="2:23" x14ac:dyDescent="0.25">
      <c r="B38" s="33"/>
      <c r="C38" s="21"/>
      <c r="D38" s="22"/>
      <c r="E38" s="23"/>
      <c r="F38" s="24"/>
      <c r="G38" s="25">
        <f t="shared" si="6"/>
        <v>232</v>
      </c>
      <c r="H38" s="26">
        <f t="shared" si="0"/>
        <v>0</v>
      </c>
      <c r="I38" s="27"/>
      <c r="J38" s="28"/>
      <c r="K38" s="25">
        <f t="shared" si="5"/>
        <v>232</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20.103200000000001</v>
      </c>
      <c r="I39" s="40"/>
      <c r="J39" s="41"/>
      <c r="K39" s="42"/>
      <c r="L39" s="39">
        <f>SUM(L23:L38)</f>
        <v>22.946000000000002</v>
      </c>
      <c r="M39" s="40"/>
      <c r="N39" s="43">
        <f t="shared" si="2"/>
        <v>2.8428000000000004</v>
      </c>
      <c r="O39" s="44">
        <f t="shared" si="3"/>
        <v>0.14141032273468901</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232</v>
      </c>
      <c r="H40" s="26">
        <f>G40*F40</f>
        <v>-2.3200000000000002E-2</v>
      </c>
      <c r="I40" s="27"/>
      <c r="J40" s="28">
        <f>+'Res (100)'!J40</f>
        <v>-4.0000000000000002E-4</v>
      </c>
      <c r="K40" s="25">
        <f>$F$18</f>
        <v>232</v>
      </c>
      <c r="L40" s="26">
        <f>K40*J40</f>
        <v>-9.2800000000000007E-2</v>
      </c>
      <c r="M40" s="27"/>
      <c r="N40" s="30">
        <f>L40-H40</f>
        <v>-6.9600000000000009E-2</v>
      </c>
      <c r="O40" s="31">
        <f>IF((H40)=0,"",(N40/H40))</f>
        <v>3</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232</v>
      </c>
      <c r="H42" s="26">
        <f t="shared" si="7"/>
        <v>-0.53359999999999996</v>
      </c>
      <c r="I42" s="47"/>
      <c r="J42" s="28">
        <f>+'Res (100)'!J42</f>
        <v>-8.0000000000000004E-4</v>
      </c>
      <c r="K42" s="25">
        <f t="shared" ref="K42:K43" si="12">$F$18</f>
        <v>232</v>
      </c>
      <c r="L42" s="26">
        <f t="shared" si="8"/>
        <v>-0.18560000000000001</v>
      </c>
      <c r="M42" s="48"/>
      <c r="N42" s="30">
        <f t="shared" si="9"/>
        <v>0.34799999999999998</v>
      </c>
      <c r="O42" s="31">
        <f t="shared" si="10"/>
        <v>-0.65217391304347827</v>
      </c>
      <c r="Q42" s="107"/>
      <c r="S42" s="107"/>
      <c r="U42" s="107"/>
      <c r="W42" s="107"/>
    </row>
    <row r="43" spans="2:23" ht="39.6" x14ac:dyDescent="0.25">
      <c r="B43" s="46" t="s">
        <v>125</v>
      </c>
      <c r="C43" s="21"/>
      <c r="D43" s="22" t="s">
        <v>20</v>
      </c>
      <c r="E43" s="23"/>
      <c r="F43" s="24">
        <f>'Res (100)'!F43</f>
        <v>2.7E-4</v>
      </c>
      <c r="G43" s="25">
        <f t="shared" si="11"/>
        <v>232</v>
      </c>
      <c r="H43" s="26">
        <f t="shared" si="7"/>
        <v>6.2640000000000001E-2</v>
      </c>
      <c r="I43" s="47"/>
      <c r="J43" s="223">
        <f>+'Res (100)'!J43</f>
        <v>0</v>
      </c>
      <c r="K43" s="25">
        <f t="shared" si="12"/>
        <v>232</v>
      </c>
      <c r="L43" s="26">
        <f t="shared" si="8"/>
        <v>0</v>
      </c>
      <c r="M43" s="48"/>
      <c r="N43" s="30">
        <f t="shared" si="9"/>
        <v>-6.2640000000000001E-2</v>
      </c>
      <c r="O43" s="31">
        <f t="shared" si="10"/>
        <v>-1</v>
      </c>
      <c r="Q43" s="107"/>
      <c r="S43" s="107"/>
      <c r="U43" s="107"/>
      <c r="W43" s="107"/>
    </row>
    <row r="44" spans="2:23" x14ac:dyDescent="0.25">
      <c r="B44" s="49" t="s">
        <v>25</v>
      </c>
      <c r="C44" s="21"/>
      <c r="D44" s="22" t="s">
        <v>20</v>
      </c>
      <c r="E44" s="23"/>
      <c r="F44" s="50">
        <f>'Res (100)'!F44</f>
        <v>6.9999999999999994E-5</v>
      </c>
      <c r="G44" s="51">
        <f>$F$18*(1+F74)</f>
        <v>239.77200000000002</v>
      </c>
      <c r="H44" s="26">
        <f>G44*F44</f>
        <v>1.678404E-2</v>
      </c>
      <c r="I44" s="27"/>
      <c r="J44" s="52">
        <f>'Proposed Rates'!E126</f>
        <v>6.0000000000000002E-5</v>
      </c>
      <c r="K44" s="51">
        <f>$F$18*(1+J74)</f>
        <v>239.77200000000002</v>
      </c>
      <c r="L44" s="26">
        <f>K44*J44</f>
        <v>1.4386320000000001E-2</v>
      </c>
      <c r="M44" s="27"/>
      <c r="N44" s="30">
        <f>L44-H44</f>
        <v>-2.397719999999999E-3</v>
      </c>
      <c r="O44" s="31">
        <f>IF((H44)=0,"",(N44/H44))</f>
        <v>-0.14285714285714279</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7.7720000000000198</v>
      </c>
      <c r="H45" s="26">
        <f>G45*F45</f>
        <v>0.6385475200000017</v>
      </c>
      <c r="I45" s="27"/>
      <c r="J45" s="55">
        <f>0.65*$J$55+0.17*$J$56+0.18*$J$57</f>
        <v>8.2160000000000011E-2</v>
      </c>
      <c r="K45" s="54">
        <f>$F$18*(1+$J$74)-$F$18</f>
        <v>7.7720000000000198</v>
      </c>
      <c r="L45" s="26">
        <f t="shared" si="8"/>
        <v>0.6385475200000017</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21.074371560000003</v>
      </c>
      <c r="I47" s="40"/>
      <c r="J47" s="59"/>
      <c r="K47" s="61"/>
      <c r="L47" s="60">
        <f>SUM(L40:L46)+L39</f>
        <v>24.110533840000002</v>
      </c>
      <c r="M47" s="40"/>
      <c r="N47" s="43">
        <f t="shared" ref="N47:N63" si="13">L47-H47</f>
        <v>3.0361622799999992</v>
      </c>
      <c r="O47" s="44">
        <f t="shared" si="10"/>
        <v>0.14406893564326997</v>
      </c>
      <c r="Q47" s="107"/>
      <c r="S47" s="107"/>
      <c r="U47" s="107"/>
      <c r="W47" s="107"/>
    </row>
    <row r="48" spans="2:23" x14ac:dyDescent="0.25">
      <c r="B48" s="27" t="s">
        <v>29</v>
      </c>
      <c r="C48" s="27"/>
      <c r="D48" s="62" t="s">
        <v>20</v>
      </c>
      <c r="E48" s="63"/>
      <c r="F48" s="28">
        <f>'Res (100)'!F48</f>
        <v>7.4000000000000003E-3</v>
      </c>
      <c r="G48" s="64">
        <f>F18*(1+F74)</f>
        <v>239.77200000000002</v>
      </c>
      <c r="H48" s="26">
        <f>G48*F48</f>
        <v>1.7743128000000001</v>
      </c>
      <c r="I48" s="27"/>
      <c r="J48" s="28">
        <f>'Res (100)'!J48</f>
        <v>7.4999999999999997E-3</v>
      </c>
      <c r="K48" s="65">
        <f>F18*(1+J74)</f>
        <v>239.77200000000002</v>
      </c>
      <c r="L48" s="26">
        <f>K48*J48</f>
        <v>1.7982900000000002</v>
      </c>
      <c r="M48" s="27"/>
      <c r="N48" s="30">
        <f t="shared" si="13"/>
        <v>2.3977200000000032E-2</v>
      </c>
      <c r="O48" s="31">
        <f t="shared" si="10"/>
        <v>1.351351351351353E-2</v>
      </c>
      <c r="Q48" s="107"/>
      <c r="S48" s="107"/>
      <c r="U48" s="107"/>
      <c r="W48" s="107"/>
    </row>
    <row r="49" spans="2:23" ht="26.4" x14ac:dyDescent="0.25">
      <c r="B49" s="66" t="s">
        <v>30</v>
      </c>
      <c r="C49" s="27"/>
      <c r="D49" s="62" t="s">
        <v>20</v>
      </c>
      <c r="E49" s="63"/>
      <c r="F49" s="28">
        <f>'Res (100)'!F49</f>
        <v>4.7000000000000002E-3</v>
      </c>
      <c r="G49" s="64">
        <f>G48</f>
        <v>239.77200000000002</v>
      </c>
      <c r="H49" s="26">
        <f>G49*F49</f>
        <v>1.1269284000000002</v>
      </c>
      <c r="I49" s="27"/>
      <c r="J49" s="28">
        <f>'Res (100)'!J49</f>
        <v>4.7999999999999996E-3</v>
      </c>
      <c r="K49" s="65">
        <f>K48</f>
        <v>239.77200000000002</v>
      </c>
      <c r="L49" s="26">
        <f>K49*J49</f>
        <v>1.1509056</v>
      </c>
      <c r="M49" s="27"/>
      <c r="N49" s="30">
        <f t="shared" si="13"/>
        <v>2.397719999999981E-2</v>
      </c>
      <c r="O49" s="31">
        <f t="shared" si="10"/>
        <v>2.1276595744680681E-2</v>
      </c>
      <c r="Q49" s="107"/>
      <c r="S49" s="107"/>
      <c r="U49" s="107"/>
      <c r="W49" s="107"/>
    </row>
    <row r="50" spans="2:23" ht="26.4" x14ac:dyDescent="0.25">
      <c r="B50" s="56" t="s">
        <v>31</v>
      </c>
      <c r="C50" s="35"/>
      <c r="D50" s="35"/>
      <c r="E50" s="35"/>
      <c r="F50" s="67"/>
      <c r="G50" s="59"/>
      <c r="H50" s="60">
        <f>SUM(H47:H49)</f>
        <v>23.975612760000004</v>
      </c>
      <c r="I50" s="68"/>
      <c r="J50" s="69"/>
      <c r="K50" s="70"/>
      <c r="L50" s="60">
        <f>SUM(L47:L49)</f>
        <v>27.059729440000005</v>
      </c>
      <c r="M50" s="68"/>
      <c r="N50" s="43">
        <f t="shared" si="13"/>
        <v>3.0841166800000011</v>
      </c>
      <c r="O50" s="44">
        <f t="shared" si="10"/>
        <v>0.12863557277440782</v>
      </c>
      <c r="Q50" s="102"/>
      <c r="S50" s="102"/>
      <c r="U50" s="102"/>
      <c r="W50" s="102"/>
    </row>
    <row r="51" spans="2:23" ht="26.4" x14ac:dyDescent="0.25">
      <c r="B51" s="71" t="s">
        <v>32</v>
      </c>
      <c r="C51" s="21"/>
      <c r="D51" s="22" t="s">
        <v>20</v>
      </c>
      <c r="E51" s="23"/>
      <c r="F51" s="72">
        <f>'Res (100)'!F51</f>
        <v>3.5999999999999999E-3</v>
      </c>
      <c r="G51" s="64">
        <f>G49</f>
        <v>239.77200000000002</v>
      </c>
      <c r="H51" s="73">
        <f>G51*F51</f>
        <v>0.86317920000000004</v>
      </c>
      <c r="I51" s="27"/>
      <c r="J51" s="72">
        <f>F51</f>
        <v>3.5999999999999999E-3</v>
      </c>
      <c r="K51" s="65">
        <f>K49</f>
        <v>239.77200000000002</v>
      </c>
      <c r="L51" s="73">
        <f t="shared" ref="L51:L57" si="14">K51*J51</f>
        <v>0.86317920000000004</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239.77200000000002</v>
      </c>
      <c r="H52" s="73">
        <f t="shared" ref="H52:H57" si="15">G52*F52</f>
        <v>7.1931599999999998E-2</v>
      </c>
      <c r="I52" s="27"/>
      <c r="J52" s="72">
        <f>F52</f>
        <v>2.9999999999999997E-4</v>
      </c>
      <c r="K52" s="65">
        <f>K49</f>
        <v>239.77200000000002</v>
      </c>
      <c r="L52" s="73">
        <f t="shared" si="14"/>
        <v>7.1931599999999998E-2</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239.77200000000002</v>
      </c>
      <c r="H54" s="73">
        <f>G54*F54</f>
        <v>0</v>
      </c>
      <c r="I54" s="27"/>
      <c r="J54" s="72">
        <f>'Res (100)'!J54</f>
        <v>0</v>
      </c>
      <c r="K54" s="65">
        <f>F18*(1+J74)</f>
        <v>239.77200000000002</v>
      </c>
      <c r="L54" s="73">
        <f>K54*J54</f>
        <v>0</v>
      </c>
      <c r="M54" s="27"/>
      <c r="N54" s="30"/>
      <c r="O54" s="74"/>
      <c r="Q54" s="107"/>
      <c r="S54" s="107"/>
      <c r="U54" s="107"/>
      <c r="W54" s="107"/>
    </row>
    <row r="55" spans="2:23" x14ac:dyDescent="0.25">
      <c r="B55" s="49" t="s">
        <v>36</v>
      </c>
      <c r="C55" s="21"/>
      <c r="D55" s="22"/>
      <c r="E55" s="23"/>
      <c r="F55" s="72">
        <f>'Res (100)'!F55</f>
        <v>6.5000000000000002E-2</v>
      </c>
      <c r="G55" s="77">
        <f>0.65*$F$18</f>
        <v>150.80000000000001</v>
      </c>
      <c r="H55" s="73">
        <f t="shared" si="15"/>
        <v>9.8020000000000014</v>
      </c>
      <c r="I55" s="27"/>
      <c r="J55" s="72">
        <f>F55</f>
        <v>6.5000000000000002E-2</v>
      </c>
      <c r="K55" s="77">
        <f>$G$55</f>
        <v>150.80000000000001</v>
      </c>
      <c r="L55" s="73">
        <f t="shared" si="14"/>
        <v>9.8020000000000014</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39.440000000000005</v>
      </c>
      <c r="H56" s="73">
        <f t="shared" si="15"/>
        <v>3.7468000000000004</v>
      </c>
      <c r="I56" s="27"/>
      <c r="J56" s="72">
        <f>F56</f>
        <v>9.5000000000000001E-2</v>
      </c>
      <c r="K56" s="77">
        <f>$G$56</f>
        <v>39.440000000000005</v>
      </c>
      <c r="L56" s="73">
        <f t="shared" si="14"/>
        <v>3.7468000000000004</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41.76</v>
      </c>
      <c r="H57" s="73">
        <f t="shared" si="15"/>
        <v>5.5123199999999999</v>
      </c>
      <c r="I57" s="27"/>
      <c r="J57" s="72">
        <f>F57</f>
        <v>0.13200000000000001</v>
      </c>
      <c r="K57" s="77">
        <f>$G$57</f>
        <v>41.76</v>
      </c>
      <c r="L57" s="73">
        <f t="shared" si="14"/>
        <v>5.5123199999999999</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232</v>
      </c>
      <c r="H58" s="73">
        <f>G58*F58</f>
        <v>17.864000000000001</v>
      </c>
      <c r="I58" s="83"/>
      <c r="J58" s="72">
        <f>F58</f>
        <v>7.6999999999999999E-2</v>
      </c>
      <c r="K58" s="82">
        <f>$G$58</f>
        <v>232</v>
      </c>
      <c r="L58" s="73">
        <f>K58*J58</f>
        <v>17.864000000000001</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0</v>
      </c>
      <c r="H59" s="73">
        <f>G59*F59</f>
        <v>0</v>
      </c>
      <c r="I59" s="83"/>
      <c r="J59" s="72">
        <f>F59</f>
        <v>0.09</v>
      </c>
      <c r="K59" s="82">
        <f>$G$59</f>
        <v>0</v>
      </c>
      <c r="L59" s="73">
        <f>K59*J59</f>
        <v>0</v>
      </c>
      <c r="M59" s="83"/>
      <c r="N59" s="84">
        <f t="shared" si="13"/>
        <v>0</v>
      </c>
      <c r="O59" s="74" t="str">
        <f t="shared" si="10"/>
        <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44.221843560000011</v>
      </c>
      <c r="I61" s="100"/>
      <c r="J61" s="101"/>
      <c r="K61" s="101"/>
      <c r="L61" s="254">
        <f>SUM(L51:L57,L50)</f>
        <v>47.305960240000005</v>
      </c>
      <c r="M61" s="102"/>
      <c r="N61" s="103">
        <f t="shared" ref="N61" si="16">L61-H61</f>
        <v>3.0841166799999939</v>
      </c>
      <c r="O61" s="104">
        <f t="shared" ref="O61" si="17">IF((H61)=0,"",(N61/H61))</f>
        <v>6.9741929139961731E-2</v>
      </c>
      <c r="Q61" s="102"/>
      <c r="S61" s="102"/>
      <c r="U61" s="102"/>
      <c r="W61" s="102"/>
    </row>
    <row r="62" spans="2:23" x14ac:dyDescent="0.25">
      <c r="B62" s="105" t="s">
        <v>42</v>
      </c>
      <c r="C62" s="21"/>
      <c r="D62" s="21"/>
      <c r="E62" s="21"/>
      <c r="F62" s="106">
        <v>0.13</v>
      </c>
      <c r="G62" s="107"/>
      <c r="H62" s="108">
        <f>H61*F62</f>
        <v>5.7488396628000018</v>
      </c>
      <c r="I62" s="109"/>
      <c r="J62" s="110">
        <v>0.13</v>
      </c>
      <c r="K62" s="109"/>
      <c r="L62" s="111">
        <f>L61*J62</f>
        <v>6.1497748312000011</v>
      </c>
      <c r="M62" s="112"/>
      <c r="N62" s="113">
        <f t="shared" si="13"/>
        <v>0.40093516839999932</v>
      </c>
      <c r="O62" s="114">
        <f t="shared" si="10"/>
        <v>6.9741929139961745E-2</v>
      </c>
      <c r="Q62" s="112"/>
      <c r="S62" s="112"/>
      <c r="U62" s="112"/>
      <c r="W62" s="112"/>
    </row>
    <row r="63" spans="2:23" x14ac:dyDescent="0.25">
      <c r="B63" s="250" t="s">
        <v>43</v>
      </c>
      <c r="C63" s="21"/>
      <c r="D63" s="21"/>
      <c r="E63" s="21"/>
      <c r="F63" s="106"/>
      <c r="G63" s="107"/>
      <c r="H63" s="99">
        <f>H61+H62</f>
        <v>49.970683222800012</v>
      </c>
      <c r="I63" s="252"/>
      <c r="J63" s="109"/>
      <c r="K63" s="109"/>
      <c r="L63" s="103">
        <f>L61+L62</f>
        <v>53.455735071200003</v>
      </c>
      <c r="M63" s="112"/>
      <c r="N63" s="103">
        <f t="shared" si="13"/>
        <v>3.4850518483999906</v>
      </c>
      <c r="O63" s="104">
        <f>IF((H63)=0,"",(N63/H63))</f>
        <v>6.9741929139961689E-2</v>
      </c>
      <c r="Q63" s="112"/>
      <c r="S63" s="112"/>
      <c r="U63" s="112"/>
      <c r="W63" s="112"/>
    </row>
    <row r="64" spans="2:23" x14ac:dyDescent="0.25">
      <c r="B64" s="249" t="s">
        <v>137</v>
      </c>
      <c r="C64" s="21"/>
      <c r="D64" s="21"/>
      <c r="E64" s="21"/>
      <c r="F64" s="106">
        <v>-0.08</v>
      </c>
      <c r="G64" s="107"/>
      <c r="H64" s="257">
        <f>F64*H61</f>
        <v>-3.537747484800001</v>
      </c>
      <c r="I64" s="112"/>
      <c r="J64" s="106">
        <v>-0.08</v>
      </c>
      <c r="K64" s="248"/>
      <c r="L64" s="257">
        <f>J64*L61</f>
        <v>-3.7844768192000005</v>
      </c>
      <c r="M64" s="112"/>
      <c r="N64" s="257">
        <f t="shared" ref="N64:N65" si="18">L64-H64</f>
        <v>-0.24672933439999944</v>
      </c>
      <c r="O64" s="114">
        <f>IF((H64)=0,"",(N64/H64))</f>
        <v>6.9741929139961717E-2</v>
      </c>
      <c r="Q64" s="112"/>
      <c r="S64" s="112"/>
      <c r="U64" s="112"/>
      <c r="W64" s="112"/>
    </row>
    <row r="65" spans="2:23" ht="13.8" thickBot="1" x14ac:dyDescent="0.3">
      <c r="B65" s="294" t="s">
        <v>138</v>
      </c>
      <c r="C65" s="294"/>
      <c r="D65" s="294"/>
      <c r="E65" s="21"/>
      <c r="F65" s="256"/>
      <c r="G65" s="107"/>
      <c r="H65" s="251">
        <f>SUM(H63:H64)</f>
        <v>46.432935738000012</v>
      </c>
      <c r="I65" s="112"/>
      <c r="J65" s="253"/>
      <c r="K65" s="248"/>
      <c r="L65" s="251">
        <f>SUM(L63:L64)</f>
        <v>49.671258252000001</v>
      </c>
      <c r="M65" s="112"/>
      <c r="N65" s="103">
        <f t="shared" si="18"/>
        <v>3.2383225139999894</v>
      </c>
      <c r="O65" s="104">
        <f>IF((H65)=0,"",(N65/H65))</f>
        <v>6.9741929139961648E-2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43.024723560000005</v>
      </c>
      <c r="I67" s="128"/>
      <c r="J67" s="129"/>
      <c r="K67" s="129"/>
      <c r="L67" s="127">
        <f>SUM(L58:L59,L50,L51:L54)</f>
        <v>46.108840239999999</v>
      </c>
      <c r="M67" s="130"/>
      <c r="N67" s="131">
        <f t="shared" ref="N67:N69" si="19">L67-H67</f>
        <v>3.0841166799999939</v>
      </c>
      <c r="O67" s="104">
        <f t="shared" ref="O67:O69" si="20">IF((H67)=0,"",(N67/H67))</f>
        <v>7.1682428724941086E-2</v>
      </c>
      <c r="Q67" s="130"/>
      <c r="R67" s="204"/>
      <c r="S67" s="130"/>
      <c r="T67" s="204"/>
      <c r="U67" s="130"/>
      <c r="V67" s="204"/>
      <c r="W67" s="130"/>
    </row>
    <row r="68" spans="2:23" s="85" customFormat="1" x14ac:dyDescent="0.25">
      <c r="B68" s="132" t="s">
        <v>42</v>
      </c>
      <c r="C68" s="79"/>
      <c r="D68" s="79"/>
      <c r="E68" s="79"/>
      <c r="F68" s="133">
        <v>0.13</v>
      </c>
      <c r="G68" s="126"/>
      <c r="H68" s="134">
        <f>H67*F68</f>
        <v>5.5932140628000004</v>
      </c>
      <c r="I68" s="135"/>
      <c r="J68" s="136">
        <v>0.13</v>
      </c>
      <c r="K68" s="137"/>
      <c r="L68" s="138">
        <f>L67*J68</f>
        <v>5.9941492311999998</v>
      </c>
      <c r="M68" s="139"/>
      <c r="N68" s="140">
        <f t="shared" si="19"/>
        <v>0.40093516839999932</v>
      </c>
      <c r="O68" s="114">
        <f t="shared" si="20"/>
        <v>7.1682428724941114E-2</v>
      </c>
      <c r="Q68" s="139"/>
      <c r="R68" s="204"/>
      <c r="S68" s="139"/>
      <c r="T68" s="204"/>
      <c r="U68" s="139"/>
      <c r="V68" s="204"/>
      <c r="W68" s="139"/>
    </row>
    <row r="69" spans="2:23" s="85" customFormat="1" x14ac:dyDescent="0.25">
      <c r="B69" s="258" t="s">
        <v>43</v>
      </c>
      <c r="C69" s="79"/>
      <c r="D69" s="79"/>
      <c r="E69" s="79"/>
      <c r="F69" s="142"/>
      <c r="G69" s="143"/>
      <c r="H69" s="127">
        <f>H67+H68</f>
        <v>48.617937622800007</v>
      </c>
      <c r="I69" s="135"/>
      <c r="J69" s="135"/>
      <c r="K69" s="135"/>
      <c r="L69" s="211">
        <f>L67+L68</f>
        <v>52.102989471199997</v>
      </c>
      <c r="M69" s="139"/>
      <c r="N69" s="131">
        <f t="shared" si="19"/>
        <v>3.4850518483999906</v>
      </c>
      <c r="O69" s="104">
        <f t="shared" si="20"/>
        <v>7.168242872494103E-2</v>
      </c>
      <c r="Q69" s="139"/>
      <c r="R69" s="204"/>
      <c r="S69" s="139"/>
      <c r="T69" s="204"/>
      <c r="U69" s="139"/>
      <c r="V69" s="204"/>
      <c r="W69" s="139"/>
    </row>
    <row r="70" spans="2:23" s="85" customFormat="1" x14ac:dyDescent="0.25">
      <c r="B70" s="249" t="s">
        <v>137</v>
      </c>
      <c r="C70" s="21"/>
      <c r="D70" s="21"/>
      <c r="E70" s="79"/>
      <c r="F70" s="106">
        <v>-0.08</v>
      </c>
      <c r="G70" s="143"/>
      <c r="H70" s="257">
        <f>F70*H67</f>
        <v>-3.4419778848000004</v>
      </c>
      <c r="I70" s="135"/>
      <c r="J70" s="106">
        <v>-0.08</v>
      </c>
      <c r="K70" s="135"/>
      <c r="L70" s="257">
        <f>J70*L67</f>
        <v>-3.6887072191999999</v>
      </c>
      <c r="M70" s="139"/>
      <c r="N70" s="131">
        <f t="shared" ref="N70:N71" si="21">L70-H70</f>
        <v>-0.24672933439999944</v>
      </c>
      <c r="O70" s="104">
        <f t="shared" ref="O70:O71" si="22">IF((H70)=0,"",(N70/H70))</f>
        <v>7.1682428724941072E-2</v>
      </c>
      <c r="Q70" s="139"/>
      <c r="R70" s="204"/>
      <c r="S70" s="139"/>
      <c r="T70" s="204"/>
      <c r="U70" s="139"/>
      <c r="V70" s="204"/>
      <c r="W70" s="139"/>
    </row>
    <row r="71" spans="2:23" s="85" customFormat="1" ht="13.8" thickBot="1" x14ac:dyDescent="0.3">
      <c r="B71" s="294" t="s">
        <v>138</v>
      </c>
      <c r="C71" s="294"/>
      <c r="D71" s="294"/>
      <c r="E71" s="79"/>
      <c r="F71" s="142"/>
      <c r="G71" s="143"/>
      <c r="H71" s="251">
        <f>SUM(H69:H70)</f>
        <v>45.175959738000003</v>
      </c>
      <c r="I71" s="135"/>
      <c r="J71" s="135"/>
      <c r="K71" s="135"/>
      <c r="L71" s="251">
        <f>SUM(L69:L70)</f>
        <v>48.414282252</v>
      </c>
      <c r="M71" s="139"/>
      <c r="N71" s="131">
        <f t="shared" si="21"/>
        <v>3.2383225139999965</v>
      </c>
      <c r="O71" s="104">
        <f t="shared" si="22"/>
        <v>7.1682428724941155E-2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44.75864356000001</v>
      </c>
      <c r="I77" s="100"/>
      <c r="J77" s="101"/>
      <c r="K77" s="101"/>
      <c r="L77" s="99">
        <f>+L61-L31-L40-L41-L42</f>
        <v>47.584360240000002</v>
      </c>
      <c r="M77" s="102"/>
      <c r="N77" s="103">
        <f t="shared" ref="N77:N79" si="23">L77-H77</f>
        <v>2.8257166799999922</v>
      </c>
      <c r="O77" s="104">
        <f t="shared" ref="O77:O78" si="24">IF((H77)=0,"",(N77/H77))</f>
        <v>6.3132312671898838E-2</v>
      </c>
      <c r="Q77" s="102"/>
      <c r="S77" s="102"/>
      <c r="U77" s="102"/>
      <c r="W77" s="102"/>
    </row>
    <row r="78" spans="2:23" x14ac:dyDescent="0.25">
      <c r="B78" s="105" t="s">
        <v>42</v>
      </c>
      <c r="C78" s="21"/>
      <c r="D78" s="21"/>
      <c r="E78" s="21"/>
      <c r="F78" s="106">
        <v>0.13</v>
      </c>
      <c r="G78" s="107"/>
      <c r="H78" s="108">
        <f>H77*F78</f>
        <v>5.8186236628000012</v>
      </c>
      <c r="I78" s="109"/>
      <c r="J78" s="110">
        <v>0.13</v>
      </c>
      <c r="K78" s="109"/>
      <c r="L78" s="111">
        <f>L77*J78</f>
        <v>6.1859668312000009</v>
      </c>
      <c r="M78" s="112"/>
      <c r="N78" s="113">
        <f t="shared" si="23"/>
        <v>0.3673431683999997</v>
      </c>
      <c r="O78" s="114">
        <f t="shared" si="24"/>
        <v>6.3132312671898963E-2</v>
      </c>
      <c r="Q78" s="112"/>
      <c r="S78" s="112"/>
      <c r="U78" s="112"/>
      <c r="W78" s="112"/>
    </row>
    <row r="79" spans="2:23" x14ac:dyDescent="0.25">
      <c r="B79" s="209" t="s">
        <v>43</v>
      </c>
      <c r="C79" s="210"/>
      <c r="D79" s="210"/>
      <c r="E79" s="210"/>
      <c r="F79" s="205"/>
      <c r="G79" s="206"/>
      <c r="H79" s="216">
        <f>H77+H78</f>
        <v>50.57726722280001</v>
      </c>
      <c r="I79" s="207"/>
      <c r="J79" s="207"/>
      <c r="K79" s="207"/>
      <c r="L79" s="215">
        <f>L77+L78</f>
        <v>53.770327071200001</v>
      </c>
      <c r="M79" s="208"/>
      <c r="N79" s="214">
        <f t="shared" si="23"/>
        <v>3.1930598483999901</v>
      </c>
      <c r="O79" s="213">
        <f>IF((H79)=0,"",(N79/H79))</f>
        <v>6.3132312671898824E-2</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E48:E49 E72 E66 E23:E38 E40:E46 E51:E60">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47106"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250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250</v>
      </c>
      <c r="H29" s="26">
        <f t="shared" si="0"/>
        <v>3.7750000000000004</v>
      </c>
      <c r="I29" s="27"/>
      <c r="J29" s="28">
        <f>+'Res (100)'!J29</f>
        <v>1.0500000000000001E-2</v>
      </c>
      <c r="K29" s="25">
        <f>$F$18</f>
        <v>250</v>
      </c>
      <c r="L29" s="26">
        <f t="shared" si="1"/>
        <v>2.625</v>
      </c>
      <c r="M29" s="27"/>
      <c r="N29" s="30">
        <f t="shared" si="2"/>
        <v>-1.1500000000000004</v>
      </c>
      <c r="O29" s="31">
        <f t="shared" si="3"/>
        <v>-0.30463576158940403</v>
      </c>
      <c r="Q29" s="107"/>
      <c r="S29" s="107"/>
      <c r="U29" s="107"/>
      <c r="W29" s="107"/>
    </row>
    <row r="30" spans="2:23" x14ac:dyDescent="0.25">
      <c r="B30" s="21" t="s">
        <v>21</v>
      </c>
      <c r="C30" s="21"/>
      <c r="D30" s="22"/>
      <c r="E30" s="23"/>
      <c r="F30" s="24"/>
      <c r="G30" s="25">
        <f t="shared" ref="G30" si="4">$F$18</f>
        <v>250</v>
      </c>
      <c r="H30" s="26">
        <f t="shared" si="0"/>
        <v>0</v>
      </c>
      <c r="I30" s="27"/>
      <c r="J30" s="28"/>
      <c r="K30" s="25">
        <f t="shared" ref="K30:K38" si="5">$F$18</f>
        <v>250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250</v>
      </c>
      <c r="H31" s="26">
        <f>G31*F31</f>
        <v>0</v>
      </c>
      <c r="I31" s="27"/>
      <c r="J31" s="52">
        <f>+'Res (100)'!J31</f>
        <v>0</v>
      </c>
      <c r="K31" s="25">
        <f t="shared" si="5"/>
        <v>250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250</v>
      </c>
      <c r="H32" s="26">
        <f t="shared" si="0"/>
        <v>0</v>
      </c>
      <c r="I32" s="27"/>
      <c r="J32" s="28"/>
      <c r="K32" s="25">
        <f t="shared" si="5"/>
        <v>250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250</v>
      </c>
      <c r="H33" s="26">
        <f t="shared" si="0"/>
        <v>0</v>
      </c>
      <c r="I33" s="27"/>
      <c r="J33" s="28"/>
      <c r="K33" s="25">
        <f t="shared" si="5"/>
        <v>250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250</v>
      </c>
      <c r="H34" s="26">
        <f t="shared" si="0"/>
        <v>0</v>
      </c>
      <c r="I34" s="27"/>
      <c r="J34" s="28"/>
      <c r="K34" s="25">
        <f t="shared" si="5"/>
        <v>250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250</v>
      </c>
      <c r="H35" s="26">
        <f t="shared" si="0"/>
        <v>0</v>
      </c>
      <c r="I35" s="27"/>
      <c r="J35" s="28"/>
      <c r="K35" s="25">
        <f t="shared" si="5"/>
        <v>250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250</v>
      </c>
      <c r="H36" s="26">
        <f t="shared" si="0"/>
        <v>0</v>
      </c>
      <c r="I36" s="27"/>
      <c r="J36" s="28"/>
      <c r="K36" s="25">
        <f t="shared" si="5"/>
        <v>250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250</v>
      </c>
      <c r="H37" s="26">
        <f t="shared" si="0"/>
        <v>0</v>
      </c>
      <c r="I37" s="27"/>
      <c r="J37" s="28"/>
      <c r="K37" s="25">
        <f t="shared" si="5"/>
        <v>250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250</v>
      </c>
      <c r="H38" s="26">
        <f t="shared" si="0"/>
        <v>0</v>
      </c>
      <c r="I38" s="27"/>
      <c r="J38" s="28"/>
      <c r="K38" s="25">
        <f t="shared" si="5"/>
        <v>250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20.375</v>
      </c>
      <c r="I39" s="40"/>
      <c r="J39" s="41"/>
      <c r="K39" s="42"/>
      <c r="L39" s="39">
        <f>SUM(L23:L38)</f>
        <v>23.135000000000002</v>
      </c>
      <c r="M39" s="40"/>
      <c r="N39" s="43">
        <f t="shared" si="2"/>
        <v>2.7600000000000016</v>
      </c>
      <c r="O39" s="44">
        <f t="shared" si="3"/>
        <v>0.13546012269938659</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250</v>
      </c>
      <c r="H40" s="26">
        <f>G40*F40</f>
        <v>-2.5000000000000001E-2</v>
      </c>
      <c r="I40" s="27"/>
      <c r="J40" s="28">
        <f>+'Res (100)'!J40</f>
        <v>-4.0000000000000002E-4</v>
      </c>
      <c r="K40" s="25">
        <f>$F$18</f>
        <v>250</v>
      </c>
      <c r="L40" s="26">
        <f>K40*J40</f>
        <v>-0.1</v>
      </c>
      <c r="M40" s="27"/>
      <c r="N40" s="30">
        <f>L40-H40</f>
        <v>-7.5000000000000011E-2</v>
      </c>
      <c r="O40" s="31">
        <f>IF((H40)=0,"",(N40/H40))</f>
        <v>3.0000000000000004</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250</v>
      </c>
      <c r="H42" s="26">
        <f t="shared" si="7"/>
        <v>-0.57499999999999996</v>
      </c>
      <c r="I42" s="47"/>
      <c r="J42" s="28">
        <f>+'Res (100)'!J42</f>
        <v>-8.0000000000000004E-4</v>
      </c>
      <c r="K42" s="25">
        <f t="shared" ref="K42:K43" si="12">$F$18</f>
        <v>250</v>
      </c>
      <c r="L42" s="26">
        <f t="shared" si="8"/>
        <v>-0.2</v>
      </c>
      <c r="M42" s="48"/>
      <c r="N42" s="30">
        <f t="shared" si="9"/>
        <v>0.37499999999999994</v>
      </c>
      <c r="O42" s="31">
        <f t="shared" si="10"/>
        <v>-0.65217391304347816</v>
      </c>
      <c r="Q42" s="107"/>
      <c r="S42" s="107"/>
      <c r="U42" s="107"/>
      <c r="W42" s="107"/>
    </row>
    <row r="43" spans="2:23" ht="39.6" x14ac:dyDescent="0.25">
      <c r="B43" s="46" t="s">
        <v>125</v>
      </c>
      <c r="C43" s="21"/>
      <c r="D43" s="22" t="s">
        <v>20</v>
      </c>
      <c r="E43" s="23"/>
      <c r="F43" s="24">
        <f>'Res (100)'!F43</f>
        <v>2.7E-4</v>
      </c>
      <c r="G43" s="25">
        <f t="shared" si="11"/>
        <v>250</v>
      </c>
      <c r="H43" s="26">
        <f t="shared" si="7"/>
        <v>6.7500000000000004E-2</v>
      </c>
      <c r="I43" s="47"/>
      <c r="J43" s="223">
        <f>+'Res (100)'!J43</f>
        <v>0</v>
      </c>
      <c r="K43" s="25">
        <f t="shared" si="12"/>
        <v>250</v>
      </c>
      <c r="L43" s="26">
        <f t="shared" si="8"/>
        <v>0</v>
      </c>
      <c r="M43" s="48"/>
      <c r="N43" s="30">
        <f t="shared" si="9"/>
        <v>-6.7500000000000004E-2</v>
      </c>
      <c r="O43" s="31">
        <f t="shared" si="10"/>
        <v>-1</v>
      </c>
      <c r="Q43" s="107"/>
      <c r="S43" s="107"/>
      <c r="U43" s="107"/>
      <c r="W43" s="107"/>
    </row>
    <row r="44" spans="2:23" x14ac:dyDescent="0.25">
      <c r="B44" s="49" t="s">
        <v>25</v>
      </c>
      <c r="C44" s="21"/>
      <c r="D44" s="22" t="s">
        <v>20</v>
      </c>
      <c r="E44" s="23"/>
      <c r="F44" s="50">
        <f>'Res (100)'!F44</f>
        <v>6.9999999999999994E-5</v>
      </c>
      <c r="G44" s="51">
        <f>$F$18*(1+F74)</f>
        <v>258.375</v>
      </c>
      <c r="H44" s="26">
        <f>G44*F44</f>
        <v>1.8086249999999998E-2</v>
      </c>
      <c r="I44" s="27"/>
      <c r="J44" s="52">
        <f>'Proposed Rates'!E126</f>
        <v>6.0000000000000002E-5</v>
      </c>
      <c r="K44" s="51">
        <f>$F$18*(1+J74)</f>
        <v>258.375</v>
      </c>
      <c r="L44" s="26">
        <f>K44*J44</f>
        <v>1.5502500000000001E-2</v>
      </c>
      <c r="M44" s="27"/>
      <c r="N44" s="30">
        <f>L44-H44</f>
        <v>-2.5837499999999975E-3</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8.375</v>
      </c>
      <c r="H45" s="26">
        <f>G45*F45</f>
        <v>0.68809000000000009</v>
      </c>
      <c r="I45" s="27"/>
      <c r="J45" s="55">
        <f>0.65*$J$55+0.17*$J$56+0.18*$J$57</f>
        <v>8.2160000000000011E-2</v>
      </c>
      <c r="K45" s="54">
        <f>$F$18*(1+$J$74)-$F$18</f>
        <v>8.375</v>
      </c>
      <c r="L45" s="26">
        <f t="shared" si="8"/>
        <v>0.68809000000000009</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21.358676249999998</v>
      </c>
      <c r="I47" s="40"/>
      <c r="J47" s="59"/>
      <c r="K47" s="61"/>
      <c r="L47" s="60">
        <f>SUM(L40:L46)+L39</f>
        <v>24.328592500000003</v>
      </c>
      <c r="M47" s="40"/>
      <c r="N47" s="43">
        <f t="shared" ref="N47:N65" si="13">L47-H47</f>
        <v>2.9699162500000043</v>
      </c>
      <c r="O47" s="44">
        <f t="shared" si="10"/>
        <v>0.13904964030717984</v>
      </c>
      <c r="Q47" s="107"/>
      <c r="S47" s="107"/>
      <c r="U47" s="107"/>
      <c r="W47" s="107"/>
    </row>
    <row r="48" spans="2:23" x14ac:dyDescent="0.25">
      <c r="B48" s="27" t="s">
        <v>29</v>
      </c>
      <c r="C48" s="27"/>
      <c r="D48" s="62" t="s">
        <v>20</v>
      </c>
      <c r="E48" s="63"/>
      <c r="F48" s="28">
        <f>'Res (100)'!F48</f>
        <v>7.4000000000000003E-3</v>
      </c>
      <c r="G48" s="64">
        <f>F18*(1+F74)</f>
        <v>258.375</v>
      </c>
      <c r="H48" s="26">
        <f>G48*F48</f>
        <v>1.911975</v>
      </c>
      <c r="I48" s="27"/>
      <c r="J48" s="28">
        <f>'Res (100)'!J48</f>
        <v>7.4999999999999997E-3</v>
      </c>
      <c r="K48" s="65">
        <f>F18*(1+J74)</f>
        <v>258.375</v>
      </c>
      <c r="L48" s="26">
        <f>K48*J48</f>
        <v>1.9378124999999999</v>
      </c>
      <c r="M48" s="27"/>
      <c r="N48" s="30">
        <f t="shared" si="13"/>
        <v>2.5837499999999958E-2</v>
      </c>
      <c r="O48" s="31">
        <f t="shared" si="10"/>
        <v>1.3513513513513492E-2</v>
      </c>
      <c r="Q48" s="107"/>
      <c r="S48" s="107"/>
      <c r="U48" s="107"/>
      <c r="W48" s="107"/>
    </row>
    <row r="49" spans="2:23" ht="26.4" x14ac:dyDescent="0.25">
      <c r="B49" s="66" t="s">
        <v>30</v>
      </c>
      <c r="C49" s="27"/>
      <c r="D49" s="62" t="s">
        <v>20</v>
      </c>
      <c r="E49" s="63"/>
      <c r="F49" s="28">
        <f>'Res (100)'!F49</f>
        <v>4.7000000000000002E-3</v>
      </c>
      <c r="G49" s="64">
        <f>G48</f>
        <v>258.375</v>
      </c>
      <c r="H49" s="26">
        <f>G49*F49</f>
        <v>1.2143625</v>
      </c>
      <c r="I49" s="27"/>
      <c r="J49" s="28">
        <f>'Res (100)'!J49</f>
        <v>4.7999999999999996E-3</v>
      </c>
      <c r="K49" s="65">
        <f>K48</f>
        <v>258.375</v>
      </c>
      <c r="L49" s="26">
        <f>K49*J49</f>
        <v>1.2402</v>
      </c>
      <c r="M49" s="27"/>
      <c r="N49" s="30">
        <f t="shared" si="13"/>
        <v>2.5837499999999958E-2</v>
      </c>
      <c r="O49" s="31">
        <f t="shared" si="10"/>
        <v>2.1276595744680816E-2</v>
      </c>
      <c r="Q49" s="107"/>
      <c r="S49" s="107"/>
      <c r="U49" s="107"/>
      <c r="W49" s="107"/>
    </row>
    <row r="50" spans="2:23" ht="26.4" x14ac:dyDescent="0.25">
      <c r="B50" s="56" t="s">
        <v>31</v>
      </c>
      <c r="C50" s="35"/>
      <c r="D50" s="35"/>
      <c r="E50" s="35"/>
      <c r="F50" s="67"/>
      <c r="G50" s="59"/>
      <c r="H50" s="60">
        <f>SUM(H47:H49)</f>
        <v>24.48501375</v>
      </c>
      <c r="I50" s="68"/>
      <c r="J50" s="69"/>
      <c r="K50" s="70"/>
      <c r="L50" s="60">
        <f>SUM(L47:L49)</f>
        <v>27.506605000000004</v>
      </c>
      <c r="M50" s="68"/>
      <c r="N50" s="43">
        <f t="shared" si="13"/>
        <v>3.0215912500000037</v>
      </c>
      <c r="O50" s="44">
        <f t="shared" si="10"/>
        <v>0.12340574037864299</v>
      </c>
      <c r="Q50" s="102"/>
      <c r="S50" s="102"/>
      <c r="U50" s="102"/>
      <c r="W50" s="102"/>
    </row>
    <row r="51" spans="2:23" ht="26.4" x14ac:dyDescent="0.25">
      <c r="B51" s="71" t="s">
        <v>32</v>
      </c>
      <c r="C51" s="21"/>
      <c r="D51" s="22" t="s">
        <v>20</v>
      </c>
      <c r="E51" s="23"/>
      <c r="F51" s="72">
        <f>'Res (100)'!F51</f>
        <v>3.5999999999999999E-3</v>
      </c>
      <c r="G51" s="64">
        <f>G49</f>
        <v>258.375</v>
      </c>
      <c r="H51" s="73">
        <f>G51*F51</f>
        <v>0.93014999999999992</v>
      </c>
      <c r="I51" s="27"/>
      <c r="J51" s="72">
        <f>F51</f>
        <v>3.5999999999999999E-3</v>
      </c>
      <c r="K51" s="65">
        <f>K49</f>
        <v>258.375</v>
      </c>
      <c r="L51" s="73">
        <f t="shared" ref="L51:L57" si="14">K51*J51</f>
        <v>0.93014999999999992</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258.375</v>
      </c>
      <c r="H52" s="73">
        <f t="shared" ref="H52:H57" si="15">G52*F52</f>
        <v>7.7512499999999998E-2</v>
      </c>
      <c r="I52" s="27"/>
      <c r="J52" s="72">
        <f>F52</f>
        <v>2.9999999999999997E-4</v>
      </c>
      <c r="K52" s="65">
        <f>K49</f>
        <v>258.375</v>
      </c>
      <c r="L52" s="73">
        <f t="shared" si="14"/>
        <v>7.7512499999999998E-2</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258.375</v>
      </c>
      <c r="H54" s="73">
        <f>G54*F54</f>
        <v>0</v>
      </c>
      <c r="I54" s="27"/>
      <c r="J54" s="72">
        <f>'Res (100)'!J54</f>
        <v>0</v>
      </c>
      <c r="K54" s="65">
        <f>F18*(1+J74)</f>
        <v>258.375</v>
      </c>
      <c r="L54" s="73">
        <f>K54*J54</f>
        <v>0</v>
      </c>
      <c r="M54" s="27"/>
      <c r="N54" s="30"/>
      <c r="O54" s="74"/>
      <c r="Q54" s="107"/>
      <c r="S54" s="107"/>
      <c r="U54" s="107"/>
      <c r="W54" s="107"/>
    </row>
    <row r="55" spans="2:23" x14ac:dyDescent="0.25">
      <c r="B55" s="49" t="s">
        <v>36</v>
      </c>
      <c r="C55" s="21"/>
      <c r="D55" s="22"/>
      <c r="E55" s="23"/>
      <c r="F55" s="72">
        <f>'Res (100)'!F55</f>
        <v>6.5000000000000002E-2</v>
      </c>
      <c r="G55" s="77">
        <f>0.65*$F$18</f>
        <v>162.5</v>
      </c>
      <c r="H55" s="73">
        <f t="shared" si="15"/>
        <v>10.5625</v>
      </c>
      <c r="I55" s="27"/>
      <c r="J55" s="72">
        <f>F55</f>
        <v>6.5000000000000002E-2</v>
      </c>
      <c r="K55" s="77">
        <f>$G$55</f>
        <v>162.5</v>
      </c>
      <c r="L55" s="73">
        <f t="shared" si="14"/>
        <v>10.5625</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42.5</v>
      </c>
      <c r="H56" s="73">
        <f t="shared" si="15"/>
        <v>4.0374999999999996</v>
      </c>
      <c r="I56" s="27"/>
      <c r="J56" s="72">
        <f>F56</f>
        <v>9.5000000000000001E-2</v>
      </c>
      <c r="K56" s="77">
        <f>$G$56</f>
        <v>42.5</v>
      </c>
      <c r="L56" s="73">
        <f t="shared" si="14"/>
        <v>4.0374999999999996</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45</v>
      </c>
      <c r="H57" s="73">
        <f t="shared" si="15"/>
        <v>5.94</v>
      </c>
      <c r="I57" s="27"/>
      <c r="J57" s="72">
        <f>F57</f>
        <v>0.13200000000000001</v>
      </c>
      <c r="K57" s="77">
        <f>$G$57</f>
        <v>45</v>
      </c>
      <c r="L57" s="73">
        <f t="shared" si="14"/>
        <v>5.94</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250</v>
      </c>
      <c r="H58" s="73">
        <f>G58*F58</f>
        <v>19.25</v>
      </c>
      <c r="I58" s="83"/>
      <c r="J58" s="72">
        <f>F58</f>
        <v>7.6999999999999999E-2</v>
      </c>
      <c r="K58" s="82">
        <f>$G$58</f>
        <v>250</v>
      </c>
      <c r="L58" s="73">
        <f>K58*J58</f>
        <v>19.25</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0</v>
      </c>
      <c r="H59" s="73">
        <f>G59*F59</f>
        <v>0</v>
      </c>
      <c r="I59" s="83"/>
      <c r="J59" s="72">
        <f>F59</f>
        <v>0.09</v>
      </c>
      <c r="K59" s="82">
        <f>$G$59</f>
        <v>0</v>
      </c>
      <c r="L59" s="73">
        <f>K59*J59</f>
        <v>0</v>
      </c>
      <c r="M59" s="83"/>
      <c r="N59" s="84">
        <f t="shared" si="13"/>
        <v>0</v>
      </c>
      <c r="O59" s="74" t="str">
        <f t="shared" si="10"/>
        <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46.282676250000002</v>
      </c>
      <c r="I61" s="100"/>
      <c r="J61" s="101"/>
      <c r="K61" s="101"/>
      <c r="L61" s="254">
        <f>SUM(L51:L57,L50)</f>
        <v>49.304267500000009</v>
      </c>
      <c r="M61" s="102"/>
      <c r="N61" s="103">
        <f t="shared" ref="N61" si="16">L61-H61</f>
        <v>3.0215912500000073</v>
      </c>
      <c r="O61" s="104">
        <f t="shared" ref="O61" si="17">IF((H61)=0,"",(N61/H61))</f>
        <v>6.5285577559919247E-2</v>
      </c>
      <c r="Q61" s="102"/>
      <c r="S61" s="102"/>
      <c r="U61" s="102"/>
      <c r="W61" s="102"/>
    </row>
    <row r="62" spans="2:23" x14ac:dyDescent="0.25">
      <c r="B62" s="105" t="s">
        <v>42</v>
      </c>
      <c r="C62" s="21"/>
      <c r="D62" s="21"/>
      <c r="E62" s="21"/>
      <c r="F62" s="106">
        <v>0.13</v>
      </c>
      <c r="G62" s="107"/>
      <c r="H62" s="108">
        <f>H61*F62</f>
        <v>6.0167479125000005</v>
      </c>
      <c r="I62" s="109"/>
      <c r="J62" s="110">
        <v>0.13</v>
      </c>
      <c r="K62" s="109"/>
      <c r="L62" s="111">
        <f>L61*J62</f>
        <v>6.409554775000001</v>
      </c>
      <c r="M62" s="112"/>
      <c r="N62" s="113">
        <f t="shared" si="13"/>
        <v>0.39280686250000052</v>
      </c>
      <c r="O62" s="114">
        <f t="shared" si="10"/>
        <v>6.5285577559919164E-2</v>
      </c>
      <c r="Q62" s="112"/>
      <c r="S62" s="112"/>
      <c r="U62" s="112"/>
      <c r="W62" s="112"/>
    </row>
    <row r="63" spans="2:23" x14ac:dyDescent="0.25">
      <c r="B63" s="250" t="s">
        <v>43</v>
      </c>
      <c r="C63" s="21"/>
      <c r="D63" s="21"/>
      <c r="E63" s="21"/>
      <c r="F63" s="106"/>
      <c r="G63" s="107"/>
      <c r="H63" s="99">
        <f>H61+H62</f>
        <v>52.299424162500003</v>
      </c>
      <c r="I63" s="252"/>
      <c r="J63" s="109"/>
      <c r="K63" s="109"/>
      <c r="L63" s="103">
        <f>L61+L62</f>
        <v>55.713822275000012</v>
      </c>
      <c r="M63" s="112"/>
      <c r="N63" s="103">
        <f t="shared" si="13"/>
        <v>3.4143981125000096</v>
      </c>
      <c r="O63" s="104">
        <f>IF((H63)=0,"",(N63/H63))</f>
        <v>6.5285577559919261E-2</v>
      </c>
      <c r="Q63" s="112"/>
      <c r="S63" s="112"/>
      <c r="U63" s="112"/>
      <c r="W63" s="112"/>
    </row>
    <row r="64" spans="2:23" x14ac:dyDescent="0.25">
      <c r="B64" s="249" t="s">
        <v>137</v>
      </c>
      <c r="C64" s="21"/>
      <c r="D64" s="21"/>
      <c r="E64" s="21"/>
      <c r="F64" s="106">
        <v>-0.08</v>
      </c>
      <c r="G64" s="107"/>
      <c r="H64" s="257">
        <f>F64*H61</f>
        <v>-3.7026141000000004</v>
      </c>
      <c r="I64" s="112"/>
      <c r="J64" s="106">
        <v>-0.08</v>
      </c>
      <c r="K64" s="248"/>
      <c r="L64" s="257">
        <f>J64*L61</f>
        <v>-3.9443414000000008</v>
      </c>
      <c r="M64" s="112"/>
      <c r="N64" s="257">
        <f t="shared" si="13"/>
        <v>-0.24172730000000042</v>
      </c>
      <c r="O64" s="114">
        <f>IF((H64)=0,"",(N64/H64))</f>
        <v>6.5285577559919192E-2</v>
      </c>
      <c r="Q64" s="112"/>
      <c r="S64" s="112"/>
      <c r="U64" s="112"/>
      <c r="W64" s="112"/>
    </row>
    <row r="65" spans="2:23" ht="13.8" thickBot="1" x14ac:dyDescent="0.3">
      <c r="B65" s="294" t="s">
        <v>138</v>
      </c>
      <c r="C65" s="294"/>
      <c r="D65" s="294"/>
      <c r="E65" s="21"/>
      <c r="F65" s="256"/>
      <c r="G65" s="107"/>
      <c r="H65" s="251">
        <f>SUM(H63:H64)</f>
        <v>48.596810062500005</v>
      </c>
      <c r="I65" s="112"/>
      <c r="J65" s="253"/>
      <c r="K65" s="248"/>
      <c r="L65" s="251">
        <f>SUM(L63:L64)</f>
        <v>51.769480875000013</v>
      </c>
      <c r="M65" s="112"/>
      <c r="N65" s="103">
        <f t="shared" si="13"/>
        <v>3.1726708125000087</v>
      </c>
      <c r="O65" s="104">
        <f>IF((H65)=0,"",(N65/H65))</f>
        <v>6.5285577559919261E-2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44.992676249999995</v>
      </c>
      <c r="I67" s="128"/>
      <c r="J67" s="129"/>
      <c r="K67" s="129"/>
      <c r="L67" s="127">
        <f>SUM(L58:L59,L50,L51:L54)</f>
        <v>48.014267500000003</v>
      </c>
      <c r="M67" s="130"/>
      <c r="N67" s="131">
        <f t="shared" ref="N67:N71" si="18">L67-H67</f>
        <v>3.0215912500000073</v>
      </c>
      <c r="O67" s="104">
        <f t="shared" ref="O67:O71" si="19">IF((H67)=0,"",(N67/H67))</f>
        <v>6.7157402089412441E-2</v>
      </c>
      <c r="Q67" s="130"/>
      <c r="R67" s="204"/>
      <c r="S67" s="130"/>
      <c r="T67" s="204"/>
      <c r="U67" s="130"/>
      <c r="V67" s="204"/>
      <c r="W67" s="130"/>
    </row>
    <row r="68" spans="2:23" s="85" customFormat="1" x14ac:dyDescent="0.25">
      <c r="B68" s="132" t="s">
        <v>42</v>
      </c>
      <c r="C68" s="79"/>
      <c r="D68" s="79"/>
      <c r="E68" s="79"/>
      <c r="F68" s="133">
        <v>0.13</v>
      </c>
      <c r="G68" s="126"/>
      <c r="H68" s="134">
        <f>H67*F68</f>
        <v>5.8490479124999997</v>
      </c>
      <c r="I68" s="135"/>
      <c r="J68" s="136">
        <v>0.13</v>
      </c>
      <c r="K68" s="137"/>
      <c r="L68" s="138">
        <f>L67*J68</f>
        <v>6.2418547750000002</v>
      </c>
      <c r="M68" s="139"/>
      <c r="N68" s="140">
        <f t="shared" si="18"/>
        <v>0.39280686250000052</v>
      </c>
      <c r="O68" s="114">
        <f t="shared" si="19"/>
        <v>6.7157402089412371E-2</v>
      </c>
      <c r="Q68" s="139"/>
      <c r="R68" s="204"/>
      <c r="S68" s="139"/>
      <c r="T68" s="204"/>
      <c r="U68" s="139"/>
      <c r="V68" s="204"/>
      <c r="W68" s="139"/>
    </row>
    <row r="69" spans="2:23" s="85" customFormat="1" x14ac:dyDescent="0.25">
      <c r="B69" s="258" t="s">
        <v>43</v>
      </c>
      <c r="C69" s="79"/>
      <c r="D69" s="79"/>
      <c r="E69" s="79"/>
      <c r="F69" s="142"/>
      <c r="G69" s="143"/>
      <c r="H69" s="127">
        <f>H67+H68</f>
        <v>50.841724162499993</v>
      </c>
      <c r="I69" s="135"/>
      <c r="J69" s="135"/>
      <c r="K69" s="135"/>
      <c r="L69" s="211">
        <f>L67+L68</f>
        <v>54.256122275000003</v>
      </c>
      <c r="M69" s="139"/>
      <c r="N69" s="131">
        <f t="shared" si="18"/>
        <v>3.4143981125000096</v>
      </c>
      <c r="O69" s="104">
        <f t="shared" si="19"/>
        <v>6.7157402089412468E-2</v>
      </c>
      <c r="Q69" s="139"/>
      <c r="R69" s="204"/>
      <c r="S69" s="139"/>
      <c r="T69" s="204"/>
      <c r="U69" s="139"/>
      <c r="V69" s="204"/>
      <c r="W69" s="139"/>
    </row>
    <row r="70" spans="2:23" s="85" customFormat="1" x14ac:dyDescent="0.25">
      <c r="B70" s="249" t="s">
        <v>137</v>
      </c>
      <c r="C70" s="21"/>
      <c r="D70" s="21"/>
      <c r="E70" s="79"/>
      <c r="F70" s="106">
        <v>-0.08</v>
      </c>
      <c r="G70" s="143"/>
      <c r="H70" s="257">
        <f>F70*H67</f>
        <v>-3.5994140999999997</v>
      </c>
      <c r="I70" s="135"/>
      <c r="J70" s="106">
        <v>-0.08</v>
      </c>
      <c r="K70" s="135"/>
      <c r="L70" s="257">
        <f>J70*L67</f>
        <v>-3.8411414000000002</v>
      </c>
      <c r="M70" s="139"/>
      <c r="N70" s="131">
        <f t="shared" si="18"/>
        <v>-0.24172730000000042</v>
      </c>
      <c r="O70" s="104">
        <f t="shared" si="19"/>
        <v>6.7157402089412399E-2</v>
      </c>
      <c r="Q70" s="139"/>
      <c r="R70" s="204"/>
      <c r="S70" s="139"/>
      <c r="T70" s="204"/>
      <c r="U70" s="139"/>
      <c r="V70" s="204"/>
      <c r="W70" s="139"/>
    </row>
    <row r="71" spans="2:23" s="85" customFormat="1" ht="13.8" thickBot="1" x14ac:dyDescent="0.3">
      <c r="B71" s="294" t="s">
        <v>138</v>
      </c>
      <c r="C71" s="294"/>
      <c r="D71" s="294"/>
      <c r="E71" s="79"/>
      <c r="F71" s="142"/>
      <c r="G71" s="143"/>
      <c r="H71" s="251">
        <f>SUM(H69:H70)</f>
        <v>47.242310062499996</v>
      </c>
      <c r="I71" s="135"/>
      <c r="J71" s="135"/>
      <c r="K71" s="135"/>
      <c r="L71" s="251">
        <f>SUM(L69:L70)</f>
        <v>50.414980875000005</v>
      </c>
      <c r="M71" s="139"/>
      <c r="N71" s="131">
        <f t="shared" si="18"/>
        <v>3.1726708125000087</v>
      </c>
      <c r="O71" s="104">
        <f t="shared" si="19"/>
        <v>6.7157402089412468E-2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46.86267625</v>
      </c>
      <c r="I77" s="100"/>
      <c r="J77" s="101"/>
      <c r="K77" s="101"/>
      <c r="L77" s="99">
        <f>+L61-L31-L40-L41-L42</f>
        <v>49.604267500000013</v>
      </c>
      <c r="M77" s="102"/>
      <c r="N77" s="103">
        <f t="shared" ref="N77:N79" si="20">L77-H77</f>
        <v>2.7415912500000132</v>
      </c>
      <c r="O77" s="104">
        <f t="shared" ref="O77:O79" si="21">IF((H77)=0,"",(N77/H77))</f>
        <v>5.8502660739526445E-2</v>
      </c>
      <c r="Q77" s="102"/>
      <c r="S77" s="102"/>
      <c r="U77" s="102"/>
      <c r="W77" s="102"/>
    </row>
    <row r="78" spans="2:23" x14ac:dyDescent="0.25">
      <c r="B78" s="105" t="s">
        <v>42</v>
      </c>
      <c r="C78" s="21"/>
      <c r="D78" s="21"/>
      <c r="E78" s="21"/>
      <c r="F78" s="106">
        <v>0.13</v>
      </c>
      <c r="G78" s="107"/>
      <c r="H78" s="108">
        <f>H77*F78</f>
        <v>6.0921479124999998</v>
      </c>
      <c r="I78" s="109"/>
      <c r="J78" s="110">
        <v>0.13</v>
      </c>
      <c r="K78" s="109"/>
      <c r="L78" s="111">
        <f>L77*J78</f>
        <v>6.4485547750000016</v>
      </c>
      <c r="M78" s="112"/>
      <c r="N78" s="113">
        <f t="shared" si="20"/>
        <v>0.35640686250000186</v>
      </c>
      <c r="O78" s="114">
        <f t="shared" si="21"/>
        <v>5.8502660739526466E-2</v>
      </c>
      <c r="Q78" s="112"/>
      <c r="S78" s="112"/>
      <c r="U78" s="112"/>
      <c r="W78" s="112"/>
    </row>
    <row r="79" spans="2:23" x14ac:dyDescent="0.25">
      <c r="B79" s="209" t="s">
        <v>43</v>
      </c>
      <c r="C79" s="210"/>
      <c r="D79" s="210"/>
      <c r="E79" s="210"/>
      <c r="F79" s="205"/>
      <c r="G79" s="206"/>
      <c r="H79" s="216">
        <f>H77+H78</f>
        <v>52.954824162500003</v>
      </c>
      <c r="I79" s="207"/>
      <c r="J79" s="207"/>
      <c r="K79" s="207"/>
      <c r="L79" s="215">
        <f>L77+L78</f>
        <v>56.052822275000011</v>
      </c>
      <c r="M79" s="208"/>
      <c r="N79" s="214">
        <f t="shared" si="20"/>
        <v>3.097998112500008</v>
      </c>
      <c r="O79" s="213">
        <f t="shared" si="21"/>
        <v>5.8502660739526306E-2</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E48:E49 E72 E66 E23:E38 E40:E46 E51:E60">
      <formula1>#REF!</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1858"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500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500</v>
      </c>
      <c r="H29" s="26">
        <f t="shared" si="0"/>
        <v>7.5500000000000007</v>
      </c>
      <c r="I29" s="27"/>
      <c r="J29" s="28">
        <f>+'Res (100)'!J29</f>
        <v>1.0500000000000001E-2</v>
      </c>
      <c r="K29" s="25">
        <f>$F$18</f>
        <v>500</v>
      </c>
      <c r="L29" s="26">
        <f t="shared" si="1"/>
        <v>5.25</v>
      </c>
      <c r="M29" s="27"/>
      <c r="N29" s="30">
        <f t="shared" si="2"/>
        <v>-2.3000000000000007</v>
      </c>
      <c r="O29" s="31">
        <f t="shared" si="3"/>
        <v>-0.30463576158940403</v>
      </c>
      <c r="Q29" s="107"/>
      <c r="S29" s="107"/>
      <c r="U29" s="107"/>
      <c r="W29" s="107"/>
    </row>
    <row r="30" spans="2:23" x14ac:dyDescent="0.25">
      <c r="B30" s="21" t="s">
        <v>21</v>
      </c>
      <c r="C30" s="21"/>
      <c r="D30" s="22"/>
      <c r="E30" s="23"/>
      <c r="F30" s="24"/>
      <c r="G30" s="25">
        <f t="shared" ref="G30" si="4">$F$18</f>
        <v>500</v>
      </c>
      <c r="H30" s="26">
        <f t="shared" si="0"/>
        <v>0</v>
      </c>
      <c r="I30" s="27"/>
      <c r="J30" s="28"/>
      <c r="K30" s="25">
        <f t="shared" ref="K30:K38" si="5">$F$18</f>
        <v>500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500</v>
      </c>
      <c r="H31" s="26">
        <f>G31*F31</f>
        <v>0</v>
      </c>
      <c r="I31" s="27"/>
      <c r="J31" s="52">
        <f>+'Res (100)'!J31</f>
        <v>0</v>
      </c>
      <c r="K31" s="25">
        <f t="shared" si="5"/>
        <v>500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500</v>
      </c>
      <c r="H32" s="26">
        <f t="shared" si="0"/>
        <v>0</v>
      </c>
      <c r="I32" s="27"/>
      <c r="J32" s="28"/>
      <c r="K32" s="25">
        <f t="shared" si="5"/>
        <v>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500</v>
      </c>
      <c r="H33" s="26">
        <f t="shared" si="0"/>
        <v>0</v>
      </c>
      <c r="I33" s="27"/>
      <c r="J33" s="28"/>
      <c r="K33" s="25">
        <f t="shared" si="5"/>
        <v>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500</v>
      </c>
      <c r="H34" s="26">
        <f t="shared" si="0"/>
        <v>0</v>
      </c>
      <c r="I34" s="27"/>
      <c r="J34" s="28"/>
      <c r="K34" s="25">
        <f t="shared" si="5"/>
        <v>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500</v>
      </c>
      <c r="H35" s="26">
        <f t="shared" si="0"/>
        <v>0</v>
      </c>
      <c r="I35" s="27"/>
      <c r="J35" s="28"/>
      <c r="K35" s="25">
        <f t="shared" si="5"/>
        <v>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500</v>
      </c>
      <c r="H36" s="26">
        <f t="shared" si="0"/>
        <v>0</v>
      </c>
      <c r="I36" s="27"/>
      <c r="J36" s="28"/>
      <c r="K36" s="25">
        <f t="shared" si="5"/>
        <v>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500</v>
      </c>
      <c r="H37" s="26">
        <f t="shared" si="0"/>
        <v>0</v>
      </c>
      <c r="I37" s="27"/>
      <c r="J37" s="28"/>
      <c r="K37" s="25">
        <f t="shared" si="5"/>
        <v>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500</v>
      </c>
      <c r="H38" s="26">
        <f t="shared" si="0"/>
        <v>0</v>
      </c>
      <c r="I38" s="27"/>
      <c r="J38" s="28"/>
      <c r="K38" s="25">
        <f t="shared" si="5"/>
        <v>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24.150000000000002</v>
      </c>
      <c r="I39" s="40"/>
      <c r="J39" s="41"/>
      <c r="K39" s="42"/>
      <c r="L39" s="39">
        <f>SUM(L23:L38)</f>
        <v>25.76</v>
      </c>
      <c r="M39" s="40"/>
      <c r="N39" s="43">
        <f t="shared" si="2"/>
        <v>1.6099999999999994</v>
      </c>
      <c r="O39" s="44">
        <f t="shared" si="3"/>
        <v>6.6666666666666638E-2</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500</v>
      </c>
      <c r="H40" s="26">
        <f>G40*F40</f>
        <v>-0.05</v>
      </c>
      <c r="I40" s="27"/>
      <c r="J40" s="28">
        <f>+'Res (100)'!J40</f>
        <v>-4.0000000000000002E-4</v>
      </c>
      <c r="K40" s="25">
        <f>$F$18</f>
        <v>500</v>
      </c>
      <c r="L40" s="26">
        <f>K40*J40</f>
        <v>-0.2</v>
      </c>
      <c r="M40" s="27"/>
      <c r="N40" s="30">
        <f>L40-H40</f>
        <v>-0.15000000000000002</v>
      </c>
      <c r="O40" s="31">
        <f>IF((H40)=0,"",(N40/H40))</f>
        <v>3.0000000000000004</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500</v>
      </c>
      <c r="H42" s="26">
        <f t="shared" si="7"/>
        <v>-1.1499999999999999</v>
      </c>
      <c r="I42" s="47"/>
      <c r="J42" s="28">
        <f>+'Res (100)'!J42</f>
        <v>-8.0000000000000004E-4</v>
      </c>
      <c r="K42" s="25">
        <f t="shared" ref="K42:K43" si="12">$F$18</f>
        <v>500</v>
      </c>
      <c r="L42" s="26">
        <f t="shared" si="8"/>
        <v>-0.4</v>
      </c>
      <c r="M42" s="48"/>
      <c r="N42" s="30">
        <f t="shared" si="9"/>
        <v>0.74999999999999989</v>
      </c>
      <c r="O42" s="31">
        <f t="shared" si="10"/>
        <v>-0.65217391304347816</v>
      </c>
      <c r="Q42" s="107"/>
      <c r="S42" s="107"/>
      <c r="U42" s="107"/>
      <c r="W42" s="107"/>
    </row>
    <row r="43" spans="2:23" ht="39.6" x14ac:dyDescent="0.25">
      <c r="B43" s="46" t="s">
        <v>125</v>
      </c>
      <c r="C43" s="21"/>
      <c r="D43" s="22" t="s">
        <v>20</v>
      </c>
      <c r="E43" s="23"/>
      <c r="F43" s="24">
        <f>'Res (100)'!F43</f>
        <v>2.7E-4</v>
      </c>
      <c r="G43" s="25">
        <f t="shared" si="11"/>
        <v>500</v>
      </c>
      <c r="H43" s="26">
        <f t="shared" si="7"/>
        <v>0.13500000000000001</v>
      </c>
      <c r="I43" s="47"/>
      <c r="J43" s="223">
        <f>+'Res (100)'!J43</f>
        <v>0</v>
      </c>
      <c r="K43" s="25">
        <f t="shared" si="12"/>
        <v>500</v>
      </c>
      <c r="L43" s="26">
        <f t="shared" si="8"/>
        <v>0</v>
      </c>
      <c r="M43" s="48"/>
      <c r="N43" s="30">
        <f t="shared" si="9"/>
        <v>-0.13500000000000001</v>
      </c>
      <c r="O43" s="31">
        <f t="shared" si="10"/>
        <v>-1</v>
      </c>
      <c r="Q43" s="107"/>
      <c r="S43" s="107"/>
      <c r="U43" s="107"/>
      <c r="W43" s="107"/>
    </row>
    <row r="44" spans="2:23" x14ac:dyDescent="0.25">
      <c r="B44" s="49" t="s">
        <v>25</v>
      </c>
      <c r="C44" s="21"/>
      <c r="D44" s="22" t="s">
        <v>20</v>
      </c>
      <c r="E44" s="23"/>
      <c r="F44" s="50">
        <f>'Res (100)'!F44</f>
        <v>6.9999999999999994E-5</v>
      </c>
      <c r="G44" s="51">
        <f>$F$18*(1+F74)</f>
        <v>516.75</v>
      </c>
      <c r="H44" s="26">
        <f>G44*F44</f>
        <v>3.6172499999999996E-2</v>
      </c>
      <c r="I44" s="27"/>
      <c r="J44" s="52">
        <f>'Proposed Rates'!E126</f>
        <v>6.0000000000000002E-5</v>
      </c>
      <c r="K44" s="51">
        <f>$F$18*(1+J74)</f>
        <v>516.75</v>
      </c>
      <c r="L44" s="26">
        <f>K44*J44</f>
        <v>3.1005000000000001E-2</v>
      </c>
      <c r="M44" s="27"/>
      <c r="N44" s="30">
        <f>L44-H44</f>
        <v>-5.167499999999995E-3</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16.75</v>
      </c>
      <c r="H45" s="26">
        <f>G45*F45</f>
        <v>1.3761800000000002</v>
      </c>
      <c r="I45" s="27"/>
      <c r="J45" s="55">
        <f>0.65*$J$55+0.17*$J$56+0.18*$J$57</f>
        <v>8.2160000000000011E-2</v>
      </c>
      <c r="K45" s="54">
        <f>$F$18*(1+$J$74)-$F$18</f>
        <v>16.75</v>
      </c>
      <c r="L45" s="26">
        <f t="shared" si="8"/>
        <v>1.3761800000000002</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25.307352500000004</v>
      </c>
      <c r="I47" s="40"/>
      <c r="J47" s="59"/>
      <c r="K47" s="61"/>
      <c r="L47" s="60">
        <f>SUM(L40:L46)+L39</f>
        <v>27.357185000000001</v>
      </c>
      <c r="M47" s="40"/>
      <c r="N47" s="43">
        <f t="shared" ref="N47:N65" si="13">L47-H47</f>
        <v>2.0498324999999973</v>
      </c>
      <c r="O47" s="44">
        <f t="shared" si="10"/>
        <v>8.0997508530376572E-2</v>
      </c>
      <c r="Q47" s="107"/>
      <c r="S47" s="107"/>
      <c r="U47" s="107"/>
      <c r="W47" s="107"/>
    </row>
    <row r="48" spans="2:23" x14ac:dyDescent="0.25">
      <c r="B48" s="27" t="s">
        <v>29</v>
      </c>
      <c r="C48" s="27"/>
      <c r="D48" s="62" t="s">
        <v>20</v>
      </c>
      <c r="E48" s="63"/>
      <c r="F48" s="28">
        <f>'Res (100)'!F48</f>
        <v>7.4000000000000003E-3</v>
      </c>
      <c r="G48" s="64">
        <f>F18*(1+F74)</f>
        <v>516.75</v>
      </c>
      <c r="H48" s="26">
        <f>G48*F48</f>
        <v>3.82395</v>
      </c>
      <c r="I48" s="27"/>
      <c r="J48" s="28">
        <f>'Res (100)'!J48</f>
        <v>7.4999999999999997E-3</v>
      </c>
      <c r="K48" s="65">
        <f>F18*(1+J74)</f>
        <v>516.75</v>
      </c>
      <c r="L48" s="26">
        <f>K48*J48</f>
        <v>3.8756249999999999</v>
      </c>
      <c r="M48" s="27"/>
      <c r="N48" s="30">
        <f t="shared" si="13"/>
        <v>5.1674999999999915E-2</v>
      </c>
      <c r="O48" s="31">
        <f t="shared" si="10"/>
        <v>1.3513513513513492E-2</v>
      </c>
      <c r="Q48" s="107"/>
      <c r="S48" s="107"/>
      <c r="U48" s="107"/>
      <c r="W48" s="107"/>
    </row>
    <row r="49" spans="2:23" ht="26.4" x14ac:dyDescent="0.25">
      <c r="B49" s="66" t="s">
        <v>30</v>
      </c>
      <c r="C49" s="27"/>
      <c r="D49" s="62" t="s">
        <v>20</v>
      </c>
      <c r="E49" s="63"/>
      <c r="F49" s="28">
        <f>'Res (100)'!F49</f>
        <v>4.7000000000000002E-3</v>
      </c>
      <c r="G49" s="64">
        <f>G48</f>
        <v>516.75</v>
      </c>
      <c r="H49" s="26">
        <f>G49*F49</f>
        <v>2.428725</v>
      </c>
      <c r="I49" s="27"/>
      <c r="J49" s="28">
        <f>'Res (100)'!J49</f>
        <v>4.7999999999999996E-3</v>
      </c>
      <c r="K49" s="65">
        <f>K48</f>
        <v>516.75</v>
      </c>
      <c r="L49" s="26">
        <f>K49*J49</f>
        <v>2.4803999999999999</v>
      </c>
      <c r="M49" s="27"/>
      <c r="N49" s="30">
        <f t="shared" si="13"/>
        <v>5.1674999999999915E-2</v>
      </c>
      <c r="O49" s="31">
        <f t="shared" si="10"/>
        <v>2.1276595744680816E-2</v>
      </c>
      <c r="Q49" s="107"/>
      <c r="S49" s="107"/>
      <c r="U49" s="107"/>
      <c r="W49" s="107"/>
    </row>
    <row r="50" spans="2:23" ht="26.4" x14ac:dyDescent="0.25">
      <c r="B50" s="56" t="s">
        <v>31</v>
      </c>
      <c r="C50" s="35"/>
      <c r="D50" s="35"/>
      <c r="E50" s="35"/>
      <c r="F50" s="67"/>
      <c r="G50" s="59"/>
      <c r="H50" s="60">
        <f>SUM(H47:H49)</f>
        <v>31.560027500000004</v>
      </c>
      <c r="I50" s="68"/>
      <c r="J50" s="69"/>
      <c r="K50" s="70"/>
      <c r="L50" s="60">
        <f>SUM(L47:L49)</f>
        <v>33.713210000000004</v>
      </c>
      <c r="M50" s="68"/>
      <c r="N50" s="43">
        <f t="shared" si="13"/>
        <v>2.1531824999999998</v>
      </c>
      <c r="O50" s="44">
        <f t="shared" si="10"/>
        <v>6.8224988080254345E-2</v>
      </c>
      <c r="Q50" s="102"/>
      <c r="S50" s="102"/>
      <c r="U50" s="102"/>
      <c r="W50" s="102"/>
    </row>
    <row r="51" spans="2:23" ht="26.4" x14ac:dyDescent="0.25">
      <c r="B51" s="71" t="s">
        <v>32</v>
      </c>
      <c r="C51" s="21"/>
      <c r="D51" s="22" t="s">
        <v>20</v>
      </c>
      <c r="E51" s="23"/>
      <c r="F51" s="72">
        <f>'Res (100)'!F51</f>
        <v>3.5999999999999999E-3</v>
      </c>
      <c r="G51" s="64">
        <f>G49</f>
        <v>516.75</v>
      </c>
      <c r="H51" s="73">
        <f>G51*F51</f>
        <v>1.8602999999999998</v>
      </c>
      <c r="I51" s="27"/>
      <c r="J51" s="72">
        <f>F51</f>
        <v>3.5999999999999999E-3</v>
      </c>
      <c r="K51" s="65">
        <f>K49</f>
        <v>516.75</v>
      </c>
      <c r="L51" s="73">
        <f t="shared" ref="L51:L57" si="14">K51*J51</f>
        <v>1.8602999999999998</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516.75</v>
      </c>
      <c r="H52" s="73">
        <f t="shared" ref="H52:H57" si="15">G52*F52</f>
        <v>0.155025</v>
      </c>
      <c r="I52" s="27"/>
      <c r="J52" s="72">
        <f>F52</f>
        <v>2.9999999999999997E-4</v>
      </c>
      <c r="K52" s="65">
        <f>K49</f>
        <v>516.75</v>
      </c>
      <c r="L52" s="73">
        <f t="shared" si="14"/>
        <v>0.155025</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516.75</v>
      </c>
      <c r="H54" s="73">
        <f>G54*F54</f>
        <v>0</v>
      </c>
      <c r="I54" s="27"/>
      <c r="J54" s="72">
        <f>'Res (100)'!J54</f>
        <v>0</v>
      </c>
      <c r="K54" s="65">
        <f>F18*(1+J74)</f>
        <v>516.75</v>
      </c>
      <c r="L54" s="73">
        <f>K54*J54</f>
        <v>0</v>
      </c>
      <c r="M54" s="27"/>
      <c r="N54" s="30"/>
      <c r="O54" s="74"/>
      <c r="Q54" s="107"/>
      <c r="S54" s="107"/>
      <c r="U54" s="107"/>
      <c r="W54" s="107"/>
    </row>
    <row r="55" spans="2:23" x14ac:dyDescent="0.25">
      <c r="B55" s="49" t="s">
        <v>36</v>
      </c>
      <c r="C55" s="21"/>
      <c r="D55" s="22"/>
      <c r="E55" s="23"/>
      <c r="F55" s="72">
        <f>'Res (100)'!F55</f>
        <v>6.5000000000000002E-2</v>
      </c>
      <c r="G55" s="77">
        <f>0.65*$F$18</f>
        <v>325</v>
      </c>
      <c r="H55" s="73">
        <f t="shared" si="15"/>
        <v>21.125</v>
      </c>
      <c r="I55" s="27"/>
      <c r="J55" s="72">
        <f>F55</f>
        <v>6.5000000000000002E-2</v>
      </c>
      <c r="K55" s="77">
        <f>$G$55</f>
        <v>325</v>
      </c>
      <c r="L55" s="73">
        <f t="shared" si="14"/>
        <v>21.125</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85</v>
      </c>
      <c r="H56" s="73">
        <f t="shared" si="15"/>
        <v>8.0749999999999993</v>
      </c>
      <c r="I56" s="27"/>
      <c r="J56" s="72">
        <f>F56</f>
        <v>9.5000000000000001E-2</v>
      </c>
      <c r="K56" s="77">
        <f>$G$56</f>
        <v>85</v>
      </c>
      <c r="L56" s="73">
        <f t="shared" si="14"/>
        <v>8.0749999999999993</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90</v>
      </c>
      <c r="H57" s="73">
        <f t="shared" si="15"/>
        <v>11.88</v>
      </c>
      <c r="I57" s="27"/>
      <c r="J57" s="72">
        <f>F57</f>
        <v>0.13200000000000001</v>
      </c>
      <c r="K57" s="77">
        <f>$G$57</f>
        <v>90</v>
      </c>
      <c r="L57" s="73">
        <f t="shared" si="14"/>
        <v>11.88</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500</v>
      </c>
      <c r="H58" s="73">
        <f>G58*F58</f>
        <v>38.5</v>
      </c>
      <c r="I58" s="83"/>
      <c r="J58" s="72">
        <f>F58</f>
        <v>7.6999999999999999E-2</v>
      </c>
      <c r="K58" s="82">
        <f>$G$58</f>
        <v>500</v>
      </c>
      <c r="L58" s="73">
        <f>K58*J58</f>
        <v>38.5</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0</v>
      </c>
      <c r="H59" s="73">
        <f>G59*F59</f>
        <v>0</v>
      </c>
      <c r="I59" s="83"/>
      <c r="J59" s="72">
        <f>F59</f>
        <v>0.09</v>
      </c>
      <c r="K59" s="82">
        <f>$G$59</f>
        <v>0</v>
      </c>
      <c r="L59" s="73">
        <f>K59*J59</f>
        <v>0</v>
      </c>
      <c r="M59" s="83"/>
      <c r="N59" s="84">
        <f t="shared" si="13"/>
        <v>0</v>
      </c>
      <c r="O59" s="74" t="str">
        <f t="shared" si="10"/>
        <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74.905352500000006</v>
      </c>
      <c r="I61" s="100"/>
      <c r="J61" s="101"/>
      <c r="K61" s="101"/>
      <c r="L61" s="254">
        <f>SUM(L51:L57,L50)</f>
        <v>77.058535000000006</v>
      </c>
      <c r="M61" s="102"/>
      <c r="N61" s="103">
        <f t="shared" ref="N61" si="16">L61-H61</f>
        <v>2.1531824999999998</v>
      </c>
      <c r="O61" s="104">
        <f t="shared" ref="O61" si="17">IF((H61)=0,"",(N61/H61))</f>
        <v>2.8745375705961727E-2</v>
      </c>
      <c r="Q61" s="102"/>
      <c r="S61" s="102"/>
      <c r="U61" s="102"/>
      <c r="W61" s="102"/>
    </row>
    <row r="62" spans="2:23" x14ac:dyDescent="0.25">
      <c r="B62" s="105" t="s">
        <v>42</v>
      </c>
      <c r="C62" s="21"/>
      <c r="D62" s="21"/>
      <c r="E62" s="21"/>
      <c r="F62" s="106">
        <v>0.13</v>
      </c>
      <c r="G62" s="107"/>
      <c r="H62" s="108">
        <f>H61*F62</f>
        <v>9.7376958250000012</v>
      </c>
      <c r="I62" s="109"/>
      <c r="J62" s="110">
        <v>0.13</v>
      </c>
      <c r="K62" s="109"/>
      <c r="L62" s="111">
        <f>L61*J62</f>
        <v>10.017609550000001</v>
      </c>
      <c r="M62" s="112"/>
      <c r="N62" s="113">
        <f t="shared" si="13"/>
        <v>0.27991372500000011</v>
      </c>
      <c r="O62" s="114">
        <f t="shared" si="10"/>
        <v>2.8745375705961741E-2</v>
      </c>
      <c r="Q62" s="112"/>
      <c r="S62" s="112"/>
      <c r="U62" s="112"/>
      <c r="W62" s="112"/>
    </row>
    <row r="63" spans="2:23" x14ac:dyDescent="0.25">
      <c r="B63" s="250" t="s">
        <v>43</v>
      </c>
      <c r="C63" s="21"/>
      <c r="D63" s="21"/>
      <c r="E63" s="21"/>
      <c r="F63" s="106"/>
      <c r="G63" s="107"/>
      <c r="H63" s="99">
        <f>H61+H62</f>
        <v>84.643048325000009</v>
      </c>
      <c r="I63" s="252"/>
      <c r="J63" s="109"/>
      <c r="K63" s="109"/>
      <c r="L63" s="103">
        <f>L61+L62</f>
        <v>87.076144550000009</v>
      </c>
      <c r="M63" s="112"/>
      <c r="N63" s="103">
        <f t="shared" si="13"/>
        <v>2.4330962249999999</v>
      </c>
      <c r="O63" s="104">
        <f>IF((H63)=0,"",(N63/H63))</f>
        <v>2.874537570596173E-2</v>
      </c>
      <c r="Q63" s="112"/>
      <c r="S63" s="112"/>
      <c r="U63" s="112"/>
      <c r="W63" s="112"/>
    </row>
    <row r="64" spans="2:23" x14ac:dyDescent="0.25">
      <c r="B64" s="249" t="s">
        <v>137</v>
      </c>
      <c r="C64" s="21"/>
      <c r="D64" s="21"/>
      <c r="E64" s="21"/>
      <c r="F64" s="106">
        <v>-0.08</v>
      </c>
      <c r="G64" s="107"/>
      <c r="H64" s="257">
        <f>F64*H61</f>
        <v>-5.9924282000000009</v>
      </c>
      <c r="I64" s="112"/>
      <c r="J64" s="106">
        <v>-0.08</v>
      </c>
      <c r="K64" s="248"/>
      <c r="L64" s="257">
        <f>J64*L61</f>
        <v>-6.1646828000000005</v>
      </c>
      <c r="M64" s="112"/>
      <c r="N64" s="257">
        <f t="shared" si="13"/>
        <v>-0.17225459999999959</v>
      </c>
      <c r="O64" s="114">
        <f>IF((H64)=0,"",(N64/H64))</f>
        <v>2.8745375705961661E-2</v>
      </c>
      <c r="Q64" s="112"/>
      <c r="S64" s="112"/>
      <c r="U64" s="112"/>
      <c r="W64" s="112"/>
    </row>
    <row r="65" spans="2:23" ht="13.8" thickBot="1" x14ac:dyDescent="0.3">
      <c r="B65" s="294" t="s">
        <v>138</v>
      </c>
      <c r="C65" s="294"/>
      <c r="D65" s="294"/>
      <c r="E65" s="21"/>
      <c r="F65" s="256"/>
      <c r="G65" s="107"/>
      <c r="H65" s="251">
        <f>SUM(H63:H64)</f>
        <v>78.650620125000003</v>
      </c>
      <c r="I65" s="112"/>
      <c r="J65" s="253"/>
      <c r="K65" s="248"/>
      <c r="L65" s="251">
        <f>SUM(L63:L64)</f>
        <v>80.911461750000015</v>
      </c>
      <c r="M65" s="112"/>
      <c r="N65" s="103">
        <f t="shared" si="13"/>
        <v>2.2608416250000118</v>
      </c>
      <c r="O65" s="104">
        <f>IF((H65)=0,"",(N65/H65))</f>
        <v>2.8745375705961883E-2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72.325352499999994</v>
      </c>
      <c r="I67" s="128"/>
      <c r="J67" s="129"/>
      <c r="K67" s="129"/>
      <c r="L67" s="127">
        <f>SUM(L58:L59,L50,L51:L54)</f>
        <v>74.478534999999994</v>
      </c>
      <c r="M67" s="130"/>
      <c r="N67" s="131">
        <f t="shared" ref="N67:N71" si="18">L67-H67</f>
        <v>2.1531824999999998</v>
      </c>
      <c r="O67" s="104">
        <f t="shared" ref="O67:O71" si="19">IF((H67)=0,"",(N67/H67))</f>
        <v>2.9770784732780942E-2</v>
      </c>
      <c r="Q67" s="130"/>
      <c r="R67" s="204"/>
      <c r="S67" s="130"/>
      <c r="T67" s="204"/>
      <c r="U67" s="130"/>
      <c r="V67" s="204"/>
      <c r="W67" s="130"/>
    </row>
    <row r="68" spans="2:23" s="85" customFormat="1" x14ac:dyDescent="0.25">
      <c r="B68" s="132" t="s">
        <v>42</v>
      </c>
      <c r="C68" s="79"/>
      <c r="D68" s="79"/>
      <c r="E68" s="79"/>
      <c r="F68" s="133">
        <v>0.13</v>
      </c>
      <c r="G68" s="126"/>
      <c r="H68" s="134">
        <f>H67*F68</f>
        <v>9.4022958249999995</v>
      </c>
      <c r="I68" s="135"/>
      <c r="J68" s="136">
        <v>0.13</v>
      </c>
      <c r="K68" s="137"/>
      <c r="L68" s="138">
        <f>L67*J68</f>
        <v>9.6822095499999996</v>
      </c>
      <c r="M68" s="139"/>
      <c r="N68" s="140">
        <f t="shared" si="18"/>
        <v>0.27991372500000011</v>
      </c>
      <c r="O68" s="114">
        <f t="shared" si="19"/>
        <v>2.9770784732780955E-2</v>
      </c>
      <c r="Q68" s="139"/>
      <c r="R68" s="204"/>
      <c r="S68" s="139"/>
      <c r="T68" s="204"/>
      <c r="U68" s="139"/>
      <c r="V68" s="204"/>
      <c r="W68" s="139"/>
    </row>
    <row r="69" spans="2:23" s="85" customFormat="1" x14ac:dyDescent="0.25">
      <c r="B69" s="258" t="s">
        <v>43</v>
      </c>
      <c r="C69" s="79"/>
      <c r="D69" s="79"/>
      <c r="E69" s="79"/>
      <c r="F69" s="142"/>
      <c r="G69" s="143"/>
      <c r="H69" s="127">
        <f>H67+H68</f>
        <v>81.72764832499999</v>
      </c>
      <c r="I69" s="135"/>
      <c r="J69" s="135"/>
      <c r="K69" s="135"/>
      <c r="L69" s="211">
        <f>L67+L68</f>
        <v>84.16074454999999</v>
      </c>
      <c r="M69" s="139"/>
      <c r="N69" s="131">
        <f t="shared" si="18"/>
        <v>2.4330962249999999</v>
      </c>
      <c r="O69" s="104">
        <f t="shared" si="19"/>
        <v>2.9770784732780945E-2</v>
      </c>
      <c r="Q69" s="139"/>
      <c r="R69" s="204"/>
      <c r="S69" s="139"/>
      <c r="T69" s="204"/>
      <c r="U69" s="139"/>
      <c r="V69" s="204"/>
      <c r="W69" s="139"/>
    </row>
    <row r="70" spans="2:23" s="85" customFormat="1" x14ac:dyDescent="0.25">
      <c r="B70" s="249" t="s">
        <v>137</v>
      </c>
      <c r="C70" s="21"/>
      <c r="D70" s="21"/>
      <c r="E70" s="79"/>
      <c r="F70" s="106">
        <v>-0.08</v>
      </c>
      <c r="G70" s="143"/>
      <c r="H70" s="257">
        <f>F70*H67</f>
        <v>-5.7860281999999996</v>
      </c>
      <c r="I70" s="135"/>
      <c r="J70" s="106">
        <v>-0.08</v>
      </c>
      <c r="K70" s="135"/>
      <c r="L70" s="257">
        <f>J70*L67</f>
        <v>-5.9582827999999992</v>
      </c>
      <c r="M70" s="139"/>
      <c r="N70" s="131">
        <f t="shared" si="18"/>
        <v>-0.17225459999999959</v>
      </c>
      <c r="O70" s="104">
        <f t="shared" si="19"/>
        <v>2.9770784732780876E-2</v>
      </c>
      <c r="Q70" s="139"/>
      <c r="R70" s="204"/>
      <c r="S70" s="139"/>
      <c r="T70" s="204"/>
      <c r="U70" s="139"/>
      <c r="V70" s="204"/>
      <c r="W70" s="139"/>
    </row>
    <row r="71" spans="2:23" s="85" customFormat="1" ht="13.8" thickBot="1" x14ac:dyDescent="0.3">
      <c r="B71" s="294" t="s">
        <v>138</v>
      </c>
      <c r="C71" s="294"/>
      <c r="D71" s="294"/>
      <c r="E71" s="79"/>
      <c r="F71" s="142"/>
      <c r="G71" s="143"/>
      <c r="H71" s="251">
        <f>SUM(H69:H70)</f>
        <v>75.941620124999986</v>
      </c>
      <c r="I71" s="135"/>
      <c r="J71" s="135"/>
      <c r="K71" s="135"/>
      <c r="L71" s="251">
        <f>SUM(L69:L70)</f>
        <v>78.202461749999998</v>
      </c>
      <c r="M71" s="139"/>
      <c r="N71" s="131">
        <f t="shared" si="18"/>
        <v>2.2608416250000118</v>
      </c>
      <c r="O71" s="104">
        <f t="shared" si="19"/>
        <v>2.9770784732781105E-2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76.085352500000013</v>
      </c>
      <c r="I77" s="100"/>
      <c r="J77" s="101"/>
      <c r="K77" s="101"/>
      <c r="L77" s="99">
        <f>+L61-L31-L40-L41-L42</f>
        <v>77.658535000000015</v>
      </c>
      <c r="M77" s="102"/>
      <c r="N77" s="103">
        <f t="shared" ref="N77:N79" si="20">L77-H77</f>
        <v>1.5731825000000015</v>
      </c>
      <c r="O77" s="104">
        <f t="shared" ref="O77:O79" si="21">IF((H77)=0,"",(N77/H77))</f>
        <v>2.0676548748328416E-2</v>
      </c>
      <c r="Q77" s="102"/>
      <c r="S77" s="102"/>
      <c r="U77" s="102"/>
      <c r="W77" s="102"/>
    </row>
    <row r="78" spans="2:23" x14ac:dyDescent="0.25">
      <c r="B78" s="105" t="s">
        <v>42</v>
      </c>
      <c r="C78" s="21"/>
      <c r="D78" s="21"/>
      <c r="E78" s="21"/>
      <c r="F78" s="106">
        <v>0.13</v>
      </c>
      <c r="G78" s="107"/>
      <c r="H78" s="108">
        <f>H77*F78</f>
        <v>9.8910958250000025</v>
      </c>
      <c r="I78" s="109"/>
      <c r="J78" s="110">
        <v>0.13</v>
      </c>
      <c r="K78" s="109"/>
      <c r="L78" s="111">
        <f>L77*J78</f>
        <v>10.095609550000002</v>
      </c>
      <c r="M78" s="112"/>
      <c r="N78" s="113">
        <f t="shared" si="20"/>
        <v>0.20451372499999998</v>
      </c>
      <c r="O78" s="114">
        <f t="shared" si="21"/>
        <v>2.0676548748328392E-2</v>
      </c>
      <c r="Q78" s="112"/>
      <c r="S78" s="112"/>
      <c r="U78" s="112"/>
      <c r="W78" s="112"/>
    </row>
    <row r="79" spans="2:23" x14ac:dyDescent="0.25">
      <c r="B79" s="209" t="s">
        <v>43</v>
      </c>
      <c r="C79" s="210"/>
      <c r="D79" s="210"/>
      <c r="E79" s="210"/>
      <c r="F79" s="205"/>
      <c r="G79" s="206"/>
      <c r="H79" s="216">
        <f>H77+H78</f>
        <v>85.976448325000021</v>
      </c>
      <c r="I79" s="207"/>
      <c r="J79" s="207"/>
      <c r="K79" s="207"/>
      <c r="L79" s="215">
        <f>L77+L78</f>
        <v>87.754144550000021</v>
      </c>
      <c r="M79" s="208"/>
      <c r="N79" s="214">
        <f t="shared" si="20"/>
        <v>1.7776962249999997</v>
      </c>
      <c r="O79" s="213">
        <f t="shared" si="21"/>
        <v>2.0676548748328388E-2</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E48:E49 E72 E66 E23:E38 E40:E46 E51:E60">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2882"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640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640</v>
      </c>
      <c r="H29" s="26">
        <f t="shared" si="0"/>
        <v>9.6639999999999997</v>
      </c>
      <c r="I29" s="27"/>
      <c r="J29" s="28">
        <f>+'Res (100)'!J29</f>
        <v>1.0500000000000001E-2</v>
      </c>
      <c r="K29" s="25">
        <f>$F$18</f>
        <v>640</v>
      </c>
      <c r="L29" s="26">
        <f t="shared" si="1"/>
        <v>6.7200000000000006</v>
      </c>
      <c r="M29" s="27"/>
      <c r="N29" s="30">
        <f t="shared" si="2"/>
        <v>-2.9439999999999991</v>
      </c>
      <c r="O29" s="31">
        <f t="shared" si="3"/>
        <v>-0.30463576158940386</v>
      </c>
      <c r="Q29" s="107"/>
      <c r="S29" s="107"/>
      <c r="U29" s="107"/>
      <c r="W29" s="107"/>
    </row>
    <row r="30" spans="2:23" x14ac:dyDescent="0.25">
      <c r="B30" s="21" t="s">
        <v>21</v>
      </c>
      <c r="C30" s="21"/>
      <c r="D30" s="22"/>
      <c r="E30" s="23"/>
      <c r="F30" s="24"/>
      <c r="G30" s="25">
        <f t="shared" ref="G30" si="4">$F$18</f>
        <v>640</v>
      </c>
      <c r="H30" s="26">
        <f t="shared" si="0"/>
        <v>0</v>
      </c>
      <c r="I30" s="27"/>
      <c r="J30" s="28"/>
      <c r="K30" s="25">
        <f t="shared" ref="K30:K38" si="5">$F$18</f>
        <v>640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640</v>
      </c>
      <c r="H31" s="26">
        <f>G31*F31</f>
        <v>0</v>
      </c>
      <c r="I31" s="27"/>
      <c r="J31" s="52">
        <f>+'Res (100)'!J31</f>
        <v>0</v>
      </c>
      <c r="K31" s="25">
        <f t="shared" si="5"/>
        <v>640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640</v>
      </c>
      <c r="H32" s="26">
        <f t="shared" si="0"/>
        <v>0</v>
      </c>
      <c r="I32" s="27"/>
      <c r="J32" s="28"/>
      <c r="K32" s="25">
        <f t="shared" si="5"/>
        <v>640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640</v>
      </c>
      <c r="H33" s="26">
        <f t="shared" si="0"/>
        <v>0</v>
      </c>
      <c r="I33" s="27"/>
      <c r="J33" s="28"/>
      <c r="K33" s="25">
        <f t="shared" si="5"/>
        <v>640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640</v>
      </c>
      <c r="H34" s="26">
        <f t="shared" si="0"/>
        <v>0</v>
      </c>
      <c r="I34" s="27"/>
      <c r="J34" s="28"/>
      <c r="K34" s="25">
        <f t="shared" si="5"/>
        <v>640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640</v>
      </c>
      <c r="H35" s="26">
        <f t="shared" si="0"/>
        <v>0</v>
      </c>
      <c r="I35" s="27"/>
      <c r="J35" s="28"/>
      <c r="K35" s="25">
        <f t="shared" si="5"/>
        <v>640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640</v>
      </c>
      <c r="H36" s="26">
        <f t="shared" si="0"/>
        <v>0</v>
      </c>
      <c r="I36" s="27"/>
      <c r="J36" s="28"/>
      <c r="K36" s="25">
        <f t="shared" si="5"/>
        <v>640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640</v>
      </c>
      <c r="H37" s="26">
        <f t="shared" si="0"/>
        <v>0</v>
      </c>
      <c r="I37" s="27"/>
      <c r="J37" s="28"/>
      <c r="K37" s="25">
        <f t="shared" si="5"/>
        <v>640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640</v>
      </c>
      <c r="H38" s="26">
        <f t="shared" si="0"/>
        <v>0</v>
      </c>
      <c r="I38" s="27"/>
      <c r="J38" s="28"/>
      <c r="K38" s="25">
        <f t="shared" si="5"/>
        <v>640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26.264000000000003</v>
      </c>
      <c r="I39" s="40"/>
      <c r="J39" s="41"/>
      <c r="K39" s="42"/>
      <c r="L39" s="39">
        <f>SUM(L23:L38)</f>
        <v>27.230000000000004</v>
      </c>
      <c r="M39" s="40"/>
      <c r="N39" s="43">
        <f t="shared" si="2"/>
        <v>0.96600000000000108</v>
      </c>
      <c r="O39" s="44">
        <f t="shared" si="3"/>
        <v>3.6780383795309207E-2</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640</v>
      </c>
      <c r="H40" s="26">
        <f>G40*F40</f>
        <v>-6.4000000000000001E-2</v>
      </c>
      <c r="I40" s="27"/>
      <c r="J40" s="28">
        <f>+'Res (100)'!J40</f>
        <v>-4.0000000000000002E-4</v>
      </c>
      <c r="K40" s="25">
        <f>$F$18</f>
        <v>640</v>
      </c>
      <c r="L40" s="26">
        <f>K40*J40</f>
        <v>-0.25600000000000001</v>
      </c>
      <c r="M40" s="27"/>
      <c r="N40" s="30">
        <f>L40-H40</f>
        <v>-0.192</v>
      </c>
      <c r="O40" s="31">
        <f>IF((H40)=0,"",(N40/H40))</f>
        <v>3</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640</v>
      </c>
      <c r="H42" s="26">
        <f t="shared" si="7"/>
        <v>-1.472</v>
      </c>
      <c r="I42" s="47"/>
      <c r="J42" s="28">
        <f>+'Res (100)'!J42</f>
        <v>-8.0000000000000004E-4</v>
      </c>
      <c r="K42" s="25">
        <f t="shared" ref="K42:K43" si="12">$F$18</f>
        <v>640</v>
      </c>
      <c r="L42" s="26">
        <f t="shared" si="8"/>
        <v>-0.51200000000000001</v>
      </c>
      <c r="M42" s="48"/>
      <c r="N42" s="30">
        <f t="shared" si="9"/>
        <v>0.96</v>
      </c>
      <c r="O42" s="31">
        <f t="shared" si="10"/>
        <v>-0.65217391304347827</v>
      </c>
      <c r="Q42" s="107"/>
      <c r="S42" s="107"/>
      <c r="U42" s="107"/>
      <c r="W42" s="107"/>
    </row>
    <row r="43" spans="2:23" ht="39.6" x14ac:dyDescent="0.25">
      <c r="B43" s="46" t="s">
        <v>125</v>
      </c>
      <c r="C43" s="21"/>
      <c r="D43" s="22" t="s">
        <v>20</v>
      </c>
      <c r="E43" s="23"/>
      <c r="F43" s="24">
        <f>'Res (100)'!F43</f>
        <v>2.7E-4</v>
      </c>
      <c r="G43" s="25">
        <f t="shared" si="11"/>
        <v>640</v>
      </c>
      <c r="H43" s="26">
        <f t="shared" si="7"/>
        <v>0.17280000000000001</v>
      </c>
      <c r="I43" s="47"/>
      <c r="J43" s="223">
        <f>+'Res (100)'!J43</f>
        <v>0</v>
      </c>
      <c r="K43" s="25">
        <f t="shared" si="12"/>
        <v>640</v>
      </c>
      <c r="L43" s="26">
        <f t="shared" si="8"/>
        <v>0</v>
      </c>
      <c r="M43" s="48"/>
      <c r="N43" s="30">
        <f t="shared" si="9"/>
        <v>-0.17280000000000001</v>
      </c>
      <c r="O43" s="31">
        <f t="shared" si="10"/>
        <v>-1</v>
      </c>
      <c r="Q43" s="107"/>
      <c r="S43" s="107"/>
      <c r="U43" s="107"/>
      <c r="W43" s="107"/>
    </row>
    <row r="44" spans="2:23" x14ac:dyDescent="0.25">
      <c r="B44" s="49" t="s">
        <v>25</v>
      </c>
      <c r="C44" s="21"/>
      <c r="D44" s="22" t="s">
        <v>20</v>
      </c>
      <c r="E44" s="23"/>
      <c r="F44" s="50">
        <f>'Res (100)'!F44</f>
        <v>6.9999999999999994E-5</v>
      </c>
      <c r="G44" s="51">
        <f>$F$18*(1+F74)</f>
        <v>661.44</v>
      </c>
      <c r="H44" s="26">
        <f>G44*F44</f>
        <v>4.6300800000000003E-2</v>
      </c>
      <c r="I44" s="27"/>
      <c r="J44" s="52">
        <f>'Proposed Rates'!E126</f>
        <v>6.0000000000000002E-5</v>
      </c>
      <c r="K44" s="51">
        <f>$F$18*(1+J74)</f>
        <v>661.44</v>
      </c>
      <c r="L44" s="26">
        <f>K44*J44</f>
        <v>3.9686400000000004E-2</v>
      </c>
      <c r="M44" s="27"/>
      <c r="N44" s="30">
        <f>L44-H44</f>
        <v>-6.6143999999999994E-3</v>
      </c>
      <c r="O44" s="31">
        <f>IF((H44)=0,"",(N44/H44))</f>
        <v>-0.14285714285714285</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21.440000000000055</v>
      </c>
      <c r="H45" s="26">
        <f>G45*F45</f>
        <v>1.7615104000000048</v>
      </c>
      <c r="I45" s="27"/>
      <c r="J45" s="55">
        <f>0.65*$J$55+0.17*$J$56+0.18*$J$57</f>
        <v>8.2160000000000011E-2</v>
      </c>
      <c r="K45" s="54">
        <f>$F$18*(1+$J$74)-$F$18</f>
        <v>21.440000000000055</v>
      </c>
      <c r="L45" s="26">
        <f t="shared" si="8"/>
        <v>1.7615104000000048</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27.518611200000009</v>
      </c>
      <c r="I47" s="40"/>
      <c r="J47" s="59"/>
      <c r="K47" s="61"/>
      <c r="L47" s="60">
        <f>SUM(L40:L46)+L39</f>
        <v>29.053196800000009</v>
      </c>
      <c r="M47" s="40"/>
      <c r="N47" s="43">
        <f t="shared" ref="N47:N65" si="13">L47-H47</f>
        <v>1.5345855999999998</v>
      </c>
      <c r="O47" s="44">
        <f t="shared" si="10"/>
        <v>5.5765372345534622E-2</v>
      </c>
      <c r="Q47" s="107"/>
      <c r="S47" s="107"/>
      <c r="U47" s="107"/>
      <c r="W47" s="107"/>
    </row>
    <row r="48" spans="2:23" x14ac:dyDescent="0.25">
      <c r="B48" s="27" t="s">
        <v>29</v>
      </c>
      <c r="C48" s="27"/>
      <c r="D48" s="62" t="s">
        <v>20</v>
      </c>
      <c r="E48" s="63"/>
      <c r="F48" s="28">
        <f>'Res (100)'!F48</f>
        <v>7.4000000000000003E-3</v>
      </c>
      <c r="G48" s="64">
        <f>F18*(1+F74)</f>
        <v>661.44</v>
      </c>
      <c r="H48" s="26">
        <f>G48*F48</f>
        <v>4.8946560000000003</v>
      </c>
      <c r="I48" s="27"/>
      <c r="J48" s="28">
        <f>'Res (100)'!J48</f>
        <v>7.4999999999999997E-3</v>
      </c>
      <c r="K48" s="65">
        <f>F18*(1+J74)</f>
        <v>661.44</v>
      </c>
      <c r="L48" s="26">
        <f>K48*J48</f>
        <v>4.9607999999999999</v>
      </c>
      <c r="M48" s="27"/>
      <c r="N48" s="30">
        <f t="shared" si="13"/>
        <v>6.6143999999999536E-2</v>
      </c>
      <c r="O48" s="31">
        <f t="shared" si="10"/>
        <v>1.3513513513513417E-2</v>
      </c>
      <c r="Q48" s="107"/>
      <c r="S48" s="107"/>
      <c r="U48" s="107"/>
      <c r="W48" s="107"/>
    </row>
    <row r="49" spans="2:23" ht="26.4" x14ac:dyDescent="0.25">
      <c r="B49" s="66" t="s">
        <v>30</v>
      </c>
      <c r="C49" s="27"/>
      <c r="D49" s="62" t="s">
        <v>20</v>
      </c>
      <c r="E49" s="63"/>
      <c r="F49" s="28">
        <f>'Res (100)'!F49</f>
        <v>4.7000000000000002E-3</v>
      </c>
      <c r="G49" s="64">
        <f>G48</f>
        <v>661.44</v>
      </c>
      <c r="H49" s="26">
        <f>G49*F49</f>
        <v>3.1087680000000004</v>
      </c>
      <c r="I49" s="27"/>
      <c r="J49" s="28">
        <f>'Res (100)'!J49</f>
        <v>4.7999999999999996E-3</v>
      </c>
      <c r="K49" s="65">
        <f>K48</f>
        <v>661.44</v>
      </c>
      <c r="L49" s="26">
        <f>K49*J49</f>
        <v>3.174912</v>
      </c>
      <c r="M49" s="27"/>
      <c r="N49" s="30">
        <f t="shared" si="13"/>
        <v>6.6143999999999536E-2</v>
      </c>
      <c r="O49" s="31">
        <f t="shared" si="10"/>
        <v>2.1276595744680698E-2</v>
      </c>
      <c r="Q49" s="107"/>
      <c r="S49" s="107"/>
      <c r="U49" s="107"/>
      <c r="W49" s="107"/>
    </row>
    <row r="50" spans="2:23" ht="26.4" x14ac:dyDescent="0.25">
      <c r="B50" s="56" t="s">
        <v>31</v>
      </c>
      <c r="C50" s="35"/>
      <c r="D50" s="35"/>
      <c r="E50" s="35"/>
      <c r="F50" s="67"/>
      <c r="G50" s="59"/>
      <c r="H50" s="60">
        <f>SUM(H47:H49)</f>
        <v>35.522035200000005</v>
      </c>
      <c r="I50" s="68"/>
      <c r="J50" s="69"/>
      <c r="K50" s="70"/>
      <c r="L50" s="60">
        <f>SUM(L47:L49)</f>
        <v>37.188908800000007</v>
      </c>
      <c r="M50" s="68"/>
      <c r="N50" s="43">
        <f t="shared" si="13"/>
        <v>1.6668736000000024</v>
      </c>
      <c r="O50" s="44">
        <f t="shared" si="10"/>
        <v>4.6925059068687658E-2</v>
      </c>
      <c r="Q50" s="102"/>
      <c r="S50" s="102"/>
      <c r="U50" s="102"/>
      <c r="W50" s="102"/>
    </row>
    <row r="51" spans="2:23" ht="26.4" x14ac:dyDescent="0.25">
      <c r="B51" s="71" t="s">
        <v>32</v>
      </c>
      <c r="C51" s="21"/>
      <c r="D51" s="22" t="s">
        <v>20</v>
      </c>
      <c r="E51" s="23"/>
      <c r="F51" s="72">
        <f>'Res (100)'!F51</f>
        <v>3.5999999999999999E-3</v>
      </c>
      <c r="G51" s="64">
        <f>G49</f>
        <v>661.44</v>
      </c>
      <c r="H51" s="73">
        <f>G51*F51</f>
        <v>2.3811840000000002</v>
      </c>
      <c r="I51" s="27"/>
      <c r="J51" s="72">
        <f>F51</f>
        <v>3.5999999999999999E-3</v>
      </c>
      <c r="K51" s="65">
        <f>K49</f>
        <v>661.44</v>
      </c>
      <c r="L51" s="73">
        <f t="shared" ref="L51:L57" si="14">K51*J51</f>
        <v>2.3811840000000002</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661.44</v>
      </c>
      <c r="H52" s="73">
        <f t="shared" ref="H52:H57" si="15">G52*F52</f>
        <v>0.198432</v>
      </c>
      <c r="I52" s="27"/>
      <c r="J52" s="72">
        <f>F52</f>
        <v>2.9999999999999997E-4</v>
      </c>
      <c r="K52" s="65">
        <f>K49</f>
        <v>661.44</v>
      </c>
      <c r="L52" s="73">
        <f t="shared" si="14"/>
        <v>0.198432</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661.44</v>
      </c>
      <c r="H54" s="73">
        <f>G54*F54</f>
        <v>0</v>
      </c>
      <c r="I54" s="27"/>
      <c r="J54" s="72">
        <f>'Res (100)'!J54</f>
        <v>0</v>
      </c>
      <c r="K54" s="65">
        <f>F18*(1+J74)</f>
        <v>661.44</v>
      </c>
      <c r="L54" s="73">
        <f>K54*J54</f>
        <v>0</v>
      </c>
      <c r="M54" s="27"/>
      <c r="N54" s="30"/>
      <c r="O54" s="74"/>
      <c r="Q54" s="107"/>
      <c r="S54" s="107"/>
      <c r="U54" s="107"/>
      <c r="W54" s="107"/>
    </row>
    <row r="55" spans="2:23" x14ac:dyDescent="0.25">
      <c r="B55" s="49" t="s">
        <v>36</v>
      </c>
      <c r="C55" s="21"/>
      <c r="D55" s="22"/>
      <c r="E55" s="23"/>
      <c r="F55" s="72">
        <f>'Res (100)'!F55</f>
        <v>6.5000000000000002E-2</v>
      </c>
      <c r="G55" s="77">
        <f>0.65*$F$18</f>
        <v>416</v>
      </c>
      <c r="H55" s="73">
        <f t="shared" si="15"/>
        <v>27.04</v>
      </c>
      <c r="I55" s="27"/>
      <c r="J55" s="72">
        <f>F55</f>
        <v>6.5000000000000002E-2</v>
      </c>
      <c r="K55" s="77">
        <f>$G$55</f>
        <v>416</v>
      </c>
      <c r="L55" s="73">
        <f t="shared" si="14"/>
        <v>27.04</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108.80000000000001</v>
      </c>
      <c r="H56" s="73">
        <f t="shared" si="15"/>
        <v>10.336000000000002</v>
      </c>
      <c r="I56" s="27"/>
      <c r="J56" s="72">
        <f>F56</f>
        <v>9.5000000000000001E-2</v>
      </c>
      <c r="K56" s="77">
        <f>$G$56</f>
        <v>108.80000000000001</v>
      </c>
      <c r="L56" s="73">
        <f t="shared" si="14"/>
        <v>10.336000000000002</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115.19999999999999</v>
      </c>
      <c r="H57" s="73">
        <f t="shared" si="15"/>
        <v>15.206399999999999</v>
      </c>
      <c r="I57" s="27"/>
      <c r="J57" s="72">
        <f>F57</f>
        <v>0.13200000000000001</v>
      </c>
      <c r="K57" s="77">
        <f>$G$57</f>
        <v>115.19999999999999</v>
      </c>
      <c r="L57" s="73">
        <f t="shared" si="14"/>
        <v>15.206399999999999</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40</v>
      </c>
      <c r="H59" s="73">
        <f>G59*F59</f>
        <v>3.5999999999999996</v>
      </c>
      <c r="I59" s="83"/>
      <c r="J59" s="72">
        <f>F59</f>
        <v>0.09</v>
      </c>
      <c r="K59" s="82">
        <f>$G$59</f>
        <v>40</v>
      </c>
      <c r="L59" s="73">
        <f>K59*J59</f>
        <v>3.5999999999999996</v>
      </c>
      <c r="M59" s="83"/>
      <c r="N59" s="84">
        <f t="shared" si="13"/>
        <v>0</v>
      </c>
      <c r="O59" s="74">
        <f t="shared" si="10"/>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90.934051200000013</v>
      </c>
      <c r="I61" s="100"/>
      <c r="J61" s="101"/>
      <c r="K61" s="101"/>
      <c r="L61" s="254">
        <f>SUM(L51:L57,L50)</f>
        <v>92.600924800000016</v>
      </c>
      <c r="M61" s="102"/>
      <c r="N61" s="103">
        <f t="shared" ref="N61" si="16">L61-H61</f>
        <v>1.6668736000000024</v>
      </c>
      <c r="O61" s="104">
        <f t="shared" ref="O61" si="17">IF((H61)=0,"",(N61/H61))</f>
        <v>1.8330576698203919E-2</v>
      </c>
      <c r="Q61" s="102"/>
      <c r="S61" s="102"/>
      <c r="U61" s="102"/>
      <c r="W61" s="102"/>
    </row>
    <row r="62" spans="2:23" x14ac:dyDescent="0.25">
      <c r="B62" s="105" t="s">
        <v>42</v>
      </c>
      <c r="C62" s="21"/>
      <c r="D62" s="21"/>
      <c r="E62" s="21"/>
      <c r="F62" s="106">
        <v>0.13</v>
      </c>
      <c r="G62" s="107"/>
      <c r="H62" s="108">
        <f>H61*F62</f>
        <v>11.821426656000002</v>
      </c>
      <c r="I62" s="109"/>
      <c r="J62" s="110">
        <v>0.13</v>
      </c>
      <c r="K62" s="109"/>
      <c r="L62" s="111">
        <f>L61*J62</f>
        <v>12.038120224000002</v>
      </c>
      <c r="M62" s="112"/>
      <c r="N62" s="113">
        <f t="shared" si="13"/>
        <v>0.21669356800000017</v>
      </c>
      <c r="O62" s="114">
        <f t="shared" si="10"/>
        <v>1.8330576698203909E-2</v>
      </c>
      <c r="Q62" s="112"/>
      <c r="S62" s="112"/>
      <c r="U62" s="112"/>
      <c r="W62" s="112"/>
    </row>
    <row r="63" spans="2:23" x14ac:dyDescent="0.25">
      <c r="B63" s="250" t="s">
        <v>43</v>
      </c>
      <c r="C63" s="21"/>
      <c r="D63" s="21"/>
      <c r="E63" s="21"/>
      <c r="F63" s="106"/>
      <c r="G63" s="107"/>
      <c r="H63" s="99">
        <f>H61+H62</f>
        <v>102.75547785600001</v>
      </c>
      <c r="I63" s="252"/>
      <c r="J63" s="109"/>
      <c r="K63" s="109"/>
      <c r="L63" s="103">
        <f>L61+L62</f>
        <v>104.63904502400001</v>
      </c>
      <c r="M63" s="112"/>
      <c r="N63" s="103">
        <f t="shared" si="13"/>
        <v>1.883567167999999</v>
      </c>
      <c r="O63" s="104">
        <f>IF((H63)=0,"",(N63/H63))</f>
        <v>1.8330576698203885E-2</v>
      </c>
      <c r="Q63" s="112"/>
      <c r="S63" s="112"/>
      <c r="U63" s="112"/>
      <c r="W63" s="112"/>
    </row>
    <row r="64" spans="2:23" x14ac:dyDescent="0.25">
      <c r="B64" s="249" t="s">
        <v>137</v>
      </c>
      <c r="C64" s="21"/>
      <c r="D64" s="21"/>
      <c r="E64" s="21"/>
      <c r="F64" s="106">
        <v>-0.08</v>
      </c>
      <c r="G64" s="107"/>
      <c r="H64" s="257">
        <f>F64*H61</f>
        <v>-7.2747240960000008</v>
      </c>
      <c r="I64" s="112"/>
      <c r="J64" s="106">
        <v>-0.08</v>
      </c>
      <c r="K64" s="248"/>
      <c r="L64" s="257">
        <f>J64*L61</f>
        <v>-7.4080739840000014</v>
      </c>
      <c r="M64" s="112"/>
      <c r="N64" s="257">
        <f t="shared" si="13"/>
        <v>-0.13334988800000058</v>
      </c>
      <c r="O64" s="114">
        <f>IF((H64)=0,"",(N64/H64))</f>
        <v>1.8330576698203975E-2</v>
      </c>
      <c r="Q64" s="112"/>
      <c r="S64" s="112"/>
      <c r="U64" s="112"/>
      <c r="W64" s="112"/>
    </row>
    <row r="65" spans="2:23" ht="13.8" thickBot="1" x14ac:dyDescent="0.3">
      <c r="B65" s="294" t="s">
        <v>138</v>
      </c>
      <c r="C65" s="294"/>
      <c r="D65" s="294"/>
      <c r="E65" s="21"/>
      <c r="F65" s="256"/>
      <c r="G65" s="107"/>
      <c r="H65" s="251">
        <f>SUM(H63:H64)</f>
        <v>95.480753760000013</v>
      </c>
      <c r="I65" s="112"/>
      <c r="J65" s="253"/>
      <c r="K65" s="248"/>
      <c r="L65" s="251">
        <f>SUM(L63:L64)</f>
        <v>97.230971040000014</v>
      </c>
      <c r="M65" s="112"/>
      <c r="N65" s="103">
        <f t="shared" si="13"/>
        <v>1.7502172800000011</v>
      </c>
      <c r="O65" s="104">
        <f>IF((H65)=0,"",(N65/H65))</f>
        <v>1.8330576698203906E-2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88.151651200000018</v>
      </c>
      <c r="I67" s="128"/>
      <c r="J67" s="129"/>
      <c r="K67" s="129"/>
      <c r="L67" s="127">
        <f>SUM(L58:L59,L50,L51:L54)</f>
        <v>89.81852480000002</v>
      </c>
      <c r="M67" s="130"/>
      <c r="N67" s="131">
        <f t="shared" ref="N67:N71" si="18">L67-H67</f>
        <v>1.6668736000000024</v>
      </c>
      <c r="O67" s="104">
        <f t="shared" ref="O67:O71" si="19">IF((H67)=0,"",(N67/H67))</f>
        <v>1.8909159128717514E-2</v>
      </c>
      <c r="Q67" s="130"/>
      <c r="R67" s="204"/>
      <c r="S67" s="130"/>
      <c r="T67" s="204"/>
      <c r="U67" s="130"/>
      <c r="V67" s="204"/>
      <c r="W67" s="130"/>
    </row>
    <row r="68" spans="2:23" s="85" customFormat="1" x14ac:dyDescent="0.25">
      <c r="B68" s="132" t="s">
        <v>42</v>
      </c>
      <c r="C68" s="79"/>
      <c r="D68" s="79"/>
      <c r="E68" s="79"/>
      <c r="F68" s="133">
        <v>0.13</v>
      </c>
      <c r="G68" s="126"/>
      <c r="H68" s="134">
        <f>H67*F68</f>
        <v>11.459714656000003</v>
      </c>
      <c r="I68" s="135"/>
      <c r="J68" s="136">
        <v>0.13</v>
      </c>
      <c r="K68" s="137"/>
      <c r="L68" s="138">
        <f>L67*J68</f>
        <v>11.676408224000003</v>
      </c>
      <c r="M68" s="139"/>
      <c r="N68" s="140">
        <f t="shared" si="18"/>
        <v>0.21669356800000017</v>
      </c>
      <c r="O68" s="114">
        <f t="shared" si="19"/>
        <v>1.89091591287175E-2</v>
      </c>
      <c r="Q68" s="139"/>
      <c r="R68" s="204"/>
      <c r="S68" s="139"/>
      <c r="T68" s="204"/>
      <c r="U68" s="139"/>
      <c r="V68" s="204"/>
      <c r="W68" s="139"/>
    </row>
    <row r="69" spans="2:23" s="85" customFormat="1" x14ac:dyDescent="0.25">
      <c r="B69" s="258" t="s">
        <v>43</v>
      </c>
      <c r="C69" s="79"/>
      <c r="D69" s="79"/>
      <c r="E69" s="79"/>
      <c r="F69" s="142"/>
      <c r="G69" s="143"/>
      <c r="H69" s="127">
        <f>H67+H68</f>
        <v>99.61136585600002</v>
      </c>
      <c r="I69" s="135"/>
      <c r="J69" s="135"/>
      <c r="K69" s="135"/>
      <c r="L69" s="211">
        <f>L67+L68</f>
        <v>101.49493302400002</v>
      </c>
      <c r="M69" s="139"/>
      <c r="N69" s="131">
        <f t="shared" si="18"/>
        <v>1.883567167999999</v>
      </c>
      <c r="O69" s="104">
        <f t="shared" si="19"/>
        <v>1.8909159128717476E-2</v>
      </c>
      <c r="Q69" s="139"/>
      <c r="R69" s="204"/>
      <c r="S69" s="139"/>
      <c r="T69" s="204"/>
      <c r="U69" s="139"/>
      <c r="V69" s="204"/>
      <c r="W69" s="139"/>
    </row>
    <row r="70" spans="2:23" s="85" customFormat="1" x14ac:dyDescent="0.25">
      <c r="B70" s="249" t="s">
        <v>137</v>
      </c>
      <c r="C70" s="21"/>
      <c r="D70" s="21"/>
      <c r="E70" s="79"/>
      <c r="F70" s="106">
        <v>-0.08</v>
      </c>
      <c r="G70" s="143"/>
      <c r="H70" s="257">
        <f>F70*H67</f>
        <v>-7.0521320960000011</v>
      </c>
      <c r="I70" s="135"/>
      <c r="J70" s="106">
        <v>-0.08</v>
      </c>
      <c r="K70" s="135"/>
      <c r="L70" s="257">
        <f>J70*L67</f>
        <v>-7.1854819840000017</v>
      </c>
      <c r="M70" s="139"/>
      <c r="N70" s="131">
        <f t="shared" si="18"/>
        <v>-0.13334988800000058</v>
      </c>
      <c r="O70" s="104">
        <f t="shared" si="19"/>
        <v>1.890915912871757E-2</v>
      </c>
      <c r="Q70" s="139"/>
      <c r="R70" s="204"/>
      <c r="S70" s="139"/>
      <c r="T70" s="204"/>
      <c r="U70" s="139"/>
      <c r="V70" s="204"/>
      <c r="W70" s="139"/>
    </row>
    <row r="71" spans="2:23" s="85" customFormat="1" ht="13.8" thickBot="1" x14ac:dyDescent="0.3">
      <c r="B71" s="294" t="s">
        <v>138</v>
      </c>
      <c r="C71" s="294"/>
      <c r="D71" s="294"/>
      <c r="E71" s="79"/>
      <c r="F71" s="142"/>
      <c r="G71" s="143"/>
      <c r="H71" s="251">
        <f>SUM(H69:H70)</f>
        <v>92.559233760000012</v>
      </c>
      <c r="I71" s="135"/>
      <c r="J71" s="135"/>
      <c r="K71" s="135"/>
      <c r="L71" s="251">
        <f>SUM(L69:L70)</f>
        <v>94.309451040000013</v>
      </c>
      <c r="M71" s="139"/>
      <c r="N71" s="131">
        <f t="shared" si="18"/>
        <v>1.7502172800000011</v>
      </c>
      <c r="O71" s="104">
        <f t="shared" si="19"/>
        <v>1.8909159128717497E-2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92.450051200000004</v>
      </c>
      <c r="I77" s="100"/>
      <c r="J77" s="101"/>
      <c r="K77" s="101"/>
      <c r="L77" s="99">
        <f>+L61-L31-L40-L41-L42</f>
        <v>93.368924800000016</v>
      </c>
      <c r="M77" s="102"/>
      <c r="N77" s="103">
        <f t="shared" ref="N77:N79" si="20">L77-H77</f>
        <v>0.91887360000001195</v>
      </c>
      <c r="O77" s="104">
        <f t="shared" ref="O77:O79" si="21">IF((H77)=0,"",(N77/H77))</f>
        <v>9.9391356529612389E-3</v>
      </c>
      <c r="Q77" s="102"/>
      <c r="S77" s="102"/>
      <c r="U77" s="102"/>
      <c r="W77" s="102"/>
    </row>
    <row r="78" spans="2:23" x14ac:dyDescent="0.25">
      <c r="B78" s="105" t="s">
        <v>42</v>
      </c>
      <c r="C78" s="21"/>
      <c r="D78" s="21"/>
      <c r="E78" s="21"/>
      <c r="F78" s="106">
        <v>0.13</v>
      </c>
      <c r="G78" s="107"/>
      <c r="H78" s="108">
        <f>H77*F78</f>
        <v>12.018506656000001</v>
      </c>
      <c r="I78" s="109"/>
      <c r="J78" s="110">
        <v>0.13</v>
      </c>
      <c r="K78" s="109"/>
      <c r="L78" s="111">
        <f>L77*J78</f>
        <v>12.137960224000002</v>
      </c>
      <c r="M78" s="112"/>
      <c r="N78" s="113">
        <f t="shared" si="20"/>
        <v>0.11945356800000084</v>
      </c>
      <c r="O78" s="114">
        <f t="shared" si="21"/>
        <v>9.9391356529611782E-3</v>
      </c>
      <c r="Q78" s="112"/>
      <c r="S78" s="112"/>
      <c r="U78" s="112"/>
      <c r="W78" s="112"/>
    </row>
    <row r="79" spans="2:23" x14ac:dyDescent="0.25">
      <c r="B79" s="209" t="s">
        <v>43</v>
      </c>
      <c r="C79" s="210"/>
      <c r="D79" s="210"/>
      <c r="E79" s="210"/>
      <c r="F79" s="205"/>
      <c r="G79" s="206"/>
      <c r="H79" s="216">
        <f>H77+H78</f>
        <v>104.468557856</v>
      </c>
      <c r="I79" s="207"/>
      <c r="J79" s="207"/>
      <c r="K79" s="207"/>
      <c r="L79" s="215">
        <f>L77+L78</f>
        <v>105.50688502400001</v>
      </c>
      <c r="M79" s="208"/>
      <c r="N79" s="214">
        <f t="shared" si="20"/>
        <v>1.0383271680000092</v>
      </c>
      <c r="O79" s="213">
        <f t="shared" si="21"/>
        <v>9.9391356529611972E-3</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E48:E49 E72 E66 E23:E38 E40:E46 E51:E60">
      <formula1>#REF!</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3906"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750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750</v>
      </c>
      <c r="H29" s="26">
        <f t="shared" si="0"/>
        <v>11.325000000000001</v>
      </c>
      <c r="I29" s="27"/>
      <c r="J29" s="28">
        <f>+'Res (100)'!J29</f>
        <v>1.0500000000000001E-2</v>
      </c>
      <c r="K29" s="25">
        <f>$F$18</f>
        <v>750</v>
      </c>
      <c r="L29" s="26">
        <f t="shared" si="1"/>
        <v>7.8750000000000009</v>
      </c>
      <c r="M29" s="27"/>
      <c r="N29" s="30">
        <f t="shared" si="2"/>
        <v>-3.45</v>
      </c>
      <c r="O29" s="31">
        <f t="shared" si="3"/>
        <v>-0.30463576158940397</v>
      </c>
      <c r="Q29" s="107"/>
      <c r="S29" s="107"/>
      <c r="U29" s="107"/>
      <c r="W29" s="107"/>
    </row>
    <row r="30" spans="2:23" x14ac:dyDescent="0.25">
      <c r="B30" s="21" t="s">
        <v>21</v>
      </c>
      <c r="C30" s="21"/>
      <c r="D30" s="22"/>
      <c r="E30" s="23"/>
      <c r="F30" s="24"/>
      <c r="G30" s="25">
        <f t="shared" ref="G30" si="4">$F$18</f>
        <v>750</v>
      </c>
      <c r="H30" s="26">
        <f t="shared" si="0"/>
        <v>0</v>
      </c>
      <c r="I30" s="27"/>
      <c r="J30" s="28"/>
      <c r="K30" s="25">
        <f t="shared" ref="K30:K38" si="5">$F$18</f>
        <v>750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750</v>
      </c>
      <c r="H31" s="26">
        <f>G31*F31</f>
        <v>0</v>
      </c>
      <c r="I31" s="27"/>
      <c r="J31" s="52">
        <f>+'Res (100)'!J31</f>
        <v>0</v>
      </c>
      <c r="K31" s="25">
        <f t="shared" si="5"/>
        <v>750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750</v>
      </c>
      <c r="H32" s="26">
        <f t="shared" si="0"/>
        <v>0</v>
      </c>
      <c r="I32" s="27"/>
      <c r="J32" s="28"/>
      <c r="K32" s="25">
        <f t="shared" si="5"/>
        <v>750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750</v>
      </c>
      <c r="H33" s="26">
        <f t="shared" si="0"/>
        <v>0</v>
      </c>
      <c r="I33" s="27"/>
      <c r="J33" s="28"/>
      <c r="K33" s="25">
        <f t="shared" si="5"/>
        <v>750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750</v>
      </c>
      <c r="H34" s="26">
        <f t="shared" si="0"/>
        <v>0</v>
      </c>
      <c r="I34" s="27"/>
      <c r="J34" s="28"/>
      <c r="K34" s="25">
        <f t="shared" si="5"/>
        <v>750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750</v>
      </c>
      <c r="H35" s="26">
        <f t="shared" si="0"/>
        <v>0</v>
      </c>
      <c r="I35" s="27"/>
      <c r="J35" s="28"/>
      <c r="K35" s="25">
        <f t="shared" si="5"/>
        <v>750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750</v>
      </c>
      <c r="H36" s="26">
        <f t="shared" si="0"/>
        <v>0</v>
      </c>
      <c r="I36" s="27"/>
      <c r="J36" s="28"/>
      <c r="K36" s="25">
        <f t="shared" si="5"/>
        <v>750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750</v>
      </c>
      <c r="H37" s="26">
        <f t="shared" si="0"/>
        <v>0</v>
      </c>
      <c r="I37" s="27"/>
      <c r="J37" s="28"/>
      <c r="K37" s="25">
        <f t="shared" si="5"/>
        <v>750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750</v>
      </c>
      <c r="H38" s="26">
        <f t="shared" si="0"/>
        <v>0</v>
      </c>
      <c r="I38" s="27"/>
      <c r="J38" s="28"/>
      <c r="K38" s="25">
        <f t="shared" si="5"/>
        <v>750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27.925000000000004</v>
      </c>
      <c r="I39" s="40"/>
      <c r="J39" s="41"/>
      <c r="K39" s="42"/>
      <c r="L39" s="39">
        <f>SUM(L23:L38)</f>
        <v>28.385000000000002</v>
      </c>
      <c r="M39" s="40"/>
      <c r="N39" s="43">
        <f t="shared" si="2"/>
        <v>0.4599999999999973</v>
      </c>
      <c r="O39" s="44">
        <f t="shared" si="3"/>
        <v>1.6472694717994528E-2</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750</v>
      </c>
      <c r="H40" s="26">
        <f>G40*F40</f>
        <v>-7.4999999999999997E-2</v>
      </c>
      <c r="I40" s="27"/>
      <c r="J40" s="28">
        <f>+'Res (100)'!J40</f>
        <v>-4.0000000000000002E-4</v>
      </c>
      <c r="K40" s="25">
        <f>$F$18</f>
        <v>750</v>
      </c>
      <c r="L40" s="26">
        <f>K40*J40</f>
        <v>-0.3</v>
      </c>
      <c r="M40" s="27"/>
      <c r="N40" s="30">
        <f>L40-H40</f>
        <v>-0.22499999999999998</v>
      </c>
      <c r="O40" s="31">
        <f>IF((H40)=0,"",(N40/H40))</f>
        <v>3</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IF((H41)=0,"",(N41/H41))</f>
        <v>-1</v>
      </c>
      <c r="Q41" s="107"/>
      <c r="S41" s="107"/>
      <c r="U41" s="107"/>
      <c r="W41" s="107"/>
    </row>
    <row r="42" spans="2:23" ht="39.6" x14ac:dyDescent="0.25">
      <c r="B42" s="154" t="s">
        <v>106</v>
      </c>
      <c r="C42" s="21"/>
      <c r="D42" s="22" t="s">
        <v>20</v>
      </c>
      <c r="E42" s="23"/>
      <c r="F42" s="24">
        <f>'Res (100)'!F42</f>
        <v>-2.3E-3</v>
      </c>
      <c r="G42" s="25">
        <f t="shared" ref="G42:G43" si="10">$F$18</f>
        <v>750</v>
      </c>
      <c r="H42" s="26">
        <f t="shared" si="7"/>
        <v>-1.7249999999999999</v>
      </c>
      <c r="I42" s="47"/>
      <c r="J42" s="28">
        <f>+'Res (100)'!J42</f>
        <v>-8.0000000000000004E-4</v>
      </c>
      <c r="K42" s="25">
        <f t="shared" ref="K42:K43" si="11">$F$18</f>
        <v>750</v>
      </c>
      <c r="L42" s="26">
        <f t="shared" si="8"/>
        <v>-0.6</v>
      </c>
      <c r="M42" s="48"/>
      <c r="N42" s="30">
        <f t="shared" si="9"/>
        <v>1.125</v>
      </c>
      <c r="O42" s="31">
        <f>IF((H42)=0,"",(N42/H42))</f>
        <v>-0.65217391304347827</v>
      </c>
      <c r="Q42" s="107"/>
      <c r="S42" s="107"/>
      <c r="U42" s="107"/>
      <c r="W42" s="107"/>
    </row>
    <row r="43" spans="2:23" ht="39.6" x14ac:dyDescent="0.25">
      <c r="B43" s="46" t="s">
        <v>125</v>
      </c>
      <c r="C43" s="21"/>
      <c r="D43" s="22" t="s">
        <v>20</v>
      </c>
      <c r="E43" s="23"/>
      <c r="F43" s="24">
        <f>'Res (100)'!F43</f>
        <v>2.7E-4</v>
      </c>
      <c r="G43" s="25">
        <f t="shared" si="10"/>
        <v>750</v>
      </c>
      <c r="H43" s="26">
        <f t="shared" si="7"/>
        <v>0.20250000000000001</v>
      </c>
      <c r="I43" s="47"/>
      <c r="J43" s="223">
        <f>+'Res (100)'!J43</f>
        <v>0</v>
      </c>
      <c r="K43" s="25">
        <f t="shared" si="11"/>
        <v>750</v>
      </c>
      <c r="L43" s="26">
        <f t="shared" si="8"/>
        <v>0</v>
      </c>
      <c r="M43" s="48"/>
      <c r="N43" s="30">
        <f t="shared" si="9"/>
        <v>-0.20250000000000001</v>
      </c>
      <c r="O43" s="31">
        <f t="shared" ref="O43:O62" si="12">IF((H43)=0,"",(N43/H43))</f>
        <v>-1</v>
      </c>
      <c r="Q43" s="107"/>
      <c r="S43" s="107"/>
      <c r="U43" s="107"/>
      <c r="W43" s="107"/>
    </row>
    <row r="44" spans="2:23" x14ac:dyDescent="0.25">
      <c r="B44" s="49" t="s">
        <v>25</v>
      </c>
      <c r="C44" s="21"/>
      <c r="D44" s="22" t="s">
        <v>20</v>
      </c>
      <c r="E44" s="23"/>
      <c r="F44" s="50">
        <f>'Res (100)'!F44</f>
        <v>6.9999999999999994E-5</v>
      </c>
      <c r="G44" s="51">
        <f>$F$18*(1+F74)</f>
        <v>775.12500000000011</v>
      </c>
      <c r="H44" s="26">
        <f>G44*F44</f>
        <v>5.4258750000000001E-2</v>
      </c>
      <c r="I44" s="27"/>
      <c r="J44" s="52">
        <f>'Proposed Rates'!E126</f>
        <v>6.0000000000000002E-5</v>
      </c>
      <c r="K44" s="51">
        <f>$F$18*(1+J74)</f>
        <v>775.12500000000011</v>
      </c>
      <c r="L44" s="26">
        <f>K44*J44</f>
        <v>4.6507500000000007E-2</v>
      </c>
      <c r="M44" s="27"/>
      <c r="N44" s="30">
        <f>L44-H44</f>
        <v>-7.7512499999999943E-3</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25.125000000000114</v>
      </c>
      <c r="H45" s="26">
        <f>G45*F45</f>
        <v>2.0642700000000098</v>
      </c>
      <c r="I45" s="27"/>
      <c r="J45" s="55">
        <f>0.65*$J$55+0.17*$J$56+0.18*$J$57</f>
        <v>8.2160000000000011E-2</v>
      </c>
      <c r="K45" s="54">
        <f>$F$18*(1+$J$74)-$F$18</f>
        <v>25.125000000000114</v>
      </c>
      <c r="L45" s="26">
        <f t="shared" si="8"/>
        <v>2.0642700000000098</v>
      </c>
      <c r="M45" s="27"/>
      <c r="N45" s="30">
        <f t="shared" si="9"/>
        <v>0</v>
      </c>
      <c r="O45" s="31">
        <f t="shared" si="12"/>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2"/>
        <v>0</v>
      </c>
      <c r="Q46" s="107"/>
      <c r="S46" s="107"/>
      <c r="U46" s="107"/>
      <c r="W46" s="107"/>
    </row>
    <row r="47" spans="2:23" ht="26.4" x14ac:dyDescent="0.25">
      <c r="B47" s="56" t="s">
        <v>28</v>
      </c>
      <c r="C47" s="57"/>
      <c r="D47" s="57"/>
      <c r="E47" s="57"/>
      <c r="F47" s="58"/>
      <c r="G47" s="59"/>
      <c r="H47" s="60">
        <f>SUM(H40:H46)+H39</f>
        <v>29.256028750000013</v>
      </c>
      <c r="I47" s="40"/>
      <c r="J47" s="59"/>
      <c r="K47" s="61"/>
      <c r="L47" s="60">
        <f>SUM(L40:L46)+L39</f>
        <v>30.38577750000001</v>
      </c>
      <c r="M47" s="40"/>
      <c r="N47" s="43">
        <f t="shared" ref="N47:N65" si="13">L47-H47</f>
        <v>1.1297487499999974</v>
      </c>
      <c r="O47" s="44">
        <f t="shared" si="12"/>
        <v>3.8615929716708283E-2</v>
      </c>
      <c r="Q47" s="107"/>
      <c r="S47" s="107"/>
      <c r="U47" s="107"/>
      <c r="W47" s="107"/>
    </row>
    <row r="48" spans="2:23" x14ac:dyDescent="0.25">
      <c r="B48" s="27" t="s">
        <v>29</v>
      </c>
      <c r="C48" s="27"/>
      <c r="D48" s="62" t="s">
        <v>20</v>
      </c>
      <c r="E48" s="63"/>
      <c r="F48" s="28">
        <f>'Res (100)'!F48</f>
        <v>7.4000000000000003E-3</v>
      </c>
      <c r="G48" s="64">
        <f>F18*(1+F74)</f>
        <v>775.12500000000011</v>
      </c>
      <c r="H48" s="26">
        <f>G48*F48</f>
        <v>5.7359250000000008</v>
      </c>
      <c r="I48" s="27"/>
      <c r="J48" s="28">
        <f>'Res (100)'!J48</f>
        <v>7.4999999999999997E-3</v>
      </c>
      <c r="K48" s="65">
        <f>F18*(1+J74)</f>
        <v>775.12500000000011</v>
      </c>
      <c r="L48" s="26">
        <f>K48*J48</f>
        <v>5.8134375000000009</v>
      </c>
      <c r="M48" s="27"/>
      <c r="N48" s="30">
        <f t="shared" si="13"/>
        <v>7.7512500000000095E-2</v>
      </c>
      <c r="O48" s="31">
        <f t="shared" si="12"/>
        <v>1.3513513513513528E-2</v>
      </c>
      <c r="Q48" s="107"/>
      <c r="S48" s="107"/>
      <c r="U48" s="107"/>
      <c r="W48" s="107"/>
    </row>
    <row r="49" spans="2:23" ht="26.4" x14ac:dyDescent="0.25">
      <c r="B49" s="66" t="s">
        <v>30</v>
      </c>
      <c r="C49" s="27"/>
      <c r="D49" s="62" t="s">
        <v>20</v>
      </c>
      <c r="E49" s="63"/>
      <c r="F49" s="28">
        <f>'Res (100)'!F49</f>
        <v>4.7000000000000002E-3</v>
      </c>
      <c r="G49" s="64">
        <f>G48</f>
        <v>775.12500000000011</v>
      </c>
      <c r="H49" s="26">
        <f>G49*F49</f>
        <v>3.6430875000000005</v>
      </c>
      <c r="I49" s="27"/>
      <c r="J49" s="28">
        <f>'Res (100)'!J49</f>
        <v>4.7999999999999996E-3</v>
      </c>
      <c r="K49" s="65">
        <f>K48</f>
        <v>775.12500000000011</v>
      </c>
      <c r="L49" s="26">
        <f>K49*J49</f>
        <v>3.7206000000000001</v>
      </c>
      <c r="M49" s="27"/>
      <c r="N49" s="30">
        <f t="shared" si="13"/>
        <v>7.7512499999999651E-2</v>
      </c>
      <c r="O49" s="31">
        <f t="shared" si="12"/>
        <v>2.1276595744680753E-2</v>
      </c>
      <c r="Q49" s="107"/>
      <c r="S49" s="107"/>
      <c r="U49" s="107"/>
      <c r="W49" s="107"/>
    </row>
    <row r="50" spans="2:23" ht="26.4" x14ac:dyDescent="0.25">
      <c r="B50" s="56" t="s">
        <v>31</v>
      </c>
      <c r="C50" s="35"/>
      <c r="D50" s="35"/>
      <c r="E50" s="35"/>
      <c r="F50" s="67"/>
      <c r="G50" s="59"/>
      <c r="H50" s="60">
        <f>SUM(H47:H49)</f>
        <v>38.635041250000015</v>
      </c>
      <c r="I50" s="68"/>
      <c r="J50" s="69"/>
      <c r="K50" s="70"/>
      <c r="L50" s="60">
        <f>SUM(L47:L49)</f>
        <v>39.919815000000007</v>
      </c>
      <c r="M50" s="68"/>
      <c r="N50" s="43">
        <f t="shared" si="13"/>
        <v>1.2847737499999923</v>
      </c>
      <c r="O50" s="44">
        <f t="shared" si="12"/>
        <v>3.3254105817733318E-2</v>
      </c>
      <c r="Q50" s="102"/>
      <c r="S50" s="102"/>
      <c r="U50" s="102"/>
      <c r="W50" s="102"/>
    </row>
    <row r="51" spans="2:23" ht="26.4" x14ac:dyDescent="0.25">
      <c r="B51" s="71" t="s">
        <v>32</v>
      </c>
      <c r="C51" s="21"/>
      <c r="D51" s="22" t="s">
        <v>20</v>
      </c>
      <c r="E51" s="23"/>
      <c r="F51" s="72">
        <f>'Res (100)'!F51</f>
        <v>3.5999999999999999E-3</v>
      </c>
      <c r="G51" s="64">
        <f>G49</f>
        <v>775.12500000000011</v>
      </c>
      <c r="H51" s="73">
        <f>G51*F51</f>
        <v>2.7904500000000003</v>
      </c>
      <c r="I51" s="27"/>
      <c r="J51" s="72">
        <f>F51</f>
        <v>3.5999999999999999E-3</v>
      </c>
      <c r="K51" s="65">
        <f>K49</f>
        <v>775.12500000000011</v>
      </c>
      <c r="L51" s="73">
        <f t="shared" ref="L51:L57" si="14">K51*J51</f>
        <v>2.7904500000000003</v>
      </c>
      <c r="M51" s="27"/>
      <c r="N51" s="30">
        <f t="shared" si="13"/>
        <v>0</v>
      </c>
      <c r="O51" s="74">
        <f t="shared" si="12"/>
        <v>0</v>
      </c>
      <c r="Q51" s="107"/>
      <c r="S51" s="107"/>
      <c r="U51" s="107"/>
      <c r="W51" s="107"/>
    </row>
    <row r="52" spans="2:23" ht="26.4" x14ac:dyDescent="0.25">
      <c r="B52" s="71" t="s">
        <v>33</v>
      </c>
      <c r="C52" s="21"/>
      <c r="D52" s="22" t="s">
        <v>20</v>
      </c>
      <c r="E52" s="23"/>
      <c r="F52" s="72">
        <f>'Res (100)'!F52</f>
        <v>2.9999999999999997E-4</v>
      </c>
      <c r="G52" s="64">
        <f>G49</f>
        <v>775.12500000000011</v>
      </c>
      <c r="H52" s="73">
        <f t="shared" ref="H52:H57" si="15">G52*F52</f>
        <v>0.23253750000000001</v>
      </c>
      <c r="I52" s="27"/>
      <c r="J52" s="72">
        <f>F52</f>
        <v>2.9999999999999997E-4</v>
      </c>
      <c r="K52" s="65">
        <f>K49</f>
        <v>775.12500000000011</v>
      </c>
      <c r="L52" s="73">
        <f t="shared" si="14"/>
        <v>0.23253750000000001</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2"/>
        <v>0</v>
      </c>
      <c r="Q53" s="107"/>
      <c r="S53" s="107"/>
      <c r="U53" s="107"/>
      <c r="W53" s="107"/>
    </row>
    <row r="54" spans="2:23" x14ac:dyDescent="0.25">
      <c r="B54" s="21" t="s">
        <v>120</v>
      </c>
      <c r="C54" s="21"/>
      <c r="D54" s="22"/>
      <c r="E54" s="23"/>
      <c r="F54" s="72">
        <f>'Res (100)'!F54</f>
        <v>0</v>
      </c>
      <c r="G54" s="64">
        <f>F18*(1+F74)</f>
        <v>775.12500000000011</v>
      </c>
      <c r="H54" s="73">
        <f>G54*F54</f>
        <v>0</v>
      </c>
      <c r="I54" s="27"/>
      <c r="J54" s="72">
        <f>'Res (100)'!J54</f>
        <v>0</v>
      </c>
      <c r="K54" s="65">
        <f>F18*(1+J74)</f>
        <v>775.12500000000011</v>
      </c>
      <c r="L54" s="73">
        <f>K54*J54</f>
        <v>0</v>
      </c>
      <c r="M54" s="27"/>
      <c r="N54" s="30"/>
      <c r="O54" s="74"/>
      <c r="Q54" s="107"/>
      <c r="S54" s="107"/>
      <c r="U54" s="107"/>
      <c r="W54" s="107"/>
    </row>
    <row r="55" spans="2:23" x14ac:dyDescent="0.25">
      <c r="B55" s="49" t="s">
        <v>36</v>
      </c>
      <c r="C55" s="21"/>
      <c r="D55" s="22"/>
      <c r="E55" s="23"/>
      <c r="F55" s="72">
        <f>'Res (100)'!F55</f>
        <v>6.5000000000000002E-2</v>
      </c>
      <c r="G55" s="77">
        <f>0.65*$F$18</f>
        <v>487.5</v>
      </c>
      <c r="H55" s="73">
        <f t="shared" si="15"/>
        <v>31.6875</v>
      </c>
      <c r="I55" s="27"/>
      <c r="J55" s="72">
        <f>F55</f>
        <v>6.5000000000000002E-2</v>
      </c>
      <c r="K55" s="77">
        <f>$G$55</f>
        <v>487.5</v>
      </c>
      <c r="L55" s="73">
        <f t="shared" si="14"/>
        <v>31.6875</v>
      </c>
      <c r="M55" s="27"/>
      <c r="N55" s="30">
        <f t="shared" si="13"/>
        <v>0</v>
      </c>
      <c r="O55" s="74">
        <f t="shared" si="12"/>
        <v>0</v>
      </c>
      <c r="Q55" s="107"/>
      <c r="S55" s="107"/>
      <c r="U55" s="107"/>
      <c r="W55" s="107"/>
    </row>
    <row r="56" spans="2:23" x14ac:dyDescent="0.25">
      <c r="B56" s="49" t="s">
        <v>37</v>
      </c>
      <c r="C56" s="21"/>
      <c r="D56" s="22"/>
      <c r="E56" s="23"/>
      <c r="F56" s="72">
        <f>'Res (100)'!F56</f>
        <v>9.5000000000000001E-2</v>
      </c>
      <c r="G56" s="77">
        <f>0.17*$F$18</f>
        <v>127.50000000000001</v>
      </c>
      <c r="H56" s="73">
        <f t="shared" si="15"/>
        <v>12.112500000000001</v>
      </c>
      <c r="I56" s="27"/>
      <c r="J56" s="72">
        <f>F56</f>
        <v>9.5000000000000001E-2</v>
      </c>
      <c r="K56" s="77">
        <f>$G$56</f>
        <v>127.50000000000001</v>
      </c>
      <c r="L56" s="73">
        <f t="shared" si="14"/>
        <v>12.112500000000001</v>
      </c>
      <c r="M56" s="27"/>
      <c r="N56" s="30">
        <f t="shared" si="13"/>
        <v>0</v>
      </c>
      <c r="O56" s="74">
        <f t="shared" si="12"/>
        <v>0</v>
      </c>
      <c r="Q56" s="107"/>
      <c r="S56" s="107"/>
      <c r="U56" s="107"/>
      <c r="W56" s="107"/>
    </row>
    <row r="57" spans="2:23" x14ac:dyDescent="0.25">
      <c r="B57" s="11" t="s">
        <v>38</v>
      </c>
      <c r="C57" s="21"/>
      <c r="D57" s="22"/>
      <c r="E57" s="23"/>
      <c r="F57" s="72">
        <f>'Res (100)'!F57</f>
        <v>0.13200000000000001</v>
      </c>
      <c r="G57" s="77">
        <f>0.18*$F$18</f>
        <v>135</v>
      </c>
      <c r="H57" s="73">
        <f t="shared" si="15"/>
        <v>17.82</v>
      </c>
      <c r="I57" s="27"/>
      <c r="J57" s="72">
        <f>F57</f>
        <v>0.13200000000000001</v>
      </c>
      <c r="K57" s="77">
        <f>$G$57</f>
        <v>135</v>
      </c>
      <c r="L57" s="73">
        <f t="shared" si="14"/>
        <v>17.82</v>
      </c>
      <c r="M57" s="27"/>
      <c r="N57" s="30">
        <f t="shared" si="13"/>
        <v>0</v>
      </c>
      <c r="O57" s="74">
        <f t="shared" si="12"/>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2"/>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150</v>
      </c>
      <c r="H59" s="73">
        <f>G59*F59</f>
        <v>13.5</v>
      </c>
      <c r="I59" s="83"/>
      <c r="J59" s="72">
        <f>F59</f>
        <v>0.09</v>
      </c>
      <c r="K59" s="82">
        <f>$G$59</f>
        <v>150</v>
      </c>
      <c r="L59" s="73">
        <f>K59*J59</f>
        <v>13.5</v>
      </c>
      <c r="M59" s="83"/>
      <c r="N59" s="84">
        <f t="shared" si="13"/>
        <v>0</v>
      </c>
      <c r="O59" s="74">
        <f t="shared" si="12"/>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103.52802875000002</v>
      </c>
      <c r="I61" s="100"/>
      <c r="J61" s="101"/>
      <c r="K61" s="101"/>
      <c r="L61" s="254">
        <f>SUM(L51:L57,L50)</f>
        <v>104.8128025</v>
      </c>
      <c r="M61" s="102"/>
      <c r="N61" s="103">
        <f t="shared" ref="N61" si="16">L61-H61</f>
        <v>1.2847737499999852</v>
      </c>
      <c r="O61" s="104">
        <f t="shared" ref="O61" si="17">IF((H61)=0,"",(N61/H61))</f>
        <v>1.2409912228720813E-2</v>
      </c>
      <c r="Q61" s="102"/>
      <c r="S61" s="102"/>
      <c r="U61" s="102"/>
      <c r="W61" s="102"/>
    </row>
    <row r="62" spans="2:23" x14ac:dyDescent="0.25">
      <c r="B62" s="105" t="s">
        <v>42</v>
      </c>
      <c r="C62" s="21"/>
      <c r="D62" s="21"/>
      <c r="E62" s="21"/>
      <c r="F62" s="106">
        <v>0.13</v>
      </c>
      <c r="G62" s="107"/>
      <c r="H62" s="108">
        <f>H61*F62</f>
        <v>13.458643737500003</v>
      </c>
      <c r="I62" s="109"/>
      <c r="J62" s="110">
        <v>0.13</v>
      </c>
      <c r="K62" s="109"/>
      <c r="L62" s="111">
        <f>L61*J62</f>
        <v>13.625664325000001</v>
      </c>
      <c r="M62" s="112"/>
      <c r="N62" s="113">
        <f t="shared" si="13"/>
        <v>0.16702058749999793</v>
      </c>
      <c r="O62" s="114">
        <f t="shared" si="12"/>
        <v>1.2409912228720803E-2</v>
      </c>
      <c r="Q62" s="112"/>
      <c r="S62" s="112"/>
      <c r="U62" s="112"/>
      <c r="W62" s="112"/>
    </row>
    <row r="63" spans="2:23" x14ac:dyDescent="0.25">
      <c r="B63" s="250" t="s">
        <v>43</v>
      </c>
      <c r="C63" s="21"/>
      <c r="D63" s="21"/>
      <c r="E63" s="21"/>
      <c r="F63" s="106"/>
      <c r="G63" s="107"/>
      <c r="H63" s="99">
        <f>H61+H62</f>
        <v>116.98667248750002</v>
      </c>
      <c r="I63" s="252"/>
      <c r="J63" s="109"/>
      <c r="K63" s="109"/>
      <c r="L63" s="103">
        <f>L61+L62</f>
        <v>118.43846682500001</v>
      </c>
      <c r="M63" s="112"/>
      <c r="N63" s="103">
        <f t="shared" si="13"/>
        <v>1.4517943374999902</v>
      </c>
      <c r="O63" s="104">
        <f>IF((H63)=0,"",(N63/H63))</f>
        <v>1.2409912228720874E-2</v>
      </c>
      <c r="Q63" s="112"/>
      <c r="S63" s="112"/>
      <c r="U63" s="112"/>
      <c r="W63" s="112"/>
    </row>
    <row r="64" spans="2:23" x14ac:dyDescent="0.25">
      <c r="B64" s="249" t="s">
        <v>137</v>
      </c>
      <c r="C64" s="21"/>
      <c r="D64" s="21"/>
      <c r="E64" s="21"/>
      <c r="F64" s="106">
        <v>-0.08</v>
      </c>
      <c r="G64" s="107"/>
      <c r="H64" s="257">
        <f>F64*H61</f>
        <v>-8.2822423000000018</v>
      </c>
      <c r="I64" s="112"/>
      <c r="J64" s="106">
        <v>-0.08</v>
      </c>
      <c r="K64" s="248"/>
      <c r="L64" s="257">
        <f>J64*L61</f>
        <v>-8.3850242000000001</v>
      </c>
      <c r="M64" s="112"/>
      <c r="N64" s="257">
        <f t="shared" si="13"/>
        <v>-0.10278189999999832</v>
      </c>
      <c r="O64" s="114">
        <f>IF((H64)=0,"",(N64/H64))</f>
        <v>1.2409912228720753E-2</v>
      </c>
      <c r="Q64" s="112"/>
      <c r="S64" s="112"/>
      <c r="U64" s="112"/>
      <c r="W64" s="112"/>
    </row>
    <row r="65" spans="2:23" ht="13.8" thickBot="1" x14ac:dyDescent="0.3">
      <c r="B65" s="294" t="s">
        <v>138</v>
      </c>
      <c r="C65" s="294"/>
      <c r="D65" s="294"/>
      <c r="E65" s="21"/>
      <c r="F65" s="256"/>
      <c r="G65" s="107"/>
      <c r="H65" s="251">
        <f>SUM(H63:H64)</f>
        <v>108.70443018750001</v>
      </c>
      <c r="I65" s="112"/>
      <c r="J65" s="253"/>
      <c r="K65" s="248"/>
      <c r="L65" s="251">
        <f>SUM(L63:L64)</f>
        <v>110.053442625</v>
      </c>
      <c r="M65" s="112"/>
      <c r="N65" s="103">
        <f t="shared" si="13"/>
        <v>1.3490124374999937</v>
      </c>
      <c r="O65" s="104">
        <f>IF((H65)=0,"",(N65/H65))</f>
        <v>1.24099122287209E-2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101.60802875000003</v>
      </c>
      <c r="I67" s="128"/>
      <c r="J67" s="129"/>
      <c r="K67" s="129"/>
      <c r="L67" s="127">
        <f>SUM(L58:L59,L50,L51:L54)</f>
        <v>102.89280250000003</v>
      </c>
      <c r="M67" s="130"/>
      <c r="N67" s="131">
        <f t="shared" ref="N67:N71" si="18">L67-H67</f>
        <v>1.2847737499999994</v>
      </c>
      <c r="O67" s="104">
        <f t="shared" ref="O67:O71" si="19">IF((H67)=0,"",(N67/H67))</f>
        <v>1.264441172420638E-2</v>
      </c>
      <c r="Q67" s="130"/>
      <c r="R67" s="204"/>
      <c r="S67" s="130"/>
      <c r="T67" s="204"/>
      <c r="U67" s="130"/>
      <c r="V67" s="204"/>
      <c r="W67" s="130"/>
    </row>
    <row r="68" spans="2:23" s="85" customFormat="1" x14ac:dyDescent="0.25">
      <c r="B68" s="132" t="s">
        <v>42</v>
      </c>
      <c r="C68" s="79"/>
      <c r="D68" s="79"/>
      <c r="E68" s="79"/>
      <c r="F68" s="133">
        <v>0.13</v>
      </c>
      <c r="G68" s="126"/>
      <c r="H68" s="134">
        <f>H67*F68</f>
        <v>13.209043737500004</v>
      </c>
      <c r="I68" s="135"/>
      <c r="J68" s="136">
        <v>0.13</v>
      </c>
      <c r="K68" s="137"/>
      <c r="L68" s="138">
        <f>L67*J68</f>
        <v>13.376064325000005</v>
      </c>
      <c r="M68" s="139"/>
      <c r="N68" s="140">
        <f t="shared" si="18"/>
        <v>0.16702058750000148</v>
      </c>
      <c r="O68" s="114">
        <f t="shared" si="19"/>
        <v>1.26444117242065E-2</v>
      </c>
      <c r="Q68" s="139"/>
      <c r="R68" s="204"/>
      <c r="S68" s="139"/>
      <c r="T68" s="204"/>
      <c r="U68" s="139"/>
      <c r="V68" s="204"/>
      <c r="W68" s="139"/>
    </row>
    <row r="69" spans="2:23" s="85" customFormat="1" x14ac:dyDescent="0.25">
      <c r="B69" s="258" t="s">
        <v>43</v>
      </c>
      <c r="C69" s="79"/>
      <c r="D69" s="79"/>
      <c r="E69" s="79"/>
      <c r="F69" s="142"/>
      <c r="G69" s="143"/>
      <c r="H69" s="127">
        <f>H67+H68</f>
        <v>114.81707248750004</v>
      </c>
      <c r="I69" s="135"/>
      <c r="J69" s="135"/>
      <c r="K69" s="135"/>
      <c r="L69" s="211">
        <f>L67+L68</f>
        <v>116.26886682500003</v>
      </c>
      <c r="M69" s="139"/>
      <c r="N69" s="131">
        <f t="shared" si="18"/>
        <v>1.4517943374999902</v>
      </c>
      <c r="O69" s="104">
        <f t="shared" si="19"/>
        <v>1.26444117242063E-2</v>
      </c>
      <c r="Q69" s="139"/>
      <c r="R69" s="204"/>
      <c r="S69" s="139"/>
      <c r="T69" s="204"/>
      <c r="U69" s="139"/>
      <c r="V69" s="204"/>
      <c r="W69" s="139"/>
    </row>
    <row r="70" spans="2:23" s="85" customFormat="1" x14ac:dyDescent="0.25">
      <c r="B70" s="249" t="s">
        <v>137</v>
      </c>
      <c r="C70" s="21"/>
      <c r="D70" s="21"/>
      <c r="E70" s="79"/>
      <c r="F70" s="106">
        <v>-0.08</v>
      </c>
      <c r="G70" s="143"/>
      <c r="H70" s="257">
        <f>F70*H67</f>
        <v>-8.1286423000000028</v>
      </c>
      <c r="I70" s="135"/>
      <c r="J70" s="106">
        <v>-0.08</v>
      </c>
      <c r="K70" s="135"/>
      <c r="L70" s="257">
        <f>J70*L67</f>
        <v>-8.2314242000000029</v>
      </c>
      <c r="M70" s="139"/>
      <c r="N70" s="131">
        <f t="shared" si="18"/>
        <v>-0.10278190000000009</v>
      </c>
      <c r="O70" s="104">
        <f t="shared" si="19"/>
        <v>1.2644411724206397E-2</v>
      </c>
      <c r="Q70" s="139"/>
      <c r="R70" s="204"/>
      <c r="S70" s="139"/>
      <c r="T70" s="204"/>
      <c r="U70" s="139"/>
      <c r="V70" s="204"/>
      <c r="W70" s="139"/>
    </row>
    <row r="71" spans="2:23" s="85" customFormat="1" ht="13.8" thickBot="1" x14ac:dyDescent="0.3">
      <c r="B71" s="294" t="s">
        <v>138</v>
      </c>
      <c r="C71" s="294"/>
      <c r="D71" s="294"/>
      <c r="E71" s="79"/>
      <c r="F71" s="142"/>
      <c r="G71" s="143"/>
      <c r="H71" s="251">
        <f>SUM(H69:H70)</f>
        <v>106.68843018750005</v>
      </c>
      <c r="I71" s="135"/>
      <c r="J71" s="135"/>
      <c r="K71" s="135"/>
      <c r="L71" s="251">
        <f>SUM(L69:L70)</f>
        <v>108.03744262500003</v>
      </c>
      <c r="M71" s="139"/>
      <c r="N71" s="131">
        <f t="shared" si="18"/>
        <v>1.3490124374999795</v>
      </c>
      <c r="O71" s="104">
        <f t="shared" si="19"/>
        <v>1.2644411724206193E-2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105.30802875000002</v>
      </c>
      <c r="I77" s="100"/>
      <c r="J77" s="101"/>
      <c r="K77" s="101"/>
      <c r="L77" s="99">
        <f>+L61-L31-L40-L41-L42</f>
        <v>105.7128025</v>
      </c>
      <c r="M77" s="102"/>
      <c r="N77" s="103">
        <f t="shared" ref="N77:N79" si="20">L77-H77</f>
        <v>0.40477374999997551</v>
      </c>
      <c r="O77" s="104">
        <f t="shared" ref="O77:O79" si="21">IF((H77)=0,"",(N77/H77))</f>
        <v>3.8437121538083623E-3</v>
      </c>
      <c r="Q77" s="102"/>
      <c r="S77" s="102"/>
      <c r="U77" s="102"/>
      <c r="W77" s="102"/>
    </row>
    <row r="78" spans="2:23" x14ac:dyDescent="0.25">
      <c r="B78" s="105" t="s">
        <v>42</v>
      </c>
      <c r="C78" s="21"/>
      <c r="D78" s="21"/>
      <c r="E78" s="21"/>
      <c r="F78" s="106">
        <v>0.13</v>
      </c>
      <c r="G78" s="107"/>
      <c r="H78" s="108">
        <f>H77*F78</f>
        <v>13.690043737500003</v>
      </c>
      <c r="I78" s="109"/>
      <c r="J78" s="110">
        <v>0.13</v>
      </c>
      <c r="K78" s="109"/>
      <c r="L78" s="111">
        <f>L77*J78</f>
        <v>13.742664325</v>
      </c>
      <c r="M78" s="112"/>
      <c r="N78" s="113">
        <f t="shared" si="20"/>
        <v>5.2620587499996319E-2</v>
      </c>
      <c r="O78" s="114">
        <f t="shared" si="21"/>
        <v>3.8437121538083254E-3</v>
      </c>
      <c r="Q78" s="112"/>
      <c r="S78" s="112"/>
      <c r="U78" s="112"/>
      <c r="W78" s="112"/>
    </row>
    <row r="79" spans="2:23" x14ac:dyDescent="0.25">
      <c r="B79" s="209" t="s">
        <v>43</v>
      </c>
      <c r="C79" s="210"/>
      <c r="D79" s="210"/>
      <c r="E79" s="210"/>
      <c r="F79" s="205"/>
      <c r="G79" s="206"/>
      <c r="H79" s="216">
        <f>H77+H78</f>
        <v>118.99807248750002</v>
      </c>
      <c r="I79" s="207"/>
      <c r="J79" s="207"/>
      <c r="K79" s="207"/>
      <c r="L79" s="215">
        <f>L77+L78</f>
        <v>119.455466825</v>
      </c>
      <c r="M79" s="208"/>
      <c r="N79" s="214">
        <f t="shared" si="20"/>
        <v>0.45739433749997715</v>
      </c>
      <c r="O79" s="213">
        <f t="shared" si="21"/>
        <v>3.8437121538084026E-3</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E48:E49 E72 E66 E23:E38 E40:E46 E51:E60">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4930"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800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800</v>
      </c>
      <c r="H29" s="26">
        <f t="shared" si="0"/>
        <v>12.08</v>
      </c>
      <c r="I29" s="27"/>
      <c r="J29" s="28">
        <f>+'Res (100)'!J29</f>
        <v>1.0500000000000001E-2</v>
      </c>
      <c r="K29" s="25">
        <f>$F$18</f>
        <v>800</v>
      </c>
      <c r="L29" s="26">
        <f t="shared" si="1"/>
        <v>8.4</v>
      </c>
      <c r="M29" s="27"/>
      <c r="N29" s="30">
        <f t="shared" si="2"/>
        <v>-3.6799999999999997</v>
      </c>
      <c r="O29" s="31">
        <f t="shared" si="3"/>
        <v>-0.30463576158940397</v>
      </c>
      <c r="Q29" s="107"/>
      <c r="S29" s="107"/>
      <c r="U29" s="107"/>
      <c r="W29" s="107"/>
    </row>
    <row r="30" spans="2:23" x14ac:dyDescent="0.25">
      <c r="B30" s="21" t="s">
        <v>21</v>
      </c>
      <c r="C30" s="21"/>
      <c r="D30" s="22"/>
      <c r="E30" s="23"/>
      <c r="F30" s="24"/>
      <c r="G30" s="25">
        <f t="shared" ref="G30" si="4">$F$18</f>
        <v>800</v>
      </c>
      <c r="H30" s="26">
        <f t="shared" si="0"/>
        <v>0</v>
      </c>
      <c r="I30" s="27"/>
      <c r="J30" s="28"/>
      <c r="K30" s="25">
        <f t="shared" ref="K30:K38" si="5">$F$18</f>
        <v>800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800</v>
      </c>
      <c r="H31" s="26">
        <f>G31*F31</f>
        <v>0</v>
      </c>
      <c r="I31" s="27"/>
      <c r="J31" s="52">
        <f>+'Res (100)'!J31</f>
        <v>0</v>
      </c>
      <c r="K31" s="25">
        <f t="shared" si="5"/>
        <v>800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800</v>
      </c>
      <c r="H32" s="26">
        <f t="shared" si="0"/>
        <v>0</v>
      </c>
      <c r="I32" s="27"/>
      <c r="J32" s="28"/>
      <c r="K32" s="25">
        <f t="shared" si="5"/>
        <v>800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800</v>
      </c>
      <c r="H33" s="26">
        <f t="shared" si="0"/>
        <v>0</v>
      </c>
      <c r="I33" s="27"/>
      <c r="J33" s="28"/>
      <c r="K33" s="25">
        <f t="shared" si="5"/>
        <v>800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800</v>
      </c>
      <c r="H34" s="26">
        <f t="shared" si="0"/>
        <v>0</v>
      </c>
      <c r="I34" s="27"/>
      <c r="J34" s="28"/>
      <c r="K34" s="25">
        <f t="shared" si="5"/>
        <v>800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800</v>
      </c>
      <c r="H35" s="26">
        <f t="shared" si="0"/>
        <v>0</v>
      </c>
      <c r="I35" s="27"/>
      <c r="J35" s="28"/>
      <c r="K35" s="25">
        <f t="shared" si="5"/>
        <v>800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800</v>
      </c>
      <c r="H36" s="26">
        <f t="shared" si="0"/>
        <v>0</v>
      </c>
      <c r="I36" s="27"/>
      <c r="J36" s="28"/>
      <c r="K36" s="25">
        <f t="shared" si="5"/>
        <v>800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800</v>
      </c>
      <c r="H37" s="26">
        <f t="shared" si="0"/>
        <v>0</v>
      </c>
      <c r="I37" s="27"/>
      <c r="J37" s="28"/>
      <c r="K37" s="25">
        <f t="shared" si="5"/>
        <v>800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800</v>
      </c>
      <c r="H38" s="26">
        <f t="shared" si="0"/>
        <v>0</v>
      </c>
      <c r="I38" s="27"/>
      <c r="J38" s="28"/>
      <c r="K38" s="25">
        <f t="shared" si="5"/>
        <v>800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28.68</v>
      </c>
      <c r="I39" s="40"/>
      <c r="J39" s="41"/>
      <c r="K39" s="42"/>
      <c r="L39" s="39">
        <f>SUM(L23:L38)</f>
        <v>28.910000000000004</v>
      </c>
      <c r="M39" s="40"/>
      <c r="N39" s="43">
        <f t="shared" si="2"/>
        <v>0.23000000000000398</v>
      </c>
      <c r="O39" s="44">
        <f t="shared" si="3"/>
        <v>8.0195258019527191E-3</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800</v>
      </c>
      <c r="H40" s="26">
        <f>G40*F40</f>
        <v>-0.08</v>
      </c>
      <c r="I40" s="27"/>
      <c r="J40" s="28">
        <f>+'Res (100)'!J40</f>
        <v>-4.0000000000000002E-4</v>
      </c>
      <c r="K40" s="25">
        <f>$F$18</f>
        <v>800</v>
      </c>
      <c r="L40" s="26">
        <f>K40*J40</f>
        <v>-0.32</v>
      </c>
      <c r="M40" s="27"/>
      <c r="N40" s="30">
        <f>L40-H40</f>
        <v>-0.24</v>
      </c>
      <c r="O40" s="31">
        <f>IF((H40)=0,"",(N40/H40))</f>
        <v>3</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800</v>
      </c>
      <c r="H42" s="26">
        <f t="shared" si="7"/>
        <v>-1.8399999999999999</v>
      </c>
      <c r="I42" s="47"/>
      <c r="J42" s="28">
        <f>+'Res (100)'!J42</f>
        <v>-8.0000000000000004E-4</v>
      </c>
      <c r="K42" s="25">
        <f t="shared" ref="K42:K43" si="12">$F$18</f>
        <v>800</v>
      </c>
      <c r="L42" s="26">
        <f t="shared" si="8"/>
        <v>-0.64</v>
      </c>
      <c r="M42" s="48"/>
      <c r="N42" s="30">
        <f t="shared" si="9"/>
        <v>1.1999999999999997</v>
      </c>
      <c r="O42" s="31">
        <f t="shared" si="10"/>
        <v>-0.65217391304347816</v>
      </c>
      <c r="Q42" s="107"/>
      <c r="S42" s="107"/>
      <c r="U42" s="107"/>
      <c r="W42" s="107"/>
    </row>
    <row r="43" spans="2:23" ht="39.6" x14ac:dyDescent="0.25">
      <c r="B43" s="46" t="s">
        <v>125</v>
      </c>
      <c r="C43" s="21"/>
      <c r="D43" s="22" t="s">
        <v>20</v>
      </c>
      <c r="E43" s="23"/>
      <c r="F43" s="24">
        <f>'Res (100)'!F43</f>
        <v>2.7E-4</v>
      </c>
      <c r="G43" s="25">
        <f t="shared" si="11"/>
        <v>800</v>
      </c>
      <c r="H43" s="26">
        <f t="shared" si="7"/>
        <v>0.216</v>
      </c>
      <c r="I43" s="47"/>
      <c r="J43" s="223">
        <f>+'Res (100)'!J43</f>
        <v>0</v>
      </c>
      <c r="K43" s="25">
        <f t="shared" si="12"/>
        <v>800</v>
      </c>
      <c r="L43" s="26">
        <f t="shared" si="8"/>
        <v>0</v>
      </c>
      <c r="M43" s="48"/>
      <c r="N43" s="30">
        <f t="shared" si="9"/>
        <v>-0.216</v>
      </c>
      <c r="O43" s="31">
        <f t="shared" si="10"/>
        <v>-1</v>
      </c>
      <c r="Q43" s="107"/>
      <c r="S43" s="107"/>
      <c r="U43" s="107"/>
      <c r="W43" s="107"/>
    </row>
    <row r="44" spans="2:23" x14ac:dyDescent="0.25">
      <c r="B44" s="49" t="s">
        <v>25</v>
      </c>
      <c r="C44" s="21"/>
      <c r="D44" s="22" t="s">
        <v>20</v>
      </c>
      <c r="E44" s="23"/>
      <c r="F44" s="50">
        <f>'Res (100)'!F44</f>
        <v>6.9999999999999994E-5</v>
      </c>
      <c r="G44" s="51">
        <f>$F$18*(1+F74)</f>
        <v>826.80000000000007</v>
      </c>
      <c r="H44" s="26">
        <f>G44*F44</f>
        <v>5.7875999999999997E-2</v>
      </c>
      <c r="I44" s="27"/>
      <c r="J44" s="52">
        <f>'Proposed Rates'!E126</f>
        <v>6.0000000000000002E-5</v>
      </c>
      <c r="K44" s="51">
        <f>$F$18*(1+J74)</f>
        <v>826.80000000000007</v>
      </c>
      <c r="L44" s="26">
        <f>K44*J44</f>
        <v>4.9608000000000006E-2</v>
      </c>
      <c r="M44" s="27"/>
      <c r="N44" s="30">
        <f>L44-H44</f>
        <v>-8.2679999999999906E-3</v>
      </c>
      <c r="O44" s="31">
        <f>IF((H44)=0,"",(N44/H44))</f>
        <v>-0.14285714285714271</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26.800000000000068</v>
      </c>
      <c r="H45" s="26">
        <f>G45*F45</f>
        <v>2.2018880000000061</v>
      </c>
      <c r="I45" s="27"/>
      <c r="J45" s="55">
        <f>0.65*$J$55+0.17*$J$56+0.18*$J$57</f>
        <v>8.2160000000000011E-2</v>
      </c>
      <c r="K45" s="54">
        <f>$F$18*(1+$J$74)-$F$18</f>
        <v>26.800000000000068</v>
      </c>
      <c r="L45" s="26">
        <f t="shared" si="8"/>
        <v>2.2018880000000061</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30.045764000000005</v>
      </c>
      <c r="I47" s="40"/>
      <c r="J47" s="59"/>
      <c r="K47" s="61"/>
      <c r="L47" s="60">
        <f>SUM(L40:L46)+L39</f>
        <v>30.991496000000009</v>
      </c>
      <c r="M47" s="40"/>
      <c r="N47" s="43">
        <f t="shared" ref="N47:N65" si="13">L47-H47</f>
        <v>0.94573200000000313</v>
      </c>
      <c r="O47" s="44">
        <f t="shared" si="10"/>
        <v>3.1476383825686807E-2</v>
      </c>
      <c r="Q47" s="107"/>
      <c r="S47" s="107"/>
      <c r="U47" s="107"/>
      <c r="W47" s="107"/>
    </row>
    <row r="48" spans="2:23" x14ac:dyDescent="0.25">
      <c r="B48" s="27" t="s">
        <v>29</v>
      </c>
      <c r="C48" s="27"/>
      <c r="D48" s="62" t="s">
        <v>20</v>
      </c>
      <c r="E48" s="63"/>
      <c r="F48" s="28">
        <f>'Res (100)'!F48</f>
        <v>7.4000000000000003E-3</v>
      </c>
      <c r="G48" s="64">
        <f>F18*(1+F74)</f>
        <v>826.80000000000007</v>
      </c>
      <c r="H48" s="26">
        <f>G48*F48</f>
        <v>6.1183200000000006</v>
      </c>
      <c r="I48" s="27"/>
      <c r="J48" s="28">
        <f>'Res (100)'!J48</f>
        <v>7.4999999999999997E-3</v>
      </c>
      <c r="K48" s="65">
        <f>F18*(1+J74)</f>
        <v>826.80000000000007</v>
      </c>
      <c r="L48" s="26">
        <f>K48*J48</f>
        <v>6.2010000000000005</v>
      </c>
      <c r="M48" s="27"/>
      <c r="N48" s="30">
        <f t="shared" si="13"/>
        <v>8.2679999999999865E-2</v>
      </c>
      <c r="O48" s="31">
        <f t="shared" si="10"/>
        <v>1.351351351351349E-2</v>
      </c>
      <c r="Q48" s="107"/>
      <c r="S48" s="107"/>
      <c r="U48" s="107"/>
      <c r="W48" s="107"/>
    </row>
    <row r="49" spans="2:23" ht="26.4" x14ac:dyDescent="0.25">
      <c r="B49" s="66" t="s">
        <v>30</v>
      </c>
      <c r="C49" s="27"/>
      <c r="D49" s="62" t="s">
        <v>20</v>
      </c>
      <c r="E49" s="63"/>
      <c r="F49" s="28">
        <f>'Res (100)'!F49</f>
        <v>4.7000000000000002E-3</v>
      </c>
      <c r="G49" s="64">
        <f>G48</f>
        <v>826.80000000000007</v>
      </c>
      <c r="H49" s="26">
        <f>G49*F49</f>
        <v>3.8859600000000003</v>
      </c>
      <c r="I49" s="27"/>
      <c r="J49" s="28">
        <f>'Res (100)'!J49</f>
        <v>4.7999999999999996E-3</v>
      </c>
      <c r="K49" s="65">
        <f>K48</f>
        <v>826.80000000000007</v>
      </c>
      <c r="L49" s="26">
        <f>K49*J49</f>
        <v>3.9686400000000002</v>
      </c>
      <c r="M49" s="27"/>
      <c r="N49" s="30">
        <f t="shared" si="13"/>
        <v>8.2679999999999865E-2</v>
      </c>
      <c r="O49" s="31">
        <f t="shared" si="10"/>
        <v>2.1276595744680816E-2</v>
      </c>
      <c r="Q49" s="107"/>
      <c r="S49" s="107"/>
      <c r="U49" s="107"/>
      <c r="W49" s="107"/>
    </row>
    <row r="50" spans="2:23" ht="26.4" x14ac:dyDescent="0.25">
      <c r="B50" s="56" t="s">
        <v>31</v>
      </c>
      <c r="C50" s="35"/>
      <c r="D50" s="35"/>
      <c r="E50" s="35"/>
      <c r="F50" s="67"/>
      <c r="G50" s="59"/>
      <c r="H50" s="60">
        <f>SUM(H47:H49)</f>
        <v>40.050044</v>
      </c>
      <c r="I50" s="68"/>
      <c r="J50" s="69"/>
      <c r="K50" s="70"/>
      <c r="L50" s="60">
        <f>SUM(L47:L49)</f>
        <v>41.161136000000006</v>
      </c>
      <c r="M50" s="68"/>
      <c r="N50" s="43">
        <f t="shared" si="13"/>
        <v>1.1110920000000064</v>
      </c>
      <c r="O50" s="44">
        <f t="shared" si="10"/>
        <v>2.7742591244094672E-2</v>
      </c>
      <c r="Q50" s="102"/>
      <c r="S50" s="102"/>
      <c r="U50" s="102"/>
      <c r="W50" s="102"/>
    </row>
    <row r="51" spans="2:23" ht="26.4" x14ac:dyDescent="0.25">
      <c r="B51" s="71" t="s">
        <v>32</v>
      </c>
      <c r="C51" s="21"/>
      <c r="D51" s="22" t="s">
        <v>20</v>
      </c>
      <c r="E51" s="23"/>
      <c r="F51" s="72">
        <f>'Res (100)'!F51</f>
        <v>3.5999999999999999E-3</v>
      </c>
      <c r="G51" s="64">
        <f>G49</f>
        <v>826.80000000000007</v>
      </c>
      <c r="H51" s="73">
        <f>G51*F51</f>
        <v>2.97648</v>
      </c>
      <c r="I51" s="27"/>
      <c r="J51" s="72">
        <f>F51</f>
        <v>3.5999999999999999E-3</v>
      </c>
      <c r="K51" s="65">
        <f>K49</f>
        <v>826.80000000000007</v>
      </c>
      <c r="L51" s="73">
        <f t="shared" ref="L51:L57" si="14">K51*J51</f>
        <v>2.97648</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826.80000000000007</v>
      </c>
      <c r="H52" s="73">
        <f t="shared" ref="H52:H57" si="15">G52*F52</f>
        <v>0.24804000000000001</v>
      </c>
      <c r="I52" s="27"/>
      <c r="J52" s="72">
        <f>F52</f>
        <v>2.9999999999999997E-4</v>
      </c>
      <c r="K52" s="65">
        <f>K49</f>
        <v>826.80000000000007</v>
      </c>
      <c r="L52" s="73">
        <f t="shared" si="14"/>
        <v>0.24804000000000001</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826.80000000000007</v>
      </c>
      <c r="H54" s="73">
        <f>G54*F54</f>
        <v>0</v>
      </c>
      <c r="I54" s="27"/>
      <c r="J54" s="72">
        <f>'Res (100)'!J54</f>
        <v>0</v>
      </c>
      <c r="K54" s="65">
        <f>F18*(1+J74)</f>
        <v>826.80000000000007</v>
      </c>
      <c r="L54" s="73">
        <f>K54*J54</f>
        <v>0</v>
      </c>
      <c r="M54" s="27"/>
      <c r="N54" s="30"/>
      <c r="O54" s="74"/>
      <c r="Q54" s="107"/>
      <c r="S54" s="107"/>
      <c r="U54" s="107"/>
      <c r="W54" s="107"/>
    </row>
    <row r="55" spans="2:23" x14ac:dyDescent="0.25">
      <c r="B55" s="49" t="s">
        <v>36</v>
      </c>
      <c r="C55" s="21"/>
      <c r="D55" s="22"/>
      <c r="E55" s="23"/>
      <c r="F55" s="72">
        <f>'Res (100)'!F55</f>
        <v>6.5000000000000002E-2</v>
      </c>
      <c r="G55" s="77">
        <f>0.65*$F$18</f>
        <v>520</v>
      </c>
      <c r="H55" s="73">
        <f t="shared" si="15"/>
        <v>33.800000000000004</v>
      </c>
      <c r="I55" s="27"/>
      <c r="J55" s="72">
        <f>F55</f>
        <v>6.5000000000000002E-2</v>
      </c>
      <c r="K55" s="77">
        <f>$G$55</f>
        <v>520</v>
      </c>
      <c r="L55" s="73">
        <f t="shared" si="14"/>
        <v>33.800000000000004</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136</v>
      </c>
      <c r="H56" s="73">
        <f t="shared" si="15"/>
        <v>12.92</v>
      </c>
      <c r="I56" s="27"/>
      <c r="J56" s="72">
        <f>F56</f>
        <v>9.5000000000000001E-2</v>
      </c>
      <c r="K56" s="77">
        <f>$G$56</f>
        <v>136</v>
      </c>
      <c r="L56" s="73">
        <f t="shared" si="14"/>
        <v>12.92</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144</v>
      </c>
      <c r="H57" s="73">
        <f t="shared" si="15"/>
        <v>19.008000000000003</v>
      </c>
      <c r="I57" s="27"/>
      <c r="J57" s="72">
        <f>F57</f>
        <v>0.13200000000000001</v>
      </c>
      <c r="K57" s="77">
        <f>$G$57</f>
        <v>144</v>
      </c>
      <c r="L57" s="73">
        <f t="shared" si="14"/>
        <v>19.008000000000003</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200</v>
      </c>
      <c r="H59" s="73">
        <f>G59*F59</f>
        <v>18</v>
      </c>
      <c r="I59" s="83"/>
      <c r="J59" s="72">
        <f>F59</f>
        <v>0.09</v>
      </c>
      <c r="K59" s="82">
        <f>$G$59</f>
        <v>200</v>
      </c>
      <c r="L59" s="73">
        <f>K59*J59</f>
        <v>18</v>
      </c>
      <c r="M59" s="83"/>
      <c r="N59" s="84">
        <f t="shared" si="13"/>
        <v>0</v>
      </c>
      <c r="O59" s="74">
        <f t="shared" si="10"/>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109.25256400000001</v>
      </c>
      <c r="I61" s="100"/>
      <c r="J61" s="101"/>
      <c r="K61" s="101"/>
      <c r="L61" s="254">
        <f>SUM(L51:L57,L50)</f>
        <v>110.36365600000002</v>
      </c>
      <c r="M61" s="102"/>
      <c r="N61" s="103">
        <f t="shared" ref="N61" si="16">L61-H61</f>
        <v>1.1110920000000135</v>
      </c>
      <c r="O61" s="104">
        <f t="shared" ref="O61" si="17">IF((H61)=0,"",(N61/H61))</f>
        <v>1.0169939810291441E-2</v>
      </c>
      <c r="Q61" s="102"/>
      <c r="S61" s="102"/>
      <c r="U61" s="102"/>
      <c r="W61" s="102"/>
    </row>
    <row r="62" spans="2:23" x14ac:dyDescent="0.25">
      <c r="B62" s="105" t="s">
        <v>42</v>
      </c>
      <c r="C62" s="21"/>
      <c r="D62" s="21"/>
      <c r="E62" s="21"/>
      <c r="F62" s="106">
        <v>0.13</v>
      </c>
      <c r="G62" s="107"/>
      <c r="H62" s="108">
        <f>H61*F62</f>
        <v>14.202833320000002</v>
      </c>
      <c r="I62" s="109"/>
      <c r="J62" s="110">
        <v>0.13</v>
      </c>
      <c r="K62" s="109"/>
      <c r="L62" s="111">
        <f>L61*J62</f>
        <v>14.347275280000003</v>
      </c>
      <c r="M62" s="112"/>
      <c r="N62" s="113">
        <f t="shared" si="13"/>
        <v>0.14444196000000176</v>
      </c>
      <c r="O62" s="114">
        <f t="shared" si="10"/>
        <v>1.0169939810291439E-2</v>
      </c>
      <c r="Q62" s="112"/>
      <c r="S62" s="112"/>
      <c r="U62" s="112"/>
      <c r="W62" s="112"/>
    </row>
    <row r="63" spans="2:23" x14ac:dyDescent="0.25">
      <c r="B63" s="250" t="s">
        <v>43</v>
      </c>
      <c r="C63" s="21"/>
      <c r="D63" s="21"/>
      <c r="E63" s="21"/>
      <c r="F63" s="106"/>
      <c r="G63" s="107"/>
      <c r="H63" s="99">
        <f>H61+H62</f>
        <v>123.45539732</v>
      </c>
      <c r="I63" s="252"/>
      <c r="J63" s="109"/>
      <c r="K63" s="109"/>
      <c r="L63" s="103">
        <f>L61+L62</f>
        <v>124.71093128000003</v>
      </c>
      <c r="M63" s="112"/>
      <c r="N63" s="103">
        <f t="shared" si="13"/>
        <v>1.2555339600000224</v>
      </c>
      <c r="O63" s="104">
        <f>IF((H63)=0,"",(N63/H63))</f>
        <v>1.0169939810291498E-2</v>
      </c>
      <c r="Q63" s="112"/>
      <c r="S63" s="112"/>
      <c r="U63" s="112"/>
      <c r="W63" s="112"/>
    </row>
    <row r="64" spans="2:23" x14ac:dyDescent="0.25">
      <c r="B64" s="249" t="s">
        <v>137</v>
      </c>
      <c r="C64" s="21"/>
      <c r="D64" s="21"/>
      <c r="E64" s="21"/>
      <c r="F64" s="106">
        <v>-0.08</v>
      </c>
      <c r="G64" s="107"/>
      <c r="H64" s="257">
        <f>F64*H61</f>
        <v>-8.7402051200000006</v>
      </c>
      <c r="I64" s="112"/>
      <c r="J64" s="106">
        <v>-0.08</v>
      </c>
      <c r="K64" s="248"/>
      <c r="L64" s="257">
        <f>J64*L61</f>
        <v>-8.8290924800000017</v>
      </c>
      <c r="M64" s="112"/>
      <c r="N64" s="257">
        <f t="shared" si="13"/>
        <v>-8.8887360000001081E-2</v>
      </c>
      <c r="O64" s="114">
        <f>IF((H64)=0,"",(N64/H64))</f>
        <v>1.0169939810291441E-2</v>
      </c>
      <c r="Q64" s="112"/>
      <c r="S64" s="112"/>
      <c r="U64" s="112"/>
      <c r="W64" s="112"/>
    </row>
    <row r="65" spans="2:23" ht="13.8" thickBot="1" x14ac:dyDescent="0.3">
      <c r="B65" s="294" t="s">
        <v>138</v>
      </c>
      <c r="C65" s="294"/>
      <c r="D65" s="294"/>
      <c r="E65" s="21"/>
      <c r="F65" s="256"/>
      <c r="G65" s="107"/>
      <c r="H65" s="251">
        <f>SUM(H63:H64)</f>
        <v>114.7151922</v>
      </c>
      <c r="I65" s="112"/>
      <c r="J65" s="253"/>
      <c r="K65" s="248"/>
      <c r="L65" s="251">
        <f>SUM(L63:L64)</f>
        <v>115.88183880000003</v>
      </c>
      <c r="M65" s="112"/>
      <c r="N65" s="103">
        <f t="shared" si="13"/>
        <v>1.1666466000000213</v>
      </c>
      <c r="O65" s="104">
        <f>IF((H65)=0,"",(N65/H65))</f>
        <v>1.0169939810291503E-2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107.724564</v>
      </c>
      <c r="I67" s="128"/>
      <c r="J67" s="129"/>
      <c r="K67" s="129"/>
      <c r="L67" s="127">
        <f>SUM(L58:L59,L50,L51:L54)</f>
        <v>108.83565600000001</v>
      </c>
      <c r="M67" s="130"/>
      <c r="N67" s="131">
        <f t="shared" ref="N67:N71" si="18">L67-H67</f>
        <v>1.1110920000000135</v>
      </c>
      <c r="O67" s="104">
        <f t="shared" ref="O67:O71" si="19">IF((H67)=0,"",(N67/H67))</f>
        <v>1.0314193520430618E-2</v>
      </c>
      <c r="Q67" s="130"/>
      <c r="R67" s="204"/>
      <c r="S67" s="130"/>
      <c r="T67" s="204"/>
      <c r="U67" s="130"/>
      <c r="V67" s="204"/>
      <c r="W67" s="130"/>
    </row>
    <row r="68" spans="2:23" s="85" customFormat="1" x14ac:dyDescent="0.25">
      <c r="B68" s="132" t="s">
        <v>42</v>
      </c>
      <c r="C68" s="79"/>
      <c r="D68" s="79"/>
      <c r="E68" s="79"/>
      <c r="F68" s="133">
        <v>0.13</v>
      </c>
      <c r="G68" s="126"/>
      <c r="H68" s="134">
        <f>H67*F68</f>
        <v>14.004193320000001</v>
      </c>
      <c r="I68" s="135"/>
      <c r="J68" s="136">
        <v>0.13</v>
      </c>
      <c r="K68" s="137"/>
      <c r="L68" s="138">
        <f>L67*J68</f>
        <v>14.148635280000002</v>
      </c>
      <c r="M68" s="139"/>
      <c r="N68" s="140">
        <f t="shared" si="18"/>
        <v>0.14444196000000176</v>
      </c>
      <c r="O68" s="114">
        <f t="shared" si="19"/>
        <v>1.0314193520430618E-2</v>
      </c>
      <c r="Q68" s="139"/>
      <c r="R68" s="204"/>
      <c r="S68" s="139"/>
      <c r="T68" s="204"/>
      <c r="U68" s="139"/>
      <c r="V68" s="204"/>
      <c r="W68" s="139"/>
    </row>
    <row r="69" spans="2:23" s="85" customFormat="1" x14ac:dyDescent="0.25">
      <c r="B69" s="258" t="s">
        <v>43</v>
      </c>
      <c r="C69" s="79"/>
      <c r="D69" s="79"/>
      <c r="E69" s="79"/>
      <c r="F69" s="142"/>
      <c r="G69" s="143"/>
      <c r="H69" s="127">
        <f>H67+H68</f>
        <v>121.72875732</v>
      </c>
      <c r="I69" s="135"/>
      <c r="J69" s="135"/>
      <c r="K69" s="135"/>
      <c r="L69" s="211">
        <f>L67+L68</f>
        <v>122.98429128000002</v>
      </c>
      <c r="M69" s="139"/>
      <c r="N69" s="131">
        <f t="shared" si="18"/>
        <v>1.2555339600000224</v>
      </c>
      <c r="O69" s="104">
        <f t="shared" si="19"/>
        <v>1.0314193520430677E-2</v>
      </c>
      <c r="Q69" s="139"/>
      <c r="R69" s="204"/>
      <c r="S69" s="139"/>
      <c r="T69" s="204"/>
      <c r="U69" s="139"/>
      <c r="V69" s="204"/>
      <c r="W69" s="139"/>
    </row>
    <row r="70" spans="2:23" s="85" customFormat="1" x14ac:dyDescent="0.25">
      <c r="B70" s="249" t="s">
        <v>137</v>
      </c>
      <c r="C70" s="21"/>
      <c r="D70" s="21"/>
      <c r="E70" s="79"/>
      <c r="F70" s="106">
        <v>-0.08</v>
      </c>
      <c r="G70" s="143"/>
      <c r="H70" s="257">
        <f>F70*H67</f>
        <v>-8.6179651200000009</v>
      </c>
      <c r="I70" s="135"/>
      <c r="J70" s="106">
        <v>-0.08</v>
      </c>
      <c r="K70" s="135"/>
      <c r="L70" s="257">
        <f>J70*L67</f>
        <v>-8.706852480000002</v>
      </c>
      <c r="M70" s="139"/>
      <c r="N70" s="131">
        <f t="shared" si="18"/>
        <v>-8.8887360000001081E-2</v>
      </c>
      <c r="O70" s="104">
        <f t="shared" si="19"/>
        <v>1.0314193520430618E-2</v>
      </c>
      <c r="Q70" s="139"/>
      <c r="R70" s="204"/>
      <c r="S70" s="139"/>
      <c r="T70" s="204"/>
      <c r="U70" s="139"/>
      <c r="V70" s="204"/>
      <c r="W70" s="139"/>
    </row>
    <row r="71" spans="2:23" s="85" customFormat="1" ht="13.8" thickBot="1" x14ac:dyDescent="0.3">
      <c r="B71" s="294" t="s">
        <v>138</v>
      </c>
      <c r="C71" s="294"/>
      <c r="D71" s="294"/>
      <c r="E71" s="79"/>
      <c r="F71" s="142"/>
      <c r="G71" s="143"/>
      <c r="H71" s="251">
        <f>SUM(H69:H70)</f>
        <v>113.11079219999999</v>
      </c>
      <c r="I71" s="135"/>
      <c r="J71" s="135"/>
      <c r="K71" s="135"/>
      <c r="L71" s="251">
        <f>SUM(L69:L70)</f>
        <v>114.27743880000003</v>
      </c>
      <c r="M71" s="139"/>
      <c r="N71" s="131">
        <f t="shared" si="18"/>
        <v>1.1666466000000355</v>
      </c>
      <c r="O71" s="104">
        <f t="shared" si="19"/>
        <v>1.0314193520430809E-2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111.15256400000001</v>
      </c>
      <c r="I77" s="100"/>
      <c r="J77" s="101"/>
      <c r="K77" s="101"/>
      <c r="L77" s="99">
        <f>+L61-L31-L40-L41-L42</f>
        <v>111.32365600000001</v>
      </c>
      <c r="M77" s="102"/>
      <c r="N77" s="103">
        <f t="shared" ref="N77:N79" si="20">L77-H77</f>
        <v>0.17109200000000158</v>
      </c>
      <c r="O77" s="104">
        <f t="shared" ref="O77:O79" si="21">IF((H77)=0,"",(N77/H77))</f>
        <v>1.5392537413711981E-3</v>
      </c>
      <c r="Q77" s="102"/>
      <c r="S77" s="102"/>
      <c r="U77" s="102"/>
      <c r="W77" s="102"/>
    </row>
    <row r="78" spans="2:23" x14ac:dyDescent="0.25">
      <c r="B78" s="105" t="s">
        <v>42</v>
      </c>
      <c r="C78" s="21"/>
      <c r="D78" s="21"/>
      <c r="E78" s="21"/>
      <c r="F78" s="106">
        <v>0.13</v>
      </c>
      <c r="G78" s="107"/>
      <c r="H78" s="108">
        <f>H77*F78</f>
        <v>14.449833320000002</v>
      </c>
      <c r="I78" s="109"/>
      <c r="J78" s="110">
        <v>0.13</v>
      </c>
      <c r="K78" s="109"/>
      <c r="L78" s="111">
        <f>L77*J78</f>
        <v>14.472075280000002</v>
      </c>
      <c r="M78" s="112"/>
      <c r="N78" s="113">
        <f t="shared" si="20"/>
        <v>2.224196000000056E-2</v>
      </c>
      <c r="O78" s="114">
        <f t="shared" si="21"/>
        <v>1.5392537413712229E-3</v>
      </c>
      <c r="Q78" s="112"/>
      <c r="S78" s="112"/>
      <c r="U78" s="112"/>
      <c r="W78" s="112"/>
    </row>
    <row r="79" spans="2:23" x14ac:dyDescent="0.25">
      <c r="B79" s="209" t="s">
        <v>43</v>
      </c>
      <c r="C79" s="210"/>
      <c r="D79" s="210"/>
      <c r="E79" s="210"/>
      <c r="F79" s="205"/>
      <c r="G79" s="206"/>
      <c r="H79" s="216">
        <f>H77+H78</f>
        <v>125.60239732000001</v>
      </c>
      <c r="I79" s="207"/>
      <c r="J79" s="207"/>
      <c r="K79" s="207"/>
      <c r="L79" s="215">
        <f>L77+L78</f>
        <v>125.79573128000001</v>
      </c>
      <c r="M79" s="208"/>
      <c r="N79" s="214">
        <f t="shared" si="20"/>
        <v>0.19333396000000391</v>
      </c>
      <c r="O79" s="213">
        <f t="shared" si="21"/>
        <v>1.5392537413712153E-3</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E48:E49 E72 E66 E23:E38 E40:E46 E51:E60">
      <formula1>#REF!</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5954"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1000</v>
      </c>
      <c r="H29" s="26">
        <f t="shared" si="0"/>
        <v>15.100000000000001</v>
      </c>
      <c r="I29" s="27"/>
      <c r="J29" s="28">
        <f>+'Res (100)'!J29</f>
        <v>1.0500000000000001E-2</v>
      </c>
      <c r="K29" s="25">
        <f>$F$18</f>
        <v>1000</v>
      </c>
      <c r="L29" s="26">
        <f t="shared" si="1"/>
        <v>10.5</v>
      </c>
      <c r="M29" s="27"/>
      <c r="N29" s="30">
        <f t="shared" si="2"/>
        <v>-4.6000000000000014</v>
      </c>
      <c r="O29" s="31">
        <f t="shared" si="3"/>
        <v>-0.30463576158940403</v>
      </c>
      <c r="Q29" s="107"/>
      <c r="S29" s="107"/>
      <c r="U29" s="107"/>
      <c r="W29" s="107"/>
    </row>
    <row r="30" spans="2:23" x14ac:dyDescent="0.25">
      <c r="B30" s="21" t="s">
        <v>21</v>
      </c>
      <c r="C30" s="21"/>
      <c r="D30" s="22"/>
      <c r="E30" s="23"/>
      <c r="F30" s="24"/>
      <c r="G30" s="25">
        <f t="shared" ref="G30" si="4">$F$18</f>
        <v>1000</v>
      </c>
      <c r="H30" s="26">
        <f t="shared" si="0"/>
        <v>0</v>
      </c>
      <c r="I30" s="27"/>
      <c r="J30" s="28"/>
      <c r="K30" s="25">
        <f t="shared" ref="K30:K38" si="5">$F$18</f>
        <v>1000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1000</v>
      </c>
      <c r="H31" s="26">
        <f>G31*F31</f>
        <v>0</v>
      </c>
      <c r="I31" s="27"/>
      <c r="J31" s="52">
        <f>+'Res (100)'!J31</f>
        <v>0</v>
      </c>
      <c r="K31" s="25">
        <f t="shared" si="5"/>
        <v>1000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1000</v>
      </c>
      <c r="H32" s="26">
        <f t="shared" si="0"/>
        <v>0</v>
      </c>
      <c r="I32" s="27"/>
      <c r="J32" s="28"/>
      <c r="K32" s="25">
        <f t="shared" si="5"/>
        <v>1000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1000</v>
      </c>
      <c r="H33" s="26">
        <f t="shared" si="0"/>
        <v>0</v>
      </c>
      <c r="I33" s="27"/>
      <c r="J33" s="28"/>
      <c r="K33" s="25">
        <f t="shared" si="5"/>
        <v>1000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1000</v>
      </c>
      <c r="H34" s="26">
        <f t="shared" si="0"/>
        <v>0</v>
      </c>
      <c r="I34" s="27"/>
      <c r="J34" s="28"/>
      <c r="K34" s="25">
        <f t="shared" si="5"/>
        <v>1000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1000</v>
      </c>
      <c r="H35" s="26">
        <f t="shared" si="0"/>
        <v>0</v>
      </c>
      <c r="I35" s="27"/>
      <c r="J35" s="28"/>
      <c r="K35" s="25">
        <f t="shared" si="5"/>
        <v>1000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1000</v>
      </c>
      <c r="H36" s="26">
        <f t="shared" si="0"/>
        <v>0</v>
      </c>
      <c r="I36" s="27"/>
      <c r="J36" s="28"/>
      <c r="K36" s="25">
        <f t="shared" si="5"/>
        <v>1000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1000</v>
      </c>
      <c r="H37" s="26">
        <f t="shared" si="0"/>
        <v>0</v>
      </c>
      <c r="I37" s="27"/>
      <c r="J37" s="28"/>
      <c r="K37" s="25">
        <f t="shared" si="5"/>
        <v>1000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1000</v>
      </c>
      <c r="H38" s="26">
        <f t="shared" si="0"/>
        <v>0</v>
      </c>
      <c r="I38" s="27"/>
      <c r="J38" s="28"/>
      <c r="K38" s="25">
        <f t="shared" si="5"/>
        <v>1000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31.700000000000003</v>
      </c>
      <c r="I39" s="40"/>
      <c r="J39" s="41"/>
      <c r="K39" s="42"/>
      <c r="L39" s="39">
        <f>SUM(L23:L38)</f>
        <v>31.01</v>
      </c>
      <c r="M39" s="40"/>
      <c r="N39" s="43">
        <f t="shared" si="2"/>
        <v>-0.69000000000000128</v>
      </c>
      <c r="O39" s="44">
        <f t="shared" si="3"/>
        <v>-2.176656151419562E-2</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1000</v>
      </c>
      <c r="H40" s="26">
        <f>G40*F40</f>
        <v>-0.1</v>
      </c>
      <c r="I40" s="27"/>
      <c r="J40" s="28">
        <f>+'Res (100)'!J40</f>
        <v>-4.0000000000000002E-4</v>
      </c>
      <c r="K40" s="25">
        <f>$F$18</f>
        <v>1000</v>
      </c>
      <c r="L40" s="26">
        <f>K40*J40</f>
        <v>-0.4</v>
      </c>
      <c r="M40" s="27"/>
      <c r="N40" s="30">
        <f>L40-H40</f>
        <v>-0.30000000000000004</v>
      </c>
      <c r="O40" s="31">
        <f>IF((H40)=0,"",(N40/H40))</f>
        <v>3.0000000000000004</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1000</v>
      </c>
      <c r="H42" s="26">
        <f t="shared" si="7"/>
        <v>-2.2999999999999998</v>
      </c>
      <c r="I42" s="47"/>
      <c r="J42" s="28">
        <f>+'Res (100)'!J42</f>
        <v>-8.0000000000000004E-4</v>
      </c>
      <c r="K42" s="25">
        <f t="shared" ref="K42:K43" si="12">$F$18</f>
        <v>1000</v>
      </c>
      <c r="L42" s="26">
        <f t="shared" si="8"/>
        <v>-0.8</v>
      </c>
      <c r="M42" s="48"/>
      <c r="N42" s="30">
        <f t="shared" si="9"/>
        <v>1.4999999999999998</v>
      </c>
      <c r="O42" s="31">
        <f t="shared" si="10"/>
        <v>-0.65217391304347816</v>
      </c>
      <c r="Q42" s="107"/>
      <c r="S42" s="107"/>
      <c r="U42" s="107"/>
      <c r="W42" s="107"/>
    </row>
    <row r="43" spans="2:23" ht="39.6" x14ac:dyDescent="0.25">
      <c r="B43" s="46" t="s">
        <v>125</v>
      </c>
      <c r="C43" s="21"/>
      <c r="D43" s="22" t="s">
        <v>20</v>
      </c>
      <c r="E43" s="23"/>
      <c r="F43" s="24">
        <f>'Res (100)'!F43</f>
        <v>2.7E-4</v>
      </c>
      <c r="G43" s="25">
        <f t="shared" si="11"/>
        <v>1000</v>
      </c>
      <c r="H43" s="26">
        <f t="shared" si="7"/>
        <v>0.27</v>
      </c>
      <c r="I43" s="47"/>
      <c r="J43" s="223">
        <f>+'Res (100)'!J43</f>
        <v>0</v>
      </c>
      <c r="K43" s="25">
        <f t="shared" si="12"/>
        <v>1000</v>
      </c>
      <c r="L43" s="26">
        <f t="shared" si="8"/>
        <v>0</v>
      </c>
      <c r="M43" s="48"/>
      <c r="N43" s="30">
        <f t="shared" si="9"/>
        <v>-0.27</v>
      </c>
      <c r="O43" s="31">
        <f t="shared" si="10"/>
        <v>-1</v>
      </c>
      <c r="Q43" s="107"/>
      <c r="S43" s="107"/>
      <c r="U43" s="107"/>
      <c r="W43" s="107"/>
    </row>
    <row r="44" spans="2:23" x14ac:dyDescent="0.25">
      <c r="B44" s="49" t="s">
        <v>25</v>
      </c>
      <c r="C44" s="21"/>
      <c r="D44" s="22" t="s">
        <v>20</v>
      </c>
      <c r="E44" s="23"/>
      <c r="F44" s="50">
        <f>'Res (100)'!F44</f>
        <v>6.9999999999999994E-5</v>
      </c>
      <c r="G44" s="51">
        <f>$F$18*(1+F74)</f>
        <v>1033.5</v>
      </c>
      <c r="H44" s="26">
        <f>G44*F44</f>
        <v>7.2344999999999993E-2</v>
      </c>
      <c r="I44" s="27"/>
      <c r="J44" s="52">
        <f>'Proposed Rates'!E126</f>
        <v>6.0000000000000002E-5</v>
      </c>
      <c r="K44" s="51">
        <f>$F$18*(1+J74)</f>
        <v>1033.5</v>
      </c>
      <c r="L44" s="26">
        <f>K44*J44</f>
        <v>6.2010000000000003E-2</v>
      </c>
      <c r="M44" s="27"/>
      <c r="N44" s="30">
        <f>L44-H44</f>
        <v>-1.033499999999999E-2</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33.5</v>
      </c>
      <c r="H45" s="26">
        <f>G45*F45</f>
        <v>2.7523600000000004</v>
      </c>
      <c r="I45" s="27"/>
      <c r="J45" s="55">
        <f>0.65*$J$55+0.17*$J$56+0.18*$J$57</f>
        <v>8.2160000000000011E-2</v>
      </c>
      <c r="K45" s="54">
        <f>$F$18*(1+$J$74)-$F$18</f>
        <v>33.5</v>
      </c>
      <c r="L45" s="26">
        <f t="shared" si="8"/>
        <v>2.7523600000000004</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33.204705000000004</v>
      </c>
      <c r="I47" s="40"/>
      <c r="J47" s="59"/>
      <c r="K47" s="61"/>
      <c r="L47" s="60">
        <f>SUM(L40:L46)+L39</f>
        <v>33.414370000000005</v>
      </c>
      <c r="M47" s="40"/>
      <c r="N47" s="43">
        <f t="shared" ref="N47:N65" si="13">L47-H47</f>
        <v>0.2096650000000011</v>
      </c>
      <c r="O47" s="44">
        <f t="shared" si="10"/>
        <v>6.314315998290034E-3</v>
      </c>
      <c r="Q47" s="107"/>
      <c r="S47" s="107"/>
      <c r="U47" s="107"/>
      <c r="W47" s="107"/>
    </row>
    <row r="48" spans="2:23" x14ac:dyDescent="0.25">
      <c r="B48" s="27" t="s">
        <v>29</v>
      </c>
      <c r="C48" s="27"/>
      <c r="D48" s="62" t="s">
        <v>20</v>
      </c>
      <c r="E48" s="63"/>
      <c r="F48" s="28">
        <f>'Res (100)'!F48</f>
        <v>7.4000000000000003E-3</v>
      </c>
      <c r="G48" s="64">
        <f>F18*(1+F74)</f>
        <v>1033.5</v>
      </c>
      <c r="H48" s="26">
        <f>G48*F48</f>
        <v>7.6478999999999999</v>
      </c>
      <c r="I48" s="27"/>
      <c r="J48" s="28">
        <f>'Res (100)'!J48</f>
        <v>7.4999999999999997E-3</v>
      </c>
      <c r="K48" s="65">
        <f>F18*(1+J74)</f>
        <v>1033.5</v>
      </c>
      <c r="L48" s="26">
        <f>K48*J48</f>
        <v>7.7512499999999998</v>
      </c>
      <c r="M48" s="27"/>
      <c r="N48" s="30">
        <f t="shared" si="13"/>
        <v>0.10334999999999983</v>
      </c>
      <c r="O48" s="31">
        <f t="shared" si="10"/>
        <v>1.3513513513513492E-2</v>
      </c>
      <c r="Q48" s="107"/>
      <c r="S48" s="107"/>
      <c r="U48" s="107"/>
      <c r="W48" s="107"/>
    </row>
    <row r="49" spans="2:23" ht="26.4" x14ac:dyDescent="0.25">
      <c r="B49" s="66" t="s">
        <v>30</v>
      </c>
      <c r="C49" s="27"/>
      <c r="D49" s="62" t="s">
        <v>20</v>
      </c>
      <c r="E49" s="63"/>
      <c r="F49" s="28">
        <f>'Res (100)'!F49</f>
        <v>4.7000000000000002E-3</v>
      </c>
      <c r="G49" s="64">
        <f>G48</f>
        <v>1033.5</v>
      </c>
      <c r="H49" s="26">
        <f>G49*F49</f>
        <v>4.85745</v>
      </c>
      <c r="I49" s="27"/>
      <c r="J49" s="28">
        <f>'Res (100)'!J49</f>
        <v>4.7999999999999996E-3</v>
      </c>
      <c r="K49" s="65">
        <f>K48</f>
        <v>1033.5</v>
      </c>
      <c r="L49" s="26">
        <f>K49*J49</f>
        <v>4.9607999999999999</v>
      </c>
      <c r="M49" s="27"/>
      <c r="N49" s="30">
        <f t="shared" si="13"/>
        <v>0.10334999999999983</v>
      </c>
      <c r="O49" s="31">
        <f t="shared" si="10"/>
        <v>2.1276595744680816E-2</v>
      </c>
      <c r="Q49" s="107"/>
      <c r="S49" s="107"/>
      <c r="U49" s="107"/>
      <c r="W49" s="107"/>
    </row>
    <row r="50" spans="2:23" ht="26.4" x14ac:dyDescent="0.25">
      <c r="B50" s="56" t="s">
        <v>31</v>
      </c>
      <c r="C50" s="35"/>
      <c r="D50" s="35"/>
      <c r="E50" s="35"/>
      <c r="F50" s="67"/>
      <c r="G50" s="59"/>
      <c r="H50" s="60">
        <f>SUM(H47:H49)</f>
        <v>45.710055000000004</v>
      </c>
      <c r="I50" s="68"/>
      <c r="J50" s="69"/>
      <c r="K50" s="70"/>
      <c r="L50" s="60">
        <f>SUM(L47:L49)</f>
        <v>46.126420000000003</v>
      </c>
      <c r="M50" s="68"/>
      <c r="N50" s="43">
        <f t="shared" si="13"/>
        <v>0.41636499999999899</v>
      </c>
      <c r="O50" s="44">
        <f t="shared" si="10"/>
        <v>9.1088273685078474E-3</v>
      </c>
      <c r="Q50" s="102"/>
      <c r="S50" s="102"/>
      <c r="U50" s="102"/>
      <c r="W50" s="102"/>
    </row>
    <row r="51" spans="2:23" ht="26.4" x14ac:dyDescent="0.25">
      <c r="B51" s="71" t="s">
        <v>32</v>
      </c>
      <c r="C51" s="21"/>
      <c r="D51" s="22" t="s">
        <v>20</v>
      </c>
      <c r="E51" s="23"/>
      <c r="F51" s="72">
        <f>'Res (100)'!F51</f>
        <v>3.5999999999999999E-3</v>
      </c>
      <c r="G51" s="64">
        <f>G49</f>
        <v>1033.5</v>
      </c>
      <c r="H51" s="73">
        <f>G51*F51</f>
        <v>3.7205999999999997</v>
      </c>
      <c r="I51" s="27"/>
      <c r="J51" s="72">
        <f>F51</f>
        <v>3.5999999999999999E-3</v>
      </c>
      <c r="K51" s="65">
        <f>K49</f>
        <v>1033.5</v>
      </c>
      <c r="L51" s="73">
        <f t="shared" ref="L51:L57" si="14">K51*J51</f>
        <v>3.7205999999999997</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1033.5</v>
      </c>
      <c r="H52" s="73">
        <f t="shared" ref="H52:H57" si="15">G52*F52</f>
        <v>0.31004999999999999</v>
      </c>
      <c r="I52" s="27"/>
      <c r="J52" s="72">
        <f>F52</f>
        <v>2.9999999999999997E-4</v>
      </c>
      <c r="K52" s="65">
        <f>K49</f>
        <v>1033.5</v>
      </c>
      <c r="L52" s="73">
        <f t="shared" si="14"/>
        <v>0.31004999999999999</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1033.5</v>
      </c>
      <c r="H54" s="73">
        <f>G54*F54</f>
        <v>0</v>
      </c>
      <c r="I54" s="27"/>
      <c r="J54" s="72">
        <f>'Res (100)'!J54</f>
        <v>0</v>
      </c>
      <c r="K54" s="65">
        <f>F18*(1+J74)</f>
        <v>1033.5</v>
      </c>
      <c r="L54" s="73">
        <f>K54*J54</f>
        <v>0</v>
      </c>
      <c r="M54" s="27"/>
      <c r="N54" s="30"/>
      <c r="O54" s="74"/>
      <c r="Q54" s="107"/>
      <c r="S54" s="107"/>
      <c r="U54" s="107"/>
      <c r="W54" s="107"/>
    </row>
    <row r="55" spans="2:23" x14ac:dyDescent="0.25">
      <c r="B55" s="49" t="s">
        <v>36</v>
      </c>
      <c r="C55" s="21"/>
      <c r="D55" s="22"/>
      <c r="E55" s="23"/>
      <c r="F55" s="72">
        <f>'Res (100)'!F55</f>
        <v>6.5000000000000002E-2</v>
      </c>
      <c r="G55" s="77">
        <f>0.65*$F$18</f>
        <v>650</v>
      </c>
      <c r="H55" s="73">
        <f t="shared" si="15"/>
        <v>42.25</v>
      </c>
      <c r="I55" s="27"/>
      <c r="J55" s="72">
        <f>F55</f>
        <v>6.5000000000000002E-2</v>
      </c>
      <c r="K55" s="77">
        <f>$G$55</f>
        <v>650</v>
      </c>
      <c r="L55" s="73">
        <f t="shared" si="14"/>
        <v>42.25</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170</v>
      </c>
      <c r="H56" s="73">
        <f t="shared" si="15"/>
        <v>16.149999999999999</v>
      </c>
      <c r="I56" s="27"/>
      <c r="J56" s="72">
        <f>F56</f>
        <v>9.5000000000000001E-2</v>
      </c>
      <c r="K56" s="77">
        <f>$G$56</f>
        <v>170</v>
      </c>
      <c r="L56" s="73">
        <f t="shared" si="14"/>
        <v>16.149999999999999</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180</v>
      </c>
      <c r="H57" s="73">
        <f t="shared" si="15"/>
        <v>23.76</v>
      </c>
      <c r="I57" s="27"/>
      <c r="J57" s="72">
        <f>F57</f>
        <v>0.13200000000000001</v>
      </c>
      <c r="K57" s="77">
        <f>$G$57</f>
        <v>180</v>
      </c>
      <c r="L57" s="73">
        <f t="shared" si="14"/>
        <v>23.76</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400</v>
      </c>
      <c r="H59" s="73">
        <f>G59*F59</f>
        <v>36</v>
      </c>
      <c r="I59" s="83"/>
      <c r="J59" s="72">
        <f>F59</f>
        <v>0.09</v>
      </c>
      <c r="K59" s="82">
        <f>$G$59</f>
        <v>400</v>
      </c>
      <c r="L59" s="73">
        <f>K59*J59</f>
        <v>36</v>
      </c>
      <c r="M59" s="83"/>
      <c r="N59" s="84">
        <f t="shared" si="13"/>
        <v>0</v>
      </c>
      <c r="O59" s="74">
        <f t="shared" si="10"/>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132.15070500000002</v>
      </c>
      <c r="I61" s="100"/>
      <c r="J61" s="101"/>
      <c r="K61" s="101"/>
      <c r="L61" s="254">
        <f>SUM(L51:L57,L50)</f>
        <v>132.56707</v>
      </c>
      <c r="M61" s="102"/>
      <c r="N61" s="103">
        <f t="shared" ref="N61" si="16">L61-H61</f>
        <v>0.41636499999998478</v>
      </c>
      <c r="O61" s="104">
        <f t="shared" ref="O61" si="17">IF((H61)=0,"",(N61/H61))</f>
        <v>3.1506831537522614E-3</v>
      </c>
      <c r="Q61" s="102"/>
      <c r="S61" s="102"/>
      <c r="U61" s="102"/>
      <c r="W61" s="102"/>
    </row>
    <row r="62" spans="2:23" x14ac:dyDescent="0.25">
      <c r="B62" s="105" t="s">
        <v>42</v>
      </c>
      <c r="C62" s="21"/>
      <c r="D62" s="21"/>
      <c r="E62" s="21"/>
      <c r="F62" s="106">
        <v>0.13</v>
      </c>
      <c r="G62" s="107"/>
      <c r="H62" s="108">
        <f>H61*F62</f>
        <v>17.179591650000003</v>
      </c>
      <c r="I62" s="109"/>
      <c r="J62" s="110">
        <v>0.13</v>
      </c>
      <c r="K62" s="109"/>
      <c r="L62" s="111">
        <f>L61*J62</f>
        <v>17.233719100000002</v>
      </c>
      <c r="M62" s="112"/>
      <c r="N62" s="113">
        <f t="shared" si="13"/>
        <v>5.41274499999993E-2</v>
      </c>
      <c r="O62" s="114">
        <f t="shared" si="10"/>
        <v>3.1506831537523356E-3</v>
      </c>
      <c r="Q62" s="112"/>
      <c r="S62" s="112"/>
      <c r="U62" s="112"/>
      <c r="W62" s="112"/>
    </row>
    <row r="63" spans="2:23" x14ac:dyDescent="0.25">
      <c r="B63" s="250" t="s">
        <v>43</v>
      </c>
      <c r="C63" s="21"/>
      <c r="D63" s="21"/>
      <c r="E63" s="21"/>
      <c r="F63" s="106"/>
      <c r="G63" s="107"/>
      <c r="H63" s="99">
        <f>H61+H62</f>
        <v>149.33029665000001</v>
      </c>
      <c r="I63" s="252"/>
      <c r="J63" s="109"/>
      <c r="K63" s="109"/>
      <c r="L63" s="103">
        <f>L61+L62</f>
        <v>149.8007891</v>
      </c>
      <c r="M63" s="112"/>
      <c r="N63" s="103">
        <f t="shared" si="13"/>
        <v>0.47049244999999473</v>
      </c>
      <c r="O63" s="104">
        <f>IF((H63)=0,"",(N63/H63))</f>
        <v>3.1506831537523416E-3</v>
      </c>
      <c r="Q63" s="112"/>
      <c r="S63" s="112"/>
      <c r="U63" s="112"/>
      <c r="W63" s="112"/>
    </row>
    <row r="64" spans="2:23" x14ac:dyDescent="0.25">
      <c r="B64" s="249" t="s">
        <v>137</v>
      </c>
      <c r="C64" s="21"/>
      <c r="D64" s="21"/>
      <c r="E64" s="21"/>
      <c r="F64" s="106">
        <v>-0.08</v>
      </c>
      <c r="G64" s="107"/>
      <c r="H64" s="257">
        <f>F64*H61</f>
        <v>-10.572056400000001</v>
      </c>
      <c r="I64" s="112"/>
      <c r="J64" s="106">
        <v>-0.08</v>
      </c>
      <c r="K64" s="248"/>
      <c r="L64" s="257">
        <f>J64*L61</f>
        <v>-10.605365600000001</v>
      </c>
      <c r="M64" s="112"/>
      <c r="N64" s="257">
        <f t="shared" si="13"/>
        <v>-3.3309199999999706E-2</v>
      </c>
      <c r="O64" s="114">
        <f>IF((H64)=0,"",(N64/H64))</f>
        <v>3.1506831537523486E-3</v>
      </c>
      <c r="Q64" s="112"/>
      <c r="S64" s="112"/>
      <c r="U64" s="112"/>
      <c r="W64" s="112"/>
    </row>
    <row r="65" spans="2:23" ht="13.8" thickBot="1" x14ac:dyDescent="0.3">
      <c r="B65" s="294" t="s">
        <v>138</v>
      </c>
      <c r="C65" s="294"/>
      <c r="D65" s="294"/>
      <c r="E65" s="21"/>
      <c r="F65" s="256"/>
      <c r="G65" s="107"/>
      <c r="H65" s="251">
        <f>SUM(H63:H64)</f>
        <v>138.75824025</v>
      </c>
      <c r="I65" s="112"/>
      <c r="J65" s="253"/>
      <c r="K65" s="248"/>
      <c r="L65" s="251">
        <f>SUM(L63:L64)</f>
        <v>139.1954235</v>
      </c>
      <c r="M65" s="112"/>
      <c r="N65" s="103">
        <f t="shared" si="13"/>
        <v>0.43718325000000391</v>
      </c>
      <c r="O65" s="104">
        <f>IF((H65)=0,"",(N65/H65))</f>
        <v>3.1506831537524049E-3</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132.19070499999998</v>
      </c>
      <c r="I67" s="128"/>
      <c r="J67" s="129"/>
      <c r="K67" s="129"/>
      <c r="L67" s="127">
        <f>SUM(L58:L59,L50,L51:L54)</f>
        <v>132.60706999999999</v>
      </c>
      <c r="M67" s="130"/>
      <c r="N67" s="131">
        <f t="shared" ref="N67:N71" si="18">L67-H67</f>
        <v>0.4163650000000132</v>
      </c>
      <c r="O67" s="104">
        <f t="shared" ref="O67:O71" si="19">IF((H67)=0,"",(N67/H67))</f>
        <v>3.1497297786558689E-3</v>
      </c>
      <c r="Q67" s="130"/>
      <c r="R67" s="204"/>
      <c r="S67" s="130"/>
      <c r="T67" s="204"/>
      <c r="U67" s="130"/>
      <c r="V67" s="204"/>
      <c r="W67" s="130"/>
    </row>
    <row r="68" spans="2:23" s="85" customFormat="1" x14ac:dyDescent="0.25">
      <c r="B68" s="132" t="s">
        <v>42</v>
      </c>
      <c r="C68" s="79"/>
      <c r="D68" s="79"/>
      <c r="E68" s="79"/>
      <c r="F68" s="133">
        <v>0.13</v>
      </c>
      <c r="G68" s="126"/>
      <c r="H68" s="134">
        <f>H67*F68</f>
        <v>17.184791649999998</v>
      </c>
      <c r="I68" s="135"/>
      <c r="J68" s="136">
        <v>0.13</v>
      </c>
      <c r="K68" s="137"/>
      <c r="L68" s="138">
        <f>L67*J68</f>
        <v>17.2389191</v>
      </c>
      <c r="M68" s="139"/>
      <c r="N68" s="140">
        <f t="shared" si="18"/>
        <v>5.4127450000002852E-2</v>
      </c>
      <c r="O68" s="114">
        <f t="shared" si="19"/>
        <v>3.1497297786559349E-3</v>
      </c>
      <c r="Q68" s="139"/>
      <c r="R68" s="204"/>
      <c r="S68" s="139"/>
      <c r="T68" s="204"/>
      <c r="U68" s="139"/>
      <c r="V68" s="204"/>
      <c r="W68" s="139"/>
    </row>
    <row r="69" spans="2:23" s="85" customFormat="1" x14ac:dyDescent="0.25">
      <c r="B69" s="258" t="s">
        <v>43</v>
      </c>
      <c r="C69" s="79"/>
      <c r="D69" s="79"/>
      <c r="E69" s="79"/>
      <c r="F69" s="142"/>
      <c r="G69" s="143"/>
      <c r="H69" s="127">
        <f>H67+H68</f>
        <v>149.37549664999997</v>
      </c>
      <c r="I69" s="135"/>
      <c r="J69" s="135"/>
      <c r="K69" s="135"/>
      <c r="L69" s="211">
        <f>L67+L68</f>
        <v>149.8459891</v>
      </c>
      <c r="M69" s="139"/>
      <c r="N69" s="131">
        <f t="shared" si="18"/>
        <v>0.47049245000002315</v>
      </c>
      <c r="O69" s="104">
        <f t="shared" si="19"/>
        <v>3.149729778655924E-3</v>
      </c>
      <c r="Q69" s="139"/>
      <c r="R69" s="204"/>
      <c r="S69" s="139"/>
      <c r="T69" s="204"/>
      <c r="U69" s="139"/>
      <c r="V69" s="204"/>
      <c r="W69" s="139"/>
    </row>
    <row r="70" spans="2:23" s="85" customFormat="1" x14ac:dyDescent="0.25">
      <c r="B70" s="249" t="s">
        <v>137</v>
      </c>
      <c r="C70" s="21"/>
      <c r="D70" s="21"/>
      <c r="E70" s="79"/>
      <c r="F70" s="106">
        <v>-0.08</v>
      </c>
      <c r="G70" s="143"/>
      <c r="H70" s="257">
        <f>F70*H67</f>
        <v>-10.575256399999999</v>
      </c>
      <c r="I70" s="135"/>
      <c r="J70" s="106">
        <v>-0.08</v>
      </c>
      <c r="K70" s="135"/>
      <c r="L70" s="257">
        <f>J70*L67</f>
        <v>-10.6085656</v>
      </c>
      <c r="M70" s="139"/>
      <c r="N70" s="131">
        <f t="shared" si="18"/>
        <v>-3.3309200000001482E-2</v>
      </c>
      <c r="O70" s="104">
        <f t="shared" si="19"/>
        <v>3.1497297786559088E-3</v>
      </c>
      <c r="Q70" s="139"/>
      <c r="R70" s="204"/>
      <c r="S70" s="139"/>
      <c r="T70" s="204"/>
      <c r="U70" s="139"/>
      <c r="V70" s="204"/>
      <c r="W70" s="139"/>
    </row>
    <row r="71" spans="2:23" s="85" customFormat="1" ht="13.8" thickBot="1" x14ac:dyDescent="0.3">
      <c r="B71" s="294" t="s">
        <v>138</v>
      </c>
      <c r="C71" s="294"/>
      <c r="D71" s="294"/>
      <c r="E71" s="79"/>
      <c r="F71" s="142"/>
      <c r="G71" s="143"/>
      <c r="H71" s="251">
        <f>SUM(H69:H70)</f>
        <v>138.80024024999997</v>
      </c>
      <c r="I71" s="135"/>
      <c r="J71" s="135"/>
      <c r="K71" s="135"/>
      <c r="L71" s="251">
        <f>SUM(L69:L70)</f>
        <v>139.23742350000001</v>
      </c>
      <c r="M71" s="139"/>
      <c r="N71" s="131">
        <f t="shared" si="18"/>
        <v>0.43718325000003233</v>
      </c>
      <c r="O71" s="104">
        <f t="shared" si="19"/>
        <v>3.1497297786560021E-3</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134.53070500000001</v>
      </c>
      <c r="I77" s="100"/>
      <c r="J77" s="101"/>
      <c r="K77" s="101"/>
      <c r="L77" s="99">
        <f>+L61-L31-L40-L41-L42</f>
        <v>133.76707000000002</v>
      </c>
      <c r="M77" s="102"/>
      <c r="N77" s="103">
        <f t="shared" ref="N77:N79" si="20">L77-H77</f>
        <v>-0.76363499999999362</v>
      </c>
      <c r="O77" s="104">
        <f t="shared" ref="O77:O79" si="21">IF((H77)=0,"",(N77/H77))</f>
        <v>-5.6762878035909615E-3</v>
      </c>
      <c r="Q77" s="102"/>
      <c r="S77" s="102"/>
      <c r="U77" s="102"/>
      <c r="W77" s="102"/>
    </row>
    <row r="78" spans="2:23" x14ac:dyDescent="0.25">
      <c r="B78" s="105" t="s">
        <v>42</v>
      </c>
      <c r="C78" s="21"/>
      <c r="D78" s="21"/>
      <c r="E78" s="21"/>
      <c r="F78" s="106">
        <v>0.13</v>
      </c>
      <c r="G78" s="107"/>
      <c r="H78" s="108">
        <f>H77*F78</f>
        <v>17.488991650000003</v>
      </c>
      <c r="I78" s="109"/>
      <c r="J78" s="110">
        <v>0.13</v>
      </c>
      <c r="K78" s="109"/>
      <c r="L78" s="111">
        <f>L77*J78</f>
        <v>17.389719100000004</v>
      </c>
      <c r="M78" s="112"/>
      <c r="N78" s="113">
        <f t="shared" si="20"/>
        <v>-9.9272549999998461E-2</v>
      </c>
      <c r="O78" s="114">
        <f t="shared" si="21"/>
        <v>-5.6762878035909207E-3</v>
      </c>
      <c r="Q78" s="112"/>
      <c r="S78" s="112"/>
      <c r="U78" s="112"/>
      <c r="W78" s="112"/>
    </row>
    <row r="79" spans="2:23" x14ac:dyDescent="0.25">
      <c r="B79" s="209" t="s">
        <v>43</v>
      </c>
      <c r="C79" s="210"/>
      <c r="D79" s="210"/>
      <c r="E79" s="210"/>
      <c r="F79" s="205"/>
      <c r="G79" s="206"/>
      <c r="H79" s="216">
        <f>H77+H78</f>
        <v>152.01969665000001</v>
      </c>
      <c r="I79" s="207"/>
      <c r="J79" s="207"/>
      <c r="K79" s="207"/>
      <c r="L79" s="215">
        <f>L77+L78</f>
        <v>151.15678910000003</v>
      </c>
      <c r="M79" s="208"/>
      <c r="N79" s="214">
        <f t="shared" si="20"/>
        <v>-0.86290754999998853</v>
      </c>
      <c r="O79" s="213">
        <f t="shared" si="21"/>
        <v>-5.6762878035909329E-3</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E48:E49 E72 E66 E23:E38 E40:E46 E51:E60">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6978"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1500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1500</v>
      </c>
      <c r="H29" s="26">
        <f t="shared" si="0"/>
        <v>22.650000000000002</v>
      </c>
      <c r="I29" s="27"/>
      <c r="J29" s="28">
        <f>+'Res (100)'!J29</f>
        <v>1.0500000000000001E-2</v>
      </c>
      <c r="K29" s="25">
        <f>$F$18</f>
        <v>1500</v>
      </c>
      <c r="L29" s="26">
        <f t="shared" si="1"/>
        <v>15.750000000000002</v>
      </c>
      <c r="M29" s="27"/>
      <c r="N29" s="30">
        <f t="shared" si="2"/>
        <v>-6.9</v>
      </c>
      <c r="O29" s="31">
        <f t="shared" si="3"/>
        <v>-0.30463576158940397</v>
      </c>
      <c r="Q29" s="107"/>
      <c r="S29" s="107"/>
      <c r="U29" s="107"/>
      <c r="W29" s="107"/>
    </row>
    <row r="30" spans="2:23" x14ac:dyDescent="0.25">
      <c r="B30" s="21" t="s">
        <v>21</v>
      </c>
      <c r="C30" s="21"/>
      <c r="D30" s="22"/>
      <c r="E30" s="23"/>
      <c r="F30" s="24"/>
      <c r="G30" s="25">
        <f t="shared" ref="G30" si="4">$F$18</f>
        <v>1500</v>
      </c>
      <c r="H30" s="26">
        <f t="shared" si="0"/>
        <v>0</v>
      </c>
      <c r="I30" s="27"/>
      <c r="J30" s="28"/>
      <c r="K30" s="25">
        <f t="shared" ref="K30:K38" si="5">$F$18</f>
        <v>1500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1500</v>
      </c>
      <c r="H31" s="26">
        <f>G31*F31</f>
        <v>0</v>
      </c>
      <c r="I31" s="27"/>
      <c r="J31" s="52">
        <f>+'Res (100)'!J31</f>
        <v>0</v>
      </c>
      <c r="K31" s="25">
        <f t="shared" si="5"/>
        <v>1500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1500</v>
      </c>
      <c r="H32" s="26">
        <f t="shared" si="0"/>
        <v>0</v>
      </c>
      <c r="I32" s="27"/>
      <c r="J32" s="28"/>
      <c r="K32" s="25">
        <f t="shared" si="5"/>
        <v>1500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1500</v>
      </c>
      <c r="H33" s="26">
        <f t="shared" si="0"/>
        <v>0</v>
      </c>
      <c r="I33" s="27"/>
      <c r="J33" s="28"/>
      <c r="K33" s="25">
        <f t="shared" si="5"/>
        <v>1500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1500</v>
      </c>
      <c r="H34" s="26">
        <f t="shared" si="0"/>
        <v>0</v>
      </c>
      <c r="I34" s="27"/>
      <c r="J34" s="28"/>
      <c r="K34" s="25">
        <f t="shared" si="5"/>
        <v>1500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1500</v>
      </c>
      <c r="H35" s="26">
        <f t="shared" si="0"/>
        <v>0</v>
      </c>
      <c r="I35" s="27"/>
      <c r="J35" s="28"/>
      <c r="K35" s="25">
        <f t="shared" si="5"/>
        <v>1500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1500</v>
      </c>
      <c r="H36" s="26">
        <f t="shared" si="0"/>
        <v>0</v>
      </c>
      <c r="I36" s="27"/>
      <c r="J36" s="28"/>
      <c r="K36" s="25">
        <f t="shared" si="5"/>
        <v>1500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1500</v>
      </c>
      <c r="H37" s="26">
        <f t="shared" si="0"/>
        <v>0</v>
      </c>
      <c r="I37" s="27"/>
      <c r="J37" s="28"/>
      <c r="K37" s="25">
        <f t="shared" si="5"/>
        <v>1500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1500</v>
      </c>
      <c r="H38" s="26">
        <f t="shared" si="0"/>
        <v>0</v>
      </c>
      <c r="I38" s="27"/>
      <c r="J38" s="28"/>
      <c r="K38" s="25">
        <f t="shared" si="5"/>
        <v>1500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39.25</v>
      </c>
      <c r="I39" s="40"/>
      <c r="J39" s="41"/>
      <c r="K39" s="42"/>
      <c r="L39" s="39">
        <f>SUM(L23:L38)</f>
        <v>36.260000000000005</v>
      </c>
      <c r="M39" s="40"/>
      <c r="N39" s="43">
        <f t="shared" si="2"/>
        <v>-2.9899999999999949</v>
      </c>
      <c r="O39" s="44">
        <f t="shared" si="3"/>
        <v>-7.617834394904445E-2</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1500</v>
      </c>
      <c r="H40" s="26">
        <f>G40*F40</f>
        <v>-0.15</v>
      </c>
      <c r="I40" s="27"/>
      <c r="J40" s="28">
        <f>+'Res (100)'!J40</f>
        <v>-4.0000000000000002E-4</v>
      </c>
      <c r="K40" s="25">
        <f>$F$18</f>
        <v>1500</v>
      </c>
      <c r="L40" s="26">
        <f>K40*J40</f>
        <v>-0.6</v>
      </c>
      <c r="M40" s="27"/>
      <c r="N40" s="30">
        <f>L40-H40</f>
        <v>-0.44999999999999996</v>
      </c>
      <c r="O40" s="31">
        <f>IF((H40)=0,"",(N40/H40))</f>
        <v>3</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1500</v>
      </c>
      <c r="H42" s="26">
        <f t="shared" si="7"/>
        <v>-3.4499999999999997</v>
      </c>
      <c r="I42" s="47"/>
      <c r="J42" s="28">
        <f>+'Res (100)'!J42</f>
        <v>-8.0000000000000004E-4</v>
      </c>
      <c r="K42" s="25">
        <f t="shared" ref="K42:K43" si="12">$F$18</f>
        <v>1500</v>
      </c>
      <c r="L42" s="26">
        <f t="shared" si="8"/>
        <v>-1.2</v>
      </c>
      <c r="M42" s="48"/>
      <c r="N42" s="30">
        <f t="shared" si="9"/>
        <v>2.25</v>
      </c>
      <c r="O42" s="31">
        <f t="shared" si="10"/>
        <v>-0.65217391304347827</v>
      </c>
      <c r="Q42" s="107"/>
      <c r="S42" s="107"/>
      <c r="U42" s="107"/>
      <c r="W42" s="107"/>
    </row>
    <row r="43" spans="2:23" ht="39.6" x14ac:dyDescent="0.25">
      <c r="B43" s="46" t="s">
        <v>125</v>
      </c>
      <c r="C43" s="21"/>
      <c r="D43" s="22" t="s">
        <v>20</v>
      </c>
      <c r="E43" s="23"/>
      <c r="F43" s="24">
        <f>'Res (100)'!F43</f>
        <v>2.7E-4</v>
      </c>
      <c r="G43" s="25">
        <f t="shared" si="11"/>
        <v>1500</v>
      </c>
      <c r="H43" s="26">
        <f t="shared" si="7"/>
        <v>0.40500000000000003</v>
      </c>
      <c r="I43" s="47"/>
      <c r="J43" s="223">
        <f>+'Res (100)'!J43</f>
        <v>0</v>
      </c>
      <c r="K43" s="25">
        <f t="shared" si="12"/>
        <v>1500</v>
      </c>
      <c r="L43" s="26">
        <f t="shared" si="8"/>
        <v>0</v>
      </c>
      <c r="M43" s="48"/>
      <c r="N43" s="30">
        <f t="shared" si="9"/>
        <v>-0.40500000000000003</v>
      </c>
      <c r="O43" s="31">
        <f t="shared" si="10"/>
        <v>-1</v>
      </c>
      <c r="Q43" s="107"/>
      <c r="S43" s="107"/>
      <c r="U43" s="107"/>
      <c r="W43" s="107"/>
    </row>
    <row r="44" spans="2:23" x14ac:dyDescent="0.25">
      <c r="B44" s="49" t="s">
        <v>25</v>
      </c>
      <c r="C44" s="21"/>
      <c r="D44" s="22" t="s">
        <v>20</v>
      </c>
      <c r="E44" s="23"/>
      <c r="F44" s="50">
        <f>'Res (100)'!F44</f>
        <v>6.9999999999999994E-5</v>
      </c>
      <c r="G44" s="51">
        <f>$F$18*(1+F74)</f>
        <v>1550.2500000000002</v>
      </c>
      <c r="H44" s="26">
        <f>G44*F44</f>
        <v>0.1085175</v>
      </c>
      <c r="I44" s="27"/>
      <c r="J44" s="52">
        <f>'Proposed Rates'!E126</f>
        <v>6.0000000000000002E-5</v>
      </c>
      <c r="K44" s="51">
        <f>$F$18*(1+J74)</f>
        <v>1550.2500000000002</v>
      </c>
      <c r="L44" s="26">
        <f>K44*J44</f>
        <v>9.3015000000000014E-2</v>
      </c>
      <c r="M44" s="27"/>
      <c r="N44" s="30">
        <f>L44-H44</f>
        <v>-1.5502499999999989E-2</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50.250000000000227</v>
      </c>
      <c r="H45" s="26">
        <f>G45*F45</f>
        <v>4.1285400000000196</v>
      </c>
      <c r="I45" s="27"/>
      <c r="J45" s="55">
        <f>0.65*$J$55+0.17*$J$56+0.18*$J$57</f>
        <v>8.2160000000000011E-2</v>
      </c>
      <c r="K45" s="54">
        <f>$F$18*(1+$J$74)-$F$18</f>
        <v>50.250000000000227</v>
      </c>
      <c r="L45" s="26">
        <f t="shared" si="8"/>
        <v>4.1285400000000196</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41.102057500000022</v>
      </c>
      <c r="I47" s="40"/>
      <c r="J47" s="59"/>
      <c r="K47" s="61"/>
      <c r="L47" s="60">
        <f>SUM(L40:L46)+L39</f>
        <v>39.471555000000023</v>
      </c>
      <c r="M47" s="40"/>
      <c r="N47" s="43">
        <f t="shared" ref="N47:N65" si="13">L47-H47</f>
        <v>-1.6305024999999986</v>
      </c>
      <c r="O47" s="44">
        <f t="shared" si="10"/>
        <v>-3.9669607780583677E-2</v>
      </c>
      <c r="Q47" s="107"/>
      <c r="S47" s="107"/>
      <c r="U47" s="107"/>
      <c r="W47" s="107"/>
    </row>
    <row r="48" spans="2:23" x14ac:dyDescent="0.25">
      <c r="B48" s="27" t="s">
        <v>29</v>
      </c>
      <c r="C48" s="27"/>
      <c r="D48" s="62" t="s">
        <v>20</v>
      </c>
      <c r="E48" s="63"/>
      <c r="F48" s="28">
        <f>'Res (100)'!F48</f>
        <v>7.4000000000000003E-3</v>
      </c>
      <c r="G48" s="64">
        <f>F18*(1+F74)</f>
        <v>1550.2500000000002</v>
      </c>
      <c r="H48" s="26">
        <f>G48*F48</f>
        <v>11.471850000000002</v>
      </c>
      <c r="I48" s="27"/>
      <c r="J48" s="28">
        <f>'Res (100)'!J48</f>
        <v>7.4999999999999997E-3</v>
      </c>
      <c r="K48" s="65">
        <f>F18*(1+J74)</f>
        <v>1550.2500000000002</v>
      </c>
      <c r="L48" s="26">
        <f>K48*J48</f>
        <v>11.626875000000002</v>
      </c>
      <c r="M48" s="27"/>
      <c r="N48" s="30">
        <f t="shared" si="13"/>
        <v>0.15502500000000019</v>
      </c>
      <c r="O48" s="31">
        <f t="shared" si="10"/>
        <v>1.3513513513513528E-2</v>
      </c>
      <c r="Q48" s="107"/>
      <c r="S48" s="107"/>
      <c r="U48" s="107"/>
      <c r="W48" s="107"/>
    </row>
    <row r="49" spans="2:23" ht="26.4" x14ac:dyDescent="0.25">
      <c r="B49" s="66" t="s">
        <v>30</v>
      </c>
      <c r="C49" s="27"/>
      <c r="D49" s="62" t="s">
        <v>20</v>
      </c>
      <c r="E49" s="63"/>
      <c r="F49" s="28">
        <f>'Res (100)'!F49</f>
        <v>4.7000000000000002E-3</v>
      </c>
      <c r="G49" s="64">
        <f>G48</f>
        <v>1550.2500000000002</v>
      </c>
      <c r="H49" s="26">
        <f>G49*F49</f>
        <v>7.286175000000001</v>
      </c>
      <c r="I49" s="27"/>
      <c r="J49" s="28">
        <f>'Res (100)'!J49</f>
        <v>4.7999999999999996E-3</v>
      </c>
      <c r="K49" s="65">
        <f>K48</f>
        <v>1550.2500000000002</v>
      </c>
      <c r="L49" s="26">
        <f>K49*J49</f>
        <v>7.4412000000000003</v>
      </c>
      <c r="M49" s="27"/>
      <c r="N49" s="30">
        <f t="shared" si="13"/>
        <v>0.1550249999999993</v>
      </c>
      <c r="O49" s="31">
        <f t="shared" si="10"/>
        <v>2.1276595744680753E-2</v>
      </c>
      <c r="Q49" s="107"/>
      <c r="S49" s="107"/>
      <c r="U49" s="107"/>
      <c r="W49" s="107"/>
    </row>
    <row r="50" spans="2:23" ht="26.4" x14ac:dyDescent="0.25">
      <c r="B50" s="56" t="s">
        <v>31</v>
      </c>
      <c r="C50" s="35"/>
      <c r="D50" s="35"/>
      <c r="E50" s="35"/>
      <c r="F50" s="67"/>
      <c r="G50" s="59"/>
      <c r="H50" s="60">
        <f>SUM(H47:H49)</f>
        <v>59.860082500000026</v>
      </c>
      <c r="I50" s="68"/>
      <c r="J50" s="69"/>
      <c r="K50" s="70"/>
      <c r="L50" s="60">
        <f>SUM(L47:L49)</f>
        <v>58.539630000000024</v>
      </c>
      <c r="M50" s="68"/>
      <c r="N50" s="43">
        <f t="shared" si="13"/>
        <v>-1.3204525000000018</v>
      </c>
      <c r="O50" s="44">
        <f t="shared" si="10"/>
        <v>-2.2058982294252624E-2</v>
      </c>
      <c r="Q50" s="102"/>
      <c r="S50" s="102"/>
      <c r="U50" s="102"/>
      <c r="W50" s="102"/>
    </row>
    <row r="51" spans="2:23" ht="26.4" x14ac:dyDescent="0.25">
      <c r="B51" s="71" t="s">
        <v>32</v>
      </c>
      <c r="C51" s="21"/>
      <c r="D51" s="22" t="s">
        <v>20</v>
      </c>
      <c r="E51" s="23"/>
      <c r="F51" s="72">
        <f>'Res (100)'!F51</f>
        <v>3.5999999999999999E-3</v>
      </c>
      <c r="G51" s="64">
        <f>G49</f>
        <v>1550.2500000000002</v>
      </c>
      <c r="H51" s="73">
        <f>G51*F51</f>
        <v>5.5809000000000006</v>
      </c>
      <c r="I51" s="27"/>
      <c r="J51" s="72">
        <f>F51</f>
        <v>3.5999999999999999E-3</v>
      </c>
      <c r="K51" s="65">
        <f>K49</f>
        <v>1550.2500000000002</v>
      </c>
      <c r="L51" s="73">
        <f t="shared" ref="L51:L57" si="14">K51*J51</f>
        <v>5.5809000000000006</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1550.2500000000002</v>
      </c>
      <c r="H52" s="73">
        <f t="shared" ref="H52:H57" si="15">G52*F52</f>
        <v>0.46507500000000002</v>
      </c>
      <c r="I52" s="27"/>
      <c r="J52" s="72">
        <f>F52</f>
        <v>2.9999999999999997E-4</v>
      </c>
      <c r="K52" s="65">
        <f>K49</f>
        <v>1550.2500000000002</v>
      </c>
      <c r="L52" s="73">
        <f t="shared" si="14"/>
        <v>0.46507500000000002</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1550.2500000000002</v>
      </c>
      <c r="H54" s="73">
        <f>G54*F54</f>
        <v>0</v>
      </c>
      <c r="I54" s="27"/>
      <c r="J54" s="72">
        <f>'Res (100)'!J54</f>
        <v>0</v>
      </c>
      <c r="K54" s="65">
        <f>F18*(1+J74)</f>
        <v>1550.2500000000002</v>
      </c>
      <c r="L54" s="73">
        <f>K54*J54</f>
        <v>0</v>
      </c>
      <c r="M54" s="27"/>
      <c r="N54" s="30"/>
      <c r="O54" s="74"/>
      <c r="Q54" s="107"/>
      <c r="S54" s="107"/>
      <c r="U54" s="107"/>
      <c r="W54" s="107"/>
    </row>
    <row r="55" spans="2:23" x14ac:dyDescent="0.25">
      <c r="B55" s="49" t="s">
        <v>36</v>
      </c>
      <c r="C55" s="21"/>
      <c r="D55" s="22"/>
      <c r="E55" s="23"/>
      <c r="F55" s="72">
        <f>'Res (100)'!F55</f>
        <v>6.5000000000000002E-2</v>
      </c>
      <c r="G55" s="77">
        <f>0.65*$F$18</f>
        <v>975</v>
      </c>
      <c r="H55" s="73">
        <f t="shared" si="15"/>
        <v>63.375</v>
      </c>
      <c r="I55" s="27"/>
      <c r="J55" s="72">
        <f>F55</f>
        <v>6.5000000000000002E-2</v>
      </c>
      <c r="K55" s="77">
        <f>$G$55</f>
        <v>975</v>
      </c>
      <c r="L55" s="73">
        <f t="shared" si="14"/>
        <v>63.375</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255.00000000000003</v>
      </c>
      <c r="H56" s="73">
        <f t="shared" si="15"/>
        <v>24.225000000000001</v>
      </c>
      <c r="I56" s="27"/>
      <c r="J56" s="72">
        <f>F56</f>
        <v>9.5000000000000001E-2</v>
      </c>
      <c r="K56" s="77">
        <f>$G$56</f>
        <v>255.00000000000003</v>
      </c>
      <c r="L56" s="73">
        <f t="shared" si="14"/>
        <v>24.225000000000001</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270</v>
      </c>
      <c r="H57" s="73">
        <f t="shared" si="15"/>
        <v>35.64</v>
      </c>
      <c r="I57" s="27"/>
      <c r="J57" s="72">
        <f>F57</f>
        <v>0.13200000000000001</v>
      </c>
      <c r="K57" s="77">
        <f>$G$57</f>
        <v>270</v>
      </c>
      <c r="L57" s="73">
        <f t="shared" si="14"/>
        <v>35.64</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900</v>
      </c>
      <c r="H59" s="73">
        <f>G59*F59</f>
        <v>81</v>
      </c>
      <c r="I59" s="83"/>
      <c r="J59" s="72">
        <f>F59</f>
        <v>0.09</v>
      </c>
      <c r="K59" s="82">
        <f>$G$59</f>
        <v>900</v>
      </c>
      <c r="L59" s="73">
        <f>K59*J59</f>
        <v>81</v>
      </c>
      <c r="M59" s="83"/>
      <c r="N59" s="84">
        <f t="shared" si="13"/>
        <v>0</v>
      </c>
      <c r="O59" s="74">
        <f t="shared" si="10"/>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189.39605750000004</v>
      </c>
      <c r="I61" s="100"/>
      <c r="J61" s="101"/>
      <c r="K61" s="101"/>
      <c r="L61" s="254">
        <f>SUM(L51:L57,L50)</f>
        <v>188.07560500000002</v>
      </c>
      <c r="M61" s="102"/>
      <c r="N61" s="103">
        <f t="shared" ref="N61" si="16">L61-H61</f>
        <v>-1.320452500000016</v>
      </c>
      <c r="O61" s="104">
        <f t="shared" ref="O61" si="17">IF((H61)=0,"",(N61/H61))</f>
        <v>-6.9719112289336636E-3</v>
      </c>
      <c r="Q61" s="102"/>
      <c r="S61" s="102"/>
      <c r="U61" s="102"/>
      <c r="W61" s="102"/>
    </row>
    <row r="62" spans="2:23" x14ac:dyDescent="0.25">
      <c r="B62" s="105" t="s">
        <v>42</v>
      </c>
      <c r="C62" s="21"/>
      <c r="D62" s="21"/>
      <c r="E62" s="21"/>
      <c r="F62" s="106">
        <v>0.13</v>
      </c>
      <c r="G62" s="107"/>
      <c r="H62" s="108">
        <f>H61*F62</f>
        <v>24.621487475000006</v>
      </c>
      <c r="I62" s="109"/>
      <c r="J62" s="110">
        <v>0.13</v>
      </c>
      <c r="K62" s="109"/>
      <c r="L62" s="111">
        <f>L61*J62</f>
        <v>24.449828650000004</v>
      </c>
      <c r="M62" s="112"/>
      <c r="N62" s="113">
        <f t="shared" si="13"/>
        <v>-0.17165882500000151</v>
      </c>
      <c r="O62" s="114">
        <f t="shared" si="10"/>
        <v>-6.9719112289336402E-3</v>
      </c>
      <c r="Q62" s="112"/>
      <c r="S62" s="112"/>
      <c r="U62" s="112"/>
      <c r="W62" s="112"/>
    </row>
    <row r="63" spans="2:23" x14ac:dyDescent="0.25">
      <c r="B63" s="250" t="s">
        <v>43</v>
      </c>
      <c r="C63" s="21"/>
      <c r="D63" s="21"/>
      <c r="E63" s="21"/>
      <c r="F63" s="106"/>
      <c r="G63" s="107"/>
      <c r="H63" s="99">
        <f>H61+H62</f>
        <v>214.01754497500005</v>
      </c>
      <c r="I63" s="252"/>
      <c r="J63" s="109"/>
      <c r="K63" s="109"/>
      <c r="L63" s="103">
        <f>L61+L62</f>
        <v>212.52543365000002</v>
      </c>
      <c r="M63" s="112"/>
      <c r="N63" s="103">
        <f t="shared" si="13"/>
        <v>-1.4921113250000246</v>
      </c>
      <c r="O63" s="104">
        <f>IF((H63)=0,"",(N63/H63))</f>
        <v>-6.971911228933694E-3</v>
      </c>
      <c r="Q63" s="112"/>
      <c r="S63" s="112"/>
      <c r="U63" s="112"/>
      <c r="W63" s="112"/>
    </row>
    <row r="64" spans="2:23" x14ac:dyDescent="0.25">
      <c r="B64" s="249" t="s">
        <v>137</v>
      </c>
      <c r="C64" s="21"/>
      <c r="D64" s="21"/>
      <c r="E64" s="21"/>
      <c r="F64" s="106">
        <v>-0.08</v>
      </c>
      <c r="G64" s="107"/>
      <c r="H64" s="257">
        <f>F64*H61</f>
        <v>-15.151684600000003</v>
      </c>
      <c r="I64" s="112"/>
      <c r="J64" s="106">
        <v>-0.08</v>
      </c>
      <c r="K64" s="248"/>
      <c r="L64" s="257">
        <f>J64*L61</f>
        <v>-15.046048400000002</v>
      </c>
      <c r="M64" s="112"/>
      <c r="N64" s="257">
        <f t="shared" si="13"/>
        <v>0.10563620000000107</v>
      </c>
      <c r="O64" s="114">
        <f>IF((H64)=0,"",(N64/H64))</f>
        <v>-6.9719112289336489E-3</v>
      </c>
      <c r="Q64" s="112"/>
      <c r="S64" s="112"/>
      <c r="U64" s="112"/>
      <c r="W64" s="112"/>
    </row>
    <row r="65" spans="2:23" ht="13.8" thickBot="1" x14ac:dyDescent="0.3">
      <c r="B65" s="294" t="s">
        <v>138</v>
      </c>
      <c r="C65" s="294"/>
      <c r="D65" s="294"/>
      <c r="E65" s="21"/>
      <c r="F65" s="256"/>
      <c r="G65" s="107"/>
      <c r="H65" s="251">
        <f>SUM(H63:H64)</f>
        <v>198.86586037500004</v>
      </c>
      <c r="I65" s="112"/>
      <c r="J65" s="253"/>
      <c r="K65" s="248"/>
      <c r="L65" s="251">
        <f>SUM(L63:L64)</f>
        <v>197.47938525000004</v>
      </c>
      <c r="M65" s="112"/>
      <c r="N65" s="103">
        <f t="shared" si="13"/>
        <v>-1.386475125000004</v>
      </c>
      <c r="O65" s="104">
        <f>IF((H65)=0,"",(N65/H65))</f>
        <v>-6.9719112289335985E-3</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193.35605750000005</v>
      </c>
      <c r="I67" s="128"/>
      <c r="J67" s="129"/>
      <c r="K67" s="129"/>
      <c r="L67" s="127">
        <f>SUM(L58:L59,L50,L51:L54)</f>
        <v>192.03560500000006</v>
      </c>
      <c r="M67" s="130"/>
      <c r="N67" s="131">
        <f t="shared" ref="N67:N71" si="18">L67-H67</f>
        <v>-1.3204524999999876</v>
      </c>
      <c r="O67" s="104">
        <f t="shared" ref="O67:O71" si="19">IF((H67)=0,"",(N67/H67))</f>
        <v>-6.8291240371405855E-3</v>
      </c>
      <c r="Q67" s="130"/>
      <c r="R67" s="204"/>
      <c r="S67" s="130"/>
      <c r="T67" s="204"/>
      <c r="U67" s="130"/>
      <c r="V67" s="204"/>
      <c r="W67" s="130"/>
    </row>
    <row r="68" spans="2:23" s="85" customFormat="1" x14ac:dyDescent="0.25">
      <c r="B68" s="132" t="s">
        <v>42</v>
      </c>
      <c r="C68" s="79"/>
      <c r="D68" s="79"/>
      <c r="E68" s="79"/>
      <c r="F68" s="133">
        <v>0.13</v>
      </c>
      <c r="G68" s="126"/>
      <c r="H68" s="134">
        <f>H67*F68</f>
        <v>25.136287475000007</v>
      </c>
      <c r="I68" s="135"/>
      <c r="J68" s="136">
        <v>0.13</v>
      </c>
      <c r="K68" s="137"/>
      <c r="L68" s="138">
        <f>L67*J68</f>
        <v>24.964628650000009</v>
      </c>
      <c r="M68" s="139"/>
      <c r="N68" s="140">
        <f t="shared" si="18"/>
        <v>-0.17165882499999796</v>
      </c>
      <c r="O68" s="114">
        <f t="shared" si="19"/>
        <v>-6.8291240371405691E-3</v>
      </c>
      <c r="Q68" s="139"/>
      <c r="R68" s="204"/>
      <c r="S68" s="139"/>
      <c r="T68" s="204"/>
      <c r="U68" s="139"/>
      <c r="V68" s="204"/>
      <c r="W68" s="139"/>
    </row>
    <row r="69" spans="2:23" s="85" customFormat="1" x14ac:dyDescent="0.25">
      <c r="B69" s="258" t="s">
        <v>43</v>
      </c>
      <c r="C69" s="79"/>
      <c r="D69" s="79"/>
      <c r="E69" s="79"/>
      <c r="F69" s="142"/>
      <c r="G69" s="143"/>
      <c r="H69" s="127">
        <f>H67+H68</f>
        <v>218.49234497500007</v>
      </c>
      <c r="I69" s="135"/>
      <c r="J69" s="135"/>
      <c r="K69" s="135"/>
      <c r="L69" s="211">
        <f>L67+L68</f>
        <v>217.00023365000007</v>
      </c>
      <c r="M69" s="139"/>
      <c r="N69" s="131">
        <f t="shared" si="18"/>
        <v>-1.4921113249999962</v>
      </c>
      <c r="O69" s="104">
        <f t="shared" si="19"/>
        <v>-6.8291240371406324E-3</v>
      </c>
      <c r="Q69" s="139"/>
      <c r="R69" s="204"/>
      <c r="S69" s="139"/>
      <c r="T69" s="204"/>
      <c r="U69" s="139"/>
      <c r="V69" s="204"/>
      <c r="W69" s="139"/>
    </row>
    <row r="70" spans="2:23" s="85" customFormat="1" x14ac:dyDescent="0.25">
      <c r="B70" s="249" t="s">
        <v>137</v>
      </c>
      <c r="C70" s="21"/>
      <c r="D70" s="21"/>
      <c r="E70" s="79"/>
      <c r="F70" s="106">
        <v>-0.08</v>
      </c>
      <c r="G70" s="143"/>
      <c r="H70" s="257">
        <f>F70*H67</f>
        <v>-15.468484600000004</v>
      </c>
      <c r="I70" s="135"/>
      <c r="J70" s="106">
        <v>-0.08</v>
      </c>
      <c r="K70" s="135"/>
      <c r="L70" s="257">
        <f>J70*L67</f>
        <v>-15.362848400000004</v>
      </c>
      <c r="M70" s="139"/>
      <c r="N70" s="131">
        <f t="shared" si="18"/>
        <v>0.10563619999999929</v>
      </c>
      <c r="O70" s="104">
        <f t="shared" si="19"/>
        <v>-6.8291240371406046E-3</v>
      </c>
      <c r="Q70" s="139"/>
      <c r="R70" s="204"/>
      <c r="S70" s="139"/>
      <c r="T70" s="204"/>
      <c r="U70" s="139"/>
      <c r="V70" s="204"/>
      <c r="W70" s="139"/>
    </row>
    <row r="71" spans="2:23" s="85" customFormat="1" ht="13.8" thickBot="1" x14ac:dyDescent="0.3">
      <c r="B71" s="294" t="s">
        <v>138</v>
      </c>
      <c r="C71" s="294"/>
      <c r="D71" s="294"/>
      <c r="E71" s="79"/>
      <c r="F71" s="142"/>
      <c r="G71" s="143"/>
      <c r="H71" s="251">
        <f>SUM(H69:H70)</f>
        <v>203.02386037500006</v>
      </c>
      <c r="I71" s="135"/>
      <c r="J71" s="135"/>
      <c r="K71" s="135"/>
      <c r="L71" s="251">
        <f>SUM(L69:L70)</f>
        <v>201.63738525000008</v>
      </c>
      <c r="M71" s="139"/>
      <c r="N71" s="131">
        <f t="shared" si="18"/>
        <v>-1.3864751249999756</v>
      </c>
      <c r="O71" s="104">
        <f t="shared" si="19"/>
        <v>-6.82912403714053E-3</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192.97605750000002</v>
      </c>
      <c r="I77" s="100"/>
      <c r="J77" s="101"/>
      <c r="K77" s="101"/>
      <c r="L77" s="99">
        <f>+L61-L31-L40-L41-L42</f>
        <v>189.87560500000001</v>
      </c>
      <c r="M77" s="102"/>
      <c r="N77" s="103">
        <f t="shared" ref="N77:N79" si="20">L77-H77</f>
        <v>-3.1004525000000172</v>
      </c>
      <c r="O77" s="104">
        <f t="shared" ref="O77:O79" si="21">IF((H77)=0,"",(N77/H77))</f>
        <v>-1.606651384719069E-2</v>
      </c>
      <c r="Q77" s="102"/>
      <c r="S77" s="102"/>
      <c r="U77" s="102"/>
      <c r="W77" s="102"/>
    </row>
    <row r="78" spans="2:23" x14ac:dyDescent="0.25">
      <c r="B78" s="105" t="s">
        <v>42</v>
      </c>
      <c r="C78" s="21"/>
      <c r="D78" s="21"/>
      <c r="E78" s="21"/>
      <c r="F78" s="106">
        <v>0.13</v>
      </c>
      <c r="G78" s="107"/>
      <c r="H78" s="108">
        <f>H77*F78</f>
        <v>25.086887475000005</v>
      </c>
      <c r="I78" s="109"/>
      <c r="J78" s="110">
        <v>0.13</v>
      </c>
      <c r="K78" s="109"/>
      <c r="L78" s="111">
        <f>L77*J78</f>
        <v>24.683828650000002</v>
      </c>
      <c r="M78" s="112"/>
      <c r="N78" s="113">
        <f t="shared" si="20"/>
        <v>-0.40305882500000223</v>
      </c>
      <c r="O78" s="114">
        <f t="shared" si="21"/>
        <v>-1.606651384719069E-2</v>
      </c>
      <c r="Q78" s="112"/>
      <c r="S78" s="112"/>
      <c r="U78" s="112"/>
      <c r="W78" s="112"/>
    </row>
    <row r="79" spans="2:23" x14ac:dyDescent="0.25">
      <c r="B79" s="209" t="s">
        <v>43</v>
      </c>
      <c r="C79" s="210"/>
      <c r="D79" s="210"/>
      <c r="E79" s="210"/>
      <c r="F79" s="205"/>
      <c r="G79" s="206"/>
      <c r="H79" s="216">
        <f>H77+H78</f>
        <v>218.06294497500002</v>
      </c>
      <c r="I79" s="207"/>
      <c r="J79" s="207"/>
      <c r="K79" s="207"/>
      <c r="L79" s="215">
        <f>L77+L78</f>
        <v>214.55943365000002</v>
      </c>
      <c r="M79" s="208"/>
      <c r="N79" s="214">
        <f t="shared" si="20"/>
        <v>-3.5035113250000052</v>
      </c>
      <c r="O79" s="213">
        <f t="shared" si="21"/>
        <v>-1.6066513847190624E-2</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E48:E49 E72 E66 E23:E38 E40:E46 E51:E60">
      <formula1>#REF!</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8002"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W95"/>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8" width="8.77734375" style="6"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2000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+'Res (100)'!F23</f>
        <v>16.600000000000001</v>
      </c>
      <c r="G23" s="25">
        <v>1</v>
      </c>
      <c r="H23" s="26">
        <f>G23*F23</f>
        <v>16.600000000000001</v>
      </c>
      <c r="I23" s="27"/>
      <c r="J23" s="28">
        <f>+'Res (100)'!J23</f>
        <v>20.51</v>
      </c>
      <c r="K23" s="29">
        <v>1</v>
      </c>
      <c r="L23" s="26">
        <f>K23*J23</f>
        <v>20.51</v>
      </c>
      <c r="M23" s="27"/>
      <c r="N23" s="30">
        <f>L23-H23</f>
        <v>3.91</v>
      </c>
      <c r="O23" s="31">
        <f>IF((H23)=0,"",(N23/H23))</f>
        <v>0.23554216867469879</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+'Res (100)'!F29</f>
        <v>1.5100000000000001E-2</v>
      </c>
      <c r="G29" s="25">
        <f>$F$18</f>
        <v>2000</v>
      </c>
      <c r="H29" s="26">
        <f t="shared" si="0"/>
        <v>30.200000000000003</v>
      </c>
      <c r="I29" s="27"/>
      <c r="J29" s="28">
        <f>+'Res (100)'!J29</f>
        <v>1.0500000000000001E-2</v>
      </c>
      <c r="K29" s="25">
        <f>$F$18</f>
        <v>2000</v>
      </c>
      <c r="L29" s="26">
        <f t="shared" si="1"/>
        <v>21</v>
      </c>
      <c r="M29" s="27"/>
      <c r="N29" s="30">
        <f t="shared" si="2"/>
        <v>-9.2000000000000028</v>
      </c>
      <c r="O29" s="31">
        <f t="shared" si="3"/>
        <v>-0.30463576158940403</v>
      </c>
      <c r="Q29" s="107"/>
      <c r="S29" s="107"/>
      <c r="U29" s="107"/>
      <c r="W29" s="107"/>
    </row>
    <row r="30" spans="2:23" x14ac:dyDescent="0.25">
      <c r="B30" s="21" t="s">
        <v>21</v>
      </c>
      <c r="C30" s="21"/>
      <c r="D30" s="22"/>
      <c r="E30" s="23"/>
      <c r="F30" s="24"/>
      <c r="G30" s="25">
        <f t="shared" ref="G30" si="4">$F$18</f>
        <v>2000</v>
      </c>
      <c r="H30" s="26">
        <f t="shared" si="0"/>
        <v>0</v>
      </c>
      <c r="I30" s="27"/>
      <c r="J30" s="28"/>
      <c r="K30" s="25">
        <f t="shared" ref="K30:K38" si="5">$F$18</f>
        <v>2000</v>
      </c>
      <c r="L30" s="26">
        <f t="shared" si="1"/>
        <v>0</v>
      </c>
      <c r="M30" s="27"/>
      <c r="N30" s="30">
        <f t="shared" si="2"/>
        <v>0</v>
      </c>
      <c r="O30" s="31" t="str">
        <f t="shared" si="3"/>
        <v/>
      </c>
      <c r="Q30" s="107"/>
      <c r="S30" s="107"/>
      <c r="U30" s="107"/>
      <c r="W30" s="107"/>
    </row>
    <row r="31" spans="2:23" x14ac:dyDescent="0.25">
      <c r="B31" s="21" t="s">
        <v>22</v>
      </c>
      <c r="C31" s="21"/>
      <c r="D31" s="22" t="s">
        <v>20</v>
      </c>
      <c r="E31" s="23"/>
      <c r="F31" s="50">
        <f>+'Res (100)'!F31</f>
        <v>0</v>
      </c>
      <c r="G31" s="25">
        <f>$F$18</f>
        <v>2000</v>
      </c>
      <c r="H31" s="26">
        <f>G31*F31</f>
        <v>0</v>
      </c>
      <c r="I31" s="27"/>
      <c r="J31" s="52">
        <f>+'Res (100)'!J31</f>
        <v>0</v>
      </c>
      <c r="K31" s="25">
        <f t="shared" si="5"/>
        <v>2000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2000</v>
      </c>
      <c r="H32" s="26">
        <f t="shared" si="0"/>
        <v>0</v>
      </c>
      <c r="I32" s="27"/>
      <c r="J32" s="28"/>
      <c r="K32" s="25">
        <f t="shared" si="5"/>
        <v>2000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2000</v>
      </c>
      <c r="H33" s="26">
        <f t="shared" si="0"/>
        <v>0</v>
      </c>
      <c r="I33" s="27"/>
      <c r="J33" s="28"/>
      <c r="K33" s="25">
        <f t="shared" si="5"/>
        <v>2000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2000</v>
      </c>
      <c r="H34" s="26">
        <f t="shared" si="0"/>
        <v>0</v>
      </c>
      <c r="I34" s="27"/>
      <c r="J34" s="28"/>
      <c r="K34" s="25">
        <f t="shared" si="5"/>
        <v>2000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2000</v>
      </c>
      <c r="H35" s="26">
        <f t="shared" si="0"/>
        <v>0</v>
      </c>
      <c r="I35" s="27"/>
      <c r="J35" s="28"/>
      <c r="K35" s="25">
        <f t="shared" si="5"/>
        <v>2000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2000</v>
      </c>
      <c r="H36" s="26">
        <f t="shared" si="0"/>
        <v>0</v>
      </c>
      <c r="I36" s="27"/>
      <c r="J36" s="28"/>
      <c r="K36" s="25">
        <f t="shared" si="5"/>
        <v>2000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2000</v>
      </c>
      <c r="H37" s="26">
        <f t="shared" si="0"/>
        <v>0</v>
      </c>
      <c r="I37" s="27"/>
      <c r="J37" s="28"/>
      <c r="K37" s="25">
        <f t="shared" si="5"/>
        <v>2000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2000</v>
      </c>
      <c r="H38" s="26">
        <f t="shared" si="0"/>
        <v>0</v>
      </c>
      <c r="I38" s="27"/>
      <c r="J38" s="28"/>
      <c r="K38" s="25">
        <f t="shared" si="5"/>
        <v>2000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46.800000000000004</v>
      </c>
      <c r="I39" s="40"/>
      <c r="J39" s="41"/>
      <c r="K39" s="42"/>
      <c r="L39" s="39">
        <f>SUM(L23:L38)</f>
        <v>41.510000000000005</v>
      </c>
      <c r="M39" s="40"/>
      <c r="N39" s="43">
        <f t="shared" si="2"/>
        <v>-5.2899999999999991</v>
      </c>
      <c r="O39" s="44">
        <f t="shared" si="3"/>
        <v>-0.11303418803418801</v>
      </c>
      <c r="Q39" s="107"/>
      <c r="R39" s="203"/>
      <c r="S39" s="107"/>
      <c r="T39" s="203"/>
      <c r="U39" s="107"/>
      <c r="V39" s="203"/>
      <c r="W39" s="107"/>
    </row>
    <row r="40" spans="2:23" ht="26.4" x14ac:dyDescent="0.25">
      <c r="B40" s="46" t="str">
        <f>+'Res (100)'!B40</f>
        <v>Deferral/Variance Account Disposition Rate Rider Group 1</v>
      </c>
      <c r="C40" s="21"/>
      <c r="D40" s="22" t="s">
        <v>20</v>
      </c>
      <c r="E40" s="23"/>
      <c r="F40" s="24">
        <f>'Res (100)'!F40</f>
        <v>-1E-4</v>
      </c>
      <c r="G40" s="25">
        <f>$F$18</f>
        <v>2000</v>
      </c>
      <c r="H40" s="26">
        <f>G40*F40</f>
        <v>-0.2</v>
      </c>
      <c r="I40" s="27"/>
      <c r="J40" s="28">
        <f>+'Res (100)'!J40</f>
        <v>-4.0000000000000002E-4</v>
      </c>
      <c r="K40" s="25">
        <f>$F$18</f>
        <v>2000</v>
      </c>
      <c r="L40" s="26">
        <f>K40*J40</f>
        <v>-0.8</v>
      </c>
      <c r="M40" s="27"/>
      <c r="N40" s="30">
        <f>L40-H40</f>
        <v>-0.60000000000000009</v>
      </c>
      <c r="O40" s="31">
        <f>IF((H40)=0,"",(N40/H40))</f>
        <v>3.0000000000000004</v>
      </c>
      <c r="Q40" s="107"/>
      <c r="S40" s="107"/>
      <c r="U40" s="107"/>
      <c r="W40" s="107"/>
    </row>
    <row r="41" spans="2:23" ht="39.6" x14ac:dyDescent="0.25">
      <c r="B41" s="154" t="s">
        <v>106</v>
      </c>
      <c r="C41" s="21"/>
      <c r="D41" s="22" t="s">
        <v>17</v>
      </c>
      <c r="E41" s="23"/>
      <c r="F41" s="24">
        <f>'Res (100)'!F41</f>
        <v>0.02</v>
      </c>
      <c r="G41" s="25">
        <v>1</v>
      </c>
      <c r="H41" s="26">
        <f t="shared" ref="H41:H43" si="7">G41*F41</f>
        <v>0.02</v>
      </c>
      <c r="I41" s="47"/>
      <c r="J41" s="28">
        <f>+'Res (100)'!J41</f>
        <v>0</v>
      </c>
      <c r="K41" s="25">
        <v>1</v>
      </c>
      <c r="L41" s="26">
        <f t="shared" ref="L41:L45" si="8">K41*J41</f>
        <v>0</v>
      </c>
      <c r="M41" s="48"/>
      <c r="N41" s="30">
        <f t="shared" ref="N41:N45" si="9">L41-H41</f>
        <v>-0.02</v>
      </c>
      <c r="O41" s="31">
        <f t="shared" ref="O41:O62" si="10">IF((H41)=0,"",(N41/H41))</f>
        <v>-1</v>
      </c>
      <c r="Q41" s="107"/>
      <c r="S41" s="107"/>
      <c r="U41" s="107"/>
      <c r="W41" s="107"/>
    </row>
    <row r="42" spans="2:23" ht="39.6" x14ac:dyDescent="0.25">
      <c r="B42" s="154" t="s">
        <v>106</v>
      </c>
      <c r="C42" s="21"/>
      <c r="D42" s="22" t="s">
        <v>20</v>
      </c>
      <c r="E42" s="23"/>
      <c r="F42" s="24">
        <f>'Res (100)'!F42</f>
        <v>-2.3E-3</v>
      </c>
      <c r="G42" s="25">
        <f t="shared" ref="G42:G43" si="11">$F$18</f>
        <v>2000</v>
      </c>
      <c r="H42" s="26">
        <f t="shared" si="7"/>
        <v>-4.5999999999999996</v>
      </c>
      <c r="I42" s="47"/>
      <c r="J42" s="28">
        <f>+'Res (100)'!J42</f>
        <v>-8.0000000000000004E-4</v>
      </c>
      <c r="K42" s="25">
        <f t="shared" ref="K42:K43" si="12">$F$18</f>
        <v>2000</v>
      </c>
      <c r="L42" s="26">
        <f t="shared" si="8"/>
        <v>-1.6</v>
      </c>
      <c r="M42" s="48"/>
      <c r="N42" s="30">
        <f t="shared" si="9"/>
        <v>2.9999999999999996</v>
      </c>
      <c r="O42" s="31">
        <f t="shared" si="10"/>
        <v>-0.65217391304347816</v>
      </c>
      <c r="Q42" s="107"/>
      <c r="S42" s="107"/>
      <c r="U42" s="107"/>
      <c r="W42" s="107"/>
    </row>
    <row r="43" spans="2:23" ht="39.6" x14ac:dyDescent="0.25">
      <c r="B43" s="46" t="s">
        <v>125</v>
      </c>
      <c r="C43" s="21"/>
      <c r="D43" s="22" t="s">
        <v>20</v>
      </c>
      <c r="E43" s="23"/>
      <c r="F43" s="24">
        <f>'Res (100)'!F43</f>
        <v>2.7E-4</v>
      </c>
      <c r="G43" s="25">
        <f t="shared" si="11"/>
        <v>2000</v>
      </c>
      <c r="H43" s="26">
        <f t="shared" si="7"/>
        <v>0.54</v>
      </c>
      <c r="I43" s="47"/>
      <c r="J43" s="223">
        <f>+'Res (100)'!J43</f>
        <v>0</v>
      </c>
      <c r="K43" s="25">
        <f t="shared" si="12"/>
        <v>2000</v>
      </c>
      <c r="L43" s="26">
        <f t="shared" si="8"/>
        <v>0</v>
      </c>
      <c r="M43" s="48"/>
      <c r="N43" s="30">
        <f t="shared" si="9"/>
        <v>-0.54</v>
      </c>
      <c r="O43" s="31">
        <f t="shared" si="10"/>
        <v>-1</v>
      </c>
      <c r="Q43" s="107"/>
      <c r="S43" s="107"/>
      <c r="U43" s="107"/>
      <c r="W43" s="107"/>
    </row>
    <row r="44" spans="2:23" x14ac:dyDescent="0.25">
      <c r="B44" s="49" t="s">
        <v>25</v>
      </c>
      <c r="C44" s="21"/>
      <c r="D44" s="22" t="s">
        <v>20</v>
      </c>
      <c r="E44" s="23"/>
      <c r="F44" s="50">
        <f>'Res (100)'!F44</f>
        <v>6.9999999999999994E-5</v>
      </c>
      <c r="G44" s="51">
        <f>$F$18*(1+F74)</f>
        <v>2067</v>
      </c>
      <c r="H44" s="26">
        <f>G44*F44</f>
        <v>0.14468999999999999</v>
      </c>
      <c r="I44" s="27"/>
      <c r="J44" s="52">
        <f>'Proposed Rates'!E126</f>
        <v>6.0000000000000002E-5</v>
      </c>
      <c r="K44" s="51">
        <f>$F$18*(1+J74)</f>
        <v>2067</v>
      </c>
      <c r="L44" s="26">
        <f>K44*J44</f>
        <v>0.12402000000000001</v>
      </c>
      <c r="M44" s="27"/>
      <c r="N44" s="30">
        <f>L44-H44</f>
        <v>-2.066999999999998E-2</v>
      </c>
      <c r="O44" s="31">
        <f>IF((H44)=0,"",(N44/H44))</f>
        <v>-0.14285714285714274</v>
      </c>
      <c r="Q44" s="107"/>
      <c r="S44" s="107"/>
      <c r="U44" s="107"/>
      <c r="W44" s="107"/>
    </row>
    <row r="45" spans="2:23" x14ac:dyDescent="0.25">
      <c r="B45" s="49" t="s">
        <v>26</v>
      </c>
      <c r="C45" s="21"/>
      <c r="D45" s="22"/>
      <c r="E45" s="23"/>
      <c r="F45" s="53">
        <f>IF(ISBLANK(D16)=TRUE, 0, IF(D16="TOU", 0.65*$F$55+0.17*$F$56+0.18*$F$57, IF(AND(D16="non-TOU", G59&gt;0), F59,F58)))</f>
        <v>8.2160000000000011E-2</v>
      </c>
      <c r="G45" s="54">
        <f>$F$18*(1+$F$74)-$F$18</f>
        <v>67</v>
      </c>
      <c r="H45" s="26">
        <f>G45*F45</f>
        <v>5.5047200000000007</v>
      </c>
      <c r="I45" s="27"/>
      <c r="J45" s="55">
        <f>0.65*$J$55+0.17*$J$56+0.18*$J$57</f>
        <v>8.2160000000000011E-2</v>
      </c>
      <c r="K45" s="54">
        <f>$F$18*(1+$J$74)-$F$18</f>
        <v>67</v>
      </c>
      <c r="L45" s="26">
        <f t="shared" si="8"/>
        <v>5.5047200000000007</v>
      </c>
      <c r="M45" s="27"/>
      <c r="N45" s="30">
        <f t="shared" si="9"/>
        <v>0</v>
      </c>
      <c r="O45" s="31">
        <f t="shared" si="10"/>
        <v>0</v>
      </c>
      <c r="Q45" s="107"/>
      <c r="S45" s="107"/>
      <c r="U45" s="107"/>
      <c r="W45" s="107"/>
    </row>
    <row r="46" spans="2:23" x14ac:dyDescent="0.25">
      <c r="B46" s="49" t="s">
        <v>27</v>
      </c>
      <c r="C46" s="21"/>
      <c r="D46" s="22" t="s">
        <v>17</v>
      </c>
      <c r="E46" s="23"/>
      <c r="F46" s="53">
        <f>'Res (100)'!F46</f>
        <v>0.79</v>
      </c>
      <c r="G46" s="25">
        <v>1</v>
      </c>
      <c r="H46" s="26">
        <f>G46*F46</f>
        <v>0.79</v>
      </c>
      <c r="I46" s="27"/>
      <c r="J46" s="53">
        <f>'Proposed Rates'!E141</f>
        <v>0.79</v>
      </c>
      <c r="K46" s="25">
        <v>1</v>
      </c>
      <c r="L46" s="26">
        <f>K46*J46</f>
        <v>0.79</v>
      </c>
      <c r="M46" s="27"/>
      <c r="N46" s="30">
        <f>L46-H46</f>
        <v>0</v>
      </c>
      <c r="O46" s="31">
        <f t="shared" si="10"/>
        <v>0</v>
      </c>
      <c r="Q46" s="107"/>
      <c r="S46" s="107"/>
      <c r="U46" s="107"/>
      <c r="W46" s="107"/>
    </row>
    <row r="47" spans="2:23" ht="26.4" x14ac:dyDescent="0.25">
      <c r="B47" s="56" t="s">
        <v>28</v>
      </c>
      <c r="C47" s="57"/>
      <c r="D47" s="57"/>
      <c r="E47" s="57"/>
      <c r="F47" s="58"/>
      <c r="G47" s="59"/>
      <c r="H47" s="60">
        <f>SUM(H40:H46)+H39</f>
        <v>48.999410000000005</v>
      </c>
      <c r="I47" s="40"/>
      <c r="J47" s="59"/>
      <c r="K47" s="61"/>
      <c r="L47" s="60">
        <f>SUM(L40:L46)+L39</f>
        <v>45.528740000000006</v>
      </c>
      <c r="M47" s="40"/>
      <c r="N47" s="43">
        <f t="shared" ref="N47:N65" si="13">L47-H47</f>
        <v>-3.4706699999999984</v>
      </c>
      <c r="O47" s="44">
        <f t="shared" si="10"/>
        <v>-7.0830852861289512E-2</v>
      </c>
      <c r="Q47" s="107"/>
      <c r="S47" s="107"/>
      <c r="U47" s="107"/>
      <c r="W47" s="107"/>
    </row>
    <row r="48" spans="2:23" x14ac:dyDescent="0.25">
      <c r="B48" s="27" t="s">
        <v>29</v>
      </c>
      <c r="C48" s="27"/>
      <c r="D48" s="62" t="s">
        <v>20</v>
      </c>
      <c r="E48" s="63"/>
      <c r="F48" s="28">
        <f>'Res (100)'!F48</f>
        <v>7.4000000000000003E-3</v>
      </c>
      <c r="G48" s="64">
        <f>F18*(1+F74)</f>
        <v>2067</v>
      </c>
      <c r="H48" s="26">
        <f>G48*F48</f>
        <v>15.2958</v>
      </c>
      <c r="I48" s="27"/>
      <c r="J48" s="28">
        <f>'Res (100)'!J48</f>
        <v>7.4999999999999997E-3</v>
      </c>
      <c r="K48" s="65">
        <f>F18*(1+J74)</f>
        <v>2067</v>
      </c>
      <c r="L48" s="26">
        <f>K48*J48</f>
        <v>15.5025</v>
      </c>
      <c r="M48" s="27"/>
      <c r="N48" s="30">
        <f t="shared" si="13"/>
        <v>0.20669999999999966</v>
      </c>
      <c r="O48" s="31">
        <f t="shared" si="10"/>
        <v>1.3513513513513492E-2</v>
      </c>
      <c r="Q48" s="107"/>
      <c r="S48" s="107"/>
      <c r="U48" s="107"/>
      <c r="W48" s="107"/>
    </row>
    <row r="49" spans="2:23" ht="26.4" x14ac:dyDescent="0.25">
      <c r="B49" s="66" t="s">
        <v>30</v>
      </c>
      <c r="C49" s="27"/>
      <c r="D49" s="62" t="s">
        <v>20</v>
      </c>
      <c r="E49" s="63"/>
      <c r="F49" s="28">
        <f>'Res (100)'!F49</f>
        <v>4.7000000000000002E-3</v>
      </c>
      <c r="G49" s="64">
        <f>G48</f>
        <v>2067</v>
      </c>
      <c r="H49" s="26">
        <f>G49*F49</f>
        <v>9.7149000000000001</v>
      </c>
      <c r="I49" s="27"/>
      <c r="J49" s="28">
        <f>'Res (100)'!J49</f>
        <v>4.7999999999999996E-3</v>
      </c>
      <c r="K49" s="65">
        <f>K48</f>
        <v>2067</v>
      </c>
      <c r="L49" s="26">
        <f>K49*J49</f>
        <v>9.9215999999999998</v>
      </c>
      <c r="M49" s="27"/>
      <c r="N49" s="30">
        <f t="shared" si="13"/>
        <v>0.20669999999999966</v>
      </c>
      <c r="O49" s="31">
        <f t="shared" si="10"/>
        <v>2.1276595744680816E-2</v>
      </c>
      <c r="Q49" s="107"/>
      <c r="S49" s="107"/>
      <c r="U49" s="107"/>
      <c r="W49" s="107"/>
    </row>
    <row r="50" spans="2:23" ht="26.4" x14ac:dyDescent="0.25">
      <c r="B50" s="56" t="s">
        <v>31</v>
      </c>
      <c r="C50" s="35"/>
      <c r="D50" s="35"/>
      <c r="E50" s="35"/>
      <c r="F50" s="67"/>
      <c r="G50" s="59"/>
      <c r="H50" s="60">
        <f>SUM(H47:H49)</f>
        <v>74.010109999999997</v>
      </c>
      <c r="I50" s="68"/>
      <c r="J50" s="69"/>
      <c r="K50" s="70"/>
      <c r="L50" s="60">
        <f>SUM(L47:L49)</f>
        <v>70.952840000000009</v>
      </c>
      <c r="M50" s="68"/>
      <c r="N50" s="43">
        <f t="shared" si="13"/>
        <v>-3.0572699999999884</v>
      </c>
      <c r="O50" s="44">
        <f t="shared" si="10"/>
        <v>-4.1308815782059888E-2</v>
      </c>
      <c r="Q50" s="102"/>
      <c r="S50" s="102"/>
      <c r="U50" s="102"/>
      <c r="W50" s="102"/>
    </row>
    <row r="51" spans="2:23" ht="26.4" x14ac:dyDescent="0.25">
      <c r="B51" s="71" t="s">
        <v>32</v>
      </c>
      <c r="C51" s="21"/>
      <c r="D51" s="22" t="s">
        <v>20</v>
      </c>
      <c r="E51" s="23"/>
      <c r="F51" s="72">
        <f>'Res (100)'!F51</f>
        <v>3.5999999999999999E-3</v>
      </c>
      <c r="G51" s="64">
        <f>G49</f>
        <v>2067</v>
      </c>
      <c r="H51" s="73">
        <f>G51*F51</f>
        <v>7.4411999999999994</v>
      </c>
      <c r="I51" s="27"/>
      <c r="J51" s="72">
        <f>F51</f>
        <v>3.5999999999999999E-3</v>
      </c>
      <c r="K51" s="65">
        <f>K49</f>
        <v>2067</v>
      </c>
      <c r="L51" s="73">
        <f t="shared" ref="L51:L57" si="14">K51*J51</f>
        <v>7.4411999999999994</v>
      </c>
      <c r="M51" s="27"/>
      <c r="N51" s="30">
        <f t="shared" si="13"/>
        <v>0</v>
      </c>
      <c r="O51" s="74">
        <f t="shared" si="10"/>
        <v>0</v>
      </c>
      <c r="Q51" s="107"/>
      <c r="S51" s="107"/>
      <c r="U51" s="107"/>
      <c r="W51" s="107"/>
    </row>
    <row r="52" spans="2:23" ht="26.4" x14ac:dyDescent="0.25">
      <c r="B52" s="71" t="s">
        <v>33</v>
      </c>
      <c r="C52" s="21"/>
      <c r="D52" s="22" t="s">
        <v>20</v>
      </c>
      <c r="E52" s="23"/>
      <c r="F52" s="72">
        <f>'Res (100)'!F52</f>
        <v>2.9999999999999997E-4</v>
      </c>
      <c r="G52" s="64">
        <f>G49</f>
        <v>2067</v>
      </c>
      <c r="H52" s="73">
        <f t="shared" ref="H52:H57" si="15">G52*F52</f>
        <v>0.62009999999999998</v>
      </c>
      <c r="I52" s="27"/>
      <c r="J52" s="72">
        <f>F52</f>
        <v>2.9999999999999997E-4</v>
      </c>
      <c r="K52" s="65">
        <f>K49</f>
        <v>2067</v>
      </c>
      <c r="L52" s="73">
        <f t="shared" si="14"/>
        <v>0.62009999999999998</v>
      </c>
      <c r="M52" s="27"/>
      <c r="N52" s="30">
        <f t="shared" si="13"/>
        <v>0</v>
      </c>
      <c r="O52" s="74">
        <f t="shared" si="10"/>
        <v>0</v>
      </c>
      <c r="Q52" s="107"/>
      <c r="S52" s="107"/>
      <c r="U52" s="107"/>
      <c r="W52" s="107"/>
    </row>
    <row r="53" spans="2:23" x14ac:dyDescent="0.25">
      <c r="B53" s="21" t="s">
        <v>34</v>
      </c>
      <c r="C53" s="21"/>
      <c r="D53" s="22" t="s">
        <v>17</v>
      </c>
      <c r="E53" s="23"/>
      <c r="F53" s="72">
        <f>'Proposed Rates'!D196</f>
        <v>0.25</v>
      </c>
      <c r="G53" s="25">
        <v>1</v>
      </c>
      <c r="H53" s="73">
        <f t="shared" si="15"/>
        <v>0.25</v>
      </c>
      <c r="I53" s="27"/>
      <c r="J53" s="72">
        <f>'Proposed Rates'!E196</f>
        <v>0.25</v>
      </c>
      <c r="K53" s="29">
        <v>1</v>
      </c>
      <c r="L53" s="73">
        <f t="shared" si="14"/>
        <v>0.25</v>
      </c>
      <c r="M53" s="27"/>
      <c r="N53" s="30">
        <f t="shared" si="13"/>
        <v>0</v>
      </c>
      <c r="O53" s="74">
        <f t="shared" si="10"/>
        <v>0</v>
      </c>
      <c r="Q53" s="107"/>
      <c r="S53" s="107"/>
      <c r="U53" s="107"/>
      <c r="W53" s="107"/>
    </row>
    <row r="54" spans="2:23" x14ac:dyDescent="0.25">
      <c r="B54" s="21" t="s">
        <v>120</v>
      </c>
      <c r="C54" s="21"/>
      <c r="D54" s="22"/>
      <c r="E54" s="23"/>
      <c r="F54" s="72">
        <f>'Res (100)'!F54</f>
        <v>0</v>
      </c>
      <c r="G54" s="64">
        <f>F18*(1+F74)</f>
        <v>2067</v>
      </c>
      <c r="H54" s="73">
        <f>G54*F54</f>
        <v>0</v>
      </c>
      <c r="I54" s="27"/>
      <c r="J54" s="72">
        <f>'Res (100)'!J54</f>
        <v>0</v>
      </c>
      <c r="K54" s="65">
        <f>F18*(1+J74)</f>
        <v>2067</v>
      </c>
      <c r="L54" s="73">
        <f>K54*J54</f>
        <v>0</v>
      </c>
      <c r="M54" s="27"/>
      <c r="N54" s="30"/>
      <c r="O54" s="74"/>
      <c r="Q54" s="107"/>
      <c r="S54" s="107"/>
      <c r="U54" s="107"/>
      <c r="W54" s="107"/>
    </row>
    <row r="55" spans="2:23" x14ac:dyDescent="0.25">
      <c r="B55" s="49" t="s">
        <v>36</v>
      </c>
      <c r="C55" s="21"/>
      <c r="D55" s="22"/>
      <c r="E55" s="23"/>
      <c r="F55" s="72">
        <f>'Res (100)'!F55</f>
        <v>6.5000000000000002E-2</v>
      </c>
      <c r="G55" s="77">
        <f>0.65*$F$18</f>
        <v>1300</v>
      </c>
      <c r="H55" s="73">
        <f t="shared" si="15"/>
        <v>84.5</v>
      </c>
      <c r="I55" s="27"/>
      <c r="J55" s="72">
        <f>F55</f>
        <v>6.5000000000000002E-2</v>
      </c>
      <c r="K55" s="77">
        <f>$G$55</f>
        <v>1300</v>
      </c>
      <c r="L55" s="73">
        <f t="shared" si="14"/>
        <v>84.5</v>
      </c>
      <c r="M55" s="27"/>
      <c r="N55" s="30">
        <f t="shared" si="13"/>
        <v>0</v>
      </c>
      <c r="O55" s="74">
        <f t="shared" si="10"/>
        <v>0</v>
      </c>
      <c r="Q55" s="107"/>
      <c r="S55" s="107"/>
      <c r="U55" s="107"/>
      <c r="W55" s="107"/>
    </row>
    <row r="56" spans="2:23" x14ac:dyDescent="0.25">
      <c r="B56" s="49" t="s">
        <v>37</v>
      </c>
      <c r="C56" s="21"/>
      <c r="D56" s="22"/>
      <c r="E56" s="23"/>
      <c r="F56" s="72">
        <f>'Res (100)'!F56</f>
        <v>9.5000000000000001E-2</v>
      </c>
      <c r="G56" s="77">
        <f>0.17*$F$18</f>
        <v>340</v>
      </c>
      <c r="H56" s="73">
        <f t="shared" si="15"/>
        <v>32.299999999999997</v>
      </c>
      <c r="I56" s="27"/>
      <c r="J56" s="72">
        <f>F56</f>
        <v>9.5000000000000001E-2</v>
      </c>
      <c r="K56" s="77">
        <f>$G$56</f>
        <v>340</v>
      </c>
      <c r="L56" s="73">
        <f t="shared" si="14"/>
        <v>32.299999999999997</v>
      </c>
      <c r="M56" s="27"/>
      <c r="N56" s="30">
        <f t="shared" si="13"/>
        <v>0</v>
      </c>
      <c r="O56" s="74">
        <f t="shared" si="10"/>
        <v>0</v>
      </c>
      <c r="Q56" s="107"/>
      <c r="S56" s="107"/>
      <c r="U56" s="107"/>
      <c r="W56" s="107"/>
    </row>
    <row r="57" spans="2:23" x14ac:dyDescent="0.25">
      <c r="B57" s="11" t="s">
        <v>38</v>
      </c>
      <c r="C57" s="21"/>
      <c r="D57" s="22"/>
      <c r="E57" s="23"/>
      <c r="F57" s="72">
        <f>'Res (100)'!F57</f>
        <v>0.13200000000000001</v>
      </c>
      <c r="G57" s="77">
        <f>0.18*$F$18</f>
        <v>360</v>
      </c>
      <c r="H57" s="73">
        <f t="shared" si="15"/>
        <v>47.52</v>
      </c>
      <c r="I57" s="27"/>
      <c r="J57" s="72">
        <f>F57</f>
        <v>0.13200000000000001</v>
      </c>
      <c r="K57" s="77">
        <f>$G$57</f>
        <v>360</v>
      </c>
      <c r="L57" s="73">
        <f t="shared" si="14"/>
        <v>47.52</v>
      </c>
      <c r="M57" s="27"/>
      <c r="N57" s="30">
        <f t="shared" si="13"/>
        <v>0</v>
      </c>
      <c r="O57" s="74">
        <f t="shared" si="10"/>
        <v>0</v>
      </c>
      <c r="Q57" s="107"/>
      <c r="S57" s="107"/>
      <c r="U57" s="107"/>
      <c r="W57" s="107"/>
    </row>
    <row r="58" spans="2:23" s="85" customFormat="1" x14ac:dyDescent="0.25">
      <c r="B58" s="78" t="s">
        <v>39</v>
      </c>
      <c r="C58" s="79"/>
      <c r="D58" s="80"/>
      <c r="E58" s="81"/>
      <c r="F58" s="72">
        <f>'Res (100)'!F58</f>
        <v>7.6999999999999999E-2</v>
      </c>
      <c r="G58" s="82">
        <f>IF(AND($Q$1=1, F18&gt;=600), 600, IF(AND($Q$1=1, AND(F18&lt;600, F18&gt;=0)), F18, IF(AND($Q$1=2, F18&gt;=1000), 1000, IF(AND($Q$1=2, AND(F18&lt;1000, F18&gt;=0)), F18))))</f>
        <v>600</v>
      </c>
      <c r="H58" s="73">
        <f>G58*F58</f>
        <v>46.2</v>
      </c>
      <c r="I58" s="83"/>
      <c r="J58" s="72">
        <f>F58</f>
        <v>7.6999999999999999E-2</v>
      </c>
      <c r="K58" s="82">
        <f>$G$58</f>
        <v>600</v>
      </c>
      <c r="L58" s="73">
        <f>K58*J58</f>
        <v>46.2</v>
      </c>
      <c r="M58" s="83"/>
      <c r="N58" s="84">
        <f t="shared" si="13"/>
        <v>0</v>
      </c>
      <c r="O58" s="74">
        <f t="shared" si="10"/>
        <v>0</v>
      </c>
      <c r="Q58" s="143"/>
      <c r="R58" s="204"/>
      <c r="S58" s="143"/>
      <c r="T58" s="204"/>
      <c r="U58" s="143"/>
      <c r="V58" s="204"/>
      <c r="W58" s="143"/>
    </row>
    <row r="59" spans="2:23" s="85" customFormat="1" ht="13.8" thickBot="1" x14ac:dyDescent="0.3">
      <c r="B59" s="78" t="s">
        <v>40</v>
      </c>
      <c r="C59" s="79"/>
      <c r="D59" s="80"/>
      <c r="E59" s="81"/>
      <c r="F59" s="72">
        <f>'Res (100)'!F59</f>
        <v>0.09</v>
      </c>
      <c r="G59" s="82">
        <f>IF(AND($Q$1=1, F18&gt;=600), F18-600, IF(AND($Q$1=1, AND(F18&lt;600, F18&gt;=0)), 0, IF(AND($Q$1=2, F18&gt;=1000), F18-1000, IF(AND($Q$1=2, AND(F18&lt;1000, F18&gt;=0)), 0))))</f>
        <v>1400</v>
      </c>
      <c r="H59" s="73">
        <f>G59*F59</f>
        <v>126</v>
      </c>
      <c r="I59" s="83"/>
      <c r="J59" s="72">
        <f>F59</f>
        <v>0.09</v>
      </c>
      <c r="K59" s="82">
        <f>$G$59</f>
        <v>1400</v>
      </c>
      <c r="L59" s="73">
        <f>K59*J59</f>
        <v>126</v>
      </c>
      <c r="M59" s="83"/>
      <c r="N59" s="84">
        <f t="shared" si="13"/>
        <v>0</v>
      </c>
      <c r="O59" s="74">
        <f t="shared" si="10"/>
        <v>0</v>
      </c>
      <c r="Q59" s="143"/>
      <c r="R59" s="204"/>
      <c r="S59" s="143"/>
      <c r="T59" s="204"/>
      <c r="U59" s="143"/>
      <c r="V59" s="204"/>
      <c r="W59" s="143"/>
    </row>
    <row r="60" spans="2:23" ht="8.25" customHeight="1" thickBot="1" x14ac:dyDescent="0.3">
      <c r="B60" s="86"/>
      <c r="C60" s="87"/>
      <c r="D60" s="88"/>
      <c r="E60" s="87"/>
      <c r="F60" s="89"/>
      <c r="G60" s="90"/>
      <c r="H60" s="91"/>
      <c r="I60" s="92"/>
      <c r="J60" s="89"/>
      <c r="K60" s="93"/>
      <c r="L60" s="91"/>
      <c r="M60" s="92"/>
      <c r="N60" s="255"/>
      <c r="O60" s="95"/>
      <c r="Q60" s="107"/>
      <c r="S60" s="107"/>
      <c r="U60" s="107"/>
      <c r="W60" s="107"/>
    </row>
    <row r="61" spans="2:23" x14ac:dyDescent="0.25">
      <c r="B61" s="96" t="s">
        <v>41</v>
      </c>
      <c r="C61" s="21"/>
      <c r="D61" s="21"/>
      <c r="E61" s="21"/>
      <c r="F61" s="97"/>
      <c r="G61" s="98"/>
      <c r="H61" s="99">
        <f>SUM(H51:H57,H50)</f>
        <v>246.64141000000001</v>
      </c>
      <c r="I61" s="100"/>
      <c r="J61" s="101"/>
      <c r="K61" s="101"/>
      <c r="L61" s="254">
        <f>SUM(L51:L57,L50)</f>
        <v>243.58414000000002</v>
      </c>
      <c r="M61" s="102"/>
      <c r="N61" s="103">
        <f t="shared" ref="N61" si="16">L61-H61</f>
        <v>-3.0572699999999884</v>
      </c>
      <c r="O61" s="104">
        <f t="shared" ref="O61" si="17">IF((H61)=0,"",(N61/H61))</f>
        <v>-1.2395607047494532E-2</v>
      </c>
      <c r="Q61" s="102"/>
      <c r="S61" s="102"/>
      <c r="U61" s="102"/>
      <c r="W61" s="102"/>
    </row>
    <row r="62" spans="2:23" x14ac:dyDescent="0.25">
      <c r="B62" s="105" t="s">
        <v>42</v>
      </c>
      <c r="C62" s="21"/>
      <c r="D62" s="21"/>
      <c r="E62" s="21"/>
      <c r="F62" s="106">
        <v>0.13</v>
      </c>
      <c r="G62" s="107"/>
      <c r="H62" s="108">
        <f>H61*F62</f>
        <v>32.063383300000005</v>
      </c>
      <c r="I62" s="109"/>
      <c r="J62" s="110">
        <v>0.13</v>
      </c>
      <c r="K62" s="109"/>
      <c r="L62" s="111">
        <f>L61*J62</f>
        <v>31.665938200000003</v>
      </c>
      <c r="M62" s="112"/>
      <c r="N62" s="113">
        <f t="shared" si="13"/>
        <v>-0.39744510000000233</v>
      </c>
      <c r="O62" s="114">
        <f t="shared" si="10"/>
        <v>-1.239560704749465E-2</v>
      </c>
      <c r="Q62" s="112"/>
      <c r="S62" s="112"/>
      <c r="U62" s="112"/>
      <c r="W62" s="112"/>
    </row>
    <row r="63" spans="2:23" x14ac:dyDescent="0.25">
      <c r="B63" s="250" t="s">
        <v>43</v>
      </c>
      <c r="C63" s="21"/>
      <c r="D63" s="21"/>
      <c r="E63" s="21"/>
      <c r="F63" s="106"/>
      <c r="G63" s="107"/>
      <c r="H63" s="99">
        <f>H61+H62</f>
        <v>278.70479330000001</v>
      </c>
      <c r="I63" s="252"/>
      <c r="J63" s="109"/>
      <c r="K63" s="109"/>
      <c r="L63" s="103">
        <f>L61+L62</f>
        <v>275.25007820000002</v>
      </c>
      <c r="M63" s="112"/>
      <c r="N63" s="103">
        <f t="shared" si="13"/>
        <v>-3.4547150999999872</v>
      </c>
      <c r="O63" s="104">
        <f>IF((H63)=0,"",(N63/H63))</f>
        <v>-1.2395607047494534E-2</v>
      </c>
      <c r="Q63" s="112"/>
      <c r="S63" s="112"/>
      <c r="U63" s="112"/>
      <c r="W63" s="112"/>
    </row>
    <row r="64" spans="2:23" x14ac:dyDescent="0.25">
      <c r="B64" s="249" t="s">
        <v>137</v>
      </c>
      <c r="C64" s="21"/>
      <c r="D64" s="21"/>
      <c r="E64" s="21"/>
      <c r="F64" s="106">
        <v>-0.08</v>
      </c>
      <c r="G64" s="107"/>
      <c r="H64" s="257">
        <f>F64*H61</f>
        <v>-19.731312800000001</v>
      </c>
      <c r="I64" s="112"/>
      <c r="J64" s="106">
        <v>-0.08</v>
      </c>
      <c r="K64" s="248"/>
      <c r="L64" s="257">
        <f>J64*L61</f>
        <v>-19.486731200000001</v>
      </c>
      <c r="M64" s="112"/>
      <c r="N64" s="257">
        <f t="shared" si="13"/>
        <v>0.24458160000000007</v>
      </c>
      <c r="O64" s="114">
        <f>IF((H64)=0,"",(N64/H64))</f>
        <v>-1.2395607047494582E-2</v>
      </c>
      <c r="Q64" s="112"/>
      <c r="S64" s="112"/>
      <c r="U64" s="112"/>
      <c r="W64" s="112"/>
    </row>
    <row r="65" spans="2:23" ht="13.8" thickBot="1" x14ac:dyDescent="0.3">
      <c r="B65" s="294" t="s">
        <v>138</v>
      </c>
      <c r="C65" s="294"/>
      <c r="D65" s="294"/>
      <c r="E65" s="21"/>
      <c r="F65" s="256"/>
      <c r="G65" s="107"/>
      <c r="H65" s="251">
        <f>SUM(H63:H64)</f>
        <v>258.97348049999999</v>
      </c>
      <c r="I65" s="112"/>
      <c r="J65" s="253"/>
      <c r="K65" s="248"/>
      <c r="L65" s="251">
        <f>SUM(L63:L64)</f>
        <v>255.76334700000001</v>
      </c>
      <c r="M65" s="112"/>
      <c r="N65" s="103">
        <f t="shared" si="13"/>
        <v>-3.2101334999999835</v>
      </c>
      <c r="O65" s="104">
        <f>IF((H65)=0,"",(N65/H65))</f>
        <v>-1.2395607047494516E-2</v>
      </c>
      <c r="Q65" s="112"/>
      <c r="S65" s="112"/>
      <c r="U65" s="112"/>
      <c r="W65" s="112"/>
    </row>
    <row r="66" spans="2: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2:23" s="85" customFormat="1" x14ac:dyDescent="0.25">
      <c r="B67" s="124" t="s">
        <v>44</v>
      </c>
      <c r="C67" s="79"/>
      <c r="D67" s="79"/>
      <c r="E67" s="79"/>
      <c r="F67" s="125"/>
      <c r="G67" s="126"/>
      <c r="H67" s="127">
        <f>SUM(H58:H59,H50,H51:H54)</f>
        <v>254.52141</v>
      </c>
      <c r="I67" s="128"/>
      <c r="J67" s="129"/>
      <c r="K67" s="129"/>
      <c r="L67" s="127">
        <f>SUM(L58:L59,L50,L51:L54)</f>
        <v>251.46414000000001</v>
      </c>
      <c r="M67" s="130"/>
      <c r="N67" s="131">
        <f t="shared" ref="N67:N71" si="18">L67-H67</f>
        <v>-3.0572699999999884</v>
      </c>
      <c r="O67" s="104">
        <f t="shared" ref="O67:O71" si="19">IF((H67)=0,"",(N67/H67))</f>
        <v>-1.2011838218246506E-2</v>
      </c>
      <c r="Q67" s="130"/>
      <c r="R67" s="204"/>
      <c r="S67" s="130"/>
      <c r="T67" s="204"/>
      <c r="U67" s="130"/>
      <c r="V67" s="204"/>
      <c r="W67" s="130"/>
    </row>
    <row r="68" spans="2:23" s="85" customFormat="1" x14ac:dyDescent="0.25">
      <c r="B68" s="132" t="s">
        <v>42</v>
      </c>
      <c r="C68" s="79"/>
      <c r="D68" s="79"/>
      <c r="E68" s="79"/>
      <c r="F68" s="133">
        <v>0.13</v>
      </c>
      <c r="G68" s="126"/>
      <c r="H68" s="134">
        <f>H67*F68</f>
        <v>33.087783299999998</v>
      </c>
      <c r="I68" s="135"/>
      <c r="J68" s="136">
        <v>0.13</v>
      </c>
      <c r="K68" s="137"/>
      <c r="L68" s="138">
        <f>L67*J68</f>
        <v>32.690338200000006</v>
      </c>
      <c r="M68" s="139"/>
      <c r="N68" s="140">
        <f t="shared" si="18"/>
        <v>-0.39744509999999167</v>
      </c>
      <c r="O68" s="114">
        <f t="shared" si="19"/>
        <v>-1.20118382182463E-2</v>
      </c>
      <c r="Q68" s="139"/>
      <c r="R68" s="204"/>
      <c r="S68" s="139"/>
      <c r="T68" s="204"/>
      <c r="U68" s="139"/>
      <c r="V68" s="204"/>
      <c r="W68" s="139"/>
    </row>
    <row r="69" spans="2:23" s="85" customFormat="1" x14ac:dyDescent="0.25">
      <c r="B69" s="258" t="s">
        <v>43</v>
      </c>
      <c r="C69" s="79"/>
      <c r="D69" s="79"/>
      <c r="E69" s="79"/>
      <c r="F69" s="142"/>
      <c r="G69" s="143"/>
      <c r="H69" s="127">
        <f>H67+H68</f>
        <v>287.60919330000002</v>
      </c>
      <c r="I69" s="135"/>
      <c r="J69" s="135"/>
      <c r="K69" s="135"/>
      <c r="L69" s="211">
        <f>L67+L68</f>
        <v>284.15447820000003</v>
      </c>
      <c r="M69" s="139"/>
      <c r="N69" s="131">
        <f t="shared" si="18"/>
        <v>-3.4547150999999872</v>
      </c>
      <c r="O69" s="104">
        <f t="shared" si="19"/>
        <v>-1.2011838218246506E-2</v>
      </c>
      <c r="Q69" s="139"/>
      <c r="R69" s="204"/>
      <c r="S69" s="139"/>
      <c r="T69" s="204"/>
      <c r="U69" s="139"/>
      <c r="V69" s="204"/>
      <c r="W69" s="139"/>
    </row>
    <row r="70" spans="2:23" s="85" customFormat="1" x14ac:dyDescent="0.25">
      <c r="B70" s="249" t="s">
        <v>137</v>
      </c>
      <c r="C70" s="21"/>
      <c r="D70" s="21"/>
      <c r="E70" s="79"/>
      <c r="F70" s="106">
        <v>-0.08</v>
      </c>
      <c r="G70" s="143"/>
      <c r="H70" s="257">
        <f>F70*H67</f>
        <v>-20.361712799999999</v>
      </c>
      <c r="I70" s="135"/>
      <c r="J70" s="106">
        <v>-0.08</v>
      </c>
      <c r="K70" s="135"/>
      <c r="L70" s="257">
        <f>J70*L67</f>
        <v>-20.117131200000003</v>
      </c>
      <c r="M70" s="139"/>
      <c r="N70" s="131">
        <f t="shared" si="18"/>
        <v>0.24458159999999651</v>
      </c>
      <c r="O70" s="104">
        <f t="shared" si="19"/>
        <v>-1.201183821824638E-2</v>
      </c>
      <c r="Q70" s="139"/>
      <c r="R70" s="204"/>
      <c r="S70" s="139"/>
      <c r="T70" s="204"/>
      <c r="U70" s="139"/>
      <c r="V70" s="204"/>
      <c r="W70" s="139"/>
    </row>
    <row r="71" spans="2:23" s="85" customFormat="1" ht="13.8" thickBot="1" x14ac:dyDescent="0.3">
      <c r="B71" s="294" t="s">
        <v>138</v>
      </c>
      <c r="C71" s="294"/>
      <c r="D71" s="294"/>
      <c r="E71" s="79"/>
      <c r="F71" s="142"/>
      <c r="G71" s="143"/>
      <c r="H71" s="251">
        <f>SUM(H69:H70)</f>
        <v>267.24748049999999</v>
      </c>
      <c r="I71" s="135"/>
      <c r="J71" s="135"/>
      <c r="K71" s="135"/>
      <c r="L71" s="251">
        <f>SUM(L69:L70)</f>
        <v>264.03734700000001</v>
      </c>
      <c r="M71" s="139"/>
      <c r="N71" s="131">
        <f t="shared" si="18"/>
        <v>-3.2101334999999835</v>
      </c>
      <c r="O71" s="104">
        <f t="shared" si="19"/>
        <v>-1.2011838218246491E-2</v>
      </c>
      <c r="Q71" s="139"/>
      <c r="R71" s="204"/>
      <c r="S71" s="139"/>
      <c r="T71" s="204"/>
      <c r="U71" s="139"/>
      <c r="V71" s="204"/>
      <c r="W71" s="139"/>
    </row>
    <row r="72" spans="2:23" s="85" customFormat="1" ht="8.25" customHeight="1" thickBot="1" x14ac:dyDescent="0.3">
      <c r="B72" s="117"/>
      <c r="C72" s="118"/>
      <c r="D72" s="119"/>
      <c r="E72" s="118"/>
      <c r="F72" s="144"/>
      <c r="G72" s="145"/>
      <c r="H72" s="146"/>
      <c r="I72" s="147"/>
      <c r="J72" s="144"/>
      <c r="K72" s="120"/>
      <c r="L72" s="148"/>
      <c r="M72" s="121"/>
      <c r="N72" s="149"/>
      <c r="O72" s="95"/>
      <c r="Q72" s="143"/>
      <c r="R72" s="204"/>
      <c r="S72" s="143"/>
      <c r="T72" s="204"/>
      <c r="U72" s="143"/>
      <c r="V72" s="204"/>
      <c r="W72" s="143"/>
    </row>
    <row r="73" spans="2:23" x14ac:dyDescent="0.25">
      <c r="L73" s="150"/>
    </row>
    <row r="74" spans="2:23" x14ac:dyDescent="0.25">
      <c r="B74" s="12" t="s">
        <v>45</v>
      </c>
      <c r="F74" s="151">
        <f>'Res (100)'!F74</f>
        <v>3.3500000000000002E-2</v>
      </c>
      <c r="J74" s="151">
        <f>+'Res (100)'!J74</f>
        <v>3.3500000000000002E-2</v>
      </c>
    </row>
    <row r="77" spans="2:23" x14ac:dyDescent="0.25">
      <c r="B77" s="96" t="s">
        <v>41</v>
      </c>
      <c r="C77" s="21"/>
      <c r="D77" s="21"/>
      <c r="E77" s="21"/>
      <c r="F77" s="97"/>
      <c r="G77" s="98"/>
      <c r="H77" s="99">
        <f>+H61-H31-H40-H41-H42</f>
        <v>251.42140999999998</v>
      </c>
      <c r="I77" s="100"/>
      <c r="J77" s="101"/>
      <c r="K77" s="101"/>
      <c r="L77" s="99">
        <f>+L61-L31-L40-L41-L42</f>
        <v>245.98414000000002</v>
      </c>
      <c r="M77" s="102"/>
      <c r="N77" s="103">
        <f t="shared" ref="N77:N79" si="20">L77-H77</f>
        <v>-5.4372699999999554</v>
      </c>
      <c r="O77" s="104">
        <f t="shared" ref="O77:O79" si="21">IF((H77)=0,"",(N77/H77))</f>
        <v>-2.1626121657658176E-2</v>
      </c>
      <c r="Q77" s="102"/>
      <c r="S77" s="102"/>
      <c r="U77" s="102"/>
      <c r="W77" s="102"/>
    </row>
    <row r="78" spans="2:23" x14ac:dyDescent="0.25">
      <c r="B78" s="105" t="s">
        <v>42</v>
      </c>
      <c r="C78" s="21"/>
      <c r="D78" s="21"/>
      <c r="E78" s="21"/>
      <c r="F78" s="106">
        <v>0.13</v>
      </c>
      <c r="G78" s="107"/>
      <c r="H78" s="108">
        <f>H77*F78</f>
        <v>32.684783299999999</v>
      </c>
      <c r="I78" s="109"/>
      <c r="J78" s="110">
        <v>0.13</v>
      </c>
      <c r="K78" s="109"/>
      <c r="L78" s="111">
        <f>L77*J78</f>
        <v>31.977938200000004</v>
      </c>
      <c r="M78" s="112"/>
      <c r="N78" s="113">
        <f t="shared" si="20"/>
        <v>-0.70684509999999534</v>
      </c>
      <c r="O78" s="114">
        <f t="shared" si="21"/>
        <v>-2.1626121657658211E-2</v>
      </c>
      <c r="Q78" s="112"/>
      <c r="S78" s="112"/>
      <c r="U78" s="112"/>
      <c r="W78" s="112"/>
    </row>
    <row r="79" spans="2:23" x14ac:dyDescent="0.25">
      <c r="B79" s="209" t="s">
        <v>43</v>
      </c>
      <c r="C79" s="210"/>
      <c r="D79" s="210"/>
      <c r="E79" s="210"/>
      <c r="F79" s="205"/>
      <c r="G79" s="206"/>
      <c r="H79" s="216">
        <f>H77+H78</f>
        <v>284.10619329999997</v>
      </c>
      <c r="I79" s="207"/>
      <c r="J79" s="207"/>
      <c r="K79" s="207"/>
      <c r="L79" s="215">
        <f>L77+L78</f>
        <v>277.96207820000001</v>
      </c>
      <c r="M79" s="208"/>
      <c r="N79" s="214">
        <f t="shared" si="20"/>
        <v>-6.144115099999965</v>
      </c>
      <c r="O79" s="213">
        <f t="shared" si="21"/>
        <v>-2.1626121657658232E-2</v>
      </c>
      <c r="P79" s="12"/>
      <c r="Q79" s="112"/>
      <c r="S79" s="112"/>
      <c r="U79" s="112"/>
      <c r="W79" s="112"/>
    </row>
    <row r="80" spans="2:23" ht="13.5" customHeight="1" x14ac:dyDescent="0.25">
      <c r="Q80" s="202"/>
      <c r="R80" s="202"/>
      <c r="S80" s="6"/>
      <c r="T80" s="6"/>
      <c r="U80" s="6"/>
      <c r="V80" s="6"/>
      <c r="W80" s="6"/>
    </row>
    <row r="81" spans="1:23" ht="12" customHeight="1" x14ac:dyDescent="0.25">
      <c r="A81" s="6" t="s">
        <v>46</v>
      </c>
      <c r="Q81" s="202"/>
      <c r="R81" s="202"/>
      <c r="S81" s="6"/>
      <c r="T81" s="6"/>
      <c r="U81" s="6"/>
      <c r="V81" s="6"/>
      <c r="W81" s="6"/>
    </row>
    <row r="82" spans="1:23" x14ac:dyDescent="0.25">
      <c r="A82" s="6" t="s">
        <v>47</v>
      </c>
      <c r="Q82" s="202"/>
      <c r="R82" s="202"/>
      <c r="S82" s="6"/>
      <c r="T82" s="6"/>
      <c r="U82" s="6"/>
      <c r="V82" s="6"/>
      <c r="W82" s="6"/>
    </row>
    <row r="83" spans="1:23" x14ac:dyDescent="0.25">
      <c r="Q83" s="202"/>
      <c r="R83" s="202"/>
      <c r="S83" s="6"/>
      <c r="T83" s="6"/>
      <c r="U83" s="6"/>
      <c r="V83" s="6"/>
      <c r="W83" s="6"/>
    </row>
    <row r="84" spans="1:23" x14ac:dyDescent="0.25">
      <c r="A84" s="153" t="s">
        <v>133</v>
      </c>
      <c r="Q84" s="202"/>
      <c r="R84" s="202"/>
      <c r="S84" s="6"/>
      <c r="T84" s="6"/>
      <c r="U84" s="6"/>
      <c r="V84" s="6"/>
      <c r="W84" s="6"/>
    </row>
    <row r="85" spans="1:23" x14ac:dyDescent="0.25">
      <c r="A85" s="11" t="s">
        <v>48</v>
      </c>
      <c r="Q85" s="202"/>
      <c r="R85" s="202"/>
      <c r="S85" s="6"/>
      <c r="T85" s="6"/>
      <c r="U85" s="6"/>
      <c r="V85" s="6"/>
      <c r="W85" s="6"/>
    </row>
    <row r="86" spans="1:23" x14ac:dyDescent="0.25">
      <c r="Q86" s="202"/>
      <c r="R86" s="202"/>
      <c r="S86" s="6"/>
      <c r="T86" s="6"/>
      <c r="U86" s="6"/>
      <c r="V86" s="6"/>
      <c r="W86" s="6"/>
    </row>
    <row r="87" spans="1:23" x14ac:dyDescent="0.25">
      <c r="A87" s="6" t="s">
        <v>132</v>
      </c>
      <c r="Q87" s="202"/>
      <c r="R87" s="202"/>
      <c r="S87" s="6"/>
      <c r="T87" s="6"/>
      <c r="U87" s="6"/>
      <c r="V87" s="6"/>
      <c r="W87" s="6"/>
    </row>
    <row r="88" spans="1:23" x14ac:dyDescent="0.25">
      <c r="A88" s="6" t="s">
        <v>49</v>
      </c>
      <c r="Q88" s="202"/>
      <c r="R88" s="202"/>
      <c r="S88" s="6"/>
      <c r="T88" s="6"/>
      <c r="U88" s="6"/>
      <c r="V88" s="6"/>
      <c r="W88" s="6"/>
    </row>
    <row r="89" spans="1:23" x14ac:dyDescent="0.25">
      <c r="A89" s="6" t="s">
        <v>50</v>
      </c>
      <c r="Q89" s="202"/>
      <c r="R89" s="202"/>
      <c r="S89" s="6"/>
      <c r="T89" s="6"/>
      <c r="U89" s="6"/>
      <c r="V89" s="6"/>
      <c r="W89" s="6"/>
    </row>
    <row r="90" spans="1:23" x14ac:dyDescent="0.25">
      <c r="A90" s="6" t="s">
        <v>51</v>
      </c>
      <c r="Q90" s="202"/>
      <c r="R90" s="202"/>
      <c r="S90" s="6"/>
      <c r="T90" s="6"/>
      <c r="U90" s="6"/>
      <c r="V90" s="6"/>
      <c r="W90" s="6"/>
    </row>
    <row r="91" spans="1:23" x14ac:dyDescent="0.25">
      <c r="A91" s="6" t="s">
        <v>52</v>
      </c>
      <c r="Q91" s="202"/>
      <c r="R91" s="202"/>
      <c r="S91" s="6"/>
      <c r="T91" s="6"/>
      <c r="U91" s="6"/>
      <c r="V91" s="6"/>
      <c r="W91" s="6"/>
    </row>
    <row r="92" spans="1:23" x14ac:dyDescent="0.25">
      <c r="Q92" s="202"/>
      <c r="R92" s="202"/>
      <c r="S92" s="6"/>
      <c r="T92" s="6"/>
      <c r="U92" s="6"/>
      <c r="V92" s="6"/>
      <c r="W92" s="6"/>
    </row>
    <row r="93" spans="1:23" x14ac:dyDescent="0.25">
      <c r="A93" s="152"/>
      <c r="B93" s="6" t="s">
        <v>53</v>
      </c>
      <c r="Q93" s="202"/>
      <c r="R93" s="202"/>
      <c r="S93" s="6"/>
      <c r="T93" s="6"/>
      <c r="U93" s="6"/>
      <c r="V93" s="6"/>
      <c r="W93" s="6"/>
    </row>
    <row r="94" spans="1:23" x14ac:dyDescent="0.25">
      <c r="Q94" s="202"/>
      <c r="R94" s="202"/>
      <c r="S94" s="6"/>
      <c r="T94" s="6"/>
      <c r="U94" s="6"/>
      <c r="V94" s="6"/>
      <c r="W94" s="6"/>
    </row>
    <row r="95" spans="1:23" x14ac:dyDescent="0.25">
      <c r="B95" s="153" t="s">
        <v>54</v>
      </c>
      <c r="Q95" s="202"/>
      <c r="R95" s="202"/>
      <c r="S95" s="6"/>
      <c r="T95" s="6"/>
      <c r="U95" s="6"/>
      <c r="V95" s="6"/>
      <c r="W95" s="6"/>
    </row>
  </sheetData>
  <sheetProtection selectLockedCells="1"/>
  <mergeCells count="10">
    <mergeCell ref="B65:D65"/>
    <mergeCell ref="B71:D71"/>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48:D49 D40:D46 D51:D60">
      <formula1>"Monthly, per kWh, per kW"</formula1>
    </dataValidation>
    <dataValidation type="list" allowBlank="1" showInputMessage="1" showErrorMessage="1" sqref="E48:E49 E72 E66 E23:E38 E40:E46 E51:E60">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Option Button 1">
              <controlPr defaultSize="0" autoFill="0" autoLine="0" autoPict="0">
                <anchor moveWithCells="1">
                  <from>
                    <xdr:col>1</xdr:col>
                    <xdr:colOff>944880</xdr:colOff>
                    <xdr:row>3</xdr:row>
                    <xdr:rowOff>182880</xdr:rowOff>
                  </from>
                  <to>
                    <xdr:col>1</xdr:col>
                    <xdr:colOff>1424940</xdr:colOff>
                    <xdr:row>4</xdr:row>
                    <xdr:rowOff>45720</xdr:rowOff>
                  </to>
                </anchor>
              </controlPr>
            </control>
          </mc:Choice>
        </mc:AlternateContent>
        <mc:AlternateContent xmlns:mc="http://schemas.openxmlformats.org/markup-compatibility/2006">
          <mc:Choice Requires="x14">
            <control shapeId="129026" r:id="rId5" name="Option Button 2">
              <controlPr defaultSize="0" autoFill="0" autoLine="0" autoPict="0">
                <anchor moveWithCells="1">
                  <from>
                    <xdr:col>1</xdr:col>
                    <xdr:colOff>1356360</xdr:colOff>
                    <xdr:row>3</xdr:row>
                    <xdr:rowOff>160020</xdr:rowOff>
                  </from>
                  <to>
                    <xdr:col>3</xdr:col>
                    <xdr:colOff>510540</xdr:colOff>
                    <xdr:row>4</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92"/>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441406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8"/>
      <c r="D10" s="168"/>
      <c r="E10" s="168"/>
      <c r="F10" s="166" t="s">
        <v>134</v>
      </c>
      <c r="G10" s="168"/>
      <c r="H10" s="168"/>
      <c r="I10" s="168"/>
      <c r="J10" s="168"/>
      <c r="K10" s="168"/>
      <c r="L10" s="168"/>
      <c r="M10" s="168"/>
      <c r="N10" s="168"/>
      <c r="O10" s="168"/>
      <c r="P10"/>
    </row>
    <row r="11" spans="1:23" ht="18.75" customHeight="1" x14ac:dyDescent="0.3">
      <c r="C11" s="168"/>
      <c r="D11" s="168"/>
      <c r="E11" s="168"/>
      <c r="F11" s="168" t="s">
        <v>0</v>
      </c>
      <c r="G11" s="168"/>
      <c r="H11" s="168"/>
      <c r="I11" s="168"/>
      <c r="J11" s="168"/>
      <c r="K11" s="168"/>
      <c r="L11" s="168"/>
      <c r="M11" s="168"/>
      <c r="N11" s="168"/>
      <c r="O11" s="168"/>
      <c r="P11"/>
    </row>
    <row r="12" spans="1:23" ht="7.5" customHeight="1" x14ac:dyDescent="0.25">
      <c r="L12"/>
      <c r="M12"/>
      <c r="N12"/>
      <c r="O12"/>
      <c r="P12"/>
    </row>
    <row r="13" spans="1:23" ht="7.5" customHeight="1" x14ac:dyDescent="0.25">
      <c r="L13"/>
      <c r="M13"/>
      <c r="N13"/>
      <c r="O13"/>
      <c r="P13"/>
    </row>
    <row r="14" spans="1:23" ht="15.6" x14ac:dyDescent="0.25">
      <c r="B14" s="7" t="s">
        <v>1</v>
      </c>
      <c r="D14" s="302" t="s">
        <v>55</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Rates'!D8</f>
        <v>17.89</v>
      </c>
      <c r="G23" s="25">
        <v>1</v>
      </c>
      <c r="H23" s="26">
        <f>G23*F23</f>
        <v>17.89</v>
      </c>
      <c r="I23" s="27"/>
      <c r="J23" s="28">
        <f>+'Proposed Rates'!E8</f>
        <v>18.600000000000001</v>
      </c>
      <c r="K23" s="29">
        <v>1</v>
      </c>
      <c r="L23" s="26">
        <f>K23*J23</f>
        <v>18.600000000000001</v>
      </c>
      <c r="M23" s="27"/>
      <c r="N23" s="30">
        <f>L23-H23</f>
        <v>0.71000000000000085</v>
      </c>
      <c r="O23" s="31">
        <f>IF((H23)=0,"",(N23/H23))</f>
        <v>3.9686975964225872E-2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Rates'!D21</f>
        <v>2.2700000000000001E-2</v>
      </c>
      <c r="G29" s="25">
        <f>$F$18</f>
        <v>1000</v>
      </c>
      <c r="H29" s="26">
        <f t="shared" si="0"/>
        <v>22.700000000000003</v>
      </c>
      <c r="I29" s="27"/>
      <c r="J29" s="28">
        <f>+'Proposed Rates'!E21</f>
        <v>2.3800000000000002E-2</v>
      </c>
      <c r="K29" s="25">
        <f>$F$18</f>
        <v>1000</v>
      </c>
      <c r="L29" s="26">
        <f t="shared" si="1"/>
        <v>23.8</v>
      </c>
      <c r="M29" s="27"/>
      <c r="N29" s="30">
        <f t="shared" si="2"/>
        <v>1.0999999999999979</v>
      </c>
      <c r="O29" s="31">
        <f t="shared" si="3"/>
        <v>4.8458149779735581E-2</v>
      </c>
      <c r="Q29" s="107"/>
      <c r="S29" s="107"/>
      <c r="U29" s="107"/>
      <c r="W29" s="107"/>
    </row>
    <row r="30" spans="2:23" x14ac:dyDescent="0.25">
      <c r="B30" s="21" t="s">
        <v>21</v>
      </c>
      <c r="C30" s="21"/>
      <c r="D30" s="22"/>
      <c r="E30" s="23"/>
      <c r="F30" s="24"/>
      <c r="G30" s="25">
        <f t="shared" ref="G30" si="4">$F$18</f>
        <v>1000</v>
      </c>
      <c r="H30" s="26">
        <f t="shared" si="0"/>
        <v>0</v>
      </c>
      <c r="I30" s="27"/>
      <c r="J30" s="28"/>
      <c r="K30" s="25">
        <f t="shared" ref="K30:K38" si="5">$F$18</f>
        <v>1000</v>
      </c>
      <c r="L30" s="26">
        <f t="shared" si="1"/>
        <v>0</v>
      </c>
      <c r="M30" s="27"/>
      <c r="N30" s="30">
        <f t="shared" si="2"/>
        <v>0</v>
      </c>
      <c r="O30" s="31" t="str">
        <f t="shared" si="3"/>
        <v/>
      </c>
      <c r="Q30" s="107"/>
      <c r="S30" s="107"/>
      <c r="U30" s="107"/>
      <c r="W30" s="107"/>
    </row>
    <row r="31" spans="2:23" x14ac:dyDescent="0.25">
      <c r="B31" s="21" t="s">
        <v>22</v>
      </c>
      <c r="C31" s="21"/>
      <c r="D31" s="22" t="s">
        <v>20</v>
      </c>
      <c r="E31" s="23"/>
      <c r="F31" s="50">
        <f>'Proposed Rates'!D68</f>
        <v>0</v>
      </c>
      <c r="G31" s="25">
        <f>$F$18</f>
        <v>1000</v>
      </c>
      <c r="H31" s="26">
        <f t="shared" si="0"/>
        <v>0</v>
      </c>
      <c r="I31" s="27"/>
      <c r="J31" s="52">
        <f>+'Proposed Rates'!E68</f>
        <v>0</v>
      </c>
      <c r="K31" s="25">
        <f t="shared" si="5"/>
        <v>1000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1000</v>
      </c>
      <c r="H32" s="26">
        <f t="shared" si="0"/>
        <v>0</v>
      </c>
      <c r="I32" s="27"/>
      <c r="J32" s="28"/>
      <c r="K32" s="25">
        <f t="shared" si="5"/>
        <v>1000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1000</v>
      </c>
      <c r="H33" s="26">
        <f t="shared" si="0"/>
        <v>0</v>
      </c>
      <c r="I33" s="27"/>
      <c r="J33" s="28"/>
      <c r="K33" s="25">
        <f t="shared" si="5"/>
        <v>1000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1000</v>
      </c>
      <c r="H34" s="26">
        <f t="shared" si="0"/>
        <v>0</v>
      </c>
      <c r="I34" s="27"/>
      <c r="J34" s="28"/>
      <c r="K34" s="25">
        <f t="shared" si="5"/>
        <v>1000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1000</v>
      </c>
      <c r="H35" s="26">
        <f t="shared" si="0"/>
        <v>0</v>
      </c>
      <c r="I35" s="27"/>
      <c r="J35" s="28"/>
      <c r="K35" s="25">
        <f t="shared" si="5"/>
        <v>1000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1000</v>
      </c>
      <c r="H36" s="26">
        <f t="shared" si="0"/>
        <v>0</v>
      </c>
      <c r="I36" s="27"/>
      <c r="J36" s="28"/>
      <c r="K36" s="25">
        <f t="shared" si="5"/>
        <v>1000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1000</v>
      </c>
      <c r="H37" s="26">
        <f t="shared" si="0"/>
        <v>0</v>
      </c>
      <c r="I37" s="27"/>
      <c r="J37" s="28"/>
      <c r="K37" s="25">
        <f t="shared" si="5"/>
        <v>1000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1000</v>
      </c>
      <c r="H38" s="26">
        <f t="shared" si="0"/>
        <v>0</v>
      </c>
      <c r="I38" s="27"/>
      <c r="J38" s="28"/>
      <c r="K38" s="25">
        <f t="shared" si="5"/>
        <v>1000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40.590000000000003</v>
      </c>
      <c r="I39" s="40"/>
      <c r="J39" s="41"/>
      <c r="K39" s="42"/>
      <c r="L39" s="39">
        <f>SUM(L23:L38)</f>
        <v>42.400000000000006</v>
      </c>
      <c r="M39" s="40"/>
      <c r="N39" s="43">
        <f t="shared" si="2"/>
        <v>1.8100000000000023</v>
      </c>
      <c r="O39" s="44">
        <f t="shared" si="3"/>
        <v>4.4592264104459281E-2</v>
      </c>
      <c r="Q39" s="107"/>
      <c r="R39" s="203"/>
      <c r="S39" s="107"/>
      <c r="T39" s="203"/>
      <c r="U39" s="107"/>
      <c r="V39" s="203"/>
      <c r="W39" s="107"/>
    </row>
    <row r="40" spans="2:23" ht="26.4" x14ac:dyDescent="0.25">
      <c r="B40" s="46" t="str">
        <f>+'Res (100)'!B40</f>
        <v>Deferral/Variance Account Disposition Rate Rider Group 1</v>
      </c>
      <c r="C40" s="21"/>
      <c r="D40" s="22" t="s">
        <v>20</v>
      </c>
      <c r="E40" s="23"/>
      <c r="F40" s="50">
        <f>'Proposed Rates'!D39</f>
        <v>0</v>
      </c>
      <c r="G40" s="25">
        <f>$F$18</f>
        <v>1000</v>
      </c>
      <c r="H40" s="26">
        <f>G40*F40</f>
        <v>0</v>
      </c>
      <c r="I40" s="27"/>
      <c r="J40" s="28">
        <f>+'Proposed Rates'!E39</f>
        <v>-4.0000000000000002E-4</v>
      </c>
      <c r="K40" s="25">
        <f>$F$18</f>
        <v>1000</v>
      </c>
      <c r="L40" s="26">
        <f>K40*J40</f>
        <v>-0.4</v>
      </c>
      <c r="M40" s="27"/>
      <c r="N40" s="30">
        <f>L40-H40</f>
        <v>-0.4</v>
      </c>
      <c r="O40" s="31" t="str">
        <f>IF((H40)=0,"",(N40/H40))</f>
        <v/>
      </c>
      <c r="Q40" s="107"/>
      <c r="S40" s="107"/>
      <c r="U40" s="107"/>
      <c r="W40" s="107"/>
    </row>
    <row r="41" spans="2:23" ht="26.4" x14ac:dyDescent="0.25">
      <c r="B41" s="46" t="str">
        <f>+'Res (100)'!B41</f>
        <v>Deferral/Variance Account Disposition Rate Rider Group 2</v>
      </c>
      <c r="C41" s="21"/>
      <c r="D41" s="22" t="s">
        <v>20</v>
      </c>
      <c r="E41" s="23"/>
      <c r="F41" s="50">
        <f>'Proposed Rates'!D53</f>
        <v>0</v>
      </c>
      <c r="G41" s="25">
        <f t="shared" ref="G41:G43" si="7">$F$18</f>
        <v>1000</v>
      </c>
      <c r="H41" s="26">
        <f t="shared" ref="H41:H45" si="8">G41*F41</f>
        <v>0</v>
      </c>
      <c r="I41" s="47"/>
      <c r="J41" s="28">
        <f>+'Proposed Rates'!E53</f>
        <v>0</v>
      </c>
      <c r="K41" s="25">
        <f t="shared" ref="K41:K43" si="9">$F$18</f>
        <v>1000</v>
      </c>
      <c r="L41" s="26">
        <f t="shared" ref="L41:L45" si="10">K41*J41</f>
        <v>0</v>
      </c>
      <c r="M41" s="48"/>
      <c r="N41" s="30">
        <f t="shared" ref="N41:N45" si="11">L41-H41</f>
        <v>0</v>
      </c>
      <c r="O41" s="31" t="str">
        <f t="shared" ref="O41:O66" si="12">IF((H41)=0,"",(N41/H41))</f>
        <v/>
      </c>
      <c r="Q41" s="107"/>
      <c r="S41" s="107"/>
      <c r="U41" s="107"/>
      <c r="W41" s="107"/>
    </row>
    <row r="42" spans="2:23" ht="39.6" x14ac:dyDescent="0.25">
      <c r="B42" s="46" t="str">
        <f>+'Res (100)'!B42</f>
        <v>Deferral / Variance Accounts Balances (excluding Global Adj.) - NON-WMP</v>
      </c>
      <c r="C42" s="21"/>
      <c r="D42" s="22" t="s">
        <v>20</v>
      </c>
      <c r="E42" s="23"/>
      <c r="F42" s="24">
        <f>'Proposed Rates'!D98</f>
        <v>-2.3E-3</v>
      </c>
      <c r="G42" s="25">
        <f t="shared" si="7"/>
        <v>1000</v>
      </c>
      <c r="H42" s="26">
        <f t="shared" si="8"/>
        <v>-2.2999999999999998</v>
      </c>
      <c r="I42" s="47"/>
      <c r="J42" s="28">
        <f>+'Proposed Rates'!E98</f>
        <v>-8.0000000000000004E-4</v>
      </c>
      <c r="K42" s="25">
        <f t="shared" si="9"/>
        <v>1000</v>
      </c>
      <c r="L42" s="26">
        <f t="shared" si="10"/>
        <v>-0.8</v>
      </c>
      <c r="M42" s="48"/>
      <c r="N42" s="30">
        <f t="shared" si="11"/>
        <v>1.4999999999999998</v>
      </c>
      <c r="O42" s="31">
        <f t="shared" si="12"/>
        <v>-0.65217391304347816</v>
      </c>
      <c r="Q42" s="107"/>
      <c r="S42" s="107"/>
      <c r="U42" s="107"/>
      <c r="W42" s="107"/>
    </row>
    <row r="43" spans="2:23" ht="39.6" x14ac:dyDescent="0.25">
      <c r="B43" s="46" t="s">
        <v>125</v>
      </c>
      <c r="C43" s="21"/>
      <c r="D43" s="22" t="s">
        <v>20</v>
      </c>
      <c r="E43" s="23"/>
      <c r="F43" s="24">
        <f>+'Proposed Rates'!D112</f>
        <v>2.7E-4</v>
      </c>
      <c r="G43" s="25">
        <f t="shared" si="7"/>
        <v>1000</v>
      </c>
      <c r="H43" s="26">
        <f t="shared" si="8"/>
        <v>0.27</v>
      </c>
      <c r="I43" s="47"/>
      <c r="J43" s="223">
        <f>+'Proposed Rates'!E112</f>
        <v>0</v>
      </c>
      <c r="K43" s="25">
        <f t="shared" si="9"/>
        <v>1000</v>
      </c>
      <c r="L43" s="26">
        <f t="shared" si="10"/>
        <v>0</v>
      </c>
      <c r="M43" s="48"/>
      <c r="N43" s="30">
        <f t="shared" si="11"/>
        <v>-0.27</v>
      </c>
      <c r="O43" s="31">
        <f t="shared" si="12"/>
        <v>-1</v>
      </c>
      <c r="Q43" s="107"/>
      <c r="S43" s="107"/>
      <c r="U43" s="107"/>
      <c r="W43" s="107"/>
    </row>
    <row r="44" spans="2:23" x14ac:dyDescent="0.25">
      <c r="B44" s="49" t="s">
        <v>25</v>
      </c>
      <c r="C44" s="21"/>
      <c r="D44" s="22" t="s">
        <v>20</v>
      </c>
      <c r="E44" s="23"/>
      <c r="F44" s="50">
        <f>'Proposed Rates'!D127</f>
        <v>6.9999999999999994E-5</v>
      </c>
      <c r="G44" s="51">
        <f>$F$18*(1+F75)</f>
        <v>1033.5</v>
      </c>
      <c r="H44" s="26">
        <f>G44*F44</f>
        <v>7.2344999999999993E-2</v>
      </c>
      <c r="I44" s="27"/>
      <c r="J44" s="52">
        <f>'Proposed Rates'!E127</f>
        <v>6.0000000000000002E-5</v>
      </c>
      <c r="K44" s="51">
        <f>$F$18*(1+J75)</f>
        <v>1033.5</v>
      </c>
      <c r="L44" s="26">
        <f>K44*J44</f>
        <v>6.2010000000000003E-2</v>
      </c>
      <c r="M44" s="27"/>
      <c r="N44" s="30">
        <f>L44-H44</f>
        <v>-1.033499999999999E-2</v>
      </c>
      <c r="O44" s="31">
        <f>IF((H44)=0,"",(N44/H44))</f>
        <v>-0.14285714285714274</v>
      </c>
      <c r="Q44" s="107"/>
      <c r="S44" s="107"/>
      <c r="U44" s="107"/>
      <c r="W44" s="107"/>
    </row>
    <row r="45" spans="2:23" x14ac:dyDescent="0.25">
      <c r="B45" s="49" t="s">
        <v>26</v>
      </c>
      <c r="C45" s="21"/>
      <c r="D45" s="22"/>
      <c r="E45" s="23"/>
      <c r="F45" s="53">
        <f>IF(ISBLANK(D16)=TRUE, 0, IF(D16="TOU", 0.65*$F$56+0.17*$F$57+0.18*$F$58, IF(AND(D16="non-TOU", G60&gt;0), F60,F59)))</f>
        <v>8.2160000000000011E-2</v>
      </c>
      <c r="G45" s="54">
        <f>$F$18*(1+$F$75)-$F$18</f>
        <v>33.5</v>
      </c>
      <c r="H45" s="26">
        <f t="shared" si="8"/>
        <v>2.7523600000000004</v>
      </c>
      <c r="I45" s="27"/>
      <c r="J45" s="55">
        <f>0.65*$J$56+0.17*$J$57+0.18*$J$58</f>
        <v>8.2160000000000011E-2</v>
      </c>
      <c r="K45" s="54">
        <f>$F$18*(1+$J$75)-$F$18</f>
        <v>33.5</v>
      </c>
      <c r="L45" s="26">
        <f t="shared" si="10"/>
        <v>2.7523600000000004</v>
      </c>
      <c r="M45" s="27"/>
      <c r="N45" s="30">
        <f t="shared" si="11"/>
        <v>0</v>
      </c>
      <c r="O45" s="31">
        <f t="shared" si="12"/>
        <v>0</v>
      </c>
      <c r="Q45" s="107"/>
      <c r="S45" s="107"/>
      <c r="U45" s="107"/>
      <c r="W45" s="107"/>
    </row>
    <row r="46" spans="2:23" x14ac:dyDescent="0.25">
      <c r="B46" s="49" t="s">
        <v>27</v>
      </c>
      <c r="C46" s="21"/>
      <c r="D46" s="22" t="s">
        <v>17</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3" ht="26.4" x14ac:dyDescent="0.25">
      <c r="B47" s="56" t="s">
        <v>28</v>
      </c>
      <c r="C47" s="57"/>
      <c r="D47" s="57"/>
      <c r="E47" s="57"/>
      <c r="F47" s="58"/>
      <c r="G47" s="59"/>
      <c r="H47" s="60">
        <f>SUM(H40:H46)+H39</f>
        <v>42.174705000000003</v>
      </c>
      <c r="I47" s="40"/>
      <c r="J47" s="59"/>
      <c r="K47" s="61"/>
      <c r="L47" s="60">
        <f>SUM(L40:L46)+L39</f>
        <v>44.804370000000006</v>
      </c>
      <c r="M47" s="40"/>
      <c r="N47" s="43">
        <f t="shared" ref="N47:N66" si="13">L47-H47</f>
        <v>2.6296650000000028</v>
      </c>
      <c r="O47" s="44">
        <f t="shared" si="12"/>
        <v>6.2351710581022499E-2</v>
      </c>
      <c r="Q47" s="107"/>
      <c r="S47" s="107"/>
      <c r="U47" s="107"/>
      <c r="W47" s="107"/>
    </row>
    <row r="48" spans="2:23" x14ac:dyDescent="0.25">
      <c r="B48" s="27" t="s">
        <v>29</v>
      </c>
      <c r="C48" s="27"/>
      <c r="D48" s="62" t="s">
        <v>20</v>
      </c>
      <c r="E48" s="63"/>
      <c r="F48" s="28">
        <f>'Proposed Rates'!D157</f>
        <v>6.7999999999999996E-3</v>
      </c>
      <c r="G48" s="64">
        <f>$F$18*(1+F75)</f>
        <v>1033.5</v>
      </c>
      <c r="H48" s="26">
        <f>G48*F48</f>
        <v>7.0278</v>
      </c>
      <c r="I48" s="27"/>
      <c r="J48" s="28">
        <f>'Proposed Rates'!E157</f>
        <v>6.8999999999999999E-3</v>
      </c>
      <c r="K48" s="65">
        <f>F18*(1+J75)</f>
        <v>1033.5</v>
      </c>
      <c r="L48" s="26">
        <f>K48*J48</f>
        <v>7.1311499999999999</v>
      </c>
      <c r="M48" s="27"/>
      <c r="N48" s="30">
        <f t="shared" si="13"/>
        <v>0.10334999999999983</v>
      </c>
      <c r="O48" s="31">
        <f t="shared" si="12"/>
        <v>1.4705882352941152E-2</v>
      </c>
      <c r="Q48" s="107"/>
      <c r="S48" s="107"/>
      <c r="U48" s="107"/>
      <c r="W48" s="107"/>
    </row>
    <row r="49" spans="2:23" ht="26.4" x14ac:dyDescent="0.25">
      <c r="B49" s="66" t="s">
        <v>30</v>
      </c>
      <c r="C49" s="27"/>
      <c r="D49" s="62" t="s">
        <v>20</v>
      </c>
      <c r="E49" s="63"/>
      <c r="F49" s="28">
        <f>'Proposed Rates'!D172</f>
        <v>4.4999999999999997E-3</v>
      </c>
      <c r="G49" s="64">
        <f>G48</f>
        <v>1033.5</v>
      </c>
      <c r="H49" s="26">
        <f>G49*F49</f>
        <v>4.6507499999999995</v>
      </c>
      <c r="I49" s="27"/>
      <c r="J49" s="28">
        <f>'Proposed Rates'!E172</f>
        <v>4.5999999999999999E-3</v>
      </c>
      <c r="K49" s="65">
        <f>K48</f>
        <v>1033.5</v>
      </c>
      <c r="L49" s="26">
        <f>K49*J49</f>
        <v>4.7541000000000002</v>
      </c>
      <c r="M49" s="27"/>
      <c r="N49" s="30">
        <f t="shared" si="13"/>
        <v>0.10335000000000072</v>
      </c>
      <c r="O49" s="31">
        <f t="shared" si="12"/>
        <v>2.2222222222222379E-2</v>
      </c>
      <c r="Q49" s="107"/>
      <c r="S49" s="107"/>
      <c r="U49" s="107"/>
      <c r="W49" s="107"/>
    </row>
    <row r="50" spans="2:23" ht="26.4" x14ac:dyDescent="0.25">
      <c r="B50" s="56" t="s">
        <v>31</v>
      </c>
      <c r="C50" s="35"/>
      <c r="D50" s="35"/>
      <c r="E50" s="35"/>
      <c r="F50" s="67"/>
      <c r="G50" s="59"/>
      <c r="H50" s="60">
        <f>SUM(H47:H49)</f>
        <v>53.853255000000004</v>
      </c>
      <c r="I50" s="68"/>
      <c r="J50" s="69"/>
      <c r="K50" s="70"/>
      <c r="L50" s="60">
        <f>SUM(L47:L49)</f>
        <v>56.689620000000005</v>
      </c>
      <c r="M50" s="68"/>
      <c r="N50" s="43">
        <f t="shared" si="13"/>
        <v>2.8363650000000007</v>
      </c>
      <c r="O50" s="44">
        <f t="shared" si="12"/>
        <v>5.2668404166099164E-2</v>
      </c>
      <c r="Q50" s="102"/>
      <c r="S50" s="102"/>
      <c r="U50" s="102"/>
      <c r="W50" s="102"/>
    </row>
    <row r="51" spans="2:23" ht="26.4" x14ac:dyDescent="0.25">
      <c r="B51" s="71" t="s">
        <v>32</v>
      </c>
      <c r="C51" s="21"/>
      <c r="D51" s="22" t="s">
        <v>20</v>
      </c>
      <c r="E51" s="23"/>
      <c r="F51" s="72">
        <f>'Proposed Rates'!D186</f>
        <v>3.5999999999999999E-3</v>
      </c>
      <c r="G51" s="64">
        <f>G49</f>
        <v>1033.5</v>
      </c>
      <c r="H51" s="73">
        <f t="shared" ref="H51:H58" si="14">G51*F51</f>
        <v>3.7205999999999997</v>
      </c>
      <c r="I51" s="27"/>
      <c r="J51" s="72">
        <f>F51</f>
        <v>3.5999999999999999E-3</v>
      </c>
      <c r="K51" s="65">
        <f>K49</f>
        <v>1033.5</v>
      </c>
      <c r="L51" s="73">
        <f t="shared" ref="L51:L58" si="15">K51*J51</f>
        <v>3.7205999999999997</v>
      </c>
      <c r="M51" s="27"/>
      <c r="N51" s="30">
        <f t="shared" si="13"/>
        <v>0</v>
      </c>
      <c r="O51" s="74">
        <f t="shared" si="12"/>
        <v>0</v>
      </c>
      <c r="Q51" s="107"/>
      <c r="S51" s="107"/>
      <c r="U51" s="107"/>
      <c r="W51" s="107"/>
    </row>
    <row r="52" spans="2:23" ht="26.4" x14ac:dyDescent="0.25">
      <c r="B52" s="71" t="s">
        <v>33</v>
      </c>
      <c r="C52" s="21"/>
      <c r="D52" s="22" t="s">
        <v>20</v>
      </c>
      <c r="E52" s="23"/>
      <c r="F52" s="72">
        <f>'Proposed Rates'!D191</f>
        <v>2.9999999999999997E-4</v>
      </c>
      <c r="G52" s="64">
        <f>G49</f>
        <v>1033.5</v>
      </c>
      <c r="H52" s="73">
        <f t="shared" si="14"/>
        <v>0.31004999999999999</v>
      </c>
      <c r="I52" s="27"/>
      <c r="J52" s="72">
        <f>F52</f>
        <v>2.9999999999999997E-4</v>
      </c>
      <c r="K52" s="65">
        <f>K49</f>
        <v>1033.5</v>
      </c>
      <c r="L52" s="73">
        <f t="shared" si="15"/>
        <v>0.31004999999999999</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5">
      <c r="B54" s="21" t="s">
        <v>120</v>
      </c>
      <c r="C54" s="21"/>
      <c r="D54" s="22"/>
      <c r="E54" s="23"/>
      <c r="F54" s="72">
        <f>'Proposed Rates'!D221</f>
        <v>0</v>
      </c>
      <c r="G54" s="75">
        <f>$F$18*(1+F75)</f>
        <v>1033.5</v>
      </c>
      <c r="H54" s="73">
        <f>G54*F54</f>
        <v>0</v>
      </c>
      <c r="I54" s="27"/>
      <c r="J54" s="72">
        <f>F54</f>
        <v>0</v>
      </c>
      <c r="K54" s="75">
        <f>$F$18*(1+J75)</f>
        <v>1033.5</v>
      </c>
      <c r="L54" s="73">
        <f>K54*J54</f>
        <v>0</v>
      </c>
      <c r="M54" s="27"/>
      <c r="N54" s="30"/>
      <c r="O54" s="74"/>
      <c r="Q54" s="107"/>
      <c r="S54" s="107"/>
      <c r="U54" s="107"/>
      <c r="W54" s="107"/>
    </row>
    <row r="55" spans="2:23" x14ac:dyDescent="0.25">
      <c r="B55" s="21" t="s">
        <v>35</v>
      </c>
      <c r="C55" s="21"/>
      <c r="D55" s="22"/>
      <c r="E55" s="23"/>
      <c r="F55" s="72">
        <f>'Proposed Rates'!D216</f>
        <v>6.94E-3</v>
      </c>
      <c r="G55" s="75">
        <f>$F$18</f>
        <v>1000</v>
      </c>
      <c r="H55" s="73">
        <f t="shared" si="14"/>
        <v>6.94</v>
      </c>
      <c r="I55" s="27"/>
      <c r="J55" s="72">
        <f>+F55</f>
        <v>6.94E-3</v>
      </c>
      <c r="K55" s="76">
        <f>$F$18</f>
        <v>1000</v>
      </c>
      <c r="L55" s="73">
        <f t="shared" si="15"/>
        <v>6.94</v>
      </c>
      <c r="M55" s="27"/>
      <c r="N55" s="30">
        <f t="shared" si="13"/>
        <v>0</v>
      </c>
      <c r="O55" s="74">
        <f t="shared" si="12"/>
        <v>0</v>
      </c>
      <c r="Q55" s="107"/>
      <c r="S55" s="107"/>
      <c r="U55" s="107"/>
      <c r="W55" s="107"/>
    </row>
    <row r="56" spans="2:23" x14ac:dyDescent="0.25">
      <c r="B56" s="49" t="s">
        <v>36</v>
      </c>
      <c r="C56" s="21"/>
      <c r="D56" s="22"/>
      <c r="E56" s="23"/>
      <c r="F56" s="72">
        <f>'Proposed Rates'!D226</f>
        <v>6.5000000000000002E-2</v>
      </c>
      <c r="G56" s="77">
        <f>0.65*$F$18</f>
        <v>650</v>
      </c>
      <c r="H56" s="73">
        <f t="shared" si="14"/>
        <v>42.25</v>
      </c>
      <c r="I56" s="27"/>
      <c r="J56" s="72">
        <f>F56</f>
        <v>6.5000000000000002E-2</v>
      </c>
      <c r="K56" s="77">
        <f>$G$56</f>
        <v>650</v>
      </c>
      <c r="L56" s="73">
        <f t="shared" si="15"/>
        <v>42.25</v>
      </c>
      <c r="M56" s="27"/>
      <c r="N56" s="30">
        <f t="shared" si="13"/>
        <v>0</v>
      </c>
      <c r="O56" s="74">
        <f t="shared" si="12"/>
        <v>0</v>
      </c>
      <c r="Q56" s="107"/>
      <c r="S56" s="107"/>
      <c r="U56" s="107"/>
      <c r="W56" s="107"/>
    </row>
    <row r="57" spans="2:23" x14ac:dyDescent="0.25">
      <c r="B57" s="49" t="s">
        <v>37</v>
      </c>
      <c r="C57" s="21"/>
      <c r="D57" s="22"/>
      <c r="E57" s="23"/>
      <c r="F57" s="72">
        <f>'Proposed Rates'!D227</f>
        <v>9.5000000000000001E-2</v>
      </c>
      <c r="G57" s="77">
        <f>0.17*$F$18</f>
        <v>170</v>
      </c>
      <c r="H57" s="73">
        <f t="shared" si="14"/>
        <v>16.149999999999999</v>
      </c>
      <c r="I57" s="27"/>
      <c r="J57" s="72">
        <f>F57</f>
        <v>9.5000000000000001E-2</v>
      </c>
      <c r="K57" s="77">
        <f>$G$57</f>
        <v>170</v>
      </c>
      <c r="L57" s="73">
        <f t="shared" si="15"/>
        <v>16.149999999999999</v>
      </c>
      <c r="M57" s="27"/>
      <c r="N57" s="30">
        <f t="shared" si="13"/>
        <v>0</v>
      </c>
      <c r="O57" s="74">
        <f t="shared" si="12"/>
        <v>0</v>
      </c>
      <c r="Q57" s="107"/>
      <c r="S57" s="107"/>
      <c r="U57" s="107"/>
      <c r="W57" s="107"/>
    </row>
    <row r="58" spans="2:23" x14ac:dyDescent="0.25">
      <c r="B58" s="11" t="s">
        <v>38</v>
      </c>
      <c r="C58" s="21"/>
      <c r="D58" s="22"/>
      <c r="E58" s="23"/>
      <c r="F58" s="72">
        <f>'Proposed Rates'!D228</f>
        <v>0.13200000000000001</v>
      </c>
      <c r="G58" s="77">
        <f>0.18*$F$18</f>
        <v>180</v>
      </c>
      <c r="H58" s="73">
        <f t="shared" si="14"/>
        <v>23.76</v>
      </c>
      <c r="I58" s="27"/>
      <c r="J58" s="72">
        <f>F58</f>
        <v>0.13200000000000001</v>
      </c>
      <c r="K58" s="77">
        <f>$G$58</f>
        <v>180</v>
      </c>
      <c r="L58" s="73">
        <f t="shared" si="15"/>
        <v>23.76</v>
      </c>
      <c r="M58" s="27"/>
      <c r="N58" s="30">
        <f t="shared" si="13"/>
        <v>0</v>
      </c>
      <c r="O58" s="74">
        <f t="shared" si="12"/>
        <v>0</v>
      </c>
      <c r="Q58" s="107"/>
      <c r="S58" s="107"/>
      <c r="U58" s="107"/>
      <c r="W58" s="107"/>
    </row>
    <row r="59" spans="2:23" s="85" customFormat="1" x14ac:dyDescent="0.25">
      <c r="B59" s="78" t="s">
        <v>39</v>
      </c>
      <c r="C59" s="79"/>
      <c r="D59" s="80"/>
      <c r="E59" s="81"/>
      <c r="F59" s="72">
        <f>'Proposed Rates'!D229</f>
        <v>7.6999999999999999E-2</v>
      </c>
      <c r="G59" s="82">
        <v>750</v>
      </c>
      <c r="H59" s="73">
        <f>G59*F59</f>
        <v>57.75</v>
      </c>
      <c r="I59" s="83"/>
      <c r="J59" s="72">
        <f>F59</f>
        <v>7.6999999999999999E-2</v>
      </c>
      <c r="K59" s="82">
        <f>$G$59</f>
        <v>750</v>
      </c>
      <c r="L59" s="73">
        <f>K59*J59</f>
        <v>57.75</v>
      </c>
      <c r="M59" s="83"/>
      <c r="N59" s="84">
        <f t="shared" si="13"/>
        <v>0</v>
      </c>
      <c r="O59" s="74">
        <f t="shared" si="12"/>
        <v>0</v>
      </c>
      <c r="Q59" s="143"/>
      <c r="R59" s="204"/>
      <c r="S59" s="143"/>
      <c r="T59" s="204"/>
      <c r="U59" s="143"/>
      <c r="V59" s="204"/>
      <c r="W59" s="143"/>
    </row>
    <row r="60" spans="2:23" s="85" customFormat="1" ht="13.8" thickBot="1" x14ac:dyDescent="0.3">
      <c r="B60" s="78" t="s">
        <v>40</v>
      </c>
      <c r="C60" s="79"/>
      <c r="D60" s="80"/>
      <c r="E60" s="81"/>
      <c r="F60" s="72">
        <f>'Proposed Rates'!D230</f>
        <v>0.09</v>
      </c>
      <c r="G60" s="82">
        <f>F18-G59</f>
        <v>250</v>
      </c>
      <c r="H60" s="73">
        <f>G60*F60</f>
        <v>22.5</v>
      </c>
      <c r="I60" s="83"/>
      <c r="J60" s="72">
        <f>F60</f>
        <v>0.09</v>
      </c>
      <c r="K60" s="82">
        <f>$G$60</f>
        <v>250</v>
      </c>
      <c r="L60" s="73">
        <f>K60*J60</f>
        <v>22.5</v>
      </c>
      <c r="M60" s="83"/>
      <c r="N60" s="84">
        <f t="shared" si="13"/>
        <v>0</v>
      </c>
      <c r="O60" s="74">
        <f t="shared" si="12"/>
        <v>0</v>
      </c>
      <c r="Q60" s="143"/>
      <c r="R60" s="204"/>
      <c r="S60" s="143"/>
      <c r="T60" s="204"/>
      <c r="U60" s="143"/>
      <c r="V60" s="204"/>
      <c r="W60" s="143"/>
    </row>
    <row r="61" spans="2:23" ht="8.25" customHeight="1" thickBot="1" x14ac:dyDescent="0.3">
      <c r="B61" s="86"/>
      <c r="C61" s="87"/>
      <c r="D61" s="88"/>
      <c r="E61" s="87"/>
      <c r="F61" s="89"/>
      <c r="G61" s="90"/>
      <c r="H61" s="91"/>
      <c r="I61" s="92"/>
      <c r="J61" s="89"/>
      <c r="K61" s="93"/>
      <c r="L61" s="91"/>
      <c r="M61" s="92"/>
      <c r="N61" s="94"/>
      <c r="O61" s="95"/>
      <c r="Q61" s="107"/>
      <c r="S61" s="107"/>
      <c r="U61" s="107"/>
      <c r="W61" s="107"/>
    </row>
    <row r="62" spans="2:23" x14ac:dyDescent="0.25">
      <c r="B62" s="96" t="s">
        <v>41</v>
      </c>
      <c r="C62" s="21"/>
      <c r="D62" s="21"/>
      <c r="E62" s="21"/>
      <c r="F62" s="97"/>
      <c r="G62" s="98"/>
      <c r="H62" s="99">
        <f>SUM(H51:H58,H50)</f>
        <v>147.23390499999999</v>
      </c>
      <c r="I62" s="100"/>
      <c r="J62" s="101"/>
      <c r="K62" s="101"/>
      <c r="L62" s="254">
        <f>SUM(L51:L58,L50)</f>
        <v>150.07026999999999</v>
      </c>
      <c r="M62" s="102"/>
      <c r="N62" s="103">
        <f t="shared" ref="N62" si="16">L62-H62</f>
        <v>2.8363650000000007</v>
      </c>
      <c r="O62" s="104">
        <f t="shared" ref="O62" si="17">IF((H62)=0,"",(N62/H62))</f>
        <v>1.9264346754913557E-2</v>
      </c>
      <c r="Q62" s="102"/>
      <c r="S62" s="102"/>
      <c r="U62" s="102"/>
      <c r="W62" s="102"/>
    </row>
    <row r="63" spans="2:23" x14ac:dyDescent="0.25">
      <c r="B63" s="105" t="s">
        <v>42</v>
      </c>
      <c r="C63" s="21"/>
      <c r="D63" s="21"/>
      <c r="E63" s="21"/>
      <c r="F63" s="106">
        <v>0.13</v>
      </c>
      <c r="G63" s="107"/>
      <c r="H63" s="108">
        <f>H62*F63</f>
        <v>19.14040765</v>
      </c>
      <c r="I63" s="109"/>
      <c r="J63" s="110">
        <v>0.13</v>
      </c>
      <c r="K63" s="109"/>
      <c r="L63" s="113">
        <f>L62*J63</f>
        <v>19.509135099999998</v>
      </c>
      <c r="M63" s="112"/>
      <c r="N63" s="113">
        <f t="shared" si="13"/>
        <v>0.36872744999999796</v>
      </c>
      <c r="O63" s="114">
        <f t="shared" si="12"/>
        <v>1.9264346754913442E-2</v>
      </c>
      <c r="Q63" s="112"/>
      <c r="S63" s="112"/>
      <c r="U63" s="112"/>
      <c r="W63" s="112"/>
    </row>
    <row r="64" spans="2:23" x14ac:dyDescent="0.25">
      <c r="B64" s="250" t="s">
        <v>43</v>
      </c>
      <c r="C64" s="21"/>
      <c r="D64" s="21"/>
      <c r="E64" s="21"/>
      <c r="F64" s="106"/>
      <c r="G64" s="107"/>
      <c r="H64" s="99">
        <f>SUM(H62:H63)</f>
        <v>166.37431264999998</v>
      </c>
      <c r="I64" s="109"/>
      <c r="J64" s="110"/>
      <c r="K64" s="109"/>
      <c r="L64" s="103">
        <f>SUM(L62:L63)</f>
        <v>169.5794051</v>
      </c>
      <c r="M64" s="112"/>
      <c r="N64" s="103">
        <f t="shared" ref="N64:N65" si="18">L64-H64</f>
        <v>3.2050924500000235</v>
      </c>
      <c r="O64" s="104">
        <f t="shared" ref="O64:O65" si="19">IF((H64)=0,"",(N64/H64))</f>
        <v>1.9264346754913696E-2</v>
      </c>
      <c r="Q64" s="112"/>
      <c r="S64" s="112"/>
      <c r="U64" s="112"/>
      <c r="W64" s="112"/>
    </row>
    <row r="65" spans="1:23" x14ac:dyDescent="0.25">
      <c r="B65" s="249" t="s">
        <v>137</v>
      </c>
      <c r="C65" s="21"/>
      <c r="D65" s="21"/>
      <c r="E65" s="21"/>
      <c r="F65" s="106">
        <v>-0.08</v>
      </c>
      <c r="G65" s="107"/>
      <c r="H65" s="108">
        <f>H62*F65</f>
        <v>-11.7787124</v>
      </c>
      <c r="I65" s="109"/>
      <c r="J65" s="106">
        <v>-0.08</v>
      </c>
      <c r="K65" s="109"/>
      <c r="L65" s="113">
        <f>L62*J65</f>
        <v>-12.0056216</v>
      </c>
      <c r="M65" s="112"/>
      <c r="N65" s="113">
        <f t="shared" si="18"/>
        <v>-0.2269091999999997</v>
      </c>
      <c r="O65" s="114">
        <f t="shared" si="19"/>
        <v>1.9264346754913526E-2</v>
      </c>
      <c r="Q65" s="112"/>
      <c r="S65" s="112"/>
      <c r="U65" s="112"/>
      <c r="W65" s="112"/>
    </row>
    <row r="66" spans="1:23" ht="13.8" thickBot="1" x14ac:dyDescent="0.3">
      <c r="B66" s="294" t="s">
        <v>138</v>
      </c>
      <c r="C66" s="294"/>
      <c r="D66" s="294"/>
      <c r="E66" s="21"/>
      <c r="F66" s="116"/>
      <c r="G66" s="107"/>
      <c r="H66" s="99">
        <f>SUM(H64:H65)</f>
        <v>154.59560024999999</v>
      </c>
      <c r="I66" s="109"/>
      <c r="J66" s="109"/>
      <c r="K66" s="109"/>
      <c r="L66" s="251">
        <f>SUM(L64:L65)</f>
        <v>157.57378349999999</v>
      </c>
      <c r="M66" s="112"/>
      <c r="N66" s="103">
        <f t="shared" si="13"/>
        <v>2.9781832500000007</v>
      </c>
      <c r="O66" s="104">
        <f t="shared" si="12"/>
        <v>1.9264346754913557E-2</v>
      </c>
      <c r="Q66" s="112"/>
      <c r="S66" s="112"/>
      <c r="U66" s="112"/>
      <c r="W66" s="112"/>
    </row>
    <row r="67" spans="1:23" s="85" customFormat="1" ht="8.25" customHeight="1" thickBot="1" x14ac:dyDescent="0.3">
      <c r="B67" s="117"/>
      <c r="C67" s="118"/>
      <c r="D67" s="119"/>
      <c r="E67" s="118"/>
      <c r="F67" s="89"/>
      <c r="G67" s="120"/>
      <c r="H67" s="91"/>
      <c r="I67" s="121"/>
      <c r="J67" s="89"/>
      <c r="K67" s="122"/>
      <c r="L67" s="91"/>
      <c r="M67" s="121"/>
      <c r="N67" s="123"/>
      <c r="O67" s="95"/>
      <c r="Q67" s="143"/>
      <c r="R67" s="204"/>
      <c r="S67" s="143"/>
      <c r="T67" s="204"/>
      <c r="U67" s="143"/>
      <c r="V67" s="204"/>
      <c r="W67" s="143"/>
    </row>
    <row r="68" spans="1:23" s="85" customFormat="1" x14ac:dyDescent="0.25">
      <c r="B68" s="124" t="s">
        <v>44</v>
      </c>
      <c r="C68" s="79"/>
      <c r="D68" s="79"/>
      <c r="E68" s="79"/>
      <c r="F68" s="125"/>
      <c r="G68" s="126"/>
      <c r="H68" s="127">
        <f>SUM(H59:H60,H50,H51:H55)</f>
        <v>145.32390499999997</v>
      </c>
      <c r="I68" s="128"/>
      <c r="J68" s="129"/>
      <c r="K68" s="129"/>
      <c r="L68" s="259">
        <f>SUM(L59:L60,L50,L51:L55)</f>
        <v>148.16026999999997</v>
      </c>
      <c r="M68" s="130"/>
      <c r="N68" s="131">
        <f t="shared" ref="N68:N70" si="20">L68-H68</f>
        <v>2.8363650000000007</v>
      </c>
      <c r="O68" s="104">
        <f t="shared" ref="O68:O70" si="21">IF((H68)=0,"",(N68/H68))</f>
        <v>1.9517539113747331E-2</v>
      </c>
      <c r="Q68" s="130"/>
      <c r="R68" s="204"/>
      <c r="S68" s="130"/>
      <c r="T68" s="204"/>
      <c r="U68" s="130"/>
      <c r="V68" s="204"/>
      <c r="W68" s="130"/>
    </row>
    <row r="69" spans="1:23" s="85" customFormat="1" x14ac:dyDescent="0.25">
      <c r="B69" s="132" t="s">
        <v>42</v>
      </c>
      <c r="C69" s="79"/>
      <c r="D69" s="79"/>
      <c r="E69" s="79"/>
      <c r="F69" s="133">
        <v>0.13</v>
      </c>
      <c r="G69" s="126"/>
      <c r="H69" s="134">
        <f>H68*F69</f>
        <v>18.892107649999996</v>
      </c>
      <c r="I69" s="135"/>
      <c r="J69" s="136">
        <v>0.13</v>
      </c>
      <c r="K69" s="137"/>
      <c r="L69" s="140">
        <f>L68*J69</f>
        <v>19.260835099999998</v>
      </c>
      <c r="M69" s="139"/>
      <c r="N69" s="140">
        <f t="shared" si="20"/>
        <v>0.36872745000000151</v>
      </c>
      <c r="O69" s="114">
        <f t="shared" si="21"/>
        <v>1.9517539113747404E-2</v>
      </c>
      <c r="Q69" s="139"/>
      <c r="R69" s="204"/>
      <c r="S69" s="139"/>
      <c r="T69" s="204"/>
      <c r="U69" s="139"/>
      <c r="V69" s="204"/>
      <c r="W69" s="139"/>
    </row>
    <row r="70" spans="1:23" s="85" customFormat="1" x14ac:dyDescent="0.25">
      <c r="B70" s="258" t="s">
        <v>43</v>
      </c>
      <c r="C70" s="79"/>
      <c r="D70" s="79"/>
      <c r="E70" s="79"/>
      <c r="F70" s="142"/>
      <c r="G70" s="143"/>
      <c r="H70" s="127">
        <f>H68+H69</f>
        <v>164.21601264999995</v>
      </c>
      <c r="I70" s="135"/>
      <c r="J70" s="135"/>
      <c r="K70" s="135"/>
      <c r="L70" s="131">
        <f>L68+L69</f>
        <v>167.42110509999998</v>
      </c>
      <c r="M70" s="139"/>
      <c r="N70" s="131">
        <f t="shared" si="20"/>
        <v>3.2050924500000235</v>
      </c>
      <c r="O70" s="104">
        <f t="shared" si="21"/>
        <v>1.951753911374747E-2</v>
      </c>
      <c r="Q70" s="139"/>
      <c r="R70" s="204"/>
      <c r="S70" s="139"/>
      <c r="T70" s="204"/>
      <c r="U70" s="139"/>
      <c r="V70" s="204"/>
      <c r="W70" s="139"/>
    </row>
    <row r="71" spans="1:23" s="85" customFormat="1" x14ac:dyDescent="0.25">
      <c r="B71" s="249" t="s">
        <v>137</v>
      </c>
      <c r="C71" s="21"/>
      <c r="D71" s="21"/>
      <c r="E71" s="79"/>
      <c r="F71" s="260">
        <v>-0.08</v>
      </c>
      <c r="G71" s="143"/>
      <c r="H71" s="134">
        <f>H68*F71</f>
        <v>-11.625912399999997</v>
      </c>
      <c r="I71" s="135"/>
      <c r="J71" s="261">
        <v>-0.08</v>
      </c>
      <c r="K71" s="135"/>
      <c r="L71" s="140">
        <f>L68*J71</f>
        <v>-11.852821599999997</v>
      </c>
      <c r="M71" s="139"/>
      <c r="N71" s="140">
        <f t="shared" ref="N71:N72" si="22">L71-H71</f>
        <v>-0.2269091999999997</v>
      </c>
      <c r="O71" s="114">
        <f t="shared" ref="O71:O72" si="23">IF((H71)=0,"",(N71/H71))</f>
        <v>1.95175391137473E-2</v>
      </c>
      <c r="Q71" s="139"/>
      <c r="R71" s="204"/>
      <c r="S71" s="139"/>
      <c r="T71" s="204"/>
      <c r="U71" s="139"/>
      <c r="V71" s="204"/>
      <c r="W71" s="139"/>
    </row>
    <row r="72" spans="1:23" s="85" customFormat="1" ht="13.8" thickBot="1" x14ac:dyDescent="0.3">
      <c r="B72" s="294" t="s">
        <v>138</v>
      </c>
      <c r="C72" s="294"/>
      <c r="D72" s="294"/>
      <c r="E72" s="79"/>
      <c r="F72" s="142"/>
      <c r="G72" s="143"/>
      <c r="H72" s="127">
        <f>SUM(H70:H71)</f>
        <v>152.59010024999995</v>
      </c>
      <c r="I72" s="135"/>
      <c r="J72" s="135"/>
      <c r="K72" s="135"/>
      <c r="L72" s="262">
        <f>SUM(L70:L71)</f>
        <v>155.56828349999998</v>
      </c>
      <c r="M72" s="139"/>
      <c r="N72" s="131">
        <f t="shared" si="22"/>
        <v>2.9781832500000291</v>
      </c>
      <c r="O72" s="104">
        <f t="shared" si="23"/>
        <v>1.9517539113747519E-2</v>
      </c>
      <c r="Q72" s="139"/>
      <c r="R72" s="204"/>
      <c r="S72" s="139"/>
      <c r="T72" s="204"/>
      <c r="U72" s="139"/>
      <c r="V72" s="204"/>
      <c r="W72" s="139"/>
    </row>
    <row r="73" spans="1:23" s="85" customFormat="1" ht="8.25" customHeight="1" thickBot="1" x14ac:dyDescent="0.3">
      <c r="B73" s="117"/>
      <c r="C73" s="118"/>
      <c r="D73" s="119"/>
      <c r="E73" s="118"/>
      <c r="F73" s="144"/>
      <c r="G73" s="145"/>
      <c r="H73" s="146"/>
      <c r="I73" s="147"/>
      <c r="J73" s="144"/>
      <c r="K73" s="120"/>
      <c r="L73" s="148"/>
      <c r="M73" s="121"/>
      <c r="N73" s="149"/>
      <c r="O73" s="95"/>
      <c r="Q73" s="143"/>
      <c r="R73" s="204"/>
      <c r="S73" s="143"/>
      <c r="T73" s="204"/>
      <c r="U73" s="143"/>
      <c r="V73" s="204"/>
      <c r="W73" s="143"/>
    </row>
    <row r="74" spans="1:23" x14ac:dyDescent="0.25">
      <c r="L74" s="150"/>
    </row>
    <row r="75" spans="1:23" x14ac:dyDescent="0.25">
      <c r="B75" s="12" t="s">
        <v>45</v>
      </c>
      <c r="F75" s="151">
        <f>'Proposed Rates'!D202</f>
        <v>3.3500000000000002E-2</v>
      </c>
      <c r="J75" s="151">
        <f>+'Res (100)'!J74</f>
        <v>3.3500000000000002E-2</v>
      </c>
    </row>
    <row r="77" spans="1:23" ht="13.5" customHeight="1" x14ac:dyDescent="0.25">
      <c r="Q77" s="202"/>
      <c r="R77" s="202"/>
      <c r="S77" s="6"/>
      <c r="T77" s="6"/>
      <c r="U77" s="6"/>
      <c r="V77" s="6"/>
      <c r="W77" s="6"/>
    </row>
    <row r="78" spans="1:23" ht="12" customHeight="1" x14ac:dyDescent="0.25">
      <c r="A78" s="6" t="s">
        <v>46</v>
      </c>
      <c r="Q78" s="202"/>
      <c r="R78" s="202"/>
      <c r="S78" s="6"/>
      <c r="T78" s="6"/>
      <c r="U78" s="6"/>
      <c r="V78" s="6"/>
      <c r="W78" s="6"/>
    </row>
    <row r="79" spans="1:23" x14ac:dyDescent="0.25">
      <c r="A79" s="6" t="s">
        <v>47</v>
      </c>
      <c r="Q79" s="202"/>
      <c r="R79" s="202"/>
      <c r="S79" s="6"/>
      <c r="T79" s="6"/>
      <c r="U79" s="6"/>
      <c r="V79" s="6"/>
      <c r="W79" s="6"/>
    </row>
    <row r="80" spans="1:23" x14ac:dyDescent="0.25">
      <c r="Q80" s="202"/>
      <c r="R80" s="202"/>
      <c r="S80" s="6"/>
      <c r="T80" s="6"/>
      <c r="U80" s="6"/>
      <c r="V80" s="6"/>
      <c r="W80" s="6"/>
    </row>
    <row r="81" spans="1:23" x14ac:dyDescent="0.25">
      <c r="A81" s="153" t="s">
        <v>133</v>
      </c>
      <c r="Q81" s="202"/>
      <c r="R81" s="202"/>
      <c r="S81" s="6"/>
      <c r="T81" s="6"/>
      <c r="U81" s="6"/>
      <c r="V81" s="6"/>
      <c r="W81" s="6"/>
    </row>
    <row r="82" spans="1:23" x14ac:dyDescent="0.25">
      <c r="A82" s="11" t="s">
        <v>48</v>
      </c>
      <c r="Q82" s="202"/>
      <c r="R82" s="202"/>
      <c r="S82" s="6"/>
      <c r="T82" s="6"/>
      <c r="U82" s="6"/>
      <c r="V82" s="6"/>
      <c r="W82" s="6"/>
    </row>
    <row r="83" spans="1:23" x14ac:dyDescent="0.25">
      <c r="Q83" s="202"/>
      <c r="R83" s="202"/>
      <c r="S83" s="6"/>
      <c r="T83" s="6"/>
      <c r="U83" s="6"/>
      <c r="V83" s="6"/>
      <c r="W83" s="6"/>
    </row>
    <row r="84" spans="1:23" x14ac:dyDescent="0.25">
      <c r="A84" s="6" t="s">
        <v>132</v>
      </c>
      <c r="Q84" s="202"/>
      <c r="R84" s="202"/>
      <c r="S84" s="6"/>
      <c r="T84" s="6"/>
      <c r="U84" s="6"/>
      <c r="V84" s="6"/>
      <c r="W84" s="6"/>
    </row>
    <row r="85" spans="1:23" x14ac:dyDescent="0.25">
      <c r="A85" s="6" t="s">
        <v>49</v>
      </c>
      <c r="Q85" s="202"/>
      <c r="R85" s="202"/>
      <c r="S85" s="6"/>
      <c r="T85" s="6"/>
      <c r="U85" s="6"/>
      <c r="V85" s="6"/>
      <c r="W85" s="6"/>
    </row>
    <row r="86" spans="1:23" x14ac:dyDescent="0.25">
      <c r="A86" s="6" t="s">
        <v>50</v>
      </c>
      <c r="Q86" s="202"/>
      <c r="R86" s="202"/>
      <c r="S86" s="6"/>
      <c r="T86" s="6"/>
      <c r="U86" s="6"/>
      <c r="V86" s="6"/>
      <c r="W86" s="6"/>
    </row>
    <row r="87" spans="1:23" x14ac:dyDescent="0.25">
      <c r="A87" s="6" t="s">
        <v>51</v>
      </c>
      <c r="Q87" s="202"/>
      <c r="R87" s="202"/>
      <c r="S87" s="6"/>
      <c r="T87" s="6"/>
      <c r="U87" s="6"/>
      <c r="V87" s="6"/>
      <c r="W87" s="6"/>
    </row>
    <row r="88" spans="1:23" x14ac:dyDescent="0.25">
      <c r="A88" s="6" t="s">
        <v>52</v>
      </c>
      <c r="Q88" s="202"/>
      <c r="R88" s="202"/>
      <c r="S88" s="6"/>
      <c r="T88" s="6"/>
      <c r="U88" s="6"/>
      <c r="V88" s="6"/>
      <c r="W88" s="6"/>
    </row>
    <row r="89" spans="1:23" x14ac:dyDescent="0.25">
      <c r="Q89" s="202"/>
      <c r="R89" s="202"/>
      <c r="S89" s="6"/>
      <c r="T89" s="6"/>
      <c r="U89" s="6"/>
      <c r="V89" s="6"/>
      <c r="W89" s="6"/>
    </row>
    <row r="90" spans="1:23" x14ac:dyDescent="0.25">
      <c r="A90" s="152"/>
      <c r="B90" s="6" t="s">
        <v>53</v>
      </c>
      <c r="Q90" s="202"/>
      <c r="R90" s="202"/>
      <c r="S90" s="6"/>
      <c r="T90" s="6"/>
      <c r="U90" s="6"/>
      <c r="V90" s="6"/>
      <c r="W90" s="6"/>
    </row>
    <row r="91" spans="1:23" x14ac:dyDescent="0.25">
      <c r="Q91" s="202"/>
      <c r="R91" s="202"/>
      <c r="S91" s="6"/>
      <c r="T91" s="6"/>
      <c r="U91" s="6"/>
      <c r="V91" s="6"/>
      <c r="W91" s="6"/>
    </row>
    <row r="92" spans="1:23" x14ac:dyDescent="0.25">
      <c r="B92" s="153" t="s">
        <v>54</v>
      </c>
      <c r="Q92" s="202"/>
      <c r="R92" s="202"/>
      <c r="S92" s="6"/>
      <c r="T92" s="6"/>
      <c r="U92" s="6"/>
      <c r="V92" s="6"/>
      <c r="W92" s="6"/>
    </row>
  </sheetData>
  <sheetProtection selectLockedCells="1"/>
  <mergeCells count="10">
    <mergeCell ref="B66:D66"/>
    <mergeCell ref="B72:D72"/>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3 D67 D23:D38 D51:D61 D48:D49 D40:D46">
      <formula1>"Monthly, per kWh, per kW"</formula1>
    </dataValidation>
    <dataValidation type="list" allowBlank="1" showInputMessage="1" showErrorMessage="1" sqref="E48:E49 E73 E67 E51:E61 E23:E38 E40:E46">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624840</xdr:colOff>
                    <xdr:row>9</xdr:row>
                    <xdr:rowOff>198120</xdr:rowOff>
                  </from>
                  <to>
                    <xdr:col>5</xdr:col>
                    <xdr:colOff>800100</xdr:colOff>
                    <xdr:row>10</xdr:row>
                    <xdr:rowOff>91440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472440</xdr:colOff>
                    <xdr:row>9</xdr:row>
                    <xdr:rowOff>167640</xdr:rowOff>
                  </from>
                  <to>
                    <xdr:col>9</xdr:col>
                    <xdr:colOff>533400</xdr:colOff>
                    <xdr:row>10</xdr:row>
                    <xdr:rowOff>160020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X99"/>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441406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8"/>
      <c r="D10" s="168"/>
      <c r="E10" s="168"/>
      <c r="F10" s="166" t="s">
        <v>134</v>
      </c>
      <c r="G10" s="168"/>
      <c r="H10" s="168"/>
      <c r="I10" s="168"/>
      <c r="J10" s="168"/>
      <c r="K10" s="168"/>
      <c r="L10" s="168"/>
      <c r="M10" s="168"/>
      <c r="N10" s="168"/>
      <c r="O10" s="168"/>
      <c r="P10"/>
    </row>
    <row r="11" spans="1:23" ht="18.75" customHeight="1" x14ac:dyDescent="0.3">
      <c r="C11" s="168"/>
      <c r="D11" s="168"/>
      <c r="E11" s="168"/>
      <c r="F11" s="168" t="s">
        <v>0</v>
      </c>
      <c r="G11" s="168"/>
      <c r="H11" s="168"/>
      <c r="I11" s="168"/>
      <c r="J11" s="168"/>
      <c r="K11" s="168"/>
      <c r="L11" s="168"/>
      <c r="M11" s="168"/>
      <c r="N11" s="168"/>
      <c r="O11" s="168"/>
      <c r="P11"/>
    </row>
    <row r="12" spans="1:23" ht="7.5" customHeight="1" x14ac:dyDescent="0.25">
      <c r="L12"/>
      <c r="M12"/>
      <c r="N12"/>
      <c r="O12"/>
      <c r="P12"/>
    </row>
    <row r="13" spans="1:23" ht="7.5" customHeight="1" x14ac:dyDescent="0.25">
      <c r="L13"/>
      <c r="M13"/>
      <c r="N13"/>
      <c r="O13"/>
      <c r="P13"/>
    </row>
    <row r="14" spans="1:23" ht="15.6" x14ac:dyDescent="0.25">
      <c r="B14" s="7" t="s">
        <v>1</v>
      </c>
      <c r="D14" s="302" t="s">
        <v>55</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2000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Rates'!D8</f>
        <v>17.89</v>
      </c>
      <c r="G23" s="25">
        <v>1</v>
      </c>
      <c r="H23" s="26">
        <f>G23*F23</f>
        <v>17.89</v>
      </c>
      <c r="I23" s="27"/>
      <c r="J23" s="28">
        <f>+'Proposed Rates'!E8</f>
        <v>18.600000000000001</v>
      </c>
      <c r="K23" s="29">
        <v>1</v>
      </c>
      <c r="L23" s="26">
        <f>K23*J23</f>
        <v>18.600000000000001</v>
      </c>
      <c r="M23" s="27"/>
      <c r="N23" s="30">
        <f>L23-H23</f>
        <v>0.71000000000000085</v>
      </c>
      <c r="O23" s="31">
        <f>IF((H23)=0,"",(N23/H23))</f>
        <v>3.9686975964225872E-2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Rates'!D21</f>
        <v>2.2700000000000001E-2</v>
      </c>
      <c r="G29" s="25">
        <f>$F$18</f>
        <v>2000</v>
      </c>
      <c r="H29" s="26">
        <f t="shared" si="0"/>
        <v>45.400000000000006</v>
      </c>
      <c r="I29" s="27"/>
      <c r="J29" s="28">
        <f>+'Proposed Rates'!E21</f>
        <v>2.3800000000000002E-2</v>
      </c>
      <c r="K29" s="25">
        <f>$F$18</f>
        <v>2000</v>
      </c>
      <c r="L29" s="26">
        <f t="shared" si="1"/>
        <v>47.6</v>
      </c>
      <c r="M29" s="27"/>
      <c r="N29" s="30">
        <f t="shared" si="2"/>
        <v>2.1999999999999957</v>
      </c>
      <c r="O29" s="31">
        <f t="shared" si="3"/>
        <v>4.8458149779735581E-2</v>
      </c>
      <c r="Q29" s="107"/>
      <c r="S29" s="107"/>
      <c r="U29" s="107"/>
      <c r="W29" s="107"/>
    </row>
    <row r="30" spans="2:23" x14ac:dyDescent="0.25">
      <c r="B30" s="21" t="s">
        <v>21</v>
      </c>
      <c r="C30" s="21"/>
      <c r="D30" s="22"/>
      <c r="E30" s="23"/>
      <c r="F30" s="24"/>
      <c r="G30" s="25">
        <f t="shared" ref="G30" si="4">$F$18</f>
        <v>2000</v>
      </c>
      <c r="H30" s="26">
        <f t="shared" si="0"/>
        <v>0</v>
      </c>
      <c r="I30" s="27"/>
      <c r="J30" s="28"/>
      <c r="K30" s="25">
        <f t="shared" ref="K30:K38" si="5">$F$18</f>
        <v>2000</v>
      </c>
      <c r="L30" s="26">
        <f t="shared" si="1"/>
        <v>0</v>
      </c>
      <c r="M30" s="27"/>
      <c r="N30" s="30">
        <f t="shared" si="2"/>
        <v>0</v>
      </c>
      <c r="O30" s="31" t="str">
        <f t="shared" si="3"/>
        <v/>
      </c>
      <c r="Q30" s="107"/>
      <c r="S30" s="107"/>
      <c r="U30" s="107"/>
      <c r="W30" s="107"/>
    </row>
    <row r="31" spans="2:23" x14ac:dyDescent="0.25">
      <c r="B31" s="21" t="s">
        <v>22</v>
      </c>
      <c r="C31" s="21"/>
      <c r="D31" s="22" t="s">
        <v>20</v>
      </c>
      <c r="E31" s="23"/>
      <c r="F31" s="50">
        <f>'Proposed Rates'!D68</f>
        <v>0</v>
      </c>
      <c r="G31" s="25">
        <f>$F$18</f>
        <v>2000</v>
      </c>
      <c r="H31" s="26">
        <f t="shared" si="0"/>
        <v>0</v>
      </c>
      <c r="I31" s="27"/>
      <c r="J31" s="52">
        <f>+'Proposed Rates'!E68</f>
        <v>0</v>
      </c>
      <c r="K31" s="25">
        <f t="shared" si="5"/>
        <v>2000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2000</v>
      </c>
      <c r="H32" s="26">
        <f t="shared" si="0"/>
        <v>0</v>
      </c>
      <c r="I32" s="27"/>
      <c r="J32" s="28"/>
      <c r="K32" s="25">
        <f t="shared" si="5"/>
        <v>2000</v>
      </c>
      <c r="L32" s="26">
        <f t="shared" si="1"/>
        <v>0</v>
      </c>
      <c r="M32" s="27"/>
      <c r="N32" s="30">
        <f t="shared" si="2"/>
        <v>0</v>
      </c>
      <c r="O32" s="31" t="str">
        <f t="shared" si="3"/>
        <v/>
      </c>
      <c r="Q32" s="107"/>
      <c r="S32" s="107"/>
      <c r="U32" s="107"/>
      <c r="W32" s="107"/>
    </row>
    <row r="33" spans="2:24" x14ac:dyDescent="0.25">
      <c r="B33" s="33"/>
      <c r="C33" s="21"/>
      <c r="D33" s="22"/>
      <c r="E33" s="23"/>
      <c r="F33" s="24"/>
      <c r="G33" s="25">
        <f t="shared" si="6"/>
        <v>2000</v>
      </c>
      <c r="H33" s="26">
        <f t="shared" si="0"/>
        <v>0</v>
      </c>
      <c r="I33" s="27"/>
      <c r="J33" s="28"/>
      <c r="K33" s="25">
        <f t="shared" si="5"/>
        <v>2000</v>
      </c>
      <c r="L33" s="26">
        <f t="shared" si="1"/>
        <v>0</v>
      </c>
      <c r="M33" s="27"/>
      <c r="N33" s="30">
        <f t="shared" si="2"/>
        <v>0</v>
      </c>
      <c r="O33" s="31" t="str">
        <f t="shared" si="3"/>
        <v/>
      </c>
      <c r="Q33" s="107"/>
      <c r="S33" s="107"/>
      <c r="U33" s="107"/>
      <c r="W33" s="107"/>
    </row>
    <row r="34" spans="2:24" x14ac:dyDescent="0.25">
      <c r="B34" s="33"/>
      <c r="C34" s="21"/>
      <c r="D34" s="22"/>
      <c r="E34" s="23"/>
      <c r="F34" s="24"/>
      <c r="G34" s="25">
        <f t="shared" si="6"/>
        <v>2000</v>
      </c>
      <c r="H34" s="26">
        <f t="shared" si="0"/>
        <v>0</v>
      </c>
      <c r="I34" s="27"/>
      <c r="J34" s="28"/>
      <c r="K34" s="25">
        <f t="shared" si="5"/>
        <v>2000</v>
      </c>
      <c r="L34" s="26">
        <f t="shared" si="1"/>
        <v>0</v>
      </c>
      <c r="M34" s="27"/>
      <c r="N34" s="30">
        <f t="shared" si="2"/>
        <v>0</v>
      </c>
      <c r="O34" s="31" t="str">
        <f t="shared" si="3"/>
        <v/>
      </c>
      <c r="Q34" s="107"/>
      <c r="S34" s="107"/>
      <c r="U34" s="107"/>
      <c r="W34" s="107"/>
    </row>
    <row r="35" spans="2:24" x14ac:dyDescent="0.25">
      <c r="B35" s="33"/>
      <c r="C35" s="21"/>
      <c r="D35" s="22"/>
      <c r="E35" s="23"/>
      <c r="F35" s="24"/>
      <c r="G35" s="25">
        <f t="shared" si="6"/>
        <v>2000</v>
      </c>
      <c r="H35" s="26">
        <f t="shared" si="0"/>
        <v>0</v>
      </c>
      <c r="I35" s="27"/>
      <c r="J35" s="28"/>
      <c r="K35" s="25">
        <f t="shared" si="5"/>
        <v>2000</v>
      </c>
      <c r="L35" s="26">
        <f t="shared" si="1"/>
        <v>0</v>
      </c>
      <c r="M35" s="27"/>
      <c r="N35" s="30">
        <f t="shared" si="2"/>
        <v>0</v>
      </c>
      <c r="O35" s="31" t="str">
        <f t="shared" si="3"/>
        <v/>
      </c>
      <c r="Q35" s="107"/>
      <c r="S35" s="107"/>
      <c r="U35" s="107"/>
      <c r="W35" s="107"/>
    </row>
    <row r="36" spans="2:24" x14ac:dyDescent="0.25">
      <c r="B36" s="33"/>
      <c r="C36" s="21"/>
      <c r="D36" s="22"/>
      <c r="E36" s="23"/>
      <c r="F36" s="24"/>
      <c r="G36" s="25">
        <f t="shared" si="6"/>
        <v>2000</v>
      </c>
      <c r="H36" s="26">
        <f t="shared" si="0"/>
        <v>0</v>
      </c>
      <c r="I36" s="27"/>
      <c r="J36" s="28"/>
      <c r="K36" s="25">
        <f t="shared" si="5"/>
        <v>2000</v>
      </c>
      <c r="L36" s="26">
        <f t="shared" si="1"/>
        <v>0</v>
      </c>
      <c r="M36" s="27"/>
      <c r="N36" s="30">
        <f t="shared" si="2"/>
        <v>0</v>
      </c>
      <c r="O36" s="31" t="str">
        <f t="shared" si="3"/>
        <v/>
      </c>
      <c r="Q36" s="107"/>
      <c r="S36" s="107"/>
      <c r="U36" s="107"/>
      <c r="W36" s="107"/>
    </row>
    <row r="37" spans="2:24" x14ac:dyDescent="0.25">
      <c r="B37" s="33"/>
      <c r="C37" s="21"/>
      <c r="D37" s="22"/>
      <c r="E37" s="23"/>
      <c r="F37" s="24"/>
      <c r="G37" s="25">
        <f t="shared" si="6"/>
        <v>2000</v>
      </c>
      <c r="H37" s="26">
        <f t="shared" si="0"/>
        <v>0</v>
      </c>
      <c r="I37" s="27"/>
      <c r="J37" s="28"/>
      <c r="K37" s="25">
        <f t="shared" si="5"/>
        <v>2000</v>
      </c>
      <c r="L37" s="26">
        <f t="shared" si="1"/>
        <v>0</v>
      </c>
      <c r="M37" s="27"/>
      <c r="N37" s="30">
        <f t="shared" si="2"/>
        <v>0</v>
      </c>
      <c r="O37" s="31" t="str">
        <f t="shared" si="3"/>
        <v/>
      </c>
      <c r="Q37" s="107"/>
      <c r="S37" s="107"/>
      <c r="U37" s="107"/>
      <c r="W37" s="107"/>
    </row>
    <row r="38" spans="2:24" x14ac:dyDescent="0.25">
      <c r="B38" s="33"/>
      <c r="C38" s="21"/>
      <c r="D38" s="22"/>
      <c r="E38" s="23"/>
      <c r="F38" s="24"/>
      <c r="G38" s="25">
        <f t="shared" si="6"/>
        <v>2000</v>
      </c>
      <c r="H38" s="26">
        <f t="shared" si="0"/>
        <v>0</v>
      </c>
      <c r="I38" s="27"/>
      <c r="J38" s="28"/>
      <c r="K38" s="25">
        <f t="shared" si="5"/>
        <v>2000</v>
      </c>
      <c r="L38" s="26">
        <f t="shared" si="1"/>
        <v>0</v>
      </c>
      <c r="M38" s="27"/>
      <c r="N38" s="30">
        <f t="shared" si="2"/>
        <v>0</v>
      </c>
      <c r="O38" s="31" t="str">
        <f t="shared" si="3"/>
        <v/>
      </c>
      <c r="Q38" s="107"/>
      <c r="S38" s="107"/>
      <c r="U38" s="107"/>
      <c r="W38" s="107"/>
    </row>
    <row r="39" spans="2:24" s="45" customFormat="1" x14ac:dyDescent="0.25">
      <c r="B39" s="34" t="s">
        <v>23</v>
      </c>
      <c r="C39" s="35"/>
      <c r="D39" s="36"/>
      <c r="E39" s="35"/>
      <c r="F39" s="37"/>
      <c r="G39" s="38"/>
      <c r="H39" s="39">
        <f>SUM(H23:H38)</f>
        <v>63.290000000000006</v>
      </c>
      <c r="I39" s="40"/>
      <c r="J39" s="41"/>
      <c r="K39" s="42"/>
      <c r="L39" s="39">
        <f>SUM(L23:L38)</f>
        <v>66.2</v>
      </c>
      <c r="M39" s="40"/>
      <c r="N39" s="43">
        <f t="shared" si="2"/>
        <v>2.9099999999999966</v>
      </c>
      <c r="O39" s="44">
        <f t="shared" si="3"/>
        <v>4.5978827618897079E-2</v>
      </c>
      <c r="Q39" s="107"/>
      <c r="R39" s="203"/>
      <c r="S39" s="107"/>
      <c r="T39" s="203"/>
      <c r="U39" s="107"/>
      <c r="V39" s="203"/>
      <c r="W39" s="107"/>
    </row>
    <row r="40" spans="2:24" ht="26.4" x14ac:dyDescent="0.25">
      <c r="B40" s="46" t="str">
        <f>+'Res (100)'!B40</f>
        <v>Deferral/Variance Account Disposition Rate Rider Group 1</v>
      </c>
      <c r="C40" s="21"/>
      <c r="D40" s="22" t="s">
        <v>20</v>
      </c>
      <c r="E40" s="23"/>
      <c r="F40" s="50">
        <f>'Proposed Rates'!D39</f>
        <v>0</v>
      </c>
      <c r="G40" s="25">
        <f>$F$18</f>
        <v>2000</v>
      </c>
      <c r="H40" s="26">
        <f>G40*F40</f>
        <v>0</v>
      </c>
      <c r="I40" s="27"/>
      <c r="J40" s="28">
        <f>+'Proposed Rates'!E39</f>
        <v>-4.0000000000000002E-4</v>
      </c>
      <c r="K40" s="25">
        <f>$F$18</f>
        <v>2000</v>
      </c>
      <c r="L40" s="26">
        <f>K40*J40</f>
        <v>-0.8</v>
      </c>
      <c r="M40" s="27"/>
      <c r="N40" s="30">
        <f>L40-H40</f>
        <v>-0.8</v>
      </c>
      <c r="O40" s="31" t="str">
        <f>IF((H40)=0,"",(N40/H40))</f>
        <v/>
      </c>
      <c r="Q40" s="107"/>
      <c r="S40" s="107"/>
      <c r="U40" s="107"/>
      <c r="W40" s="107"/>
    </row>
    <row r="41" spans="2:24" ht="26.4" x14ac:dyDescent="0.25">
      <c r="B41" s="46" t="str">
        <f>+'Res (100)'!B41</f>
        <v>Deferral/Variance Account Disposition Rate Rider Group 2</v>
      </c>
      <c r="C41" s="21"/>
      <c r="D41" s="22" t="s">
        <v>20</v>
      </c>
      <c r="E41" s="23"/>
      <c r="F41" s="50">
        <f>'Proposed Rates'!D53</f>
        <v>0</v>
      </c>
      <c r="G41" s="25">
        <f t="shared" ref="G41:G43" si="7">$F$18</f>
        <v>2000</v>
      </c>
      <c r="H41" s="26">
        <f t="shared" ref="H41:H45" si="8">G41*F41</f>
        <v>0</v>
      </c>
      <c r="I41" s="47"/>
      <c r="J41" s="28">
        <f>+'Proposed Rates'!E53</f>
        <v>0</v>
      </c>
      <c r="K41" s="25">
        <f t="shared" ref="K41:K43" si="9">$F$18</f>
        <v>2000</v>
      </c>
      <c r="L41" s="26">
        <f t="shared" ref="L41:L45" si="10">K41*J41</f>
        <v>0</v>
      </c>
      <c r="M41" s="48"/>
      <c r="N41" s="30">
        <f t="shared" ref="N41:N45" si="11">L41-H41</f>
        <v>0</v>
      </c>
      <c r="O41" s="31" t="str">
        <f t="shared" ref="O41:O66" si="12">IF((H41)=0,"",(N41/H41))</f>
        <v/>
      </c>
      <c r="Q41" s="107"/>
      <c r="S41" s="107"/>
      <c r="U41" s="107"/>
      <c r="W41" s="107"/>
    </row>
    <row r="42" spans="2:24" ht="39.6" x14ac:dyDescent="0.25">
      <c r="B42" s="46" t="str">
        <f>+'Res (100)'!B42</f>
        <v>Deferral / Variance Accounts Balances (excluding Global Adj.) - NON-WMP</v>
      </c>
      <c r="C42" s="21"/>
      <c r="D42" s="22" t="s">
        <v>20</v>
      </c>
      <c r="E42" s="23"/>
      <c r="F42" s="24">
        <f>'Proposed Rates'!D98</f>
        <v>-2.3E-3</v>
      </c>
      <c r="G42" s="25">
        <f t="shared" si="7"/>
        <v>2000</v>
      </c>
      <c r="H42" s="26">
        <f t="shared" si="8"/>
        <v>-4.5999999999999996</v>
      </c>
      <c r="I42" s="47"/>
      <c r="J42" s="28">
        <f>+'Proposed Rates'!E98</f>
        <v>-8.0000000000000004E-4</v>
      </c>
      <c r="K42" s="25">
        <f t="shared" si="9"/>
        <v>2000</v>
      </c>
      <c r="L42" s="26">
        <f t="shared" si="10"/>
        <v>-1.6</v>
      </c>
      <c r="M42" s="48"/>
      <c r="N42" s="30">
        <f t="shared" si="11"/>
        <v>2.9999999999999996</v>
      </c>
      <c r="O42" s="31">
        <f t="shared" si="12"/>
        <v>-0.65217391304347816</v>
      </c>
      <c r="Q42" s="107"/>
      <c r="S42" s="107"/>
      <c r="U42" s="107"/>
      <c r="W42" s="107"/>
      <c r="X42" s="150"/>
    </row>
    <row r="43" spans="2:24" ht="39.6" x14ac:dyDescent="0.25">
      <c r="B43" s="46" t="s">
        <v>125</v>
      </c>
      <c r="C43" s="21"/>
      <c r="D43" s="22" t="s">
        <v>20</v>
      </c>
      <c r="E43" s="23"/>
      <c r="F43" s="24">
        <f>+'Proposed Rates'!D112</f>
        <v>2.7E-4</v>
      </c>
      <c r="G43" s="25">
        <f t="shared" si="7"/>
        <v>2000</v>
      </c>
      <c r="H43" s="26">
        <f t="shared" si="8"/>
        <v>0.54</v>
      </c>
      <c r="I43" s="47"/>
      <c r="J43" s="223">
        <f>+'Proposed Rates'!E112</f>
        <v>0</v>
      </c>
      <c r="K43" s="25">
        <f t="shared" si="9"/>
        <v>2000</v>
      </c>
      <c r="L43" s="26">
        <f t="shared" si="10"/>
        <v>0</v>
      </c>
      <c r="M43" s="48"/>
      <c r="N43" s="30">
        <f t="shared" si="11"/>
        <v>-0.54</v>
      </c>
      <c r="O43" s="31">
        <f t="shared" si="12"/>
        <v>-1</v>
      </c>
      <c r="Q43" s="107"/>
      <c r="S43" s="107"/>
      <c r="U43" s="107"/>
      <c r="W43" s="107"/>
    </row>
    <row r="44" spans="2:24" x14ac:dyDescent="0.25">
      <c r="B44" s="49" t="s">
        <v>25</v>
      </c>
      <c r="C44" s="21"/>
      <c r="D44" s="22" t="s">
        <v>20</v>
      </c>
      <c r="E44" s="23"/>
      <c r="F44" s="50">
        <f>'Proposed Rates'!D127</f>
        <v>6.9999999999999994E-5</v>
      </c>
      <c r="G44" s="51">
        <f>$F$18*(1+F75)</f>
        <v>2067</v>
      </c>
      <c r="H44" s="26">
        <f>G44*F44</f>
        <v>0.14468999999999999</v>
      </c>
      <c r="I44" s="27"/>
      <c r="J44" s="52">
        <f>'Proposed Rates'!E127</f>
        <v>6.0000000000000002E-5</v>
      </c>
      <c r="K44" s="51">
        <f>$F$18*(1+J75)</f>
        <v>2067</v>
      </c>
      <c r="L44" s="26">
        <f>K44*J44</f>
        <v>0.12402000000000001</v>
      </c>
      <c r="M44" s="27"/>
      <c r="N44" s="30">
        <f>L44-H44</f>
        <v>-2.066999999999998E-2</v>
      </c>
      <c r="O44" s="31">
        <f>IF((H44)=0,"",(N44/H44))</f>
        <v>-0.14285714285714274</v>
      </c>
      <c r="Q44" s="107"/>
      <c r="S44" s="107"/>
      <c r="U44" s="107"/>
      <c r="W44" s="107"/>
    </row>
    <row r="45" spans="2:24" x14ac:dyDescent="0.25">
      <c r="B45" s="49" t="s">
        <v>26</v>
      </c>
      <c r="C45" s="21"/>
      <c r="D45" s="22"/>
      <c r="E45" s="23"/>
      <c r="F45" s="53">
        <f>IF(ISBLANK(D16)=TRUE, 0, IF(D16="TOU", 0.65*$F$56+0.17*$F$57+0.18*$F$58, IF(AND(D16="non-TOU", G60&gt;0), F60,F59)))</f>
        <v>8.2160000000000011E-2</v>
      </c>
      <c r="G45" s="54">
        <f>$F$18*(1+$F$75)-$F$18</f>
        <v>67</v>
      </c>
      <c r="H45" s="26">
        <f t="shared" si="8"/>
        <v>5.5047200000000007</v>
      </c>
      <c r="I45" s="27"/>
      <c r="J45" s="55">
        <f>0.65*$J$56+0.17*$J$57+0.18*$J$58</f>
        <v>8.2160000000000011E-2</v>
      </c>
      <c r="K45" s="54">
        <f>$F$18*(1+$J$75)-$F$18</f>
        <v>67</v>
      </c>
      <c r="L45" s="26">
        <f t="shared" si="10"/>
        <v>5.5047200000000007</v>
      </c>
      <c r="M45" s="27"/>
      <c r="N45" s="30">
        <f t="shared" si="11"/>
        <v>0</v>
      </c>
      <c r="O45" s="31">
        <f t="shared" si="12"/>
        <v>0</v>
      </c>
      <c r="Q45" s="107"/>
      <c r="S45" s="107"/>
      <c r="U45" s="107"/>
      <c r="W45" s="107"/>
    </row>
    <row r="46" spans="2:24" x14ac:dyDescent="0.25">
      <c r="B46" s="49" t="s">
        <v>27</v>
      </c>
      <c r="C46" s="21"/>
      <c r="D46" s="22" t="s">
        <v>17</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4" ht="26.4" x14ac:dyDescent="0.25">
      <c r="B47" s="56" t="s">
        <v>28</v>
      </c>
      <c r="C47" s="57"/>
      <c r="D47" s="57"/>
      <c r="E47" s="57"/>
      <c r="F47" s="58"/>
      <c r="G47" s="59"/>
      <c r="H47" s="60">
        <f>SUM(H40:H46)+H39</f>
        <v>65.669410000000013</v>
      </c>
      <c r="I47" s="40"/>
      <c r="J47" s="59"/>
      <c r="K47" s="61"/>
      <c r="L47" s="60">
        <f>SUM(L40:L46)+L39</f>
        <v>70.218739999999997</v>
      </c>
      <c r="M47" s="40"/>
      <c r="N47" s="43">
        <f t="shared" ref="N47:N66" si="13">L47-H47</f>
        <v>4.5493299999999834</v>
      </c>
      <c r="O47" s="44">
        <f t="shared" si="12"/>
        <v>6.9276242926500822E-2</v>
      </c>
      <c r="Q47" s="107"/>
      <c r="S47" s="107"/>
      <c r="U47" s="107"/>
      <c r="W47" s="107"/>
    </row>
    <row r="48" spans="2:24" x14ac:dyDescent="0.25">
      <c r="B48" s="27" t="s">
        <v>29</v>
      </c>
      <c r="C48" s="27"/>
      <c r="D48" s="62" t="s">
        <v>20</v>
      </c>
      <c r="E48" s="63"/>
      <c r="F48" s="28">
        <f>'Proposed Rates'!D157</f>
        <v>6.7999999999999996E-3</v>
      </c>
      <c r="G48" s="64">
        <f>$F$18*(1+F75)</f>
        <v>2067</v>
      </c>
      <c r="H48" s="26">
        <f>G48*F48</f>
        <v>14.0556</v>
      </c>
      <c r="I48" s="27"/>
      <c r="J48" s="28">
        <f>'Proposed Rates'!E157</f>
        <v>6.8999999999999999E-3</v>
      </c>
      <c r="K48" s="65">
        <f>F18*(1+J75)</f>
        <v>2067</v>
      </c>
      <c r="L48" s="26">
        <f>K48*J48</f>
        <v>14.2623</v>
      </c>
      <c r="M48" s="27"/>
      <c r="N48" s="30">
        <f t="shared" si="13"/>
        <v>0.20669999999999966</v>
      </c>
      <c r="O48" s="31">
        <f t="shared" si="12"/>
        <v>1.4705882352941152E-2</v>
      </c>
      <c r="Q48" s="107"/>
      <c r="S48" s="107"/>
      <c r="U48" s="107"/>
      <c r="W48" s="107"/>
    </row>
    <row r="49" spans="2:23" ht="26.4" x14ac:dyDescent="0.25">
      <c r="B49" s="66" t="s">
        <v>30</v>
      </c>
      <c r="C49" s="27"/>
      <c r="D49" s="62" t="s">
        <v>20</v>
      </c>
      <c r="E49" s="63"/>
      <c r="F49" s="28">
        <f>'Proposed Rates'!D172</f>
        <v>4.4999999999999997E-3</v>
      </c>
      <c r="G49" s="64">
        <f>G48</f>
        <v>2067</v>
      </c>
      <c r="H49" s="26">
        <f>G49*F49</f>
        <v>9.301499999999999</v>
      </c>
      <c r="I49" s="27"/>
      <c r="J49" s="28">
        <f>'Proposed Rates'!E172</f>
        <v>4.5999999999999999E-3</v>
      </c>
      <c r="K49" s="65">
        <f>K48</f>
        <v>2067</v>
      </c>
      <c r="L49" s="26">
        <f>K49*J49</f>
        <v>9.5082000000000004</v>
      </c>
      <c r="M49" s="27"/>
      <c r="N49" s="30">
        <f t="shared" si="13"/>
        <v>0.20670000000000144</v>
      </c>
      <c r="O49" s="31">
        <f t="shared" si="12"/>
        <v>2.2222222222222379E-2</v>
      </c>
      <c r="Q49" s="107"/>
      <c r="S49" s="107"/>
      <c r="U49" s="107"/>
      <c r="W49" s="107"/>
    </row>
    <row r="50" spans="2:23" ht="26.4" x14ac:dyDescent="0.25">
      <c r="B50" s="56" t="s">
        <v>31</v>
      </c>
      <c r="C50" s="35"/>
      <c r="D50" s="35"/>
      <c r="E50" s="35"/>
      <c r="F50" s="67"/>
      <c r="G50" s="59"/>
      <c r="H50" s="60">
        <f>SUM(H47:H49)</f>
        <v>89.026510000000016</v>
      </c>
      <c r="I50" s="68"/>
      <c r="J50" s="69"/>
      <c r="K50" s="70"/>
      <c r="L50" s="60">
        <f>SUM(L47:L49)</f>
        <v>93.989239999999995</v>
      </c>
      <c r="M50" s="68"/>
      <c r="N50" s="43">
        <f t="shared" si="13"/>
        <v>4.9627299999999792</v>
      </c>
      <c r="O50" s="44">
        <f t="shared" si="12"/>
        <v>5.5744406918792823E-2</v>
      </c>
      <c r="Q50" s="102"/>
      <c r="S50" s="102"/>
      <c r="U50" s="102"/>
      <c r="W50" s="102"/>
    </row>
    <row r="51" spans="2:23" ht="26.4" x14ac:dyDescent="0.25">
      <c r="B51" s="71" t="s">
        <v>32</v>
      </c>
      <c r="C51" s="21"/>
      <c r="D51" s="22" t="s">
        <v>20</v>
      </c>
      <c r="E51" s="23"/>
      <c r="F51" s="72">
        <f>'Proposed Rates'!D186</f>
        <v>3.5999999999999999E-3</v>
      </c>
      <c r="G51" s="64">
        <f>G49</f>
        <v>2067</v>
      </c>
      <c r="H51" s="73">
        <f t="shared" ref="H51:H58" si="14">G51*F51</f>
        <v>7.4411999999999994</v>
      </c>
      <c r="I51" s="27"/>
      <c r="J51" s="72">
        <f>F51</f>
        <v>3.5999999999999999E-3</v>
      </c>
      <c r="K51" s="65">
        <f>K49</f>
        <v>2067</v>
      </c>
      <c r="L51" s="73">
        <f t="shared" ref="L51:L58" si="15">K51*J51</f>
        <v>7.4411999999999994</v>
      </c>
      <c r="M51" s="27"/>
      <c r="N51" s="30">
        <f t="shared" si="13"/>
        <v>0</v>
      </c>
      <c r="O51" s="74">
        <f t="shared" si="12"/>
        <v>0</v>
      </c>
      <c r="Q51" s="107"/>
      <c r="S51" s="107"/>
      <c r="U51" s="107"/>
      <c r="W51" s="107"/>
    </row>
    <row r="52" spans="2:23" ht="26.4" x14ac:dyDescent="0.25">
      <c r="B52" s="71" t="s">
        <v>33</v>
      </c>
      <c r="C52" s="21"/>
      <c r="D52" s="22" t="s">
        <v>20</v>
      </c>
      <c r="E52" s="23"/>
      <c r="F52" s="72">
        <f>'Proposed Rates'!D191</f>
        <v>2.9999999999999997E-4</v>
      </c>
      <c r="G52" s="64">
        <f>G49</f>
        <v>2067</v>
      </c>
      <c r="H52" s="73">
        <f t="shared" si="14"/>
        <v>0.62009999999999998</v>
      </c>
      <c r="I52" s="27"/>
      <c r="J52" s="72">
        <f>F52</f>
        <v>2.9999999999999997E-4</v>
      </c>
      <c r="K52" s="65">
        <f>K49</f>
        <v>2067</v>
      </c>
      <c r="L52" s="73">
        <f t="shared" si="15"/>
        <v>0.62009999999999998</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5">
      <c r="B54" s="21" t="s">
        <v>120</v>
      </c>
      <c r="C54" s="21"/>
      <c r="D54" s="22"/>
      <c r="E54" s="23"/>
      <c r="F54" s="72">
        <f>'Proposed Rates'!D221</f>
        <v>0</v>
      </c>
      <c r="G54" s="75">
        <f>$F$18*(1+F75)</f>
        <v>2067</v>
      </c>
      <c r="H54" s="73">
        <f>G54*F54</f>
        <v>0</v>
      </c>
      <c r="I54" s="27"/>
      <c r="J54" s="72">
        <f>F54</f>
        <v>0</v>
      </c>
      <c r="K54" s="75">
        <f>$F$18*(1+J75)</f>
        <v>2067</v>
      </c>
      <c r="L54" s="73">
        <f>K54*J54</f>
        <v>0</v>
      </c>
      <c r="M54" s="27"/>
      <c r="N54" s="30"/>
      <c r="O54" s="74"/>
      <c r="Q54" s="107"/>
      <c r="S54" s="107"/>
      <c r="U54" s="107"/>
      <c r="W54" s="107"/>
    </row>
    <row r="55" spans="2:23" x14ac:dyDescent="0.25">
      <c r="B55" s="21" t="s">
        <v>35</v>
      </c>
      <c r="C55" s="21"/>
      <c r="D55" s="22"/>
      <c r="E55" s="23"/>
      <c r="F55" s="72">
        <f>'Proposed Rates'!D216</f>
        <v>6.94E-3</v>
      </c>
      <c r="G55" s="75">
        <f>$F$18</f>
        <v>2000</v>
      </c>
      <c r="H55" s="73">
        <f t="shared" si="14"/>
        <v>13.88</v>
      </c>
      <c r="I55" s="27"/>
      <c r="J55" s="72">
        <f>+F55</f>
        <v>6.94E-3</v>
      </c>
      <c r="K55" s="76">
        <f>$F$18</f>
        <v>2000</v>
      </c>
      <c r="L55" s="73">
        <f t="shared" si="15"/>
        <v>13.88</v>
      </c>
      <c r="M55" s="27"/>
      <c r="N55" s="30">
        <f t="shared" si="13"/>
        <v>0</v>
      </c>
      <c r="O55" s="74">
        <f t="shared" si="12"/>
        <v>0</v>
      </c>
      <c r="Q55" s="107"/>
      <c r="S55" s="107"/>
      <c r="U55" s="107"/>
      <c r="W55" s="107"/>
    </row>
    <row r="56" spans="2:23" x14ac:dyDescent="0.25">
      <c r="B56" s="49" t="s">
        <v>36</v>
      </c>
      <c r="C56" s="21"/>
      <c r="D56" s="22"/>
      <c r="E56" s="23"/>
      <c r="F56" s="72">
        <f>'Proposed Rates'!D226</f>
        <v>6.5000000000000002E-2</v>
      </c>
      <c r="G56" s="77">
        <f>0.65*$F$18</f>
        <v>1300</v>
      </c>
      <c r="H56" s="73">
        <f t="shared" si="14"/>
        <v>84.5</v>
      </c>
      <c r="I56" s="27"/>
      <c r="J56" s="72">
        <f>F56</f>
        <v>6.5000000000000002E-2</v>
      </c>
      <c r="K56" s="77">
        <f>$G$56</f>
        <v>1300</v>
      </c>
      <c r="L56" s="73">
        <f t="shared" si="15"/>
        <v>84.5</v>
      </c>
      <c r="M56" s="27"/>
      <c r="N56" s="30">
        <f t="shared" si="13"/>
        <v>0</v>
      </c>
      <c r="O56" s="74">
        <f t="shared" si="12"/>
        <v>0</v>
      </c>
      <c r="Q56" s="107"/>
      <c r="S56" s="107"/>
      <c r="U56" s="107"/>
      <c r="W56" s="107"/>
    </row>
    <row r="57" spans="2:23" x14ac:dyDescent="0.25">
      <c r="B57" s="49" t="s">
        <v>37</v>
      </c>
      <c r="C57" s="21"/>
      <c r="D57" s="22"/>
      <c r="E57" s="23"/>
      <c r="F57" s="72">
        <f>'Proposed Rates'!D227</f>
        <v>9.5000000000000001E-2</v>
      </c>
      <c r="G57" s="77">
        <f>0.17*$F$18</f>
        <v>340</v>
      </c>
      <c r="H57" s="73">
        <f t="shared" si="14"/>
        <v>32.299999999999997</v>
      </c>
      <c r="I57" s="27"/>
      <c r="J57" s="72">
        <f>F57</f>
        <v>9.5000000000000001E-2</v>
      </c>
      <c r="K57" s="77">
        <f>$G$57</f>
        <v>340</v>
      </c>
      <c r="L57" s="73">
        <f t="shared" si="15"/>
        <v>32.299999999999997</v>
      </c>
      <c r="M57" s="27"/>
      <c r="N57" s="30">
        <f t="shared" si="13"/>
        <v>0</v>
      </c>
      <c r="O57" s="74">
        <f t="shared" si="12"/>
        <v>0</v>
      </c>
      <c r="Q57" s="107"/>
      <c r="S57" s="107"/>
      <c r="U57" s="107"/>
      <c r="W57" s="107"/>
    </row>
    <row r="58" spans="2:23" x14ac:dyDescent="0.25">
      <c r="B58" s="11" t="s">
        <v>38</v>
      </c>
      <c r="C58" s="21"/>
      <c r="D58" s="22"/>
      <c r="E58" s="23"/>
      <c r="F58" s="72">
        <f>'Proposed Rates'!D228</f>
        <v>0.13200000000000001</v>
      </c>
      <c r="G58" s="77">
        <f>0.18*$F$18</f>
        <v>360</v>
      </c>
      <c r="H58" s="73">
        <f t="shared" si="14"/>
        <v>47.52</v>
      </c>
      <c r="I58" s="27"/>
      <c r="J58" s="72">
        <f>F58</f>
        <v>0.13200000000000001</v>
      </c>
      <c r="K58" s="77">
        <f>$G$58</f>
        <v>360</v>
      </c>
      <c r="L58" s="73">
        <f t="shared" si="15"/>
        <v>47.52</v>
      </c>
      <c r="M58" s="27"/>
      <c r="N58" s="30">
        <f t="shared" si="13"/>
        <v>0</v>
      </c>
      <c r="O58" s="74">
        <f t="shared" si="12"/>
        <v>0</v>
      </c>
      <c r="Q58" s="107"/>
      <c r="S58" s="107"/>
      <c r="U58" s="107"/>
      <c r="W58" s="107"/>
    </row>
    <row r="59" spans="2:23" s="85" customFormat="1" x14ac:dyDescent="0.25">
      <c r="B59" s="78" t="s">
        <v>39</v>
      </c>
      <c r="C59" s="79"/>
      <c r="D59" s="80"/>
      <c r="E59" s="81"/>
      <c r="F59" s="72">
        <f>'Proposed Rates'!D229</f>
        <v>7.6999999999999999E-2</v>
      </c>
      <c r="G59" s="82">
        <v>750</v>
      </c>
      <c r="H59" s="73">
        <f>G59*F59</f>
        <v>57.75</v>
      </c>
      <c r="I59" s="83"/>
      <c r="J59" s="72">
        <f>F59</f>
        <v>7.6999999999999999E-2</v>
      </c>
      <c r="K59" s="82">
        <f>$G$59</f>
        <v>750</v>
      </c>
      <c r="L59" s="73">
        <f>K59*J59</f>
        <v>57.75</v>
      </c>
      <c r="M59" s="83"/>
      <c r="N59" s="84">
        <f t="shared" si="13"/>
        <v>0</v>
      </c>
      <c r="O59" s="74">
        <f t="shared" si="12"/>
        <v>0</v>
      </c>
      <c r="Q59" s="143"/>
      <c r="R59" s="204"/>
      <c r="S59" s="143"/>
      <c r="T59" s="204"/>
      <c r="U59" s="143"/>
      <c r="V59" s="204"/>
      <c r="W59" s="143"/>
    </row>
    <row r="60" spans="2:23" s="85" customFormat="1" ht="13.8" thickBot="1" x14ac:dyDescent="0.3">
      <c r="B60" s="78" t="s">
        <v>40</v>
      </c>
      <c r="C60" s="79"/>
      <c r="D60" s="80"/>
      <c r="E60" s="81"/>
      <c r="F60" s="72">
        <f>'Proposed Rates'!D230</f>
        <v>0.09</v>
      </c>
      <c r="G60" s="82">
        <f>F18-G59</f>
        <v>1250</v>
      </c>
      <c r="H60" s="73">
        <f>G60*F60</f>
        <v>112.5</v>
      </c>
      <c r="I60" s="83"/>
      <c r="J60" s="72">
        <f>F60</f>
        <v>0.09</v>
      </c>
      <c r="K60" s="82">
        <f>$G$60</f>
        <v>1250</v>
      </c>
      <c r="L60" s="73">
        <f>K60*J60</f>
        <v>112.5</v>
      </c>
      <c r="M60" s="83"/>
      <c r="N60" s="84">
        <f t="shared" si="13"/>
        <v>0</v>
      </c>
      <c r="O60" s="74">
        <f t="shared" si="12"/>
        <v>0</v>
      </c>
      <c r="Q60" s="143"/>
      <c r="R60" s="204"/>
      <c r="S60" s="143"/>
      <c r="T60" s="204"/>
      <c r="U60" s="143"/>
      <c r="V60" s="204"/>
      <c r="W60" s="143"/>
    </row>
    <row r="61" spans="2:23" ht="8.25" customHeight="1" thickBot="1" x14ac:dyDescent="0.3">
      <c r="B61" s="86"/>
      <c r="C61" s="87"/>
      <c r="D61" s="88"/>
      <c r="E61" s="87"/>
      <c r="F61" s="89"/>
      <c r="G61" s="90"/>
      <c r="H61" s="91"/>
      <c r="I61" s="92"/>
      <c r="J61" s="89"/>
      <c r="K61" s="93"/>
      <c r="L61" s="91"/>
      <c r="M61" s="92"/>
      <c r="N61" s="94"/>
      <c r="O61" s="95"/>
      <c r="Q61" s="107"/>
      <c r="S61" s="107"/>
      <c r="U61" s="107"/>
      <c r="W61" s="107"/>
    </row>
    <row r="62" spans="2:23" x14ac:dyDescent="0.25">
      <c r="B62" s="96" t="s">
        <v>41</v>
      </c>
      <c r="C62" s="21"/>
      <c r="D62" s="21"/>
      <c r="E62" s="21"/>
      <c r="F62" s="97"/>
      <c r="G62" s="98"/>
      <c r="H62" s="99">
        <f>SUM(H51:H58,H50)</f>
        <v>275.53781000000004</v>
      </c>
      <c r="I62" s="100"/>
      <c r="J62" s="101"/>
      <c r="K62" s="101"/>
      <c r="L62" s="254">
        <f>SUM(L51:L58,L50)</f>
        <v>280.50054</v>
      </c>
      <c r="M62" s="102"/>
      <c r="N62" s="103">
        <f t="shared" ref="N62" si="16">L62-H62</f>
        <v>4.962729999999965</v>
      </c>
      <c r="O62" s="104">
        <f t="shared" ref="O62" si="17">IF((H62)=0,"",(N62/H62))</f>
        <v>1.8011067156264195E-2</v>
      </c>
      <c r="Q62" s="102"/>
      <c r="S62" s="102"/>
      <c r="U62" s="102"/>
      <c r="W62" s="102"/>
    </row>
    <row r="63" spans="2:23" x14ac:dyDescent="0.25">
      <c r="B63" s="105" t="s">
        <v>42</v>
      </c>
      <c r="C63" s="21"/>
      <c r="D63" s="21"/>
      <c r="E63" s="21"/>
      <c r="F63" s="106">
        <v>0.13</v>
      </c>
      <c r="G63" s="107"/>
      <c r="H63" s="108">
        <f>H62*F63</f>
        <v>35.819915300000005</v>
      </c>
      <c r="I63" s="109"/>
      <c r="J63" s="110">
        <v>0.13</v>
      </c>
      <c r="K63" s="109"/>
      <c r="L63" s="113">
        <f>L62*J63</f>
        <v>36.4650702</v>
      </c>
      <c r="M63" s="112"/>
      <c r="N63" s="113">
        <f t="shared" si="13"/>
        <v>0.64515489999999431</v>
      </c>
      <c r="O63" s="114">
        <f t="shared" si="12"/>
        <v>1.8011067156264163E-2</v>
      </c>
      <c r="Q63" s="112"/>
      <c r="S63" s="112"/>
      <c r="U63" s="112"/>
      <c r="W63" s="112"/>
    </row>
    <row r="64" spans="2:23" x14ac:dyDescent="0.25">
      <c r="B64" s="250" t="s">
        <v>43</v>
      </c>
      <c r="C64" s="21"/>
      <c r="D64" s="21"/>
      <c r="E64" s="21"/>
      <c r="F64" s="106"/>
      <c r="G64" s="107"/>
      <c r="H64" s="99">
        <f>SUM(H62:H63)</f>
        <v>311.35772530000003</v>
      </c>
      <c r="I64" s="109"/>
      <c r="J64" s="110"/>
      <c r="K64" s="109"/>
      <c r="L64" s="103">
        <f>SUM(L62:L63)</f>
        <v>316.96561020000001</v>
      </c>
      <c r="M64" s="112"/>
      <c r="N64" s="103">
        <f t="shared" si="13"/>
        <v>5.6078848999999877</v>
      </c>
      <c r="O64" s="104">
        <f t="shared" si="12"/>
        <v>1.8011067156264285E-2</v>
      </c>
      <c r="Q64" s="112"/>
      <c r="S64" s="112"/>
      <c r="U64" s="112"/>
      <c r="W64" s="112"/>
    </row>
    <row r="65" spans="2:23" x14ac:dyDescent="0.25">
      <c r="B65" s="249" t="s">
        <v>137</v>
      </c>
      <c r="C65" s="21"/>
      <c r="D65" s="21"/>
      <c r="E65" s="21"/>
      <c r="F65" s="106">
        <v>-0.08</v>
      </c>
      <c r="G65" s="107"/>
      <c r="H65" s="108">
        <f>H62*F65</f>
        <v>-22.043024800000005</v>
      </c>
      <c r="I65" s="109"/>
      <c r="J65" s="106">
        <v>-0.08</v>
      </c>
      <c r="K65" s="109"/>
      <c r="L65" s="113">
        <f>L62*J65</f>
        <v>-22.440043200000002</v>
      </c>
      <c r="M65" s="112"/>
      <c r="N65" s="113">
        <f t="shared" si="13"/>
        <v>-0.39701839999999677</v>
      </c>
      <c r="O65" s="114">
        <f t="shared" si="12"/>
        <v>1.8011067156264174E-2</v>
      </c>
      <c r="Q65" s="112"/>
      <c r="S65" s="112"/>
      <c r="U65" s="112"/>
      <c r="W65" s="112"/>
    </row>
    <row r="66" spans="2:23" ht="13.8" thickBot="1" x14ac:dyDescent="0.3">
      <c r="B66" s="294" t="s">
        <v>138</v>
      </c>
      <c r="C66" s="294"/>
      <c r="D66" s="294"/>
      <c r="E66" s="21"/>
      <c r="F66" s="116"/>
      <c r="G66" s="107"/>
      <c r="H66" s="99">
        <f>SUM(H64:H65)</f>
        <v>289.31470050000001</v>
      </c>
      <c r="I66" s="109"/>
      <c r="J66" s="109"/>
      <c r="K66" s="109"/>
      <c r="L66" s="251">
        <f>SUM(L64:L65)</f>
        <v>294.52556700000002</v>
      </c>
      <c r="M66" s="112"/>
      <c r="N66" s="103">
        <f t="shared" si="13"/>
        <v>5.2108665000000087</v>
      </c>
      <c r="O66" s="104">
        <f t="shared" si="12"/>
        <v>1.8011067156264354E-2</v>
      </c>
      <c r="Q66" s="112"/>
      <c r="S66" s="112"/>
      <c r="U66" s="112"/>
      <c r="W66" s="112"/>
    </row>
    <row r="67" spans="2:23" s="85" customFormat="1" ht="8.25" customHeight="1" thickBot="1" x14ac:dyDescent="0.3">
      <c r="B67" s="117"/>
      <c r="C67" s="118"/>
      <c r="D67" s="119"/>
      <c r="E67" s="118"/>
      <c r="F67" s="89"/>
      <c r="G67" s="120"/>
      <c r="H67" s="91"/>
      <c r="I67" s="121"/>
      <c r="J67" s="89"/>
      <c r="K67" s="122"/>
      <c r="L67" s="91"/>
      <c r="M67" s="121"/>
      <c r="N67" s="123"/>
      <c r="O67" s="95"/>
      <c r="Q67" s="143"/>
      <c r="R67" s="204"/>
      <c r="S67" s="143"/>
      <c r="T67" s="204"/>
      <c r="U67" s="143"/>
      <c r="V67" s="204"/>
      <c r="W67" s="143"/>
    </row>
    <row r="68" spans="2:23" s="85" customFormat="1" x14ac:dyDescent="0.25">
      <c r="B68" s="124" t="s">
        <v>44</v>
      </c>
      <c r="C68" s="79"/>
      <c r="D68" s="79"/>
      <c r="E68" s="79"/>
      <c r="F68" s="125"/>
      <c r="G68" s="126"/>
      <c r="H68" s="127">
        <f>SUM(H59:H60,H50,H51:H55)</f>
        <v>281.46780999999999</v>
      </c>
      <c r="I68" s="128"/>
      <c r="J68" s="129"/>
      <c r="K68" s="129"/>
      <c r="L68" s="259">
        <f>SUM(L59:L60,L50,L51:L55)</f>
        <v>286.43053999999995</v>
      </c>
      <c r="M68" s="130"/>
      <c r="N68" s="131">
        <f t="shared" ref="N68:N72" si="18">L68-H68</f>
        <v>4.962729999999965</v>
      </c>
      <c r="O68" s="104">
        <f t="shared" ref="O68:O72" si="19">IF((H68)=0,"",(N68/H68))</f>
        <v>1.7631607678334389E-2</v>
      </c>
      <c r="Q68" s="130"/>
      <c r="R68" s="204"/>
      <c r="S68" s="130"/>
      <c r="T68" s="204"/>
      <c r="U68" s="130"/>
      <c r="V68" s="204"/>
      <c r="W68" s="130"/>
    </row>
    <row r="69" spans="2:23" s="85" customFormat="1" x14ac:dyDescent="0.25">
      <c r="B69" s="132" t="s">
        <v>42</v>
      </c>
      <c r="C69" s="79"/>
      <c r="D69" s="79"/>
      <c r="E69" s="79"/>
      <c r="F69" s="133">
        <v>0.13</v>
      </c>
      <c r="G69" s="126"/>
      <c r="H69" s="134">
        <f>H68*F69</f>
        <v>36.590815300000003</v>
      </c>
      <c r="I69" s="135"/>
      <c r="J69" s="136">
        <v>0.13</v>
      </c>
      <c r="K69" s="137"/>
      <c r="L69" s="140">
        <f>L68*J69</f>
        <v>37.235970199999997</v>
      </c>
      <c r="M69" s="139"/>
      <c r="N69" s="140">
        <f t="shared" si="18"/>
        <v>0.64515489999999431</v>
      </c>
      <c r="O69" s="114">
        <f t="shared" si="19"/>
        <v>1.7631607678334358E-2</v>
      </c>
      <c r="Q69" s="139"/>
      <c r="R69" s="204"/>
      <c r="S69" s="139"/>
      <c r="T69" s="204"/>
      <c r="U69" s="139"/>
      <c r="V69" s="204"/>
      <c r="W69" s="139"/>
    </row>
    <row r="70" spans="2:23" s="85" customFormat="1" x14ac:dyDescent="0.25">
      <c r="B70" s="258" t="s">
        <v>43</v>
      </c>
      <c r="C70" s="79"/>
      <c r="D70" s="79"/>
      <c r="E70" s="79"/>
      <c r="F70" s="142"/>
      <c r="G70" s="143"/>
      <c r="H70" s="127">
        <f>H68+H69</f>
        <v>318.05862530000002</v>
      </c>
      <c r="I70" s="135"/>
      <c r="J70" s="135"/>
      <c r="K70" s="135"/>
      <c r="L70" s="131">
        <f>L68+L69</f>
        <v>323.66651019999995</v>
      </c>
      <c r="M70" s="139"/>
      <c r="N70" s="131">
        <f t="shared" si="18"/>
        <v>5.6078848999999309</v>
      </c>
      <c r="O70" s="104">
        <f t="shared" si="19"/>
        <v>1.7631607678334296E-2</v>
      </c>
      <c r="Q70" s="139"/>
      <c r="R70" s="204"/>
      <c r="S70" s="139"/>
      <c r="T70" s="204"/>
      <c r="U70" s="139"/>
      <c r="V70" s="204"/>
      <c r="W70" s="139"/>
    </row>
    <row r="71" spans="2:23" s="85" customFormat="1" x14ac:dyDescent="0.25">
      <c r="B71" s="249" t="s">
        <v>137</v>
      </c>
      <c r="C71" s="21"/>
      <c r="D71" s="21"/>
      <c r="E71" s="79"/>
      <c r="F71" s="260">
        <v>-0.08</v>
      </c>
      <c r="G71" s="143"/>
      <c r="H71" s="134">
        <f>H68*F71</f>
        <v>-22.517424800000001</v>
      </c>
      <c r="I71" s="135"/>
      <c r="J71" s="261">
        <v>-0.08</v>
      </c>
      <c r="K71" s="135"/>
      <c r="L71" s="140">
        <f>L68*J71</f>
        <v>-22.914443199999997</v>
      </c>
      <c r="M71" s="139"/>
      <c r="N71" s="140">
        <f t="shared" si="18"/>
        <v>-0.39701839999999677</v>
      </c>
      <c r="O71" s="114">
        <f t="shared" si="19"/>
        <v>1.7631607678334368E-2</v>
      </c>
      <c r="Q71" s="139"/>
      <c r="R71" s="204"/>
      <c r="S71" s="139"/>
      <c r="T71" s="204"/>
      <c r="U71" s="139"/>
      <c r="V71" s="204"/>
      <c r="W71" s="139"/>
    </row>
    <row r="72" spans="2:23" s="85" customFormat="1" ht="13.8" thickBot="1" x14ac:dyDescent="0.3">
      <c r="B72" s="294" t="s">
        <v>138</v>
      </c>
      <c r="C72" s="294"/>
      <c r="D72" s="294"/>
      <c r="E72" s="79"/>
      <c r="F72" s="142"/>
      <c r="G72" s="143"/>
      <c r="H72" s="127">
        <f>SUM(H70:H71)</f>
        <v>295.5412005</v>
      </c>
      <c r="I72" s="135"/>
      <c r="J72" s="135"/>
      <c r="K72" s="135"/>
      <c r="L72" s="262">
        <f>SUM(L70:L71)</f>
        <v>300.75206699999995</v>
      </c>
      <c r="M72" s="139"/>
      <c r="N72" s="131">
        <f t="shared" si="18"/>
        <v>5.2108664999999519</v>
      </c>
      <c r="O72" s="104">
        <f t="shared" si="19"/>
        <v>1.7631607678334351E-2</v>
      </c>
      <c r="Q72" s="139"/>
      <c r="R72" s="204"/>
      <c r="S72" s="139"/>
      <c r="T72" s="204"/>
      <c r="U72" s="139"/>
      <c r="V72" s="204"/>
      <c r="W72" s="139"/>
    </row>
    <row r="73" spans="2:23" s="85" customFormat="1" ht="8.25" customHeight="1" thickBot="1" x14ac:dyDescent="0.3">
      <c r="B73" s="117"/>
      <c r="C73" s="118"/>
      <c r="D73" s="119"/>
      <c r="E73" s="118"/>
      <c r="F73" s="144"/>
      <c r="G73" s="145"/>
      <c r="H73" s="146"/>
      <c r="I73" s="147"/>
      <c r="J73" s="144"/>
      <c r="K73" s="120"/>
      <c r="L73" s="148"/>
      <c r="M73" s="121"/>
      <c r="N73" s="149"/>
      <c r="O73" s="95"/>
      <c r="Q73" s="143"/>
      <c r="R73" s="204"/>
      <c r="S73" s="143"/>
      <c r="T73" s="204"/>
      <c r="U73" s="143"/>
      <c r="V73" s="204"/>
      <c r="W73" s="143"/>
    </row>
    <row r="74" spans="2:23" x14ac:dyDescent="0.25">
      <c r="L74" s="150"/>
    </row>
    <row r="75" spans="2:23" x14ac:dyDescent="0.25">
      <c r="B75" s="12" t="s">
        <v>45</v>
      </c>
      <c r="F75" s="151">
        <f>'Proposed Rates'!D202</f>
        <v>3.3500000000000002E-2</v>
      </c>
      <c r="J75" s="151">
        <f>+'Res (100)'!J74</f>
        <v>3.3500000000000002E-2</v>
      </c>
    </row>
    <row r="78" spans="2:23" x14ac:dyDescent="0.25">
      <c r="B78" s="6" t="s">
        <v>41</v>
      </c>
      <c r="F78" s="150"/>
      <c r="H78" s="150">
        <f>+H62-H31-H40-H41-H42-H43</f>
        <v>279.59781000000004</v>
      </c>
      <c r="L78" s="150">
        <f>+L62-L31-L40-L41-L42-L43</f>
        <v>282.90054000000003</v>
      </c>
      <c r="N78" s="150">
        <f>L78-H78</f>
        <v>3.3027299999999968</v>
      </c>
      <c r="O78" s="286">
        <f>IF((H78)=0,"",(N78/H78))</f>
        <v>1.1812431578058485E-2</v>
      </c>
    </row>
    <row r="79" spans="2:23" x14ac:dyDescent="0.25">
      <c r="B79" s="6" t="s">
        <v>42</v>
      </c>
      <c r="F79" s="6">
        <v>0.13</v>
      </c>
      <c r="H79" s="150">
        <f>H78*F79</f>
        <v>36.347715300000004</v>
      </c>
      <c r="J79" s="6">
        <v>0.13</v>
      </c>
      <c r="L79" s="150">
        <f>L78*J79</f>
        <v>36.777070200000004</v>
      </c>
      <c r="N79" s="150">
        <f t="shared" ref="N79:N80" si="20">L79-H79</f>
        <v>0.42935489999999987</v>
      </c>
      <c r="O79" s="286">
        <f>IF((H79)=0,"",(N79/H79))</f>
        <v>1.1812431578058493E-2</v>
      </c>
    </row>
    <row r="80" spans="2:23" x14ac:dyDescent="0.25">
      <c r="B80" s="6" t="s">
        <v>143</v>
      </c>
      <c r="H80" s="150">
        <f>H78+H79</f>
        <v>315.94552530000004</v>
      </c>
      <c r="L80" s="150">
        <f>L78+L79</f>
        <v>319.67761020000006</v>
      </c>
      <c r="N80" s="150">
        <f t="shared" si="20"/>
        <v>3.732084900000018</v>
      </c>
      <c r="O80" s="286">
        <f>IF((H80)=0,"",(N80/H80))</f>
        <v>1.1812431578058552E-2</v>
      </c>
    </row>
    <row r="84" spans="1:23" ht="13.5" customHeight="1" x14ac:dyDescent="0.25">
      <c r="Q84" s="202"/>
      <c r="R84" s="202"/>
      <c r="S84" s="6"/>
      <c r="T84" s="6"/>
      <c r="U84" s="6"/>
      <c r="V84" s="6"/>
      <c r="W84" s="6"/>
    </row>
    <row r="85" spans="1:23" ht="12" customHeight="1" x14ac:dyDescent="0.25">
      <c r="A85" s="6" t="s">
        <v>46</v>
      </c>
      <c r="Q85" s="202"/>
      <c r="R85" s="202"/>
      <c r="S85" s="6"/>
      <c r="T85" s="6"/>
      <c r="U85" s="6"/>
      <c r="V85" s="6"/>
      <c r="W85" s="6"/>
    </row>
    <row r="86" spans="1:23" x14ac:dyDescent="0.25">
      <c r="A86" s="6" t="s">
        <v>47</v>
      </c>
      <c r="Q86" s="202"/>
      <c r="R86" s="202"/>
      <c r="S86" s="6"/>
      <c r="T86" s="6"/>
      <c r="U86" s="6"/>
      <c r="V86" s="6"/>
      <c r="W86" s="6"/>
    </row>
    <row r="87" spans="1:23" x14ac:dyDescent="0.25">
      <c r="Q87" s="202"/>
      <c r="R87" s="202"/>
      <c r="S87" s="6"/>
      <c r="T87" s="6"/>
      <c r="U87" s="6"/>
      <c r="V87" s="6"/>
      <c r="W87" s="6"/>
    </row>
    <row r="88" spans="1:23" x14ac:dyDescent="0.25">
      <c r="A88" s="153" t="s">
        <v>133</v>
      </c>
      <c r="Q88" s="202"/>
      <c r="R88" s="202"/>
      <c r="S88" s="6"/>
      <c r="T88" s="6"/>
      <c r="U88" s="6"/>
      <c r="V88" s="6"/>
      <c r="W88" s="6"/>
    </row>
    <row r="89" spans="1:23" x14ac:dyDescent="0.25">
      <c r="A89" s="11" t="s">
        <v>48</v>
      </c>
      <c r="Q89" s="202"/>
      <c r="R89" s="202"/>
      <c r="S89" s="6"/>
      <c r="T89" s="6"/>
      <c r="U89" s="6"/>
      <c r="V89" s="6"/>
      <c r="W89" s="6"/>
    </row>
    <row r="90" spans="1:23" x14ac:dyDescent="0.25">
      <c r="Q90" s="202"/>
      <c r="R90" s="202"/>
      <c r="S90" s="6"/>
      <c r="T90" s="6"/>
      <c r="U90" s="6"/>
      <c r="V90" s="6"/>
      <c r="W90" s="6"/>
    </row>
    <row r="91" spans="1:23" x14ac:dyDescent="0.25">
      <c r="A91" s="6" t="s">
        <v>132</v>
      </c>
      <c r="Q91" s="202"/>
      <c r="R91" s="202"/>
      <c r="S91" s="6"/>
      <c r="T91" s="6"/>
      <c r="U91" s="6"/>
      <c r="V91" s="6"/>
      <c r="W91" s="6"/>
    </row>
    <row r="92" spans="1:23" x14ac:dyDescent="0.25">
      <c r="A92" s="6" t="s">
        <v>49</v>
      </c>
      <c r="Q92" s="202"/>
      <c r="R92" s="202"/>
      <c r="S92" s="6"/>
      <c r="T92" s="6"/>
      <c r="U92" s="6"/>
      <c r="V92" s="6"/>
      <c r="W92" s="6"/>
    </row>
    <row r="93" spans="1:23" x14ac:dyDescent="0.25">
      <c r="A93" s="6" t="s">
        <v>50</v>
      </c>
      <c r="Q93" s="202"/>
      <c r="R93" s="202"/>
      <c r="S93" s="6"/>
      <c r="T93" s="6"/>
      <c r="U93" s="6"/>
      <c r="V93" s="6"/>
      <c r="W93" s="6"/>
    </row>
    <row r="94" spans="1:23" x14ac:dyDescent="0.25">
      <c r="A94" s="6" t="s">
        <v>51</v>
      </c>
      <c r="Q94" s="202"/>
      <c r="R94" s="202"/>
      <c r="S94" s="6"/>
      <c r="T94" s="6"/>
      <c r="U94" s="6"/>
      <c r="V94" s="6"/>
      <c r="W94" s="6"/>
    </row>
    <row r="95" spans="1:23" x14ac:dyDescent="0.25">
      <c r="A95" s="6" t="s">
        <v>52</v>
      </c>
      <c r="Q95" s="202"/>
      <c r="R95" s="202"/>
      <c r="S95" s="6"/>
      <c r="T95" s="6"/>
      <c r="U95" s="6"/>
      <c r="V95" s="6"/>
      <c r="W95" s="6"/>
    </row>
    <row r="96" spans="1:23" x14ac:dyDescent="0.25">
      <c r="Q96" s="202"/>
      <c r="R96" s="202"/>
      <c r="S96" s="6"/>
      <c r="T96" s="6"/>
      <c r="U96" s="6"/>
      <c r="V96" s="6"/>
      <c r="W96" s="6"/>
    </row>
    <row r="97" spans="1:23" x14ac:dyDescent="0.25">
      <c r="A97" s="152"/>
      <c r="B97" s="6" t="s">
        <v>53</v>
      </c>
      <c r="Q97" s="202"/>
      <c r="R97" s="202"/>
      <c r="S97" s="6"/>
      <c r="T97" s="6"/>
      <c r="U97" s="6"/>
      <c r="V97" s="6"/>
      <c r="W97" s="6"/>
    </row>
    <row r="98" spans="1:23" x14ac:dyDescent="0.25">
      <c r="Q98" s="202"/>
      <c r="R98" s="202"/>
      <c r="S98" s="6"/>
      <c r="T98" s="6"/>
      <c r="U98" s="6"/>
      <c r="V98" s="6"/>
      <c r="W98" s="6"/>
    </row>
    <row r="99" spans="1:23" x14ac:dyDescent="0.25">
      <c r="B99" s="153" t="s">
        <v>54</v>
      </c>
      <c r="Q99" s="202"/>
      <c r="R99" s="202"/>
      <c r="S99" s="6"/>
      <c r="T99" s="6"/>
      <c r="U99" s="6"/>
      <c r="V99" s="6"/>
      <c r="W99" s="6"/>
    </row>
  </sheetData>
  <sheetProtection selectLockedCells="1"/>
  <mergeCells count="10">
    <mergeCell ref="B66:D66"/>
    <mergeCell ref="B72:D72"/>
    <mergeCell ref="A3:K3"/>
    <mergeCell ref="D14:O14"/>
    <mergeCell ref="F20:H20"/>
    <mergeCell ref="J20:L20"/>
    <mergeCell ref="N20:O20"/>
    <mergeCell ref="D21:D22"/>
    <mergeCell ref="N21:N22"/>
    <mergeCell ref="O21:O22"/>
  </mergeCells>
  <dataValidations count="3">
    <dataValidation type="list" allowBlank="1" showInputMessage="1" showErrorMessage="1" sqref="E48:E49 E73 E67 E51:E61 E23:E38 E40:E46">
      <formula1>#REF!</formula1>
    </dataValidation>
    <dataValidation type="list" allowBlank="1" showInputMessage="1" showErrorMessage="1" prompt="Select Charge Unit - monthly, per kWh, per kW" sqref="D73 D67 D23:D38 D51:D61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Option Button 1">
              <controlPr defaultSize="0" autoFill="0" autoLine="0" autoPict="0">
                <anchor moveWithCells="1">
                  <from>
                    <xdr:col>3</xdr:col>
                    <xdr:colOff>624840</xdr:colOff>
                    <xdr:row>9</xdr:row>
                    <xdr:rowOff>198120</xdr:rowOff>
                  </from>
                  <to>
                    <xdr:col>5</xdr:col>
                    <xdr:colOff>800100</xdr:colOff>
                    <xdr:row>10</xdr:row>
                    <xdr:rowOff>91440</xdr:rowOff>
                  </to>
                </anchor>
              </controlPr>
            </control>
          </mc:Choice>
        </mc:AlternateContent>
        <mc:AlternateContent xmlns:mc="http://schemas.openxmlformats.org/markup-compatibility/2006">
          <mc:Choice Requires="x14">
            <control shapeId="130050" r:id="rId5" name="Option Button 2">
              <controlPr defaultSize="0" autoFill="0" autoLine="0" autoPict="0">
                <anchor moveWithCells="1">
                  <from>
                    <xdr:col>5</xdr:col>
                    <xdr:colOff>472440</xdr:colOff>
                    <xdr:row>9</xdr:row>
                    <xdr:rowOff>167640</xdr:rowOff>
                  </from>
                  <to>
                    <xdr:col>9</xdr:col>
                    <xdr:colOff>533400</xdr:colOff>
                    <xdr:row>10</xdr:row>
                    <xdr:rowOff>160020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92"/>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44140625" style="6" customWidth="1"/>
    <col min="7" max="7" width="7.44140625" style="6" bestFit="1" customWidth="1"/>
    <col min="8" max="8" width="8.88671875" style="6" bestFit="1" customWidth="1"/>
    <col min="9" max="9" width="2.88671875" style="6" customWidth="1"/>
    <col min="10" max="10" width="9.88671875" style="6" bestFit="1" customWidth="1"/>
    <col min="11" max="11" width="7.44140625" style="6" bestFit="1" customWidth="1"/>
    <col min="12" max="12" width="8.8867187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8"/>
      <c r="D10" s="168"/>
      <c r="E10" s="168"/>
      <c r="F10" s="166" t="s">
        <v>134</v>
      </c>
      <c r="G10" s="168"/>
      <c r="H10" s="168"/>
      <c r="I10" s="168"/>
      <c r="J10" s="168"/>
      <c r="K10" s="168"/>
      <c r="L10" s="168"/>
      <c r="M10" s="168"/>
      <c r="N10" s="168"/>
      <c r="O10" s="168"/>
      <c r="P10"/>
    </row>
    <row r="11" spans="1:23" ht="18.75" customHeight="1" x14ac:dyDescent="0.3">
      <c r="C11" s="168"/>
      <c r="D11" s="168"/>
      <c r="E11" s="168"/>
      <c r="F11" s="168" t="s">
        <v>0</v>
      </c>
      <c r="G11" s="168"/>
      <c r="H11" s="168"/>
      <c r="I11" s="168"/>
      <c r="J11" s="168"/>
      <c r="K11" s="168"/>
      <c r="L11" s="168"/>
      <c r="M11" s="168"/>
      <c r="N11" s="168"/>
      <c r="O11" s="168"/>
      <c r="P11"/>
    </row>
    <row r="12" spans="1:23" ht="7.5" customHeight="1" x14ac:dyDescent="0.25">
      <c r="L12"/>
      <c r="M12"/>
      <c r="N12"/>
      <c r="O12"/>
      <c r="P12"/>
    </row>
    <row r="13" spans="1:23" ht="7.5" customHeight="1" x14ac:dyDescent="0.25">
      <c r="L13"/>
      <c r="M13"/>
      <c r="N13"/>
      <c r="O13"/>
      <c r="P13"/>
    </row>
    <row r="14" spans="1:23" ht="15.6" x14ac:dyDescent="0.25">
      <c r="B14" s="7" t="s">
        <v>1</v>
      </c>
      <c r="D14" s="302" t="s">
        <v>55</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5000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Rates'!D8</f>
        <v>17.89</v>
      </c>
      <c r="G23" s="25">
        <v>1</v>
      </c>
      <c r="H23" s="26">
        <f>G23*F23</f>
        <v>17.89</v>
      </c>
      <c r="I23" s="27"/>
      <c r="J23" s="28">
        <f>+'Proposed Rates'!E8</f>
        <v>18.600000000000001</v>
      </c>
      <c r="K23" s="29">
        <v>1</v>
      </c>
      <c r="L23" s="26">
        <f>K23*J23</f>
        <v>18.600000000000001</v>
      </c>
      <c r="M23" s="27"/>
      <c r="N23" s="30">
        <f>L23-H23</f>
        <v>0.71000000000000085</v>
      </c>
      <c r="O23" s="31">
        <f>IF((H23)=0,"",(N23/H23))</f>
        <v>3.9686975964225872E-2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Rates'!D21</f>
        <v>2.2700000000000001E-2</v>
      </c>
      <c r="G29" s="25">
        <f>$F$18</f>
        <v>5000</v>
      </c>
      <c r="H29" s="26">
        <f t="shared" si="0"/>
        <v>113.50000000000001</v>
      </c>
      <c r="I29" s="27"/>
      <c r="J29" s="28">
        <f>+'Proposed Rates'!E21</f>
        <v>2.3800000000000002E-2</v>
      </c>
      <c r="K29" s="25">
        <f>$F$18</f>
        <v>5000</v>
      </c>
      <c r="L29" s="26">
        <f t="shared" si="1"/>
        <v>119.00000000000001</v>
      </c>
      <c r="M29" s="27"/>
      <c r="N29" s="30">
        <f t="shared" si="2"/>
        <v>5.5</v>
      </c>
      <c r="O29" s="31">
        <f t="shared" si="3"/>
        <v>4.8458149779735678E-2</v>
      </c>
      <c r="Q29" s="107"/>
      <c r="S29" s="107"/>
      <c r="U29" s="107"/>
      <c r="W29" s="107"/>
    </row>
    <row r="30" spans="2:23" x14ac:dyDescent="0.25">
      <c r="B30" s="21" t="s">
        <v>21</v>
      </c>
      <c r="C30" s="21"/>
      <c r="D30" s="22"/>
      <c r="E30" s="23"/>
      <c r="F30" s="24"/>
      <c r="G30" s="25">
        <f t="shared" ref="G30" si="4">$F$18</f>
        <v>5000</v>
      </c>
      <c r="H30" s="26">
        <f t="shared" si="0"/>
        <v>0</v>
      </c>
      <c r="I30" s="27"/>
      <c r="J30" s="28"/>
      <c r="K30" s="25">
        <f t="shared" ref="K30:K38" si="5">$F$18</f>
        <v>5000</v>
      </c>
      <c r="L30" s="26">
        <f t="shared" si="1"/>
        <v>0</v>
      </c>
      <c r="M30" s="27"/>
      <c r="N30" s="30">
        <f t="shared" si="2"/>
        <v>0</v>
      </c>
      <c r="O30" s="31" t="str">
        <f t="shared" si="3"/>
        <v/>
      </c>
      <c r="Q30" s="107"/>
      <c r="S30" s="107"/>
      <c r="U30" s="107"/>
      <c r="W30" s="107"/>
    </row>
    <row r="31" spans="2:23" x14ac:dyDescent="0.25">
      <c r="B31" s="21" t="s">
        <v>22</v>
      </c>
      <c r="C31" s="21"/>
      <c r="D31" s="22" t="s">
        <v>20</v>
      </c>
      <c r="E31" s="23"/>
      <c r="F31" s="50">
        <f>'Proposed Rates'!D68</f>
        <v>0</v>
      </c>
      <c r="G31" s="25">
        <f>$F$18</f>
        <v>5000</v>
      </c>
      <c r="H31" s="26">
        <f t="shared" si="0"/>
        <v>0</v>
      </c>
      <c r="I31" s="27"/>
      <c r="J31" s="52">
        <f>+'Proposed Rates'!E68</f>
        <v>0</v>
      </c>
      <c r="K31" s="25">
        <f t="shared" si="5"/>
        <v>5000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5000</v>
      </c>
      <c r="H32" s="26">
        <f t="shared" si="0"/>
        <v>0</v>
      </c>
      <c r="I32" s="27"/>
      <c r="J32" s="28"/>
      <c r="K32" s="25">
        <f t="shared" si="5"/>
        <v>5000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5000</v>
      </c>
      <c r="H33" s="26">
        <f t="shared" si="0"/>
        <v>0</v>
      </c>
      <c r="I33" s="27"/>
      <c r="J33" s="28"/>
      <c r="K33" s="25">
        <f t="shared" si="5"/>
        <v>5000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5000</v>
      </c>
      <c r="H34" s="26">
        <f t="shared" si="0"/>
        <v>0</v>
      </c>
      <c r="I34" s="27"/>
      <c r="J34" s="28"/>
      <c r="K34" s="25">
        <f t="shared" si="5"/>
        <v>5000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5000</v>
      </c>
      <c r="H35" s="26">
        <f t="shared" si="0"/>
        <v>0</v>
      </c>
      <c r="I35" s="27"/>
      <c r="J35" s="28"/>
      <c r="K35" s="25">
        <f t="shared" si="5"/>
        <v>5000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5000</v>
      </c>
      <c r="H36" s="26">
        <f t="shared" si="0"/>
        <v>0</v>
      </c>
      <c r="I36" s="27"/>
      <c r="J36" s="28"/>
      <c r="K36" s="25">
        <f t="shared" si="5"/>
        <v>5000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5000</v>
      </c>
      <c r="H37" s="26">
        <f t="shared" si="0"/>
        <v>0</v>
      </c>
      <c r="I37" s="27"/>
      <c r="J37" s="28"/>
      <c r="K37" s="25">
        <f t="shared" si="5"/>
        <v>5000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5000</v>
      </c>
      <c r="H38" s="26">
        <f t="shared" si="0"/>
        <v>0</v>
      </c>
      <c r="I38" s="27"/>
      <c r="J38" s="28"/>
      <c r="K38" s="25">
        <f t="shared" si="5"/>
        <v>5000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131.39000000000001</v>
      </c>
      <c r="I39" s="40"/>
      <c r="J39" s="41"/>
      <c r="K39" s="42"/>
      <c r="L39" s="39">
        <f>SUM(L23:L38)</f>
        <v>137.60000000000002</v>
      </c>
      <c r="M39" s="40"/>
      <c r="N39" s="43">
        <f t="shared" si="2"/>
        <v>6.210000000000008</v>
      </c>
      <c r="O39" s="44">
        <f t="shared" si="3"/>
        <v>4.726387091863922E-2</v>
      </c>
      <c r="Q39" s="107"/>
      <c r="R39" s="203"/>
      <c r="S39" s="107"/>
      <c r="T39" s="203"/>
      <c r="U39" s="107"/>
      <c r="V39" s="203"/>
      <c r="W39" s="107"/>
    </row>
    <row r="40" spans="2:23" ht="26.4" x14ac:dyDescent="0.25">
      <c r="B40" s="46" t="str">
        <f>+'Res (100)'!B40</f>
        <v>Deferral/Variance Account Disposition Rate Rider Group 1</v>
      </c>
      <c r="C40" s="21"/>
      <c r="D40" s="22" t="s">
        <v>20</v>
      </c>
      <c r="E40" s="23"/>
      <c r="F40" s="50">
        <f>'Proposed Rates'!D39</f>
        <v>0</v>
      </c>
      <c r="G40" s="25">
        <f>$F$18</f>
        <v>5000</v>
      </c>
      <c r="H40" s="26">
        <f>G40*F40</f>
        <v>0</v>
      </c>
      <c r="I40" s="27"/>
      <c r="J40" s="28">
        <f>+'Proposed Rates'!E39</f>
        <v>-4.0000000000000002E-4</v>
      </c>
      <c r="K40" s="25">
        <f>$F$18</f>
        <v>5000</v>
      </c>
      <c r="L40" s="26">
        <f>K40*J40</f>
        <v>-2</v>
      </c>
      <c r="M40" s="27"/>
      <c r="N40" s="30">
        <f>L40-H40</f>
        <v>-2</v>
      </c>
      <c r="O40" s="31" t="str">
        <f>IF((H40)=0,"",(N40/H40))</f>
        <v/>
      </c>
      <c r="Q40" s="107"/>
      <c r="S40" s="107"/>
      <c r="U40" s="107"/>
      <c r="W40" s="107"/>
    </row>
    <row r="41" spans="2:23" ht="26.4" x14ac:dyDescent="0.25">
      <c r="B41" s="46" t="str">
        <f>+'Res (100)'!B41</f>
        <v>Deferral/Variance Account Disposition Rate Rider Group 2</v>
      </c>
      <c r="C41" s="21"/>
      <c r="D41" s="22" t="s">
        <v>20</v>
      </c>
      <c r="E41" s="23"/>
      <c r="F41" s="50">
        <f>'Proposed Rates'!D53</f>
        <v>0</v>
      </c>
      <c r="G41" s="25">
        <f t="shared" ref="G41:G43" si="7">$F$18</f>
        <v>5000</v>
      </c>
      <c r="H41" s="26">
        <f t="shared" ref="H41:H45" si="8">G41*F41</f>
        <v>0</v>
      </c>
      <c r="I41" s="47"/>
      <c r="J41" s="28">
        <f>+'Proposed Rates'!E53</f>
        <v>0</v>
      </c>
      <c r="K41" s="25">
        <f t="shared" ref="K41:K43" si="9">$F$18</f>
        <v>5000</v>
      </c>
      <c r="L41" s="26">
        <f t="shared" ref="L41:L45" si="10">K41*J41</f>
        <v>0</v>
      </c>
      <c r="M41" s="48"/>
      <c r="N41" s="30">
        <f t="shared" ref="N41:N45" si="11">L41-H41</f>
        <v>0</v>
      </c>
      <c r="O41" s="31" t="str">
        <f t="shared" ref="O41:O66" si="12">IF((H41)=0,"",(N41/H41))</f>
        <v/>
      </c>
      <c r="Q41" s="107"/>
      <c r="S41" s="107"/>
      <c r="U41" s="107"/>
      <c r="W41" s="107"/>
    </row>
    <row r="42" spans="2:23" ht="39.6" x14ac:dyDescent="0.25">
      <c r="B42" s="46" t="str">
        <f>+'Res (100)'!B42</f>
        <v>Deferral / Variance Accounts Balances (excluding Global Adj.) - NON-WMP</v>
      </c>
      <c r="C42" s="21"/>
      <c r="D42" s="22" t="s">
        <v>20</v>
      </c>
      <c r="E42" s="23"/>
      <c r="F42" s="24">
        <f>'Proposed Rates'!D98</f>
        <v>-2.3E-3</v>
      </c>
      <c r="G42" s="25">
        <f t="shared" si="7"/>
        <v>5000</v>
      </c>
      <c r="H42" s="26">
        <f t="shared" si="8"/>
        <v>-11.5</v>
      </c>
      <c r="I42" s="47"/>
      <c r="J42" s="28">
        <f>+'Proposed Rates'!E98</f>
        <v>-8.0000000000000004E-4</v>
      </c>
      <c r="K42" s="25">
        <f t="shared" si="9"/>
        <v>5000</v>
      </c>
      <c r="L42" s="26">
        <f t="shared" si="10"/>
        <v>-4</v>
      </c>
      <c r="M42" s="48"/>
      <c r="N42" s="30">
        <f t="shared" si="11"/>
        <v>7.5</v>
      </c>
      <c r="O42" s="31">
        <f t="shared" si="12"/>
        <v>-0.65217391304347827</v>
      </c>
      <c r="Q42" s="107"/>
      <c r="S42" s="107"/>
      <c r="U42" s="107"/>
      <c r="W42" s="107"/>
    </row>
    <row r="43" spans="2:23" ht="39.6" x14ac:dyDescent="0.25">
      <c r="B43" s="46" t="s">
        <v>125</v>
      </c>
      <c r="C43" s="21"/>
      <c r="D43" s="22" t="s">
        <v>20</v>
      </c>
      <c r="E43" s="23"/>
      <c r="F43" s="24">
        <f>+'Proposed Rates'!D112</f>
        <v>2.7E-4</v>
      </c>
      <c r="G43" s="25">
        <f t="shared" si="7"/>
        <v>5000</v>
      </c>
      <c r="H43" s="26">
        <f t="shared" si="8"/>
        <v>1.35</v>
      </c>
      <c r="I43" s="47"/>
      <c r="J43" s="223">
        <f>+'Proposed Rates'!E112</f>
        <v>0</v>
      </c>
      <c r="K43" s="25">
        <f t="shared" si="9"/>
        <v>5000</v>
      </c>
      <c r="L43" s="26">
        <f t="shared" si="10"/>
        <v>0</v>
      </c>
      <c r="M43" s="48"/>
      <c r="N43" s="30">
        <f t="shared" si="11"/>
        <v>-1.35</v>
      </c>
      <c r="O43" s="31">
        <f t="shared" si="12"/>
        <v>-1</v>
      </c>
      <c r="Q43" s="107"/>
      <c r="S43" s="107"/>
      <c r="U43" s="107"/>
      <c r="W43" s="107"/>
    </row>
    <row r="44" spans="2:23" x14ac:dyDescent="0.25">
      <c r="B44" s="49" t="s">
        <v>25</v>
      </c>
      <c r="C44" s="21"/>
      <c r="D44" s="22" t="s">
        <v>20</v>
      </c>
      <c r="E44" s="23"/>
      <c r="F44" s="50">
        <f>'Proposed Rates'!D127</f>
        <v>6.9999999999999994E-5</v>
      </c>
      <c r="G44" s="51">
        <f>$F$18*(1+F75)</f>
        <v>5167.5</v>
      </c>
      <c r="H44" s="26">
        <f>G44*F44</f>
        <v>0.36172499999999996</v>
      </c>
      <c r="I44" s="27"/>
      <c r="J44" s="52">
        <f>'Proposed Rates'!E127</f>
        <v>6.0000000000000002E-5</v>
      </c>
      <c r="K44" s="51">
        <f>$F$18*(1+J75)</f>
        <v>5167.5</v>
      </c>
      <c r="L44" s="26">
        <f>K44*J44</f>
        <v>0.31004999999999999</v>
      </c>
      <c r="M44" s="27"/>
      <c r="N44" s="30">
        <f>L44-H44</f>
        <v>-5.1674999999999971E-2</v>
      </c>
      <c r="O44" s="31">
        <f>IF((H44)=0,"",(N44/H44))</f>
        <v>-0.14285714285714279</v>
      </c>
      <c r="Q44" s="107"/>
      <c r="S44" s="107"/>
      <c r="U44" s="107"/>
      <c r="W44" s="107"/>
    </row>
    <row r="45" spans="2:23" x14ac:dyDescent="0.25">
      <c r="B45" s="49" t="s">
        <v>26</v>
      </c>
      <c r="C45" s="21"/>
      <c r="D45" s="22"/>
      <c r="E45" s="23"/>
      <c r="F45" s="53">
        <f>IF(ISBLANK(D16)=TRUE, 0, IF(D16="TOU", 0.65*$F$56+0.17*$F$57+0.18*$F$58, IF(AND(D16="non-TOU", G60&gt;0), F60,F59)))</f>
        <v>8.2160000000000011E-2</v>
      </c>
      <c r="G45" s="54">
        <f>$F$18*(1+$F$75)-$F$18</f>
        <v>167.5</v>
      </c>
      <c r="H45" s="26">
        <f t="shared" si="8"/>
        <v>13.761800000000001</v>
      </c>
      <c r="I45" s="27"/>
      <c r="J45" s="55">
        <f>0.65*$J$56+0.17*$J$57+0.18*$J$58</f>
        <v>8.2160000000000011E-2</v>
      </c>
      <c r="K45" s="54">
        <f>$F$18*(1+$J$75)-$F$18</f>
        <v>167.5</v>
      </c>
      <c r="L45" s="26">
        <f t="shared" si="10"/>
        <v>13.761800000000001</v>
      </c>
      <c r="M45" s="27"/>
      <c r="N45" s="30">
        <f t="shared" si="11"/>
        <v>0</v>
      </c>
      <c r="O45" s="31">
        <f t="shared" si="12"/>
        <v>0</v>
      </c>
      <c r="Q45" s="107"/>
      <c r="S45" s="107"/>
      <c r="U45" s="107"/>
      <c r="W45" s="107"/>
    </row>
    <row r="46" spans="2:23" x14ac:dyDescent="0.25">
      <c r="B46" s="49" t="s">
        <v>27</v>
      </c>
      <c r="C46" s="21"/>
      <c r="D46" s="22" t="s">
        <v>17</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3" ht="26.4" x14ac:dyDescent="0.25">
      <c r="B47" s="56" t="s">
        <v>28</v>
      </c>
      <c r="C47" s="57"/>
      <c r="D47" s="57"/>
      <c r="E47" s="57"/>
      <c r="F47" s="58"/>
      <c r="G47" s="59"/>
      <c r="H47" s="60">
        <f>SUM(H40:H46)+H39</f>
        <v>136.153525</v>
      </c>
      <c r="I47" s="40"/>
      <c r="J47" s="59"/>
      <c r="K47" s="61"/>
      <c r="L47" s="60">
        <f>SUM(L40:L46)+L39</f>
        <v>146.46185000000003</v>
      </c>
      <c r="M47" s="40"/>
      <c r="N47" s="43">
        <f t="shared" ref="N47:N66" si="13">L47-H47</f>
        <v>10.308325000000025</v>
      </c>
      <c r="O47" s="44">
        <f t="shared" si="12"/>
        <v>7.5711040165871754E-2</v>
      </c>
      <c r="Q47" s="107"/>
      <c r="S47" s="107"/>
      <c r="U47" s="107"/>
      <c r="W47" s="107"/>
    </row>
    <row r="48" spans="2:23" x14ac:dyDescent="0.25">
      <c r="B48" s="27" t="s">
        <v>29</v>
      </c>
      <c r="C48" s="27"/>
      <c r="D48" s="62" t="s">
        <v>20</v>
      </c>
      <c r="E48" s="63"/>
      <c r="F48" s="28">
        <f>'Proposed Rates'!D157</f>
        <v>6.7999999999999996E-3</v>
      </c>
      <c r="G48" s="64">
        <f>$F$18*(1+F75)</f>
        <v>5167.5</v>
      </c>
      <c r="H48" s="26">
        <f>G48*F48</f>
        <v>35.138999999999996</v>
      </c>
      <c r="I48" s="27"/>
      <c r="J48" s="28">
        <f>'Proposed Rates'!E157</f>
        <v>6.8999999999999999E-3</v>
      </c>
      <c r="K48" s="65">
        <f>F18*(1+J75)</f>
        <v>5167.5</v>
      </c>
      <c r="L48" s="26">
        <f>K48*J48</f>
        <v>35.655749999999998</v>
      </c>
      <c r="M48" s="27"/>
      <c r="N48" s="30">
        <f t="shared" si="13"/>
        <v>0.51675000000000182</v>
      </c>
      <c r="O48" s="31">
        <f t="shared" si="12"/>
        <v>1.470588235294123E-2</v>
      </c>
      <c r="Q48" s="107"/>
      <c r="S48" s="107"/>
      <c r="U48" s="107"/>
      <c r="W48" s="107"/>
    </row>
    <row r="49" spans="2:23" ht="26.4" x14ac:dyDescent="0.25">
      <c r="B49" s="66" t="s">
        <v>30</v>
      </c>
      <c r="C49" s="27"/>
      <c r="D49" s="62" t="s">
        <v>20</v>
      </c>
      <c r="E49" s="63"/>
      <c r="F49" s="28">
        <f>'Proposed Rates'!D172</f>
        <v>4.4999999999999997E-3</v>
      </c>
      <c r="G49" s="64">
        <f>G48</f>
        <v>5167.5</v>
      </c>
      <c r="H49" s="26">
        <f>G49*F49</f>
        <v>23.253749999999997</v>
      </c>
      <c r="I49" s="27"/>
      <c r="J49" s="28">
        <f>'Proposed Rates'!E172</f>
        <v>4.5999999999999999E-3</v>
      </c>
      <c r="K49" s="65">
        <f>K48</f>
        <v>5167.5</v>
      </c>
      <c r="L49" s="26">
        <f>K49*J49</f>
        <v>23.770499999999998</v>
      </c>
      <c r="M49" s="27"/>
      <c r="N49" s="30">
        <f t="shared" si="13"/>
        <v>0.51675000000000182</v>
      </c>
      <c r="O49" s="31">
        <f t="shared" si="12"/>
        <v>2.2222222222222303E-2</v>
      </c>
      <c r="Q49" s="107"/>
      <c r="S49" s="107"/>
      <c r="U49" s="107"/>
      <c r="W49" s="107"/>
    </row>
    <row r="50" spans="2:23" ht="26.4" x14ac:dyDescent="0.25">
      <c r="B50" s="56" t="s">
        <v>31</v>
      </c>
      <c r="C50" s="35"/>
      <c r="D50" s="35"/>
      <c r="E50" s="35"/>
      <c r="F50" s="67"/>
      <c r="G50" s="59"/>
      <c r="H50" s="60">
        <f>SUM(H47:H49)</f>
        <v>194.54627500000001</v>
      </c>
      <c r="I50" s="68"/>
      <c r="J50" s="69"/>
      <c r="K50" s="70"/>
      <c r="L50" s="60">
        <f>SUM(L47:L49)</f>
        <v>205.88810000000004</v>
      </c>
      <c r="M50" s="68"/>
      <c r="N50" s="43">
        <f t="shared" si="13"/>
        <v>11.341825000000028</v>
      </c>
      <c r="O50" s="44">
        <f t="shared" si="12"/>
        <v>5.8298854604129674E-2</v>
      </c>
      <c r="Q50" s="102"/>
      <c r="S50" s="102"/>
      <c r="U50" s="102"/>
      <c r="W50" s="102"/>
    </row>
    <row r="51" spans="2:23" ht="26.4" x14ac:dyDescent="0.25">
      <c r="B51" s="71" t="s">
        <v>32</v>
      </c>
      <c r="C51" s="21"/>
      <c r="D51" s="22" t="s">
        <v>20</v>
      </c>
      <c r="E51" s="23"/>
      <c r="F51" s="72">
        <f>'Proposed Rates'!D186</f>
        <v>3.5999999999999999E-3</v>
      </c>
      <c r="G51" s="64">
        <f>G49</f>
        <v>5167.5</v>
      </c>
      <c r="H51" s="73">
        <f t="shared" ref="H51:H58" si="14">G51*F51</f>
        <v>18.602999999999998</v>
      </c>
      <c r="I51" s="27"/>
      <c r="J51" s="72">
        <f>F51</f>
        <v>3.5999999999999999E-3</v>
      </c>
      <c r="K51" s="65">
        <f>K49</f>
        <v>5167.5</v>
      </c>
      <c r="L51" s="73">
        <f t="shared" ref="L51:L58" si="15">K51*J51</f>
        <v>18.602999999999998</v>
      </c>
      <c r="M51" s="27"/>
      <c r="N51" s="30">
        <f t="shared" si="13"/>
        <v>0</v>
      </c>
      <c r="O51" s="74">
        <f t="shared" si="12"/>
        <v>0</v>
      </c>
      <c r="Q51" s="107"/>
      <c r="S51" s="107"/>
      <c r="U51" s="107"/>
      <c r="W51" s="107"/>
    </row>
    <row r="52" spans="2:23" ht="26.4" x14ac:dyDescent="0.25">
      <c r="B52" s="71" t="s">
        <v>33</v>
      </c>
      <c r="C52" s="21"/>
      <c r="D52" s="22" t="s">
        <v>20</v>
      </c>
      <c r="E52" s="23"/>
      <c r="F52" s="72">
        <f>'Proposed Rates'!D191</f>
        <v>2.9999999999999997E-4</v>
      </c>
      <c r="G52" s="64">
        <f>G49</f>
        <v>5167.5</v>
      </c>
      <c r="H52" s="73">
        <f t="shared" si="14"/>
        <v>1.5502499999999999</v>
      </c>
      <c r="I52" s="27"/>
      <c r="J52" s="72">
        <f>F52</f>
        <v>2.9999999999999997E-4</v>
      </c>
      <c r="K52" s="65">
        <f>K49</f>
        <v>5167.5</v>
      </c>
      <c r="L52" s="73">
        <f t="shared" si="15"/>
        <v>1.5502499999999999</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5">
      <c r="B54" s="21" t="s">
        <v>120</v>
      </c>
      <c r="C54" s="21"/>
      <c r="D54" s="22"/>
      <c r="E54" s="23"/>
      <c r="F54" s="72">
        <f>'Proposed Rates'!D221</f>
        <v>0</v>
      </c>
      <c r="G54" s="75">
        <f>$F$18*(1+F75)</f>
        <v>5167.5</v>
      </c>
      <c r="H54" s="73">
        <f>G54*F54</f>
        <v>0</v>
      </c>
      <c r="I54" s="27"/>
      <c r="J54" s="72">
        <f>F54</f>
        <v>0</v>
      </c>
      <c r="K54" s="75">
        <f>$F$18*(1+J75)</f>
        <v>5167.5</v>
      </c>
      <c r="L54" s="73">
        <f>K54*J54</f>
        <v>0</v>
      </c>
      <c r="M54" s="27"/>
      <c r="N54" s="30"/>
      <c r="O54" s="74"/>
      <c r="Q54" s="107"/>
      <c r="S54" s="107"/>
      <c r="U54" s="107"/>
      <c r="W54" s="107"/>
    </row>
    <row r="55" spans="2:23" x14ac:dyDescent="0.25">
      <c r="B55" s="21" t="s">
        <v>35</v>
      </c>
      <c r="C55" s="21"/>
      <c r="D55" s="22"/>
      <c r="E55" s="23"/>
      <c r="F55" s="72">
        <f>'Proposed Rates'!D216</f>
        <v>6.94E-3</v>
      </c>
      <c r="G55" s="75">
        <f>$F$18</f>
        <v>5000</v>
      </c>
      <c r="H55" s="73">
        <f t="shared" si="14"/>
        <v>34.700000000000003</v>
      </c>
      <c r="I55" s="27"/>
      <c r="J55" s="72">
        <f>+F55</f>
        <v>6.94E-3</v>
      </c>
      <c r="K55" s="76">
        <f>$F$18</f>
        <v>5000</v>
      </c>
      <c r="L55" s="73">
        <f t="shared" si="15"/>
        <v>34.700000000000003</v>
      </c>
      <c r="M55" s="27"/>
      <c r="N55" s="30">
        <f t="shared" si="13"/>
        <v>0</v>
      </c>
      <c r="O55" s="74">
        <f t="shared" si="12"/>
        <v>0</v>
      </c>
      <c r="Q55" s="107"/>
      <c r="S55" s="107"/>
      <c r="U55" s="107"/>
      <c r="W55" s="107"/>
    </row>
    <row r="56" spans="2:23" x14ac:dyDescent="0.25">
      <c r="B56" s="49" t="s">
        <v>36</v>
      </c>
      <c r="C56" s="21"/>
      <c r="D56" s="22"/>
      <c r="E56" s="23"/>
      <c r="F56" s="72">
        <f>'Proposed Rates'!D226</f>
        <v>6.5000000000000002E-2</v>
      </c>
      <c r="G56" s="77">
        <f>0.65*$F$18</f>
        <v>3250</v>
      </c>
      <c r="H56" s="73">
        <f t="shared" si="14"/>
        <v>211.25</v>
      </c>
      <c r="I56" s="27"/>
      <c r="J56" s="72">
        <f>F56</f>
        <v>6.5000000000000002E-2</v>
      </c>
      <c r="K56" s="77">
        <f>$G$56</f>
        <v>3250</v>
      </c>
      <c r="L56" s="73">
        <f t="shared" si="15"/>
        <v>211.25</v>
      </c>
      <c r="M56" s="27"/>
      <c r="N56" s="30">
        <f t="shared" si="13"/>
        <v>0</v>
      </c>
      <c r="O56" s="74">
        <f t="shared" si="12"/>
        <v>0</v>
      </c>
      <c r="Q56" s="107"/>
      <c r="S56" s="107"/>
      <c r="U56" s="107"/>
      <c r="W56" s="107"/>
    </row>
    <row r="57" spans="2:23" x14ac:dyDescent="0.25">
      <c r="B57" s="49" t="s">
        <v>37</v>
      </c>
      <c r="C57" s="21"/>
      <c r="D57" s="22"/>
      <c r="E57" s="23"/>
      <c r="F57" s="72">
        <f>'Proposed Rates'!D227</f>
        <v>9.5000000000000001E-2</v>
      </c>
      <c r="G57" s="77">
        <f>0.17*$F$18</f>
        <v>850.00000000000011</v>
      </c>
      <c r="H57" s="73">
        <f t="shared" si="14"/>
        <v>80.750000000000014</v>
      </c>
      <c r="I57" s="27"/>
      <c r="J57" s="72">
        <f>F57</f>
        <v>9.5000000000000001E-2</v>
      </c>
      <c r="K57" s="77">
        <f>$G$57</f>
        <v>850.00000000000011</v>
      </c>
      <c r="L57" s="73">
        <f t="shared" si="15"/>
        <v>80.750000000000014</v>
      </c>
      <c r="M57" s="27"/>
      <c r="N57" s="30">
        <f t="shared" si="13"/>
        <v>0</v>
      </c>
      <c r="O57" s="74">
        <f t="shared" si="12"/>
        <v>0</v>
      </c>
      <c r="Q57" s="107"/>
      <c r="S57" s="107"/>
      <c r="U57" s="107"/>
      <c r="W57" s="107"/>
    </row>
    <row r="58" spans="2:23" x14ac:dyDescent="0.25">
      <c r="B58" s="11" t="s">
        <v>38</v>
      </c>
      <c r="C58" s="21"/>
      <c r="D58" s="22"/>
      <c r="E58" s="23"/>
      <c r="F58" s="72">
        <f>'Proposed Rates'!D228</f>
        <v>0.13200000000000001</v>
      </c>
      <c r="G58" s="77">
        <f>0.18*$F$18</f>
        <v>900</v>
      </c>
      <c r="H58" s="73">
        <f t="shared" si="14"/>
        <v>118.80000000000001</v>
      </c>
      <c r="I58" s="27"/>
      <c r="J58" s="72">
        <f>F58</f>
        <v>0.13200000000000001</v>
      </c>
      <c r="K58" s="77">
        <f>$G$58</f>
        <v>900</v>
      </c>
      <c r="L58" s="73">
        <f t="shared" si="15"/>
        <v>118.80000000000001</v>
      </c>
      <c r="M58" s="27"/>
      <c r="N58" s="30">
        <f t="shared" si="13"/>
        <v>0</v>
      </c>
      <c r="O58" s="74">
        <f t="shared" si="12"/>
        <v>0</v>
      </c>
      <c r="Q58" s="107"/>
      <c r="S58" s="107"/>
      <c r="U58" s="107"/>
      <c r="W58" s="107"/>
    </row>
    <row r="59" spans="2:23" s="85" customFormat="1" x14ac:dyDescent="0.25">
      <c r="B59" s="78" t="s">
        <v>39</v>
      </c>
      <c r="C59" s="79"/>
      <c r="D59" s="80"/>
      <c r="E59" s="81"/>
      <c r="F59" s="72">
        <f>'Proposed Rates'!D229</f>
        <v>7.6999999999999999E-2</v>
      </c>
      <c r="G59" s="82">
        <v>750</v>
      </c>
      <c r="H59" s="73">
        <f>G59*F59</f>
        <v>57.75</v>
      </c>
      <c r="I59" s="83"/>
      <c r="J59" s="72">
        <f>F59</f>
        <v>7.6999999999999999E-2</v>
      </c>
      <c r="K59" s="82">
        <f>$G$59</f>
        <v>750</v>
      </c>
      <c r="L59" s="73">
        <f>K59*J59</f>
        <v>57.75</v>
      </c>
      <c r="M59" s="83"/>
      <c r="N59" s="84">
        <f t="shared" si="13"/>
        <v>0</v>
      </c>
      <c r="O59" s="74">
        <f t="shared" si="12"/>
        <v>0</v>
      </c>
      <c r="Q59" s="143"/>
      <c r="R59" s="204"/>
      <c r="S59" s="143"/>
      <c r="T59" s="204"/>
      <c r="U59" s="143"/>
      <c r="V59" s="204"/>
      <c r="W59" s="143"/>
    </row>
    <row r="60" spans="2:23" s="85" customFormat="1" ht="13.8" thickBot="1" x14ac:dyDescent="0.3">
      <c r="B60" s="78" t="s">
        <v>40</v>
      </c>
      <c r="C60" s="79"/>
      <c r="D60" s="80"/>
      <c r="E60" s="81"/>
      <c r="F60" s="72">
        <f>'Proposed Rates'!D230</f>
        <v>0.09</v>
      </c>
      <c r="G60" s="82">
        <f>F18-G59</f>
        <v>4250</v>
      </c>
      <c r="H60" s="73">
        <f>G60*F60</f>
        <v>382.5</v>
      </c>
      <c r="I60" s="83"/>
      <c r="J60" s="72">
        <f>F60</f>
        <v>0.09</v>
      </c>
      <c r="K60" s="82">
        <f>$G$60</f>
        <v>4250</v>
      </c>
      <c r="L60" s="73">
        <f>K60*J60</f>
        <v>382.5</v>
      </c>
      <c r="M60" s="83"/>
      <c r="N60" s="84">
        <f t="shared" si="13"/>
        <v>0</v>
      </c>
      <c r="O60" s="74">
        <f t="shared" si="12"/>
        <v>0</v>
      </c>
      <c r="Q60" s="143"/>
      <c r="R60" s="204"/>
      <c r="S60" s="143"/>
      <c r="T60" s="204"/>
      <c r="U60" s="143"/>
      <c r="V60" s="204"/>
      <c r="W60" s="143"/>
    </row>
    <row r="61" spans="2:23" ht="8.25" customHeight="1" thickBot="1" x14ac:dyDescent="0.3">
      <c r="B61" s="86"/>
      <c r="C61" s="87"/>
      <c r="D61" s="88"/>
      <c r="E61" s="87"/>
      <c r="F61" s="89"/>
      <c r="G61" s="90"/>
      <c r="H61" s="91"/>
      <c r="I61" s="92"/>
      <c r="J61" s="89"/>
      <c r="K61" s="93"/>
      <c r="L61" s="91"/>
      <c r="M61" s="92"/>
      <c r="N61" s="94"/>
      <c r="O61" s="95"/>
      <c r="Q61" s="107"/>
      <c r="S61" s="107"/>
      <c r="U61" s="107"/>
      <c r="W61" s="107"/>
    </row>
    <row r="62" spans="2:23" x14ac:dyDescent="0.25">
      <c r="B62" s="96" t="s">
        <v>41</v>
      </c>
      <c r="C62" s="21"/>
      <c r="D62" s="21"/>
      <c r="E62" s="21"/>
      <c r="F62" s="97"/>
      <c r="G62" s="98"/>
      <c r="H62" s="99">
        <f>SUM(H51:H58,H50)</f>
        <v>660.44952499999999</v>
      </c>
      <c r="I62" s="100"/>
      <c r="J62" s="101"/>
      <c r="K62" s="101"/>
      <c r="L62" s="254">
        <f>SUM(L51:L58,L50)</f>
        <v>671.79135000000008</v>
      </c>
      <c r="M62" s="102"/>
      <c r="N62" s="103">
        <f t="shared" ref="N62" si="16">L62-H62</f>
        <v>11.341825000000085</v>
      </c>
      <c r="O62" s="104">
        <f t="shared" ref="O62" si="17">IF((H62)=0,"",(N62/H62))</f>
        <v>1.7172886906081257E-2</v>
      </c>
      <c r="Q62" s="102"/>
      <c r="S62" s="102"/>
      <c r="U62" s="102"/>
      <c r="W62" s="102"/>
    </row>
    <row r="63" spans="2:23" x14ac:dyDescent="0.25">
      <c r="B63" s="105" t="s">
        <v>42</v>
      </c>
      <c r="C63" s="21"/>
      <c r="D63" s="21"/>
      <c r="E63" s="21"/>
      <c r="F63" s="106">
        <v>0.13</v>
      </c>
      <c r="G63" s="107"/>
      <c r="H63" s="108">
        <f>H62*F63</f>
        <v>85.858438250000006</v>
      </c>
      <c r="I63" s="109"/>
      <c r="J63" s="110">
        <v>0.13</v>
      </c>
      <c r="K63" s="109"/>
      <c r="L63" s="113">
        <f>L62*J63</f>
        <v>87.332875500000014</v>
      </c>
      <c r="M63" s="112"/>
      <c r="N63" s="113">
        <f t="shared" si="13"/>
        <v>1.4744372500000082</v>
      </c>
      <c r="O63" s="114">
        <f t="shared" si="12"/>
        <v>1.7172886906081222E-2</v>
      </c>
      <c r="Q63" s="112"/>
      <c r="S63" s="112"/>
      <c r="U63" s="112"/>
      <c r="W63" s="112"/>
    </row>
    <row r="64" spans="2:23" x14ac:dyDescent="0.25">
      <c r="B64" s="250" t="s">
        <v>43</v>
      </c>
      <c r="C64" s="21"/>
      <c r="D64" s="21"/>
      <c r="E64" s="21"/>
      <c r="F64" s="106"/>
      <c r="G64" s="107"/>
      <c r="H64" s="99">
        <f>SUM(H62:H63)</f>
        <v>746.30796325000006</v>
      </c>
      <c r="I64" s="109"/>
      <c r="J64" s="110"/>
      <c r="K64" s="109"/>
      <c r="L64" s="103">
        <f>SUM(L62:L63)</f>
        <v>759.12422550000008</v>
      </c>
      <c r="M64" s="112"/>
      <c r="N64" s="103">
        <f t="shared" si="13"/>
        <v>12.816262250000023</v>
      </c>
      <c r="O64" s="104">
        <f t="shared" si="12"/>
        <v>1.7172886906081156E-2</v>
      </c>
      <c r="Q64" s="112"/>
      <c r="S64" s="112"/>
      <c r="U64" s="112"/>
      <c r="W64" s="112"/>
    </row>
    <row r="65" spans="1:23" x14ac:dyDescent="0.25">
      <c r="B65" s="249" t="s">
        <v>137</v>
      </c>
      <c r="C65" s="21"/>
      <c r="D65" s="21"/>
      <c r="E65" s="21"/>
      <c r="F65" s="106">
        <v>-0.08</v>
      </c>
      <c r="G65" s="107"/>
      <c r="H65" s="108">
        <f>H62*F65</f>
        <v>-52.835962000000002</v>
      </c>
      <c r="I65" s="109"/>
      <c r="J65" s="106">
        <v>-0.08</v>
      </c>
      <c r="K65" s="109"/>
      <c r="L65" s="113">
        <f>L62*J65</f>
        <v>-53.743308000000006</v>
      </c>
      <c r="M65" s="112"/>
      <c r="N65" s="113">
        <f t="shared" si="13"/>
        <v>-0.90734600000000398</v>
      </c>
      <c r="O65" s="114">
        <f t="shared" si="12"/>
        <v>1.7172886906081201E-2</v>
      </c>
      <c r="Q65" s="112"/>
      <c r="S65" s="112"/>
      <c r="U65" s="112"/>
      <c r="W65" s="112"/>
    </row>
    <row r="66" spans="1:23" ht="13.8" thickBot="1" x14ac:dyDescent="0.3">
      <c r="B66" s="294" t="s">
        <v>138</v>
      </c>
      <c r="C66" s="294"/>
      <c r="D66" s="294"/>
      <c r="E66" s="21"/>
      <c r="F66" s="116"/>
      <c r="G66" s="107"/>
      <c r="H66" s="99">
        <f>SUM(H64:H65)</f>
        <v>693.47200125000006</v>
      </c>
      <c r="I66" s="109"/>
      <c r="J66" s="109"/>
      <c r="K66" s="109"/>
      <c r="L66" s="251">
        <f>SUM(L64:L65)</f>
        <v>705.38091750000012</v>
      </c>
      <c r="M66" s="112"/>
      <c r="N66" s="103">
        <f t="shared" si="13"/>
        <v>11.908916250000061</v>
      </c>
      <c r="O66" s="104">
        <f t="shared" si="12"/>
        <v>1.7172886906081215E-2</v>
      </c>
      <c r="Q66" s="112"/>
      <c r="S66" s="112"/>
      <c r="U66" s="112"/>
      <c r="W66" s="112"/>
    </row>
    <row r="67" spans="1:23" s="85" customFormat="1" ht="8.25" customHeight="1" thickBot="1" x14ac:dyDescent="0.3">
      <c r="B67" s="117"/>
      <c r="C67" s="118"/>
      <c r="D67" s="119"/>
      <c r="E67" s="118"/>
      <c r="F67" s="89"/>
      <c r="G67" s="120"/>
      <c r="H67" s="91"/>
      <c r="I67" s="121"/>
      <c r="J67" s="89"/>
      <c r="K67" s="122"/>
      <c r="L67" s="91"/>
      <c r="M67" s="121"/>
      <c r="N67" s="123"/>
      <c r="O67" s="95"/>
      <c r="Q67" s="143"/>
      <c r="R67" s="204"/>
      <c r="S67" s="143"/>
      <c r="T67" s="204"/>
      <c r="U67" s="143"/>
      <c r="V67" s="204"/>
      <c r="W67" s="143"/>
    </row>
    <row r="68" spans="1:23" s="85" customFormat="1" x14ac:dyDescent="0.25">
      <c r="B68" s="124" t="s">
        <v>44</v>
      </c>
      <c r="C68" s="79"/>
      <c r="D68" s="79"/>
      <c r="E68" s="79"/>
      <c r="F68" s="125"/>
      <c r="G68" s="126"/>
      <c r="H68" s="127">
        <f>SUM(H59:H60,H50,H51:H55)</f>
        <v>689.89952500000004</v>
      </c>
      <c r="I68" s="128"/>
      <c r="J68" s="129"/>
      <c r="K68" s="129"/>
      <c r="L68" s="259">
        <f>SUM(L59:L60,L50,L51:L55)</f>
        <v>701.24135000000001</v>
      </c>
      <c r="M68" s="130"/>
      <c r="N68" s="131">
        <f t="shared" ref="N68:N72" si="18">L68-H68</f>
        <v>11.341824999999972</v>
      </c>
      <c r="O68" s="104">
        <f t="shared" ref="O68:O72" si="19">IF((H68)=0,"",(N68/H68))</f>
        <v>1.643982143631708E-2</v>
      </c>
      <c r="Q68" s="130"/>
      <c r="R68" s="204"/>
      <c r="S68" s="130"/>
      <c r="T68" s="204"/>
      <c r="U68" s="130"/>
      <c r="V68" s="204"/>
      <c r="W68" s="130"/>
    </row>
    <row r="69" spans="1:23" s="85" customFormat="1" x14ac:dyDescent="0.25">
      <c r="B69" s="132" t="s">
        <v>42</v>
      </c>
      <c r="C69" s="79"/>
      <c r="D69" s="79"/>
      <c r="E69" s="79"/>
      <c r="F69" s="133">
        <v>0.13</v>
      </c>
      <c r="G69" s="126"/>
      <c r="H69" s="134">
        <f>H68*F69</f>
        <v>89.686938250000011</v>
      </c>
      <c r="I69" s="135"/>
      <c r="J69" s="136">
        <v>0.13</v>
      </c>
      <c r="K69" s="137"/>
      <c r="L69" s="140">
        <f>L68*J69</f>
        <v>91.161375500000005</v>
      </c>
      <c r="M69" s="139"/>
      <c r="N69" s="140">
        <f t="shared" si="18"/>
        <v>1.474437249999994</v>
      </c>
      <c r="O69" s="114">
        <f t="shared" si="19"/>
        <v>1.6439821436317052E-2</v>
      </c>
      <c r="Q69" s="139"/>
      <c r="R69" s="204"/>
      <c r="S69" s="139"/>
      <c r="T69" s="204"/>
      <c r="U69" s="139"/>
      <c r="V69" s="204"/>
      <c r="W69" s="139"/>
    </row>
    <row r="70" spans="1:23" s="85" customFormat="1" x14ac:dyDescent="0.25">
      <c r="B70" s="258" t="s">
        <v>43</v>
      </c>
      <c r="C70" s="79"/>
      <c r="D70" s="79"/>
      <c r="E70" s="79"/>
      <c r="F70" s="142"/>
      <c r="G70" s="143"/>
      <c r="H70" s="127">
        <f>H68+H69</f>
        <v>779.58646325000007</v>
      </c>
      <c r="I70" s="135"/>
      <c r="J70" s="135"/>
      <c r="K70" s="135"/>
      <c r="L70" s="131">
        <f>L68+L69</f>
        <v>792.40272549999997</v>
      </c>
      <c r="M70" s="139"/>
      <c r="N70" s="131">
        <f t="shared" si="18"/>
        <v>12.816262249999909</v>
      </c>
      <c r="O70" s="104">
        <f t="shared" si="19"/>
        <v>1.6439821436317004E-2</v>
      </c>
      <c r="Q70" s="139"/>
      <c r="R70" s="204"/>
      <c r="S70" s="139"/>
      <c r="T70" s="204"/>
      <c r="U70" s="139"/>
      <c r="V70" s="204"/>
      <c r="W70" s="139"/>
    </row>
    <row r="71" spans="1:23" s="85" customFormat="1" x14ac:dyDescent="0.25">
      <c r="B71" s="249" t="s">
        <v>137</v>
      </c>
      <c r="C71" s="21"/>
      <c r="D71" s="21"/>
      <c r="E71" s="79"/>
      <c r="F71" s="260">
        <v>-0.08</v>
      </c>
      <c r="G71" s="143"/>
      <c r="H71" s="134">
        <f>H68*F71</f>
        <v>-55.191962000000004</v>
      </c>
      <c r="I71" s="135"/>
      <c r="J71" s="261">
        <v>-0.08</v>
      </c>
      <c r="K71" s="135"/>
      <c r="L71" s="140">
        <f>L68*J71</f>
        <v>-56.099308000000001</v>
      </c>
      <c r="M71" s="139"/>
      <c r="N71" s="140">
        <f t="shared" si="18"/>
        <v>-0.90734599999999688</v>
      </c>
      <c r="O71" s="114">
        <f t="shared" si="19"/>
        <v>1.6439821436317063E-2</v>
      </c>
      <c r="Q71" s="139"/>
      <c r="R71" s="204"/>
      <c r="S71" s="139"/>
      <c r="T71" s="204"/>
      <c r="U71" s="139"/>
      <c r="V71" s="204"/>
      <c r="W71" s="139"/>
    </row>
    <row r="72" spans="1:23" s="85" customFormat="1" ht="13.8" thickBot="1" x14ac:dyDescent="0.3">
      <c r="B72" s="294" t="s">
        <v>138</v>
      </c>
      <c r="C72" s="294"/>
      <c r="D72" s="294"/>
      <c r="E72" s="79"/>
      <c r="F72" s="142"/>
      <c r="G72" s="143"/>
      <c r="H72" s="127">
        <f>SUM(H70:H71)</f>
        <v>724.39450125000008</v>
      </c>
      <c r="I72" s="135"/>
      <c r="J72" s="135"/>
      <c r="K72" s="135"/>
      <c r="L72" s="262">
        <f>SUM(L70:L71)</f>
        <v>736.30341750000002</v>
      </c>
      <c r="M72" s="139"/>
      <c r="N72" s="131">
        <f t="shared" si="18"/>
        <v>11.908916249999947</v>
      </c>
      <c r="O72" s="104">
        <f t="shared" si="19"/>
        <v>1.6439821436317049E-2</v>
      </c>
      <c r="Q72" s="139"/>
      <c r="R72" s="204"/>
      <c r="S72" s="139"/>
      <c r="T72" s="204"/>
      <c r="U72" s="139"/>
      <c r="V72" s="204"/>
      <c r="W72" s="139"/>
    </row>
    <row r="73" spans="1:23" s="85" customFormat="1" ht="8.25" customHeight="1" thickBot="1" x14ac:dyDescent="0.3">
      <c r="B73" s="117"/>
      <c r="C73" s="118"/>
      <c r="D73" s="119"/>
      <c r="E73" s="118"/>
      <c r="F73" s="144"/>
      <c r="G73" s="145"/>
      <c r="H73" s="146"/>
      <c r="I73" s="147"/>
      <c r="J73" s="144"/>
      <c r="K73" s="120"/>
      <c r="L73" s="148"/>
      <c r="M73" s="121"/>
      <c r="N73" s="149"/>
      <c r="O73" s="95"/>
      <c r="Q73" s="143"/>
      <c r="R73" s="204"/>
      <c r="S73" s="143"/>
      <c r="T73" s="204"/>
      <c r="U73" s="143"/>
      <c r="V73" s="204"/>
      <c r="W73" s="143"/>
    </row>
    <row r="74" spans="1:23" x14ac:dyDescent="0.25">
      <c r="L74" s="150"/>
    </row>
    <row r="75" spans="1:23" x14ac:dyDescent="0.25">
      <c r="B75" s="12" t="s">
        <v>45</v>
      </c>
      <c r="F75" s="151">
        <f>'Proposed Rates'!D202</f>
        <v>3.3500000000000002E-2</v>
      </c>
      <c r="J75" s="151">
        <f>+'Res (100)'!J74</f>
        <v>3.3500000000000002E-2</v>
      </c>
    </row>
    <row r="77" spans="1:23" ht="13.5" customHeight="1" x14ac:dyDescent="0.25">
      <c r="Q77" s="202"/>
      <c r="R77" s="202"/>
      <c r="S77" s="6"/>
      <c r="T77" s="6"/>
      <c r="U77" s="6"/>
      <c r="V77" s="6"/>
      <c r="W77" s="6"/>
    </row>
    <row r="78" spans="1:23" ht="12" customHeight="1" x14ac:dyDescent="0.25">
      <c r="A78" s="6" t="s">
        <v>46</v>
      </c>
      <c r="Q78" s="202"/>
      <c r="R78" s="202"/>
      <c r="S78" s="6"/>
      <c r="T78" s="6"/>
      <c r="U78" s="6"/>
      <c r="V78" s="6"/>
      <c r="W78" s="6"/>
    </row>
    <row r="79" spans="1:23" x14ac:dyDescent="0.25">
      <c r="A79" s="6" t="s">
        <v>47</v>
      </c>
      <c r="Q79" s="202"/>
      <c r="R79" s="202"/>
      <c r="S79" s="6"/>
      <c r="T79" s="6"/>
      <c r="U79" s="6"/>
      <c r="V79" s="6"/>
      <c r="W79" s="6"/>
    </row>
    <row r="80" spans="1:23" x14ac:dyDescent="0.25">
      <c r="Q80" s="202"/>
      <c r="R80" s="202"/>
      <c r="S80" s="6"/>
      <c r="T80" s="6"/>
      <c r="U80" s="6"/>
      <c r="V80" s="6"/>
      <c r="W80" s="6"/>
    </row>
    <row r="81" spans="1:23" x14ac:dyDescent="0.25">
      <c r="A81" s="153" t="s">
        <v>133</v>
      </c>
      <c r="Q81" s="202"/>
      <c r="R81" s="202"/>
      <c r="S81" s="6"/>
      <c r="T81" s="6"/>
      <c r="U81" s="6"/>
      <c r="V81" s="6"/>
      <c r="W81" s="6"/>
    </row>
    <row r="82" spans="1:23" x14ac:dyDescent="0.25">
      <c r="A82" s="11" t="s">
        <v>48</v>
      </c>
      <c r="Q82" s="202"/>
      <c r="R82" s="202"/>
      <c r="S82" s="6"/>
      <c r="T82" s="6"/>
      <c r="U82" s="6"/>
      <c r="V82" s="6"/>
      <c r="W82" s="6"/>
    </row>
    <row r="83" spans="1:23" x14ac:dyDescent="0.25">
      <c r="Q83" s="202"/>
      <c r="R83" s="202"/>
      <c r="S83" s="6"/>
      <c r="T83" s="6"/>
      <c r="U83" s="6"/>
      <c r="V83" s="6"/>
      <c r="W83" s="6"/>
    </row>
    <row r="84" spans="1:23" x14ac:dyDescent="0.25">
      <c r="A84" s="6" t="s">
        <v>132</v>
      </c>
      <c r="Q84" s="202"/>
      <c r="R84" s="202"/>
      <c r="S84" s="6"/>
      <c r="T84" s="6"/>
      <c r="U84" s="6"/>
      <c r="V84" s="6"/>
      <c r="W84" s="6"/>
    </row>
    <row r="85" spans="1:23" x14ac:dyDescent="0.25">
      <c r="A85" s="6" t="s">
        <v>49</v>
      </c>
      <c r="Q85" s="202"/>
      <c r="R85" s="202"/>
      <c r="S85" s="6"/>
      <c r="T85" s="6"/>
      <c r="U85" s="6"/>
      <c r="V85" s="6"/>
      <c r="W85" s="6"/>
    </row>
    <row r="86" spans="1:23" x14ac:dyDescent="0.25">
      <c r="A86" s="6" t="s">
        <v>50</v>
      </c>
      <c r="Q86" s="202"/>
      <c r="R86" s="202"/>
      <c r="S86" s="6"/>
      <c r="T86" s="6"/>
      <c r="U86" s="6"/>
      <c r="V86" s="6"/>
      <c r="W86" s="6"/>
    </row>
    <row r="87" spans="1:23" x14ac:dyDescent="0.25">
      <c r="A87" s="6" t="s">
        <v>51</v>
      </c>
      <c r="Q87" s="202"/>
      <c r="R87" s="202"/>
      <c r="S87" s="6"/>
      <c r="T87" s="6"/>
      <c r="U87" s="6"/>
      <c r="V87" s="6"/>
      <c r="W87" s="6"/>
    </row>
    <row r="88" spans="1:23" x14ac:dyDescent="0.25">
      <c r="A88" s="6" t="s">
        <v>52</v>
      </c>
      <c r="Q88" s="202"/>
      <c r="R88" s="202"/>
      <c r="S88" s="6"/>
      <c r="T88" s="6"/>
      <c r="U88" s="6"/>
      <c r="V88" s="6"/>
      <c r="W88" s="6"/>
    </row>
    <row r="89" spans="1:23" x14ac:dyDescent="0.25">
      <c r="Q89" s="202"/>
      <c r="R89" s="202"/>
      <c r="S89" s="6"/>
      <c r="T89" s="6"/>
      <c r="U89" s="6"/>
      <c r="V89" s="6"/>
      <c r="W89" s="6"/>
    </row>
    <row r="90" spans="1:23" x14ac:dyDescent="0.25">
      <c r="A90" s="152"/>
      <c r="B90" s="6" t="s">
        <v>53</v>
      </c>
      <c r="Q90" s="202"/>
      <c r="R90" s="202"/>
      <c r="S90" s="6"/>
      <c r="T90" s="6"/>
      <c r="U90" s="6"/>
      <c r="V90" s="6"/>
      <c r="W90" s="6"/>
    </row>
    <row r="91" spans="1:23" x14ac:dyDescent="0.25">
      <c r="Q91" s="202"/>
      <c r="R91" s="202"/>
      <c r="S91" s="6"/>
      <c r="T91" s="6"/>
      <c r="U91" s="6"/>
      <c r="V91" s="6"/>
      <c r="W91" s="6"/>
    </row>
    <row r="92" spans="1:23" x14ac:dyDescent="0.25">
      <c r="B92" s="153" t="s">
        <v>54</v>
      </c>
      <c r="Q92" s="202"/>
      <c r="R92" s="202"/>
      <c r="S92" s="6"/>
      <c r="T92" s="6"/>
      <c r="U92" s="6"/>
      <c r="V92" s="6"/>
      <c r="W92" s="6"/>
    </row>
  </sheetData>
  <sheetProtection selectLockedCells="1"/>
  <mergeCells count="10">
    <mergeCell ref="B66:D66"/>
    <mergeCell ref="B72:D72"/>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3 D67 D23:D38 D51:D61 D48:D49 D40:D46">
      <formula1>"Monthly, per kWh, per kW"</formula1>
    </dataValidation>
    <dataValidation type="list" allowBlank="1" showInputMessage="1" showErrorMessage="1" sqref="E48:E49 E73 E67 E51:E61 E23:E38 E40:E46">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Option Button 1">
              <controlPr defaultSize="0" autoFill="0" autoLine="0" autoPict="0">
                <anchor moveWithCells="1">
                  <from>
                    <xdr:col>3</xdr:col>
                    <xdr:colOff>624840</xdr:colOff>
                    <xdr:row>9</xdr:row>
                    <xdr:rowOff>198120</xdr:rowOff>
                  </from>
                  <to>
                    <xdr:col>5</xdr:col>
                    <xdr:colOff>800100</xdr:colOff>
                    <xdr:row>10</xdr:row>
                    <xdr:rowOff>91440</xdr:rowOff>
                  </to>
                </anchor>
              </controlPr>
            </control>
          </mc:Choice>
        </mc:AlternateContent>
        <mc:AlternateContent xmlns:mc="http://schemas.openxmlformats.org/markup-compatibility/2006">
          <mc:Choice Requires="x14">
            <control shapeId="131074" r:id="rId5" name="Option Button 2">
              <controlPr defaultSize="0" autoFill="0" autoLine="0" autoPict="0">
                <anchor moveWithCells="1">
                  <from>
                    <xdr:col>5</xdr:col>
                    <xdr:colOff>472440</xdr:colOff>
                    <xdr:row>9</xdr:row>
                    <xdr:rowOff>167640</xdr:rowOff>
                  </from>
                  <to>
                    <xdr:col>9</xdr:col>
                    <xdr:colOff>533400</xdr:colOff>
                    <xdr:row>10</xdr:row>
                    <xdr:rowOff>160020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92"/>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44140625" style="6" customWidth="1"/>
    <col min="7" max="7" width="7.88671875" style="6" bestFit="1" customWidth="1"/>
    <col min="8" max="8" width="10.44140625" style="6" bestFit="1" customWidth="1"/>
    <col min="9" max="9" width="2.88671875" style="6" customWidth="1"/>
    <col min="10" max="10" width="9.88671875" style="6" bestFit="1" customWidth="1"/>
    <col min="11" max="11" width="7.88671875" style="6" bestFit="1" customWidth="1"/>
    <col min="12" max="12" width="10.4414062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8"/>
      <c r="D10" s="168"/>
      <c r="E10" s="168"/>
      <c r="F10" s="166" t="s">
        <v>134</v>
      </c>
      <c r="G10" s="168"/>
      <c r="H10" s="168"/>
      <c r="I10" s="168"/>
      <c r="J10" s="168"/>
      <c r="K10" s="168"/>
      <c r="L10" s="168"/>
      <c r="M10" s="168"/>
      <c r="N10" s="168"/>
      <c r="O10" s="168"/>
      <c r="P10"/>
    </row>
    <row r="11" spans="1:23" ht="18.75" customHeight="1" x14ac:dyDescent="0.3">
      <c r="C11" s="168"/>
      <c r="D11" s="168"/>
      <c r="E11" s="168"/>
      <c r="F11" s="168" t="s">
        <v>0</v>
      </c>
      <c r="G11" s="168"/>
      <c r="H11" s="168"/>
      <c r="I11" s="168"/>
      <c r="J11" s="168"/>
      <c r="K11" s="168"/>
      <c r="L11" s="168"/>
      <c r="M11" s="168"/>
      <c r="N11" s="168"/>
      <c r="O11" s="168"/>
      <c r="P11"/>
    </row>
    <row r="12" spans="1:23" ht="7.5" customHeight="1" x14ac:dyDescent="0.25">
      <c r="L12"/>
      <c r="M12"/>
      <c r="N12"/>
      <c r="O12"/>
      <c r="P12"/>
    </row>
    <row r="13" spans="1:23" ht="7.5" customHeight="1" x14ac:dyDescent="0.25">
      <c r="L13"/>
      <c r="M13"/>
      <c r="N13"/>
      <c r="O13"/>
      <c r="P13"/>
    </row>
    <row r="14" spans="1:23" ht="15.6" x14ac:dyDescent="0.25">
      <c r="B14" s="7" t="s">
        <v>1</v>
      </c>
      <c r="D14" s="302" t="s">
        <v>55</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10000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Rates'!D8</f>
        <v>17.89</v>
      </c>
      <c r="G23" s="25">
        <v>1</v>
      </c>
      <c r="H23" s="26">
        <f>G23*F23</f>
        <v>17.89</v>
      </c>
      <c r="I23" s="27"/>
      <c r="J23" s="28">
        <f>+'Proposed Rates'!E8</f>
        <v>18.600000000000001</v>
      </c>
      <c r="K23" s="29">
        <v>1</v>
      </c>
      <c r="L23" s="26">
        <f>K23*J23</f>
        <v>18.600000000000001</v>
      </c>
      <c r="M23" s="27"/>
      <c r="N23" s="30">
        <f>L23-H23</f>
        <v>0.71000000000000085</v>
      </c>
      <c r="O23" s="31">
        <f>IF((H23)=0,"",(N23/H23))</f>
        <v>3.9686975964225872E-2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Rates'!D21</f>
        <v>2.2700000000000001E-2</v>
      </c>
      <c r="G29" s="25">
        <f>$F$18</f>
        <v>10000</v>
      </c>
      <c r="H29" s="26">
        <f t="shared" si="0"/>
        <v>227.00000000000003</v>
      </c>
      <c r="I29" s="27"/>
      <c r="J29" s="28">
        <f>+'Proposed Rates'!E21</f>
        <v>2.3800000000000002E-2</v>
      </c>
      <c r="K29" s="25">
        <f>$F$18</f>
        <v>10000</v>
      </c>
      <c r="L29" s="26">
        <f t="shared" si="1"/>
        <v>238.00000000000003</v>
      </c>
      <c r="M29" s="27"/>
      <c r="N29" s="30">
        <f t="shared" si="2"/>
        <v>11</v>
      </c>
      <c r="O29" s="31">
        <f t="shared" si="3"/>
        <v>4.8458149779735678E-2</v>
      </c>
      <c r="Q29" s="107"/>
      <c r="S29" s="107"/>
      <c r="U29" s="107"/>
      <c r="W29" s="107"/>
    </row>
    <row r="30" spans="2:23" x14ac:dyDescent="0.25">
      <c r="B30" s="21" t="s">
        <v>21</v>
      </c>
      <c r="C30" s="21"/>
      <c r="D30" s="22"/>
      <c r="E30" s="23"/>
      <c r="F30" s="24"/>
      <c r="G30" s="25">
        <f t="shared" ref="G30" si="4">$F$18</f>
        <v>10000</v>
      </c>
      <c r="H30" s="26">
        <f t="shared" si="0"/>
        <v>0</v>
      </c>
      <c r="I30" s="27"/>
      <c r="J30" s="28"/>
      <c r="K30" s="25">
        <f t="shared" ref="K30:K38" si="5">$F$18</f>
        <v>10000</v>
      </c>
      <c r="L30" s="26">
        <f t="shared" si="1"/>
        <v>0</v>
      </c>
      <c r="M30" s="27"/>
      <c r="N30" s="30">
        <f t="shared" si="2"/>
        <v>0</v>
      </c>
      <c r="O30" s="31" t="str">
        <f t="shared" si="3"/>
        <v/>
      </c>
      <c r="Q30" s="107"/>
      <c r="S30" s="107"/>
      <c r="U30" s="107"/>
      <c r="W30" s="107"/>
    </row>
    <row r="31" spans="2:23" x14ac:dyDescent="0.25">
      <c r="B31" s="21" t="s">
        <v>22</v>
      </c>
      <c r="C31" s="21"/>
      <c r="D31" s="22" t="s">
        <v>20</v>
      </c>
      <c r="E31" s="23"/>
      <c r="F31" s="50">
        <f>'Proposed Rates'!D68</f>
        <v>0</v>
      </c>
      <c r="G31" s="25">
        <f>$F$18</f>
        <v>10000</v>
      </c>
      <c r="H31" s="26">
        <f t="shared" si="0"/>
        <v>0</v>
      </c>
      <c r="I31" s="27"/>
      <c r="J31" s="52">
        <f>+'Proposed Rates'!E68</f>
        <v>0</v>
      </c>
      <c r="K31" s="25">
        <f t="shared" si="5"/>
        <v>10000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10000</v>
      </c>
      <c r="H32" s="26">
        <f t="shared" si="0"/>
        <v>0</v>
      </c>
      <c r="I32" s="27"/>
      <c r="J32" s="28"/>
      <c r="K32" s="25">
        <f t="shared" si="5"/>
        <v>10000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10000</v>
      </c>
      <c r="H33" s="26">
        <f t="shared" si="0"/>
        <v>0</v>
      </c>
      <c r="I33" s="27"/>
      <c r="J33" s="28"/>
      <c r="K33" s="25">
        <f t="shared" si="5"/>
        <v>10000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10000</v>
      </c>
      <c r="H34" s="26">
        <f t="shared" si="0"/>
        <v>0</v>
      </c>
      <c r="I34" s="27"/>
      <c r="J34" s="28"/>
      <c r="K34" s="25">
        <f t="shared" si="5"/>
        <v>10000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10000</v>
      </c>
      <c r="H35" s="26">
        <f t="shared" si="0"/>
        <v>0</v>
      </c>
      <c r="I35" s="27"/>
      <c r="J35" s="28"/>
      <c r="K35" s="25">
        <f t="shared" si="5"/>
        <v>10000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10000</v>
      </c>
      <c r="H36" s="26">
        <f t="shared" si="0"/>
        <v>0</v>
      </c>
      <c r="I36" s="27"/>
      <c r="J36" s="28"/>
      <c r="K36" s="25">
        <f t="shared" si="5"/>
        <v>10000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10000</v>
      </c>
      <c r="H37" s="26">
        <f t="shared" si="0"/>
        <v>0</v>
      </c>
      <c r="I37" s="27"/>
      <c r="J37" s="28"/>
      <c r="K37" s="25">
        <f t="shared" si="5"/>
        <v>10000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10000</v>
      </c>
      <c r="H38" s="26">
        <f t="shared" si="0"/>
        <v>0</v>
      </c>
      <c r="I38" s="27"/>
      <c r="J38" s="28"/>
      <c r="K38" s="25">
        <f t="shared" si="5"/>
        <v>10000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244.89000000000004</v>
      </c>
      <c r="I39" s="40"/>
      <c r="J39" s="41"/>
      <c r="K39" s="42"/>
      <c r="L39" s="39">
        <f>SUM(L23:L38)</f>
        <v>256.60000000000002</v>
      </c>
      <c r="M39" s="40"/>
      <c r="N39" s="43">
        <f t="shared" si="2"/>
        <v>11.70999999999998</v>
      </c>
      <c r="O39" s="44">
        <f t="shared" si="3"/>
        <v>4.7817387398423693E-2</v>
      </c>
      <c r="Q39" s="107"/>
      <c r="R39" s="203"/>
      <c r="S39" s="107"/>
      <c r="T39" s="203"/>
      <c r="U39" s="107"/>
      <c r="V39" s="203"/>
      <c r="W39" s="107"/>
    </row>
    <row r="40" spans="2:23" ht="26.4" x14ac:dyDescent="0.25">
      <c r="B40" s="46" t="str">
        <f>+'Res (100)'!B40</f>
        <v>Deferral/Variance Account Disposition Rate Rider Group 1</v>
      </c>
      <c r="C40" s="21"/>
      <c r="D40" s="22" t="s">
        <v>20</v>
      </c>
      <c r="E40" s="23"/>
      <c r="F40" s="50">
        <f>'Proposed Rates'!D39</f>
        <v>0</v>
      </c>
      <c r="G40" s="25">
        <f>$F$18</f>
        <v>10000</v>
      </c>
      <c r="H40" s="26">
        <f>G40*F40</f>
        <v>0</v>
      </c>
      <c r="I40" s="27"/>
      <c r="J40" s="28">
        <f>+'Proposed Rates'!E39</f>
        <v>-4.0000000000000002E-4</v>
      </c>
      <c r="K40" s="25">
        <f>$F$18</f>
        <v>10000</v>
      </c>
      <c r="L40" s="26">
        <f>K40*J40</f>
        <v>-4</v>
      </c>
      <c r="M40" s="27"/>
      <c r="N40" s="30">
        <f>L40-H40</f>
        <v>-4</v>
      </c>
      <c r="O40" s="31" t="str">
        <f>IF((H40)=0,"",(N40/H40))</f>
        <v/>
      </c>
      <c r="Q40" s="107"/>
      <c r="S40" s="107"/>
      <c r="U40" s="107"/>
      <c r="W40" s="107"/>
    </row>
    <row r="41" spans="2:23" ht="26.4" x14ac:dyDescent="0.25">
      <c r="B41" s="46" t="str">
        <f>+'Res (100)'!B41</f>
        <v>Deferral/Variance Account Disposition Rate Rider Group 2</v>
      </c>
      <c r="C41" s="21"/>
      <c r="D41" s="22" t="s">
        <v>20</v>
      </c>
      <c r="E41" s="23"/>
      <c r="F41" s="50">
        <f>'Proposed Rates'!D53</f>
        <v>0</v>
      </c>
      <c r="G41" s="25">
        <f t="shared" ref="G41:G43" si="7">$F$18</f>
        <v>10000</v>
      </c>
      <c r="H41" s="26">
        <f t="shared" ref="H41:H45" si="8">G41*F41</f>
        <v>0</v>
      </c>
      <c r="I41" s="47"/>
      <c r="J41" s="28">
        <f>+'Proposed Rates'!E53</f>
        <v>0</v>
      </c>
      <c r="K41" s="25">
        <f t="shared" ref="K41:K43" si="9">$F$18</f>
        <v>10000</v>
      </c>
      <c r="L41" s="26">
        <f t="shared" ref="L41:L45" si="10">K41*J41</f>
        <v>0</v>
      </c>
      <c r="M41" s="48"/>
      <c r="N41" s="30">
        <f t="shared" ref="N41:N45" si="11">L41-H41</f>
        <v>0</v>
      </c>
      <c r="O41" s="31" t="str">
        <f t="shared" ref="O41:O66" si="12">IF((H41)=0,"",(N41/H41))</f>
        <v/>
      </c>
      <c r="Q41" s="107"/>
      <c r="S41" s="107"/>
      <c r="U41" s="107"/>
      <c r="W41" s="107"/>
    </row>
    <row r="42" spans="2:23" ht="39.6" x14ac:dyDescent="0.25">
      <c r="B42" s="46" t="str">
        <f>+'Res (100)'!B42</f>
        <v>Deferral / Variance Accounts Balances (excluding Global Adj.) - NON-WMP</v>
      </c>
      <c r="C42" s="21"/>
      <c r="D42" s="22" t="s">
        <v>20</v>
      </c>
      <c r="E42" s="23"/>
      <c r="F42" s="24">
        <f>'Proposed Rates'!D98</f>
        <v>-2.3E-3</v>
      </c>
      <c r="G42" s="25">
        <f t="shared" si="7"/>
        <v>10000</v>
      </c>
      <c r="H42" s="26">
        <f t="shared" si="8"/>
        <v>-23</v>
      </c>
      <c r="I42" s="47"/>
      <c r="J42" s="28">
        <f>+'Proposed Rates'!E98</f>
        <v>-8.0000000000000004E-4</v>
      </c>
      <c r="K42" s="25">
        <f t="shared" si="9"/>
        <v>10000</v>
      </c>
      <c r="L42" s="26">
        <f t="shared" si="10"/>
        <v>-8</v>
      </c>
      <c r="M42" s="48"/>
      <c r="N42" s="30">
        <f t="shared" si="11"/>
        <v>15</v>
      </c>
      <c r="O42" s="31">
        <f t="shared" si="12"/>
        <v>-0.65217391304347827</v>
      </c>
      <c r="Q42" s="107"/>
      <c r="S42" s="107"/>
      <c r="U42" s="107"/>
      <c r="W42" s="107"/>
    </row>
    <row r="43" spans="2:23" ht="39.6" x14ac:dyDescent="0.25">
      <c r="B43" s="46" t="s">
        <v>125</v>
      </c>
      <c r="C43" s="21"/>
      <c r="D43" s="22" t="s">
        <v>20</v>
      </c>
      <c r="E43" s="23"/>
      <c r="F43" s="24">
        <f>+'Proposed Rates'!D112</f>
        <v>2.7E-4</v>
      </c>
      <c r="G43" s="25">
        <f t="shared" si="7"/>
        <v>10000</v>
      </c>
      <c r="H43" s="26">
        <f t="shared" si="8"/>
        <v>2.7</v>
      </c>
      <c r="I43" s="47"/>
      <c r="J43" s="223">
        <f>+'Proposed Rates'!E112</f>
        <v>0</v>
      </c>
      <c r="K43" s="25">
        <f t="shared" si="9"/>
        <v>10000</v>
      </c>
      <c r="L43" s="26">
        <f t="shared" si="10"/>
        <v>0</v>
      </c>
      <c r="M43" s="48"/>
      <c r="N43" s="30">
        <f t="shared" si="11"/>
        <v>-2.7</v>
      </c>
      <c r="O43" s="31">
        <f t="shared" si="12"/>
        <v>-1</v>
      </c>
      <c r="Q43" s="107"/>
      <c r="S43" s="107"/>
      <c r="U43" s="107"/>
      <c r="W43" s="107"/>
    </row>
    <row r="44" spans="2:23" x14ac:dyDescent="0.25">
      <c r="B44" s="49" t="s">
        <v>25</v>
      </c>
      <c r="C44" s="21"/>
      <c r="D44" s="22" t="s">
        <v>20</v>
      </c>
      <c r="E44" s="23"/>
      <c r="F44" s="50">
        <f>'Proposed Rates'!D127</f>
        <v>6.9999999999999994E-5</v>
      </c>
      <c r="G44" s="51">
        <f>$F$18*(1+F75)</f>
        <v>10335</v>
      </c>
      <c r="H44" s="26">
        <f>G44*F44</f>
        <v>0.72344999999999993</v>
      </c>
      <c r="I44" s="27"/>
      <c r="J44" s="52">
        <f>'Proposed Rates'!E127</f>
        <v>6.0000000000000002E-5</v>
      </c>
      <c r="K44" s="51">
        <f>$F$18*(1+J75)</f>
        <v>10335</v>
      </c>
      <c r="L44" s="26">
        <f>K44*J44</f>
        <v>0.62009999999999998</v>
      </c>
      <c r="M44" s="27"/>
      <c r="N44" s="30">
        <f>L44-H44</f>
        <v>-0.10334999999999994</v>
      </c>
      <c r="O44" s="31">
        <f>IF((H44)=0,"",(N44/H44))</f>
        <v>-0.14285714285714279</v>
      </c>
      <c r="Q44" s="107"/>
      <c r="S44" s="107"/>
      <c r="U44" s="107"/>
      <c r="W44" s="107"/>
    </row>
    <row r="45" spans="2:23" x14ac:dyDescent="0.25">
      <c r="B45" s="49" t="s">
        <v>26</v>
      </c>
      <c r="C45" s="21"/>
      <c r="D45" s="22"/>
      <c r="E45" s="23"/>
      <c r="F45" s="53">
        <f>IF(ISBLANK(D16)=TRUE, 0, IF(D16="TOU", 0.65*$F$56+0.17*$F$57+0.18*$F$58, IF(AND(D16="non-TOU", G60&gt;0), F60,F59)))</f>
        <v>8.2160000000000011E-2</v>
      </c>
      <c r="G45" s="54">
        <f>$F$18*(1+$F$75)-$F$18</f>
        <v>335</v>
      </c>
      <c r="H45" s="26">
        <f t="shared" si="8"/>
        <v>27.523600000000002</v>
      </c>
      <c r="I45" s="27"/>
      <c r="J45" s="55">
        <f>0.65*$J$56+0.17*$J$57+0.18*$J$58</f>
        <v>8.2160000000000011E-2</v>
      </c>
      <c r="K45" s="54">
        <f>$F$18*(1+$J$75)-$F$18</f>
        <v>335</v>
      </c>
      <c r="L45" s="26">
        <f t="shared" si="10"/>
        <v>27.523600000000002</v>
      </c>
      <c r="M45" s="27"/>
      <c r="N45" s="30">
        <f t="shared" si="11"/>
        <v>0</v>
      </c>
      <c r="O45" s="31">
        <f t="shared" si="12"/>
        <v>0</v>
      </c>
      <c r="Q45" s="107"/>
      <c r="S45" s="107"/>
      <c r="U45" s="107"/>
      <c r="W45" s="107"/>
    </row>
    <row r="46" spans="2:23" x14ac:dyDescent="0.25">
      <c r="B46" s="49" t="s">
        <v>27</v>
      </c>
      <c r="C46" s="21"/>
      <c r="D46" s="22" t="s">
        <v>17</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3" ht="26.4" x14ac:dyDescent="0.25">
      <c r="B47" s="56" t="s">
        <v>28</v>
      </c>
      <c r="C47" s="57"/>
      <c r="D47" s="57"/>
      <c r="E47" s="57"/>
      <c r="F47" s="58"/>
      <c r="G47" s="59"/>
      <c r="H47" s="60">
        <f>SUM(H40:H46)+H39</f>
        <v>253.62705000000005</v>
      </c>
      <c r="I47" s="40"/>
      <c r="J47" s="59"/>
      <c r="K47" s="61"/>
      <c r="L47" s="60">
        <f>SUM(L40:L46)+L39</f>
        <v>273.53370000000001</v>
      </c>
      <c r="M47" s="40"/>
      <c r="N47" s="43">
        <f t="shared" ref="N47:N66" si="13">L47-H47</f>
        <v>19.906649999999956</v>
      </c>
      <c r="O47" s="44">
        <f t="shared" si="12"/>
        <v>7.848788210878907E-2</v>
      </c>
      <c r="Q47" s="107"/>
      <c r="S47" s="107"/>
      <c r="U47" s="107"/>
      <c r="W47" s="107"/>
    </row>
    <row r="48" spans="2:23" x14ac:dyDescent="0.25">
      <c r="B48" s="27" t="s">
        <v>29</v>
      </c>
      <c r="C48" s="27"/>
      <c r="D48" s="62" t="s">
        <v>20</v>
      </c>
      <c r="E48" s="63"/>
      <c r="F48" s="28">
        <f>'Proposed Rates'!D157</f>
        <v>6.7999999999999996E-3</v>
      </c>
      <c r="G48" s="64">
        <f>$F$18*(1+F75)</f>
        <v>10335</v>
      </c>
      <c r="H48" s="26">
        <f>G48*F48</f>
        <v>70.277999999999992</v>
      </c>
      <c r="I48" s="27"/>
      <c r="J48" s="28">
        <f>'Proposed Rates'!E157</f>
        <v>6.8999999999999999E-3</v>
      </c>
      <c r="K48" s="65">
        <f>F18*(1+J75)</f>
        <v>10335</v>
      </c>
      <c r="L48" s="26">
        <f>K48*J48</f>
        <v>71.311499999999995</v>
      </c>
      <c r="M48" s="27"/>
      <c r="N48" s="30">
        <f t="shared" si="13"/>
        <v>1.0335000000000036</v>
      </c>
      <c r="O48" s="31">
        <f t="shared" si="12"/>
        <v>1.470588235294123E-2</v>
      </c>
      <c r="Q48" s="107"/>
      <c r="S48" s="107"/>
      <c r="U48" s="107"/>
      <c r="W48" s="107"/>
    </row>
    <row r="49" spans="2:23" ht="26.4" x14ac:dyDescent="0.25">
      <c r="B49" s="66" t="s">
        <v>30</v>
      </c>
      <c r="C49" s="27"/>
      <c r="D49" s="62" t="s">
        <v>20</v>
      </c>
      <c r="E49" s="63"/>
      <c r="F49" s="28">
        <f>'Proposed Rates'!D172</f>
        <v>4.4999999999999997E-3</v>
      </c>
      <c r="G49" s="64">
        <f>G48</f>
        <v>10335</v>
      </c>
      <c r="H49" s="26">
        <f>G49*F49</f>
        <v>46.507499999999993</v>
      </c>
      <c r="I49" s="27"/>
      <c r="J49" s="28">
        <f>'Proposed Rates'!E172</f>
        <v>4.5999999999999999E-3</v>
      </c>
      <c r="K49" s="65">
        <f>K48</f>
        <v>10335</v>
      </c>
      <c r="L49" s="26">
        <f>K49*J49</f>
        <v>47.540999999999997</v>
      </c>
      <c r="M49" s="27"/>
      <c r="N49" s="30">
        <f t="shared" si="13"/>
        <v>1.0335000000000036</v>
      </c>
      <c r="O49" s="31">
        <f t="shared" si="12"/>
        <v>2.2222222222222303E-2</v>
      </c>
      <c r="Q49" s="107"/>
      <c r="S49" s="107"/>
      <c r="U49" s="107"/>
      <c r="W49" s="107"/>
    </row>
    <row r="50" spans="2:23" ht="26.4" x14ac:dyDescent="0.25">
      <c r="B50" s="56" t="s">
        <v>31</v>
      </c>
      <c r="C50" s="35"/>
      <c r="D50" s="35"/>
      <c r="E50" s="35"/>
      <c r="F50" s="67"/>
      <c r="G50" s="59"/>
      <c r="H50" s="60">
        <f>SUM(H47:H49)</f>
        <v>370.41255000000007</v>
      </c>
      <c r="I50" s="68"/>
      <c r="J50" s="69"/>
      <c r="K50" s="70"/>
      <c r="L50" s="60">
        <f>SUM(L47:L49)</f>
        <v>392.38619999999997</v>
      </c>
      <c r="M50" s="68"/>
      <c r="N50" s="43">
        <f t="shared" si="13"/>
        <v>21.973649999999907</v>
      </c>
      <c r="O50" s="44">
        <f t="shared" si="12"/>
        <v>5.9322099102743421E-2</v>
      </c>
      <c r="Q50" s="102"/>
      <c r="S50" s="102"/>
      <c r="U50" s="102"/>
      <c r="W50" s="102"/>
    </row>
    <row r="51" spans="2:23" ht="26.4" x14ac:dyDescent="0.25">
      <c r="B51" s="71" t="s">
        <v>32</v>
      </c>
      <c r="C51" s="21"/>
      <c r="D51" s="22" t="s">
        <v>20</v>
      </c>
      <c r="E51" s="23"/>
      <c r="F51" s="72">
        <f>'Proposed Rates'!D186</f>
        <v>3.5999999999999999E-3</v>
      </c>
      <c r="G51" s="64">
        <f>G49</f>
        <v>10335</v>
      </c>
      <c r="H51" s="73">
        <f t="shared" ref="H51:H58" si="14">G51*F51</f>
        <v>37.205999999999996</v>
      </c>
      <c r="I51" s="27"/>
      <c r="J51" s="72">
        <f>F51</f>
        <v>3.5999999999999999E-3</v>
      </c>
      <c r="K51" s="65">
        <f>K49</f>
        <v>10335</v>
      </c>
      <c r="L51" s="73">
        <f t="shared" ref="L51:L58" si="15">K51*J51</f>
        <v>37.205999999999996</v>
      </c>
      <c r="M51" s="27"/>
      <c r="N51" s="30">
        <f t="shared" si="13"/>
        <v>0</v>
      </c>
      <c r="O51" s="74">
        <f t="shared" si="12"/>
        <v>0</v>
      </c>
      <c r="Q51" s="107"/>
      <c r="S51" s="107"/>
      <c r="U51" s="107"/>
      <c r="W51" s="107"/>
    </row>
    <row r="52" spans="2:23" ht="26.4" x14ac:dyDescent="0.25">
      <c r="B52" s="71" t="s">
        <v>33</v>
      </c>
      <c r="C52" s="21"/>
      <c r="D52" s="22" t="s">
        <v>20</v>
      </c>
      <c r="E52" s="23"/>
      <c r="F52" s="72">
        <f>'Proposed Rates'!D191</f>
        <v>2.9999999999999997E-4</v>
      </c>
      <c r="G52" s="64">
        <f>G49</f>
        <v>10335</v>
      </c>
      <c r="H52" s="73">
        <f t="shared" si="14"/>
        <v>3.1004999999999998</v>
      </c>
      <c r="I52" s="27"/>
      <c r="J52" s="72">
        <f>F52</f>
        <v>2.9999999999999997E-4</v>
      </c>
      <c r="K52" s="65">
        <f>K49</f>
        <v>10335</v>
      </c>
      <c r="L52" s="73">
        <f t="shared" si="15"/>
        <v>3.1004999999999998</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5">
      <c r="B54" s="21" t="s">
        <v>120</v>
      </c>
      <c r="C54" s="21"/>
      <c r="D54" s="22"/>
      <c r="E54" s="23"/>
      <c r="F54" s="72">
        <f>'Proposed Rates'!D221</f>
        <v>0</v>
      </c>
      <c r="G54" s="75">
        <f>$F$18*(1+F75)</f>
        <v>10335</v>
      </c>
      <c r="H54" s="73">
        <f>G54*F54</f>
        <v>0</v>
      </c>
      <c r="I54" s="27"/>
      <c r="J54" s="72">
        <f>F54</f>
        <v>0</v>
      </c>
      <c r="K54" s="75">
        <f>$F$18*(1+J75)</f>
        <v>10335</v>
      </c>
      <c r="L54" s="73">
        <f>K54*J54</f>
        <v>0</v>
      </c>
      <c r="M54" s="27"/>
      <c r="N54" s="30"/>
      <c r="O54" s="74"/>
      <c r="Q54" s="107"/>
      <c r="S54" s="107"/>
      <c r="U54" s="107"/>
      <c r="W54" s="107"/>
    </row>
    <row r="55" spans="2:23" x14ac:dyDescent="0.25">
      <c r="B55" s="21" t="s">
        <v>35</v>
      </c>
      <c r="C55" s="21"/>
      <c r="D55" s="22"/>
      <c r="E55" s="23"/>
      <c r="F55" s="72">
        <f>'Proposed Rates'!D216</f>
        <v>6.94E-3</v>
      </c>
      <c r="G55" s="75">
        <f>$F$18</f>
        <v>10000</v>
      </c>
      <c r="H55" s="73">
        <f t="shared" si="14"/>
        <v>69.400000000000006</v>
      </c>
      <c r="I55" s="27"/>
      <c r="J55" s="72">
        <f>+F55</f>
        <v>6.94E-3</v>
      </c>
      <c r="K55" s="76">
        <f>$F$18</f>
        <v>10000</v>
      </c>
      <c r="L55" s="73">
        <f t="shared" si="15"/>
        <v>69.400000000000006</v>
      </c>
      <c r="M55" s="27"/>
      <c r="N55" s="30">
        <f t="shared" si="13"/>
        <v>0</v>
      </c>
      <c r="O55" s="74">
        <f t="shared" si="12"/>
        <v>0</v>
      </c>
      <c r="Q55" s="107"/>
      <c r="S55" s="107"/>
      <c r="U55" s="107"/>
      <c r="W55" s="107"/>
    </row>
    <row r="56" spans="2:23" x14ac:dyDescent="0.25">
      <c r="B56" s="49" t="s">
        <v>36</v>
      </c>
      <c r="C56" s="21"/>
      <c r="D56" s="22"/>
      <c r="E56" s="23"/>
      <c r="F56" s="72">
        <f>'Proposed Rates'!D226</f>
        <v>6.5000000000000002E-2</v>
      </c>
      <c r="G56" s="77">
        <f>0.65*$F$18</f>
        <v>6500</v>
      </c>
      <c r="H56" s="73">
        <f t="shared" si="14"/>
        <v>422.5</v>
      </c>
      <c r="I56" s="27"/>
      <c r="J56" s="72">
        <f>F56</f>
        <v>6.5000000000000002E-2</v>
      </c>
      <c r="K56" s="77">
        <f>$G$56</f>
        <v>6500</v>
      </c>
      <c r="L56" s="73">
        <f t="shared" si="15"/>
        <v>422.5</v>
      </c>
      <c r="M56" s="27"/>
      <c r="N56" s="30">
        <f t="shared" si="13"/>
        <v>0</v>
      </c>
      <c r="O56" s="74">
        <f t="shared" si="12"/>
        <v>0</v>
      </c>
      <c r="Q56" s="107"/>
      <c r="S56" s="107"/>
      <c r="U56" s="107"/>
      <c r="W56" s="107"/>
    </row>
    <row r="57" spans="2:23" x14ac:dyDescent="0.25">
      <c r="B57" s="49" t="s">
        <v>37</v>
      </c>
      <c r="C57" s="21"/>
      <c r="D57" s="22"/>
      <c r="E57" s="23"/>
      <c r="F57" s="72">
        <f>'Proposed Rates'!D227</f>
        <v>9.5000000000000001E-2</v>
      </c>
      <c r="G57" s="77">
        <f>0.17*$F$18</f>
        <v>1700.0000000000002</v>
      </c>
      <c r="H57" s="73">
        <f t="shared" si="14"/>
        <v>161.50000000000003</v>
      </c>
      <c r="I57" s="27"/>
      <c r="J57" s="72">
        <f>F57</f>
        <v>9.5000000000000001E-2</v>
      </c>
      <c r="K57" s="77">
        <f>$G$57</f>
        <v>1700.0000000000002</v>
      </c>
      <c r="L57" s="73">
        <f t="shared" si="15"/>
        <v>161.50000000000003</v>
      </c>
      <c r="M57" s="27"/>
      <c r="N57" s="30">
        <f t="shared" si="13"/>
        <v>0</v>
      </c>
      <c r="O57" s="74">
        <f t="shared" si="12"/>
        <v>0</v>
      </c>
      <c r="Q57" s="107"/>
      <c r="S57" s="107"/>
      <c r="U57" s="107"/>
      <c r="W57" s="107"/>
    </row>
    <row r="58" spans="2:23" x14ac:dyDescent="0.25">
      <c r="B58" s="11" t="s">
        <v>38</v>
      </c>
      <c r="C58" s="21"/>
      <c r="D58" s="22"/>
      <c r="E58" s="23"/>
      <c r="F58" s="72">
        <f>'Proposed Rates'!D228</f>
        <v>0.13200000000000001</v>
      </c>
      <c r="G58" s="77">
        <f>0.18*$F$18</f>
        <v>1800</v>
      </c>
      <c r="H58" s="73">
        <f t="shared" si="14"/>
        <v>237.60000000000002</v>
      </c>
      <c r="I58" s="27"/>
      <c r="J58" s="72">
        <f>F58</f>
        <v>0.13200000000000001</v>
      </c>
      <c r="K58" s="77">
        <f>$G$58</f>
        <v>1800</v>
      </c>
      <c r="L58" s="73">
        <f t="shared" si="15"/>
        <v>237.60000000000002</v>
      </c>
      <c r="M58" s="27"/>
      <c r="N58" s="30">
        <f t="shared" si="13"/>
        <v>0</v>
      </c>
      <c r="O58" s="74">
        <f t="shared" si="12"/>
        <v>0</v>
      </c>
      <c r="Q58" s="107"/>
      <c r="S58" s="107"/>
      <c r="U58" s="107"/>
      <c r="W58" s="107"/>
    </row>
    <row r="59" spans="2:23" s="85" customFormat="1" x14ac:dyDescent="0.25">
      <c r="B59" s="78" t="s">
        <v>39</v>
      </c>
      <c r="C59" s="79"/>
      <c r="D59" s="80"/>
      <c r="E59" s="81"/>
      <c r="F59" s="72">
        <f>'Proposed Rates'!D229</f>
        <v>7.6999999999999999E-2</v>
      </c>
      <c r="G59" s="82">
        <v>750</v>
      </c>
      <c r="H59" s="73">
        <f>G59*F59</f>
        <v>57.75</v>
      </c>
      <c r="I59" s="83"/>
      <c r="J59" s="72">
        <f>F59</f>
        <v>7.6999999999999999E-2</v>
      </c>
      <c r="K59" s="82">
        <f>$G$59</f>
        <v>750</v>
      </c>
      <c r="L59" s="73">
        <f>K59*J59</f>
        <v>57.75</v>
      </c>
      <c r="M59" s="83"/>
      <c r="N59" s="84">
        <f t="shared" si="13"/>
        <v>0</v>
      </c>
      <c r="O59" s="74">
        <f t="shared" si="12"/>
        <v>0</v>
      </c>
      <c r="Q59" s="143"/>
      <c r="R59" s="204"/>
      <c r="S59" s="143"/>
      <c r="T59" s="204"/>
      <c r="U59" s="143"/>
      <c r="V59" s="204"/>
      <c r="W59" s="143"/>
    </row>
    <row r="60" spans="2:23" s="85" customFormat="1" ht="13.8" thickBot="1" x14ac:dyDescent="0.3">
      <c r="B60" s="78" t="s">
        <v>40</v>
      </c>
      <c r="C60" s="79"/>
      <c r="D60" s="80"/>
      <c r="E60" s="81"/>
      <c r="F60" s="72">
        <f>'Proposed Rates'!D230</f>
        <v>0.09</v>
      </c>
      <c r="G60" s="82">
        <f>F18-G59</f>
        <v>9250</v>
      </c>
      <c r="H60" s="73">
        <f>G60*F60</f>
        <v>832.5</v>
      </c>
      <c r="I60" s="83"/>
      <c r="J60" s="72">
        <f>F60</f>
        <v>0.09</v>
      </c>
      <c r="K60" s="82">
        <f>$G$60</f>
        <v>9250</v>
      </c>
      <c r="L60" s="73">
        <f>K60*J60</f>
        <v>832.5</v>
      </c>
      <c r="M60" s="83"/>
      <c r="N60" s="84">
        <f t="shared" si="13"/>
        <v>0</v>
      </c>
      <c r="O60" s="74">
        <f t="shared" si="12"/>
        <v>0</v>
      </c>
      <c r="Q60" s="143"/>
      <c r="R60" s="204"/>
      <c r="S60" s="143"/>
      <c r="T60" s="204"/>
      <c r="U60" s="143"/>
      <c r="V60" s="204"/>
      <c r="W60" s="143"/>
    </row>
    <row r="61" spans="2:23" ht="8.25" customHeight="1" thickBot="1" x14ac:dyDescent="0.3">
      <c r="B61" s="86"/>
      <c r="C61" s="87"/>
      <c r="D61" s="88"/>
      <c r="E61" s="87"/>
      <c r="F61" s="89"/>
      <c r="G61" s="90"/>
      <c r="H61" s="91"/>
      <c r="I61" s="92"/>
      <c r="J61" s="89"/>
      <c r="K61" s="93"/>
      <c r="L61" s="91"/>
      <c r="M61" s="92"/>
      <c r="N61" s="94"/>
      <c r="O61" s="95"/>
      <c r="Q61" s="107"/>
      <c r="S61" s="107"/>
      <c r="U61" s="107"/>
      <c r="W61" s="107"/>
    </row>
    <row r="62" spans="2:23" x14ac:dyDescent="0.25">
      <c r="B62" s="96" t="s">
        <v>41</v>
      </c>
      <c r="C62" s="21"/>
      <c r="D62" s="21"/>
      <c r="E62" s="21"/>
      <c r="F62" s="97"/>
      <c r="G62" s="98"/>
      <c r="H62" s="99">
        <f>SUM(H51:H58,H50)</f>
        <v>1301.9690500000002</v>
      </c>
      <c r="I62" s="100"/>
      <c r="J62" s="101"/>
      <c r="K62" s="101"/>
      <c r="L62" s="254">
        <f>SUM(L51:L58,L50)</f>
        <v>1323.9427000000001</v>
      </c>
      <c r="M62" s="102"/>
      <c r="N62" s="103">
        <f t="shared" ref="N62" si="16">L62-H62</f>
        <v>21.973649999999907</v>
      </c>
      <c r="O62" s="104">
        <f t="shared" ref="O62" si="17">IF((H62)=0,"",(N62/H62))</f>
        <v>1.6877244508999585E-2</v>
      </c>
      <c r="Q62" s="102"/>
      <c r="S62" s="102"/>
      <c r="U62" s="102"/>
      <c r="W62" s="102"/>
    </row>
    <row r="63" spans="2:23" x14ac:dyDescent="0.25">
      <c r="B63" s="105" t="s">
        <v>42</v>
      </c>
      <c r="C63" s="21"/>
      <c r="D63" s="21"/>
      <c r="E63" s="21"/>
      <c r="F63" s="106">
        <v>0.13</v>
      </c>
      <c r="G63" s="107"/>
      <c r="H63" s="108">
        <f>H62*F63</f>
        <v>169.25597650000003</v>
      </c>
      <c r="I63" s="109"/>
      <c r="J63" s="110">
        <v>0.13</v>
      </c>
      <c r="K63" s="109"/>
      <c r="L63" s="113">
        <f>L62*J63</f>
        <v>172.11255100000002</v>
      </c>
      <c r="M63" s="112"/>
      <c r="N63" s="113">
        <f t="shared" si="13"/>
        <v>2.8565744999999936</v>
      </c>
      <c r="O63" s="114">
        <f t="shared" si="12"/>
        <v>1.6877244508999616E-2</v>
      </c>
      <c r="Q63" s="112"/>
      <c r="S63" s="112"/>
      <c r="U63" s="112"/>
      <c r="W63" s="112"/>
    </row>
    <row r="64" spans="2:23" x14ac:dyDescent="0.25">
      <c r="B64" s="250" t="s">
        <v>43</v>
      </c>
      <c r="C64" s="21"/>
      <c r="D64" s="21"/>
      <c r="E64" s="21"/>
      <c r="F64" s="106"/>
      <c r="G64" s="107"/>
      <c r="H64" s="99">
        <f>SUM(H62:H63)</f>
        <v>1471.2250265000002</v>
      </c>
      <c r="I64" s="109"/>
      <c r="J64" s="110"/>
      <c r="K64" s="109"/>
      <c r="L64" s="103">
        <f>SUM(L62:L63)</f>
        <v>1496.055251</v>
      </c>
      <c r="M64" s="112"/>
      <c r="N64" s="103">
        <f t="shared" si="13"/>
        <v>24.830224499999758</v>
      </c>
      <c r="O64" s="104">
        <f t="shared" si="12"/>
        <v>1.6877244508999491E-2</v>
      </c>
      <c r="Q64" s="112"/>
      <c r="S64" s="112"/>
      <c r="U64" s="112"/>
      <c r="W64" s="112"/>
    </row>
    <row r="65" spans="1:23" x14ac:dyDescent="0.25">
      <c r="B65" s="249" t="s">
        <v>137</v>
      </c>
      <c r="C65" s="21"/>
      <c r="D65" s="21"/>
      <c r="E65" s="21"/>
      <c r="F65" s="106">
        <v>-0.08</v>
      </c>
      <c r="G65" s="107"/>
      <c r="H65" s="108">
        <f>H62*F65</f>
        <v>-104.15752400000001</v>
      </c>
      <c r="I65" s="109"/>
      <c r="J65" s="106">
        <v>-0.08</v>
      </c>
      <c r="K65" s="109"/>
      <c r="L65" s="113">
        <f>L62*J65</f>
        <v>-105.91541600000001</v>
      </c>
      <c r="M65" s="112"/>
      <c r="N65" s="113">
        <f t="shared" si="13"/>
        <v>-1.7578919999999982</v>
      </c>
      <c r="O65" s="114">
        <f t="shared" si="12"/>
        <v>1.6877244508999637E-2</v>
      </c>
      <c r="Q65" s="112"/>
      <c r="S65" s="112"/>
      <c r="U65" s="112"/>
      <c r="W65" s="112"/>
    </row>
    <row r="66" spans="1:23" ht="13.8" thickBot="1" x14ac:dyDescent="0.3">
      <c r="B66" s="294" t="s">
        <v>138</v>
      </c>
      <c r="C66" s="294"/>
      <c r="D66" s="294"/>
      <c r="E66" s="21"/>
      <c r="F66" s="116"/>
      <c r="G66" s="107"/>
      <c r="H66" s="99">
        <f>SUM(H64:H65)</f>
        <v>1367.0675025000003</v>
      </c>
      <c r="I66" s="109"/>
      <c r="J66" s="109"/>
      <c r="K66" s="109"/>
      <c r="L66" s="251">
        <f>SUM(L64:L65)</f>
        <v>1390.1398349999999</v>
      </c>
      <c r="M66" s="112"/>
      <c r="N66" s="103">
        <f t="shared" si="13"/>
        <v>23.072332499999675</v>
      </c>
      <c r="O66" s="104">
        <f t="shared" si="12"/>
        <v>1.6877244508999415E-2</v>
      </c>
      <c r="Q66" s="112"/>
      <c r="S66" s="112"/>
      <c r="U66" s="112"/>
      <c r="W66" s="112"/>
    </row>
    <row r="67" spans="1:23" s="85" customFormat="1" ht="8.25" customHeight="1" thickBot="1" x14ac:dyDescent="0.3">
      <c r="B67" s="117"/>
      <c r="C67" s="118"/>
      <c r="D67" s="119"/>
      <c r="E67" s="118"/>
      <c r="F67" s="89"/>
      <c r="G67" s="120"/>
      <c r="H67" s="91"/>
      <c r="I67" s="121"/>
      <c r="J67" s="89"/>
      <c r="K67" s="122"/>
      <c r="L67" s="91"/>
      <c r="M67" s="121"/>
      <c r="N67" s="123"/>
      <c r="O67" s="95"/>
      <c r="Q67" s="143"/>
      <c r="R67" s="204"/>
      <c r="S67" s="143"/>
      <c r="T67" s="204"/>
      <c r="U67" s="143"/>
      <c r="V67" s="204"/>
      <c r="W67" s="143"/>
    </row>
    <row r="68" spans="1:23" s="85" customFormat="1" x14ac:dyDescent="0.25">
      <c r="B68" s="124" t="s">
        <v>44</v>
      </c>
      <c r="C68" s="79"/>
      <c r="D68" s="79"/>
      <c r="E68" s="79"/>
      <c r="F68" s="125"/>
      <c r="G68" s="126"/>
      <c r="H68" s="127">
        <f>SUM(H59:H60,H50,H51:H55)</f>
        <v>1370.61905</v>
      </c>
      <c r="I68" s="128"/>
      <c r="J68" s="129"/>
      <c r="K68" s="129"/>
      <c r="L68" s="259">
        <f>SUM(L59:L60,L50,L51:L55)</f>
        <v>1392.5926999999999</v>
      </c>
      <c r="M68" s="130"/>
      <c r="N68" s="131">
        <f t="shared" ref="N68:N72" si="18">L68-H68</f>
        <v>21.973649999999907</v>
      </c>
      <c r="O68" s="104">
        <f t="shared" ref="O68:O72" si="19">IF((H68)=0,"",(N68/H68))</f>
        <v>1.6031916381141723E-2</v>
      </c>
      <c r="Q68" s="130"/>
      <c r="R68" s="204"/>
      <c r="S68" s="130"/>
      <c r="T68" s="204"/>
      <c r="U68" s="130"/>
      <c r="V68" s="204"/>
      <c r="W68" s="130"/>
    </row>
    <row r="69" spans="1:23" s="85" customFormat="1" x14ac:dyDescent="0.25">
      <c r="B69" s="132" t="s">
        <v>42</v>
      </c>
      <c r="C69" s="79"/>
      <c r="D69" s="79"/>
      <c r="E69" s="79"/>
      <c r="F69" s="133">
        <v>0.13</v>
      </c>
      <c r="G69" s="126"/>
      <c r="H69" s="134">
        <f>H68*F69</f>
        <v>178.1804765</v>
      </c>
      <c r="I69" s="135"/>
      <c r="J69" s="136">
        <v>0.13</v>
      </c>
      <c r="K69" s="137"/>
      <c r="L69" s="140">
        <f>L68*J69</f>
        <v>181.03705099999999</v>
      </c>
      <c r="M69" s="139"/>
      <c r="N69" s="140">
        <f t="shared" si="18"/>
        <v>2.8565744999999936</v>
      </c>
      <c r="O69" s="114">
        <f t="shared" si="19"/>
        <v>1.6031916381141757E-2</v>
      </c>
      <c r="Q69" s="139"/>
      <c r="R69" s="204"/>
      <c r="S69" s="139"/>
      <c r="T69" s="204"/>
      <c r="U69" s="139"/>
      <c r="V69" s="204"/>
      <c r="W69" s="139"/>
    </row>
    <row r="70" spans="1:23" s="85" customFormat="1" x14ac:dyDescent="0.25">
      <c r="B70" s="258" t="s">
        <v>43</v>
      </c>
      <c r="C70" s="79"/>
      <c r="D70" s="79"/>
      <c r="E70" s="79"/>
      <c r="F70" s="142"/>
      <c r="G70" s="143"/>
      <c r="H70" s="127">
        <f>H68+H69</f>
        <v>1548.7995265</v>
      </c>
      <c r="I70" s="135"/>
      <c r="J70" s="135"/>
      <c r="K70" s="135"/>
      <c r="L70" s="131">
        <f>L68+L69</f>
        <v>1573.6297509999999</v>
      </c>
      <c r="M70" s="139"/>
      <c r="N70" s="131">
        <f t="shared" si="18"/>
        <v>24.830224499999986</v>
      </c>
      <c r="O70" s="104">
        <f t="shared" si="19"/>
        <v>1.6031916381141782E-2</v>
      </c>
      <c r="Q70" s="139"/>
      <c r="R70" s="204"/>
      <c r="S70" s="139"/>
      <c r="T70" s="204"/>
      <c r="U70" s="139"/>
      <c r="V70" s="204"/>
      <c r="W70" s="139"/>
    </row>
    <row r="71" spans="1:23" s="85" customFormat="1" x14ac:dyDescent="0.25">
      <c r="B71" s="249" t="s">
        <v>137</v>
      </c>
      <c r="C71" s="21"/>
      <c r="D71" s="21"/>
      <c r="E71" s="79"/>
      <c r="F71" s="260">
        <v>-0.08</v>
      </c>
      <c r="G71" s="143"/>
      <c r="H71" s="134">
        <f>H68*F71</f>
        <v>-109.649524</v>
      </c>
      <c r="I71" s="135"/>
      <c r="J71" s="261">
        <v>-0.08</v>
      </c>
      <c r="K71" s="135"/>
      <c r="L71" s="140">
        <f>L68*J71</f>
        <v>-111.407416</v>
      </c>
      <c r="M71" s="139"/>
      <c r="N71" s="140">
        <f t="shared" si="18"/>
        <v>-1.7578919999999982</v>
      </c>
      <c r="O71" s="114">
        <f t="shared" si="19"/>
        <v>1.6031916381141775E-2</v>
      </c>
      <c r="Q71" s="139"/>
      <c r="R71" s="204"/>
      <c r="S71" s="139"/>
      <c r="T71" s="204"/>
      <c r="U71" s="139"/>
      <c r="V71" s="204"/>
      <c r="W71" s="139"/>
    </row>
    <row r="72" spans="1:23" s="85" customFormat="1" ht="13.8" thickBot="1" x14ac:dyDescent="0.3">
      <c r="B72" s="294" t="s">
        <v>138</v>
      </c>
      <c r="C72" s="294"/>
      <c r="D72" s="294"/>
      <c r="E72" s="79"/>
      <c r="F72" s="142"/>
      <c r="G72" s="143"/>
      <c r="H72" s="127">
        <f>SUM(H70:H71)</f>
        <v>1439.1500025</v>
      </c>
      <c r="I72" s="135"/>
      <c r="J72" s="135"/>
      <c r="K72" s="135"/>
      <c r="L72" s="262">
        <f>SUM(L70:L71)</f>
        <v>1462.2223349999999</v>
      </c>
      <c r="M72" s="139"/>
      <c r="N72" s="131">
        <f t="shared" si="18"/>
        <v>23.072332499999902</v>
      </c>
      <c r="O72" s="104">
        <f t="shared" si="19"/>
        <v>1.6031916381141723E-2</v>
      </c>
      <c r="Q72" s="139"/>
      <c r="R72" s="204"/>
      <c r="S72" s="139"/>
      <c r="T72" s="204"/>
      <c r="U72" s="139"/>
      <c r="V72" s="204"/>
      <c r="W72" s="139"/>
    </row>
    <row r="73" spans="1:23" s="85" customFormat="1" ht="8.25" customHeight="1" thickBot="1" x14ac:dyDescent="0.3">
      <c r="B73" s="117"/>
      <c r="C73" s="118"/>
      <c r="D73" s="119"/>
      <c r="E73" s="118"/>
      <c r="F73" s="144"/>
      <c r="G73" s="145"/>
      <c r="H73" s="146"/>
      <c r="I73" s="147"/>
      <c r="J73" s="144"/>
      <c r="K73" s="120"/>
      <c r="L73" s="148"/>
      <c r="M73" s="121"/>
      <c r="N73" s="149"/>
      <c r="O73" s="95"/>
      <c r="Q73" s="143"/>
      <c r="R73" s="204"/>
      <c r="S73" s="143"/>
      <c r="T73" s="204"/>
      <c r="U73" s="143"/>
      <c r="V73" s="204"/>
      <c r="W73" s="143"/>
    </row>
    <row r="74" spans="1:23" x14ac:dyDescent="0.25">
      <c r="L74" s="150"/>
    </row>
    <row r="75" spans="1:23" x14ac:dyDescent="0.25">
      <c r="B75" s="12" t="s">
        <v>45</v>
      </c>
      <c r="F75" s="151">
        <f>'Proposed Rates'!D202</f>
        <v>3.3500000000000002E-2</v>
      </c>
      <c r="J75" s="151">
        <f>+'Res (100)'!J74</f>
        <v>3.3500000000000002E-2</v>
      </c>
    </row>
    <row r="77" spans="1:23" ht="13.5" customHeight="1" x14ac:dyDescent="0.25">
      <c r="Q77" s="202"/>
      <c r="R77" s="202"/>
      <c r="S77" s="6"/>
      <c r="T77" s="6"/>
      <c r="U77" s="6"/>
      <c r="V77" s="6"/>
      <c r="W77" s="6"/>
    </row>
    <row r="78" spans="1:23" ht="12" customHeight="1" x14ac:dyDescent="0.25">
      <c r="A78" s="6" t="s">
        <v>46</v>
      </c>
      <c r="Q78" s="202"/>
      <c r="R78" s="202"/>
      <c r="S78" s="6"/>
      <c r="T78" s="6"/>
      <c r="U78" s="6"/>
      <c r="V78" s="6"/>
      <c r="W78" s="6"/>
    </row>
    <row r="79" spans="1:23" x14ac:dyDescent="0.25">
      <c r="A79" s="6" t="s">
        <v>47</v>
      </c>
      <c r="Q79" s="202"/>
      <c r="R79" s="202"/>
      <c r="S79" s="6"/>
      <c r="T79" s="6"/>
      <c r="U79" s="6"/>
      <c r="V79" s="6"/>
      <c r="W79" s="6"/>
    </row>
    <row r="80" spans="1:23" x14ac:dyDescent="0.25">
      <c r="Q80" s="202"/>
      <c r="R80" s="202"/>
      <c r="S80" s="6"/>
      <c r="T80" s="6"/>
      <c r="U80" s="6"/>
      <c r="V80" s="6"/>
      <c r="W80" s="6"/>
    </row>
    <row r="81" spans="1:23" x14ac:dyDescent="0.25">
      <c r="A81" s="153" t="s">
        <v>133</v>
      </c>
      <c r="Q81" s="202"/>
      <c r="R81" s="202"/>
      <c r="S81" s="6"/>
      <c r="T81" s="6"/>
      <c r="U81" s="6"/>
      <c r="V81" s="6"/>
      <c r="W81" s="6"/>
    </row>
    <row r="82" spans="1:23" x14ac:dyDescent="0.25">
      <c r="A82" s="11" t="s">
        <v>48</v>
      </c>
      <c r="Q82" s="202"/>
      <c r="R82" s="202"/>
      <c r="S82" s="6"/>
      <c r="T82" s="6"/>
      <c r="U82" s="6"/>
      <c r="V82" s="6"/>
      <c r="W82" s="6"/>
    </row>
    <row r="83" spans="1:23" x14ac:dyDescent="0.25">
      <c r="Q83" s="202"/>
      <c r="R83" s="202"/>
      <c r="S83" s="6"/>
      <c r="T83" s="6"/>
      <c r="U83" s="6"/>
      <c r="V83" s="6"/>
      <c r="W83" s="6"/>
    </row>
    <row r="84" spans="1:23" x14ac:dyDescent="0.25">
      <c r="A84" s="6" t="s">
        <v>132</v>
      </c>
      <c r="Q84" s="202"/>
      <c r="R84" s="202"/>
      <c r="S84" s="6"/>
      <c r="T84" s="6"/>
      <c r="U84" s="6"/>
      <c r="V84" s="6"/>
      <c r="W84" s="6"/>
    </row>
    <row r="85" spans="1:23" x14ac:dyDescent="0.25">
      <c r="A85" s="6" t="s">
        <v>49</v>
      </c>
      <c r="Q85" s="202"/>
      <c r="R85" s="202"/>
      <c r="S85" s="6"/>
      <c r="T85" s="6"/>
      <c r="U85" s="6"/>
      <c r="V85" s="6"/>
      <c r="W85" s="6"/>
    </row>
    <row r="86" spans="1:23" x14ac:dyDescent="0.25">
      <c r="A86" s="6" t="s">
        <v>50</v>
      </c>
      <c r="Q86" s="202"/>
      <c r="R86" s="202"/>
      <c r="S86" s="6"/>
      <c r="T86" s="6"/>
      <c r="U86" s="6"/>
      <c r="V86" s="6"/>
      <c r="W86" s="6"/>
    </row>
    <row r="87" spans="1:23" x14ac:dyDescent="0.25">
      <c r="A87" s="6" t="s">
        <v>51</v>
      </c>
      <c r="Q87" s="202"/>
      <c r="R87" s="202"/>
      <c r="S87" s="6"/>
      <c r="T87" s="6"/>
      <c r="U87" s="6"/>
      <c r="V87" s="6"/>
      <c r="W87" s="6"/>
    </row>
    <row r="88" spans="1:23" x14ac:dyDescent="0.25">
      <c r="A88" s="6" t="s">
        <v>52</v>
      </c>
      <c r="Q88" s="202"/>
      <c r="R88" s="202"/>
      <c r="S88" s="6"/>
      <c r="T88" s="6"/>
      <c r="U88" s="6"/>
      <c r="V88" s="6"/>
      <c r="W88" s="6"/>
    </row>
    <row r="89" spans="1:23" x14ac:dyDescent="0.25">
      <c r="Q89" s="202"/>
      <c r="R89" s="202"/>
      <c r="S89" s="6"/>
      <c r="T89" s="6"/>
      <c r="U89" s="6"/>
      <c r="V89" s="6"/>
      <c r="W89" s="6"/>
    </row>
    <row r="90" spans="1:23" x14ac:dyDescent="0.25">
      <c r="A90" s="152"/>
      <c r="B90" s="6" t="s">
        <v>53</v>
      </c>
      <c r="Q90" s="202"/>
      <c r="R90" s="202"/>
      <c r="S90" s="6"/>
      <c r="T90" s="6"/>
      <c r="U90" s="6"/>
      <c r="V90" s="6"/>
      <c r="W90" s="6"/>
    </row>
    <row r="91" spans="1:23" x14ac:dyDescent="0.25">
      <c r="Q91" s="202"/>
      <c r="R91" s="202"/>
      <c r="S91" s="6"/>
      <c r="T91" s="6"/>
      <c r="U91" s="6"/>
      <c r="V91" s="6"/>
      <c r="W91" s="6"/>
    </row>
    <row r="92" spans="1:23" x14ac:dyDescent="0.25">
      <c r="B92" s="153" t="s">
        <v>54</v>
      </c>
      <c r="Q92" s="202"/>
      <c r="R92" s="202"/>
      <c r="S92" s="6"/>
      <c r="T92" s="6"/>
      <c r="U92" s="6"/>
      <c r="V92" s="6"/>
      <c r="W92" s="6"/>
    </row>
  </sheetData>
  <sheetProtection selectLockedCells="1"/>
  <mergeCells count="10">
    <mergeCell ref="B66:D66"/>
    <mergeCell ref="B72:D72"/>
    <mergeCell ref="A3:K3"/>
    <mergeCell ref="D14:O14"/>
    <mergeCell ref="F20:H20"/>
    <mergeCell ref="J20:L20"/>
    <mergeCell ref="N20:O20"/>
    <mergeCell ref="D21:D22"/>
    <mergeCell ref="N21:N22"/>
    <mergeCell ref="O21:O22"/>
  </mergeCells>
  <dataValidations count="3">
    <dataValidation type="list" allowBlank="1" showInputMessage="1" showErrorMessage="1" sqref="E48:E49 E73 E67 E51:E61 E23:E38 E40:E46">
      <formula1>#REF!</formula1>
    </dataValidation>
    <dataValidation type="list" allowBlank="1" showInputMessage="1" showErrorMessage="1" prompt="Select Charge Unit - monthly, per kWh, per kW" sqref="D73 D67 D23:D38 D51:D61 D48:D49 D40:D46">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Option Button 1">
              <controlPr defaultSize="0" autoFill="0" autoLine="0" autoPict="0">
                <anchor moveWithCells="1">
                  <from>
                    <xdr:col>3</xdr:col>
                    <xdr:colOff>624840</xdr:colOff>
                    <xdr:row>9</xdr:row>
                    <xdr:rowOff>198120</xdr:rowOff>
                  </from>
                  <to>
                    <xdr:col>5</xdr:col>
                    <xdr:colOff>800100</xdr:colOff>
                    <xdr:row>10</xdr:row>
                    <xdr:rowOff>91440</xdr:rowOff>
                  </to>
                </anchor>
              </controlPr>
            </control>
          </mc:Choice>
        </mc:AlternateContent>
        <mc:AlternateContent xmlns:mc="http://schemas.openxmlformats.org/markup-compatibility/2006">
          <mc:Choice Requires="x14">
            <control shapeId="132098" r:id="rId5" name="Option Button 2">
              <controlPr defaultSize="0" autoFill="0" autoLine="0" autoPict="0">
                <anchor moveWithCells="1">
                  <from>
                    <xdr:col>5</xdr:col>
                    <xdr:colOff>556260</xdr:colOff>
                    <xdr:row>9</xdr:row>
                    <xdr:rowOff>167640</xdr:rowOff>
                  </from>
                  <to>
                    <xdr:col>9</xdr:col>
                    <xdr:colOff>480060</xdr:colOff>
                    <xdr:row>10</xdr:row>
                    <xdr:rowOff>160020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W92"/>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44140625" style="6" customWidth="1"/>
    <col min="7" max="7" width="7.88671875" style="6" bestFit="1" customWidth="1"/>
    <col min="8" max="8" width="10.44140625" style="6" bestFit="1" customWidth="1"/>
    <col min="9" max="9" width="2.88671875" style="6" customWidth="1"/>
    <col min="10" max="10" width="9.88671875" style="6" bestFit="1" customWidth="1"/>
    <col min="11" max="11" width="7.88671875" style="6" bestFit="1" customWidth="1"/>
    <col min="12" max="12" width="10.4414062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8"/>
      <c r="D10" s="168"/>
      <c r="E10" s="168"/>
      <c r="F10" s="166" t="s">
        <v>134</v>
      </c>
      <c r="G10" s="168"/>
      <c r="H10" s="168"/>
      <c r="I10" s="168"/>
      <c r="J10" s="168"/>
      <c r="K10" s="168"/>
      <c r="L10" s="168"/>
      <c r="M10" s="168"/>
      <c r="N10" s="168"/>
      <c r="O10" s="168"/>
      <c r="P10"/>
    </row>
    <row r="11" spans="1:23" ht="18.75" customHeight="1" x14ac:dyDescent="0.3">
      <c r="C11" s="168"/>
      <c r="D11" s="168"/>
      <c r="E11" s="168"/>
      <c r="F11" s="168" t="s">
        <v>0</v>
      </c>
      <c r="G11" s="168"/>
      <c r="H11" s="168"/>
      <c r="I11" s="168"/>
      <c r="J11" s="168"/>
      <c r="K11" s="168"/>
      <c r="L11" s="168"/>
      <c r="M11" s="168"/>
      <c r="N11" s="168"/>
      <c r="O11" s="168"/>
      <c r="P11"/>
    </row>
    <row r="12" spans="1:23" ht="7.5" customHeight="1" x14ac:dyDescent="0.25">
      <c r="L12"/>
      <c r="M12"/>
      <c r="N12"/>
      <c r="O12"/>
      <c r="P12"/>
    </row>
    <row r="13" spans="1:23" ht="7.5" customHeight="1" x14ac:dyDescent="0.25">
      <c r="L13"/>
      <c r="M13"/>
      <c r="N13"/>
      <c r="O13"/>
      <c r="P13"/>
    </row>
    <row r="14" spans="1:23" ht="15.6" x14ac:dyDescent="0.25">
      <c r="B14" s="7" t="s">
        <v>1</v>
      </c>
      <c r="D14" s="302" t="s">
        <v>55</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15000</v>
      </c>
      <c r="G18" s="12" t="s">
        <v>6</v>
      </c>
    </row>
    <row r="19" spans="2:23" x14ac:dyDescent="0.25">
      <c r="B19" s="11"/>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Rates'!D8</f>
        <v>17.89</v>
      </c>
      <c r="G23" s="25">
        <v>1</v>
      </c>
      <c r="H23" s="26">
        <f>G23*F23</f>
        <v>17.89</v>
      </c>
      <c r="I23" s="27"/>
      <c r="J23" s="28">
        <f>+'Proposed Rates'!E8</f>
        <v>18.600000000000001</v>
      </c>
      <c r="K23" s="29">
        <v>1</v>
      </c>
      <c r="L23" s="26">
        <f>K23*J23</f>
        <v>18.600000000000001</v>
      </c>
      <c r="M23" s="27"/>
      <c r="N23" s="30">
        <f>L23-H23</f>
        <v>0.71000000000000085</v>
      </c>
      <c r="O23" s="31">
        <f>IF((H23)=0,"",(N23/H23))</f>
        <v>3.9686975964225872E-2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Rates'!D21</f>
        <v>2.2700000000000001E-2</v>
      </c>
      <c r="G29" s="25">
        <f>$F$18</f>
        <v>15000</v>
      </c>
      <c r="H29" s="26">
        <f t="shared" si="0"/>
        <v>340.5</v>
      </c>
      <c r="I29" s="27"/>
      <c r="J29" s="28">
        <f>+'Proposed Rates'!E21</f>
        <v>2.3800000000000002E-2</v>
      </c>
      <c r="K29" s="25">
        <f>$F$18</f>
        <v>15000</v>
      </c>
      <c r="L29" s="26">
        <f t="shared" si="1"/>
        <v>357</v>
      </c>
      <c r="M29" s="27"/>
      <c r="N29" s="30">
        <f t="shared" si="2"/>
        <v>16.5</v>
      </c>
      <c r="O29" s="31">
        <f t="shared" si="3"/>
        <v>4.8458149779735685E-2</v>
      </c>
      <c r="Q29" s="107"/>
      <c r="S29" s="107"/>
      <c r="U29" s="107"/>
      <c r="W29" s="107"/>
    </row>
    <row r="30" spans="2:23" x14ac:dyDescent="0.25">
      <c r="B30" s="21" t="s">
        <v>21</v>
      </c>
      <c r="C30" s="21"/>
      <c r="D30" s="22"/>
      <c r="E30" s="23"/>
      <c r="F30" s="24"/>
      <c r="G30" s="25">
        <f t="shared" ref="G30" si="4">$F$18</f>
        <v>15000</v>
      </c>
      <c r="H30" s="26">
        <f t="shared" si="0"/>
        <v>0</v>
      </c>
      <c r="I30" s="27"/>
      <c r="J30" s="28"/>
      <c r="K30" s="25">
        <f t="shared" ref="K30:K38" si="5">$F$18</f>
        <v>15000</v>
      </c>
      <c r="L30" s="26">
        <f t="shared" si="1"/>
        <v>0</v>
      </c>
      <c r="M30" s="27"/>
      <c r="N30" s="30">
        <f t="shared" si="2"/>
        <v>0</v>
      </c>
      <c r="O30" s="31" t="str">
        <f t="shared" si="3"/>
        <v/>
      </c>
      <c r="Q30" s="107"/>
      <c r="S30" s="107"/>
      <c r="U30" s="107"/>
      <c r="W30" s="107"/>
    </row>
    <row r="31" spans="2:23" x14ac:dyDescent="0.25">
      <c r="B31" s="21" t="s">
        <v>22</v>
      </c>
      <c r="C31" s="21"/>
      <c r="D31" s="22" t="s">
        <v>20</v>
      </c>
      <c r="E31" s="23"/>
      <c r="F31" s="50">
        <f>'Proposed Rates'!D68</f>
        <v>0</v>
      </c>
      <c r="G31" s="25">
        <f>$F$18</f>
        <v>15000</v>
      </c>
      <c r="H31" s="26">
        <f t="shared" si="0"/>
        <v>0</v>
      </c>
      <c r="I31" s="27"/>
      <c r="J31" s="52">
        <f>+'Proposed Rates'!E68</f>
        <v>0</v>
      </c>
      <c r="K31" s="25">
        <f t="shared" si="5"/>
        <v>15000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15000</v>
      </c>
      <c r="H32" s="26">
        <f t="shared" si="0"/>
        <v>0</v>
      </c>
      <c r="I32" s="27"/>
      <c r="J32" s="28"/>
      <c r="K32" s="25">
        <f t="shared" si="5"/>
        <v>15000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15000</v>
      </c>
      <c r="H33" s="26">
        <f t="shared" si="0"/>
        <v>0</v>
      </c>
      <c r="I33" s="27"/>
      <c r="J33" s="28"/>
      <c r="K33" s="25">
        <f t="shared" si="5"/>
        <v>15000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15000</v>
      </c>
      <c r="H34" s="26">
        <f t="shared" si="0"/>
        <v>0</v>
      </c>
      <c r="I34" s="27"/>
      <c r="J34" s="28"/>
      <c r="K34" s="25">
        <f t="shared" si="5"/>
        <v>15000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15000</v>
      </c>
      <c r="H35" s="26">
        <f t="shared" si="0"/>
        <v>0</v>
      </c>
      <c r="I35" s="27"/>
      <c r="J35" s="28"/>
      <c r="K35" s="25">
        <f t="shared" si="5"/>
        <v>15000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15000</v>
      </c>
      <c r="H36" s="26">
        <f t="shared" si="0"/>
        <v>0</v>
      </c>
      <c r="I36" s="27"/>
      <c r="J36" s="28"/>
      <c r="K36" s="25">
        <f t="shared" si="5"/>
        <v>15000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15000</v>
      </c>
      <c r="H37" s="26">
        <f t="shared" si="0"/>
        <v>0</v>
      </c>
      <c r="I37" s="27"/>
      <c r="J37" s="28"/>
      <c r="K37" s="25">
        <f t="shared" si="5"/>
        <v>15000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15000</v>
      </c>
      <c r="H38" s="26">
        <f t="shared" si="0"/>
        <v>0</v>
      </c>
      <c r="I38" s="27"/>
      <c r="J38" s="28"/>
      <c r="K38" s="25">
        <f t="shared" si="5"/>
        <v>15000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358.39</v>
      </c>
      <c r="I39" s="40"/>
      <c r="J39" s="41"/>
      <c r="K39" s="42"/>
      <c r="L39" s="39">
        <f>SUM(L23:L38)</f>
        <v>375.6</v>
      </c>
      <c r="M39" s="40"/>
      <c r="N39" s="43">
        <f t="shared" si="2"/>
        <v>17.210000000000036</v>
      </c>
      <c r="O39" s="44">
        <f t="shared" si="3"/>
        <v>4.8020313066770938E-2</v>
      </c>
      <c r="Q39" s="107"/>
      <c r="R39" s="203"/>
      <c r="S39" s="107"/>
      <c r="T39" s="203"/>
      <c r="U39" s="107"/>
      <c r="V39" s="203"/>
      <c r="W39" s="107"/>
    </row>
    <row r="40" spans="2:23" ht="26.4" x14ac:dyDescent="0.25">
      <c r="B40" s="46" t="str">
        <f>+'Res (100)'!B40</f>
        <v>Deferral/Variance Account Disposition Rate Rider Group 1</v>
      </c>
      <c r="C40" s="21"/>
      <c r="D40" s="22" t="s">
        <v>20</v>
      </c>
      <c r="E40" s="23"/>
      <c r="F40" s="50">
        <f>'Proposed Rates'!D39</f>
        <v>0</v>
      </c>
      <c r="G40" s="25">
        <f>$F$18</f>
        <v>15000</v>
      </c>
      <c r="H40" s="26">
        <f>G40*F40</f>
        <v>0</v>
      </c>
      <c r="I40" s="27"/>
      <c r="J40" s="28">
        <f>+'Proposed Rates'!E39</f>
        <v>-4.0000000000000002E-4</v>
      </c>
      <c r="K40" s="25">
        <f>$F$18</f>
        <v>15000</v>
      </c>
      <c r="L40" s="26">
        <f>K40*J40</f>
        <v>-6</v>
      </c>
      <c r="M40" s="27"/>
      <c r="N40" s="30">
        <f>L40-H40</f>
        <v>-6</v>
      </c>
      <c r="O40" s="31" t="str">
        <f>IF((H40)=0,"",(N40/H40))</f>
        <v/>
      </c>
      <c r="Q40" s="107"/>
      <c r="S40" s="107"/>
      <c r="U40" s="107"/>
      <c r="W40" s="107"/>
    </row>
    <row r="41" spans="2:23" ht="26.4" x14ac:dyDescent="0.25">
      <c r="B41" s="46" t="str">
        <f>+'Res (100)'!B41</f>
        <v>Deferral/Variance Account Disposition Rate Rider Group 2</v>
      </c>
      <c r="C41" s="21"/>
      <c r="D41" s="22" t="s">
        <v>20</v>
      </c>
      <c r="E41" s="23"/>
      <c r="F41" s="50">
        <f>'Proposed Rates'!D53</f>
        <v>0</v>
      </c>
      <c r="G41" s="25">
        <f t="shared" ref="G41:G43" si="7">$F$18</f>
        <v>15000</v>
      </c>
      <c r="H41" s="26">
        <f t="shared" ref="H41:H45" si="8">G41*F41</f>
        <v>0</v>
      </c>
      <c r="I41" s="47"/>
      <c r="J41" s="28">
        <f>+'Proposed Rates'!E53</f>
        <v>0</v>
      </c>
      <c r="K41" s="25">
        <f t="shared" ref="K41:K43" si="9">$F$18</f>
        <v>15000</v>
      </c>
      <c r="L41" s="26">
        <f t="shared" ref="L41:L45" si="10">K41*J41</f>
        <v>0</v>
      </c>
      <c r="M41" s="48"/>
      <c r="N41" s="30">
        <f t="shared" ref="N41:N45" si="11">L41-H41</f>
        <v>0</v>
      </c>
      <c r="O41" s="31" t="str">
        <f t="shared" ref="O41:O66" si="12">IF((H41)=0,"",(N41/H41))</f>
        <v/>
      </c>
      <c r="Q41" s="107"/>
      <c r="S41" s="107"/>
      <c r="U41" s="107"/>
      <c r="W41" s="107"/>
    </row>
    <row r="42" spans="2:23" ht="39.6" x14ac:dyDescent="0.25">
      <c r="B42" s="46" t="str">
        <f>+'Res (100)'!B42</f>
        <v>Deferral / Variance Accounts Balances (excluding Global Adj.) - NON-WMP</v>
      </c>
      <c r="C42" s="21"/>
      <c r="D42" s="22" t="s">
        <v>20</v>
      </c>
      <c r="E42" s="23"/>
      <c r="F42" s="24">
        <f>'Proposed Rates'!D98</f>
        <v>-2.3E-3</v>
      </c>
      <c r="G42" s="25">
        <f t="shared" si="7"/>
        <v>15000</v>
      </c>
      <c r="H42" s="26">
        <f t="shared" si="8"/>
        <v>-34.5</v>
      </c>
      <c r="I42" s="47"/>
      <c r="J42" s="28">
        <f>+'Proposed Rates'!E98</f>
        <v>-8.0000000000000004E-4</v>
      </c>
      <c r="K42" s="25">
        <f t="shared" si="9"/>
        <v>15000</v>
      </c>
      <c r="L42" s="26">
        <f t="shared" si="10"/>
        <v>-12</v>
      </c>
      <c r="M42" s="48"/>
      <c r="N42" s="30">
        <f t="shared" si="11"/>
        <v>22.5</v>
      </c>
      <c r="O42" s="31">
        <f t="shared" si="12"/>
        <v>-0.65217391304347827</v>
      </c>
      <c r="Q42" s="107"/>
      <c r="S42" s="107"/>
      <c r="U42" s="107"/>
      <c r="W42" s="107"/>
    </row>
    <row r="43" spans="2:23" ht="39.6" x14ac:dyDescent="0.25">
      <c r="B43" s="46" t="s">
        <v>125</v>
      </c>
      <c r="C43" s="21"/>
      <c r="D43" s="22" t="s">
        <v>20</v>
      </c>
      <c r="E43" s="23"/>
      <c r="F43" s="24">
        <f>+'Proposed Rates'!D112</f>
        <v>2.7E-4</v>
      </c>
      <c r="G43" s="25">
        <f t="shared" si="7"/>
        <v>15000</v>
      </c>
      <c r="H43" s="26">
        <f t="shared" si="8"/>
        <v>4.05</v>
      </c>
      <c r="I43" s="47"/>
      <c r="J43" s="223">
        <f>+'Proposed Rates'!E112</f>
        <v>0</v>
      </c>
      <c r="K43" s="25">
        <f t="shared" si="9"/>
        <v>15000</v>
      </c>
      <c r="L43" s="26">
        <f t="shared" si="10"/>
        <v>0</v>
      </c>
      <c r="M43" s="48"/>
      <c r="N43" s="30">
        <f t="shared" si="11"/>
        <v>-4.05</v>
      </c>
      <c r="O43" s="31">
        <f t="shared" si="12"/>
        <v>-1</v>
      </c>
      <c r="Q43" s="107"/>
      <c r="S43" s="107"/>
      <c r="U43" s="107"/>
      <c r="W43" s="107"/>
    </row>
    <row r="44" spans="2:23" x14ac:dyDescent="0.25">
      <c r="B44" s="49" t="s">
        <v>25</v>
      </c>
      <c r="C44" s="21"/>
      <c r="D44" s="22" t="s">
        <v>20</v>
      </c>
      <c r="E44" s="23"/>
      <c r="F44" s="50">
        <f>'Proposed Rates'!D127</f>
        <v>6.9999999999999994E-5</v>
      </c>
      <c r="G44" s="51">
        <f>$F$18*(1+F75)</f>
        <v>15502.500000000002</v>
      </c>
      <c r="H44" s="26">
        <f>G44*F44</f>
        <v>1.085175</v>
      </c>
      <c r="I44" s="27"/>
      <c r="J44" s="52">
        <f>'Proposed Rates'!E127</f>
        <v>6.0000000000000002E-5</v>
      </c>
      <c r="K44" s="51">
        <f>$F$18*(1+J75)</f>
        <v>15502.500000000002</v>
      </c>
      <c r="L44" s="26">
        <f>K44*J44</f>
        <v>0.93015000000000014</v>
      </c>
      <c r="M44" s="27"/>
      <c r="N44" s="30">
        <f>L44-H44</f>
        <v>-0.15502499999999986</v>
      </c>
      <c r="O44" s="31">
        <f>IF((H44)=0,"",(N44/H44))</f>
        <v>-0.14285714285714274</v>
      </c>
      <c r="Q44" s="107"/>
      <c r="S44" s="107"/>
      <c r="U44" s="107"/>
      <c r="W44" s="107"/>
    </row>
    <row r="45" spans="2:23" x14ac:dyDescent="0.25">
      <c r="B45" s="49" t="s">
        <v>26</v>
      </c>
      <c r="C45" s="21"/>
      <c r="D45" s="22"/>
      <c r="E45" s="23"/>
      <c r="F45" s="53">
        <f>IF(ISBLANK(D16)=TRUE, 0, IF(D16="TOU", 0.65*$F$56+0.17*$F$57+0.18*$F$58, IF(AND(D16="non-TOU", G60&gt;0), F60,F59)))</f>
        <v>8.2160000000000011E-2</v>
      </c>
      <c r="G45" s="54">
        <f>$F$18*(1+$F$75)-$F$18</f>
        <v>502.50000000000182</v>
      </c>
      <c r="H45" s="26">
        <f t="shared" si="8"/>
        <v>41.285400000000152</v>
      </c>
      <c r="I45" s="27"/>
      <c r="J45" s="55">
        <f>0.65*$J$56+0.17*$J$57+0.18*$J$58</f>
        <v>8.2160000000000011E-2</v>
      </c>
      <c r="K45" s="54">
        <f>$F$18*(1+$J$75)-$F$18</f>
        <v>502.50000000000182</v>
      </c>
      <c r="L45" s="26">
        <f t="shared" si="10"/>
        <v>41.285400000000152</v>
      </c>
      <c r="M45" s="27"/>
      <c r="N45" s="30">
        <f t="shared" si="11"/>
        <v>0</v>
      </c>
      <c r="O45" s="31">
        <f t="shared" si="12"/>
        <v>0</v>
      </c>
      <c r="Q45" s="107"/>
      <c r="S45" s="107"/>
      <c r="U45" s="107"/>
      <c r="W45" s="107"/>
    </row>
    <row r="46" spans="2:23" x14ac:dyDescent="0.25">
      <c r="B46" s="49" t="s">
        <v>27</v>
      </c>
      <c r="C46" s="21"/>
      <c r="D46" s="22" t="s">
        <v>17</v>
      </c>
      <c r="E46" s="23"/>
      <c r="F46" s="53">
        <f>'Proposed Rates'!D142</f>
        <v>0.79</v>
      </c>
      <c r="G46" s="25">
        <v>1</v>
      </c>
      <c r="H46" s="26">
        <f>G46*F46</f>
        <v>0.79</v>
      </c>
      <c r="I46" s="27"/>
      <c r="J46" s="53">
        <f>'Proposed Rates'!E142</f>
        <v>0.79</v>
      </c>
      <c r="K46" s="25">
        <v>1</v>
      </c>
      <c r="L46" s="26">
        <f>K46*J46</f>
        <v>0.79</v>
      </c>
      <c r="M46" s="27"/>
      <c r="N46" s="30">
        <f>L46-H46</f>
        <v>0</v>
      </c>
      <c r="O46" s="31">
        <f t="shared" si="12"/>
        <v>0</v>
      </c>
      <c r="Q46" s="107"/>
      <c r="S46" s="107"/>
      <c r="U46" s="107"/>
      <c r="W46" s="107"/>
    </row>
    <row r="47" spans="2:23" ht="26.4" x14ac:dyDescent="0.25">
      <c r="B47" s="56" t="s">
        <v>28</v>
      </c>
      <c r="C47" s="57"/>
      <c r="D47" s="57"/>
      <c r="E47" s="57"/>
      <c r="F47" s="58"/>
      <c r="G47" s="59"/>
      <c r="H47" s="60">
        <f>SUM(H40:H46)+H39</f>
        <v>371.10057500000016</v>
      </c>
      <c r="I47" s="40"/>
      <c r="J47" s="59"/>
      <c r="K47" s="61"/>
      <c r="L47" s="60">
        <f>SUM(L40:L46)+L39</f>
        <v>400.60555000000016</v>
      </c>
      <c r="M47" s="40"/>
      <c r="N47" s="43">
        <f t="shared" ref="N47:N66" si="13">L47-H47</f>
        <v>29.504975000000002</v>
      </c>
      <c r="O47" s="44">
        <f t="shared" si="12"/>
        <v>7.9506680904496002E-2</v>
      </c>
      <c r="Q47" s="107"/>
      <c r="S47" s="107"/>
      <c r="U47" s="107"/>
      <c r="W47" s="107"/>
    </row>
    <row r="48" spans="2:23" x14ac:dyDescent="0.25">
      <c r="B48" s="27" t="s">
        <v>29</v>
      </c>
      <c r="C48" s="27"/>
      <c r="D48" s="62" t="s">
        <v>20</v>
      </c>
      <c r="E48" s="63"/>
      <c r="F48" s="28">
        <f>'Proposed Rates'!D157</f>
        <v>6.7999999999999996E-3</v>
      </c>
      <c r="G48" s="64">
        <f>$F$18*(1+F75)</f>
        <v>15502.500000000002</v>
      </c>
      <c r="H48" s="26">
        <f>G48*F48</f>
        <v>105.417</v>
      </c>
      <c r="I48" s="27"/>
      <c r="J48" s="28">
        <f>'Proposed Rates'!E157</f>
        <v>6.8999999999999999E-3</v>
      </c>
      <c r="K48" s="65">
        <f>F18*(1+J75)</f>
        <v>15502.500000000002</v>
      </c>
      <c r="L48" s="26">
        <f>K48*J48</f>
        <v>106.96725000000001</v>
      </c>
      <c r="M48" s="27"/>
      <c r="N48" s="30">
        <f t="shared" si="13"/>
        <v>1.5502500000000055</v>
      </c>
      <c r="O48" s="31">
        <f t="shared" si="12"/>
        <v>1.4705882352941228E-2</v>
      </c>
      <c r="Q48" s="107"/>
      <c r="S48" s="107"/>
      <c r="U48" s="107"/>
      <c r="W48" s="107"/>
    </row>
    <row r="49" spans="2:23" ht="26.4" x14ac:dyDescent="0.25">
      <c r="B49" s="66" t="s">
        <v>30</v>
      </c>
      <c r="C49" s="27"/>
      <c r="D49" s="62" t="s">
        <v>20</v>
      </c>
      <c r="E49" s="63"/>
      <c r="F49" s="28">
        <f>'Proposed Rates'!D172</f>
        <v>4.4999999999999997E-3</v>
      </c>
      <c r="G49" s="64">
        <f>G48</f>
        <v>15502.500000000002</v>
      </c>
      <c r="H49" s="26">
        <f>G49*F49</f>
        <v>69.761250000000004</v>
      </c>
      <c r="I49" s="27"/>
      <c r="J49" s="28">
        <f>'Proposed Rates'!E172</f>
        <v>4.5999999999999999E-3</v>
      </c>
      <c r="K49" s="65">
        <f>K48</f>
        <v>15502.500000000002</v>
      </c>
      <c r="L49" s="26">
        <f>K49*J49</f>
        <v>71.311500000000009</v>
      </c>
      <c r="M49" s="27"/>
      <c r="N49" s="30">
        <f t="shared" si="13"/>
        <v>1.5502500000000055</v>
      </c>
      <c r="O49" s="31">
        <f t="shared" si="12"/>
        <v>2.2222222222222299E-2</v>
      </c>
      <c r="Q49" s="107"/>
      <c r="S49" s="107"/>
      <c r="U49" s="107"/>
      <c r="W49" s="107"/>
    </row>
    <row r="50" spans="2:23" ht="26.4" x14ac:dyDescent="0.25">
      <c r="B50" s="56" t="s">
        <v>31</v>
      </c>
      <c r="C50" s="35"/>
      <c r="D50" s="35"/>
      <c r="E50" s="35"/>
      <c r="F50" s="67"/>
      <c r="G50" s="59"/>
      <c r="H50" s="60">
        <f>SUM(H47:H49)</f>
        <v>546.27882500000021</v>
      </c>
      <c r="I50" s="68"/>
      <c r="J50" s="69"/>
      <c r="K50" s="70"/>
      <c r="L50" s="60">
        <f>SUM(L47:L49)</f>
        <v>578.88430000000017</v>
      </c>
      <c r="M50" s="68"/>
      <c r="N50" s="43">
        <f t="shared" si="13"/>
        <v>32.605474999999956</v>
      </c>
      <c r="O50" s="44">
        <f t="shared" si="12"/>
        <v>5.968650716051449E-2</v>
      </c>
      <c r="Q50" s="102"/>
      <c r="S50" s="102"/>
      <c r="U50" s="102"/>
      <c r="W50" s="102"/>
    </row>
    <row r="51" spans="2:23" ht="26.4" x14ac:dyDescent="0.25">
      <c r="B51" s="71" t="s">
        <v>32</v>
      </c>
      <c r="C51" s="21"/>
      <c r="D51" s="22" t="s">
        <v>20</v>
      </c>
      <c r="E51" s="23"/>
      <c r="F51" s="72">
        <f>'Proposed Rates'!D186</f>
        <v>3.5999999999999999E-3</v>
      </c>
      <c r="G51" s="64">
        <f>G49</f>
        <v>15502.500000000002</v>
      </c>
      <c r="H51" s="73">
        <f t="shared" ref="H51:H58" si="14">G51*F51</f>
        <v>55.809000000000005</v>
      </c>
      <c r="I51" s="27"/>
      <c r="J51" s="72">
        <f>F51</f>
        <v>3.5999999999999999E-3</v>
      </c>
      <c r="K51" s="65">
        <f>K49</f>
        <v>15502.500000000002</v>
      </c>
      <c r="L51" s="73">
        <f t="shared" ref="L51:L58" si="15">K51*J51</f>
        <v>55.809000000000005</v>
      </c>
      <c r="M51" s="27"/>
      <c r="N51" s="30">
        <f t="shared" si="13"/>
        <v>0</v>
      </c>
      <c r="O51" s="74">
        <f t="shared" si="12"/>
        <v>0</v>
      </c>
      <c r="Q51" s="107"/>
      <c r="S51" s="107"/>
      <c r="U51" s="107"/>
      <c r="W51" s="107"/>
    </row>
    <row r="52" spans="2:23" ht="26.4" x14ac:dyDescent="0.25">
      <c r="B52" s="71" t="s">
        <v>33</v>
      </c>
      <c r="C52" s="21"/>
      <c r="D52" s="22" t="s">
        <v>20</v>
      </c>
      <c r="E52" s="23"/>
      <c r="F52" s="72">
        <f>'Proposed Rates'!D191</f>
        <v>2.9999999999999997E-4</v>
      </c>
      <c r="G52" s="64">
        <f>G49</f>
        <v>15502.500000000002</v>
      </c>
      <c r="H52" s="73">
        <f t="shared" si="14"/>
        <v>4.6507500000000004</v>
      </c>
      <c r="I52" s="27"/>
      <c r="J52" s="72">
        <f>F52</f>
        <v>2.9999999999999997E-4</v>
      </c>
      <c r="K52" s="65">
        <f>K49</f>
        <v>15502.500000000002</v>
      </c>
      <c r="L52" s="73">
        <f t="shared" si="15"/>
        <v>4.6507500000000004</v>
      </c>
      <c r="M52" s="27"/>
      <c r="N52" s="30">
        <f t="shared" si="13"/>
        <v>0</v>
      </c>
      <c r="O52" s="74">
        <f t="shared" si="12"/>
        <v>0</v>
      </c>
      <c r="Q52" s="107"/>
      <c r="S52" s="107"/>
      <c r="U52" s="107"/>
      <c r="W52" s="107"/>
    </row>
    <row r="53" spans="2:23" x14ac:dyDescent="0.25">
      <c r="B53" s="21" t="s">
        <v>34</v>
      </c>
      <c r="C53" s="21"/>
      <c r="D53" s="22" t="s">
        <v>17</v>
      </c>
      <c r="E53" s="23"/>
      <c r="F53" s="72">
        <f>'Proposed Rates'!D196</f>
        <v>0.25</v>
      </c>
      <c r="G53" s="25">
        <v>1</v>
      </c>
      <c r="H53" s="73">
        <f t="shared" si="14"/>
        <v>0.25</v>
      </c>
      <c r="I53" s="27"/>
      <c r="J53" s="72">
        <f>F53</f>
        <v>0.25</v>
      </c>
      <c r="K53" s="29">
        <v>1</v>
      </c>
      <c r="L53" s="73">
        <f t="shared" si="15"/>
        <v>0.25</v>
      </c>
      <c r="M53" s="27"/>
      <c r="N53" s="30">
        <f t="shared" si="13"/>
        <v>0</v>
      </c>
      <c r="O53" s="74">
        <f t="shared" si="12"/>
        <v>0</v>
      </c>
      <c r="Q53" s="107"/>
      <c r="S53" s="107"/>
      <c r="U53" s="107"/>
      <c r="W53" s="107"/>
    </row>
    <row r="54" spans="2:23" x14ac:dyDescent="0.25">
      <c r="B54" s="21" t="s">
        <v>120</v>
      </c>
      <c r="C54" s="21"/>
      <c r="D54" s="22"/>
      <c r="E54" s="23"/>
      <c r="F54" s="72">
        <f>'Proposed Rates'!D221</f>
        <v>0</v>
      </c>
      <c r="G54" s="75">
        <f>$F$18*(1+F75)</f>
        <v>15502.500000000002</v>
      </c>
      <c r="H54" s="73">
        <f>G54*F54</f>
        <v>0</v>
      </c>
      <c r="I54" s="27"/>
      <c r="J54" s="72">
        <f>F54</f>
        <v>0</v>
      </c>
      <c r="K54" s="75">
        <f>$F$18*(1+J75)</f>
        <v>15502.500000000002</v>
      </c>
      <c r="L54" s="73">
        <f>K54*J54</f>
        <v>0</v>
      </c>
      <c r="M54" s="27"/>
      <c r="N54" s="30"/>
      <c r="O54" s="74"/>
      <c r="Q54" s="107"/>
      <c r="S54" s="107"/>
      <c r="U54" s="107"/>
      <c r="W54" s="107"/>
    </row>
    <row r="55" spans="2:23" x14ac:dyDescent="0.25">
      <c r="B55" s="21" t="s">
        <v>35</v>
      </c>
      <c r="C55" s="21"/>
      <c r="D55" s="22"/>
      <c r="E55" s="23"/>
      <c r="F55" s="72">
        <f>'Proposed Rates'!D216</f>
        <v>6.94E-3</v>
      </c>
      <c r="G55" s="75">
        <f>$F$18</f>
        <v>15000</v>
      </c>
      <c r="H55" s="73">
        <f t="shared" si="14"/>
        <v>104.1</v>
      </c>
      <c r="I55" s="27"/>
      <c r="J55" s="72">
        <f>+F55</f>
        <v>6.94E-3</v>
      </c>
      <c r="K55" s="76">
        <f>$F$18</f>
        <v>15000</v>
      </c>
      <c r="L55" s="73">
        <f t="shared" si="15"/>
        <v>104.1</v>
      </c>
      <c r="M55" s="27"/>
      <c r="N55" s="30">
        <f t="shared" si="13"/>
        <v>0</v>
      </c>
      <c r="O55" s="74">
        <f t="shared" si="12"/>
        <v>0</v>
      </c>
      <c r="Q55" s="107"/>
      <c r="S55" s="107"/>
      <c r="U55" s="107"/>
      <c r="W55" s="107"/>
    </row>
    <row r="56" spans="2:23" x14ac:dyDescent="0.25">
      <c r="B56" s="49" t="s">
        <v>36</v>
      </c>
      <c r="C56" s="21"/>
      <c r="D56" s="22"/>
      <c r="E56" s="23"/>
      <c r="F56" s="72">
        <f>'Proposed Rates'!D226</f>
        <v>6.5000000000000002E-2</v>
      </c>
      <c r="G56" s="77">
        <f>0.65*$F$18</f>
        <v>9750</v>
      </c>
      <c r="H56" s="73">
        <f t="shared" si="14"/>
        <v>633.75</v>
      </c>
      <c r="I56" s="27"/>
      <c r="J56" s="72">
        <f>F56</f>
        <v>6.5000000000000002E-2</v>
      </c>
      <c r="K56" s="77">
        <f>$G$56</f>
        <v>9750</v>
      </c>
      <c r="L56" s="73">
        <f t="shared" si="15"/>
        <v>633.75</v>
      </c>
      <c r="M56" s="27"/>
      <c r="N56" s="30">
        <f t="shared" si="13"/>
        <v>0</v>
      </c>
      <c r="O56" s="74">
        <f t="shared" si="12"/>
        <v>0</v>
      </c>
      <c r="Q56" s="107"/>
      <c r="S56" s="107"/>
      <c r="U56" s="107"/>
      <c r="W56" s="107"/>
    </row>
    <row r="57" spans="2:23" x14ac:dyDescent="0.25">
      <c r="B57" s="49" t="s">
        <v>37</v>
      </c>
      <c r="C57" s="21"/>
      <c r="D57" s="22"/>
      <c r="E57" s="23"/>
      <c r="F57" s="72">
        <f>'Proposed Rates'!D227</f>
        <v>9.5000000000000001E-2</v>
      </c>
      <c r="G57" s="77">
        <f>0.17*$F$18</f>
        <v>2550</v>
      </c>
      <c r="H57" s="73">
        <f t="shared" si="14"/>
        <v>242.25</v>
      </c>
      <c r="I57" s="27"/>
      <c r="J57" s="72">
        <f>F57</f>
        <v>9.5000000000000001E-2</v>
      </c>
      <c r="K57" s="77">
        <f>$G$57</f>
        <v>2550</v>
      </c>
      <c r="L57" s="73">
        <f t="shared" si="15"/>
        <v>242.25</v>
      </c>
      <c r="M57" s="27"/>
      <c r="N57" s="30">
        <f t="shared" si="13"/>
        <v>0</v>
      </c>
      <c r="O57" s="74">
        <f t="shared" si="12"/>
        <v>0</v>
      </c>
      <c r="Q57" s="107"/>
      <c r="S57" s="107"/>
      <c r="U57" s="107"/>
      <c r="W57" s="107"/>
    </row>
    <row r="58" spans="2:23" x14ac:dyDescent="0.25">
      <c r="B58" s="11" t="s">
        <v>38</v>
      </c>
      <c r="C58" s="21"/>
      <c r="D58" s="22"/>
      <c r="E58" s="23"/>
      <c r="F58" s="72">
        <f>'Proposed Rates'!D228</f>
        <v>0.13200000000000001</v>
      </c>
      <c r="G58" s="77">
        <f>0.18*$F$18</f>
        <v>2700</v>
      </c>
      <c r="H58" s="73">
        <f t="shared" si="14"/>
        <v>356.40000000000003</v>
      </c>
      <c r="I58" s="27"/>
      <c r="J58" s="72">
        <f>F58</f>
        <v>0.13200000000000001</v>
      </c>
      <c r="K58" s="77">
        <f>$G$58</f>
        <v>2700</v>
      </c>
      <c r="L58" s="73">
        <f t="shared" si="15"/>
        <v>356.40000000000003</v>
      </c>
      <c r="M58" s="27"/>
      <c r="N58" s="30">
        <f t="shared" si="13"/>
        <v>0</v>
      </c>
      <c r="O58" s="74">
        <f t="shared" si="12"/>
        <v>0</v>
      </c>
      <c r="Q58" s="107"/>
      <c r="S58" s="107"/>
      <c r="U58" s="107"/>
      <c r="W58" s="107"/>
    </row>
    <row r="59" spans="2:23" s="85" customFormat="1" x14ac:dyDescent="0.25">
      <c r="B59" s="78" t="s">
        <v>39</v>
      </c>
      <c r="C59" s="79"/>
      <c r="D59" s="80"/>
      <c r="E59" s="81"/>
      <c r="F59" s="72">
        <f>'Proposed Rates'!D229</f>
        <v>7.6999999999999999E-2</v>
      </c>
      <c r="G59" s="82">
        <v>750</v>
      </c>
      <c r="H59" s="73">
        <f>G59*F59</f>
        <v>57.75</v>
      </c>
      <c r="I59" s="83"/>
      <c r="J59" s="72">
        <f>F59</f>
        <v>7.6999999999999999E-2</v>
      </c>
      <c r="K59" s="82">
        <f>$G$59</f>
        <v>750</v>
      </c>
      <c r="L59" s="73">
        <f>K59*J59</f>
        <v>57.75</v>
      </c>
      <c r="M59" s="83"/>
      <c r="N59" s="84">
        <f t="shared" si="13"/>
        <v>0</v>
      </c>
      <c r="O59" s="74">
        <f t="shared" si="12"/>
        <v>0</v>
      </c>
      <c r="Q59" s="143"/>
      <c r="R59" s="204"/>
      <c r="S59" s="143"/>
      <c r="T59" s="204"/>
      <c r="U59" s="143"/>
      <c r="V59" s="204"/>
      <c r="W59" s="143"/>
    </row>
    <row r="60" spans="2:23" s="85" customFormat="1" ht="13.8" thickBot="1" x14ac:dyDescent="0.3">
      <c r="B60" s="78" t="s">
        <v>40</v>
      </c>
      <c r="C60" s="79"/>
      <c r="D60" s="80"/>
      <c r="E60" s="81"/>
      <c r="F60" s="72">
        <f>'Proposed Rates'!D230</f>
        <v>0.09</v>
      </c>
      <c r="G60" s="82">
        <f>F18-G59</f>
        <v>14250</v>
      </c>
      <c r="H60" s="73">
        <f>G60*F60</f>
        <v>1282.5</v>
      </c>
      <c r="I60" s="83"/>
      <c r="J60" s="72">
        <f>F60</f>
        <v>0.09</v>
      </c>
      <c r="K60" s="82">
        <f>$G$60</f>
        <v>14250</v>
      </c>
      <c r="L60" s="73">
        <f>K60*J60</f>
        <v>1282.5</v>
      </c>
      <c r="M60" s="83"/>
      <c r="N60" s="84">
        <f t="shared" si="13"/>
        <v>0</v>
      </c>
      <c r="O60" s="74">
        <f t="shared" si="12"/>
        <v>0</v>
      </c>
      <c r="Q60" s="143"/>
      <c r="R60" s="204"/>
      <c r="S60" s="143"/>
      <c r="T60" s="204"/>
      <c r="U60" s="143"/>
      <c r="V60" s="204"/>
      <c r="W60" s="143"/>
    </row>
    <row r="61" spans="2:23" ht="8.25" customHeight="1" thickBot="1" x14ac:dyDescent="0.3">
      <c r="B61" s="86"/>
      <c r="C61" s="87"/>
      <c r="D61" s="88"/>
      <c r="E61" s="87"/>
      <c r="F61" s="89"/>
      <c r="G61" s="90"/>
      <c r="H61" s="91"/>
      <c r="I61" s="92"/>
      <c r="J61" s="89"/>
      <c r="K61" s="93"/>
      <c r="L61" s="91"/>
      <c r="M61" s="92"/>
      <c r="N61" s="94"/>
      <c r="O61" s="95"/>
      <c r="Q61" s="107"/>
      <c r="S61" s="107"/>
      <c r="U61" s="107"/>
      <c r="W61" s="107"/>
    </row>
    <row r="62" spans="2:23" x14ac:dyDescent="0.25">
      <c r="B62" s="96" t="s">
        <v>41</v>
      </c>
      <c r="C62" s="21"/>
      <c r="D62" s="21"/>
      <c r="E62" s="21"/>
      <c r="F62" s="97"/>
      <c r="G62" s="98"/>
      <c r="H62" s="99">
        <f>SUM(H51:H58,H50)</f>
        <v>1943.4885750000003</v>
      </c>
      <c r="I62" s="100"/>
      <c r="J62" s="101"/>
      <c r="K62" s="101"/>
      <c r="L62" s="254">
        <f>SUM(L51:L58,L50)</f>
        <v>1976.0940500000002</v>
      </c>
      <c r="M62" s="102"/>
      <c r="N62" s="103">
        <f t="shared" ref="N62" si="16">L62-H62</f>
        <v>32.605474999999842</v>
      </c>
      <c r="O62" s="104">
        <f t="shared" ref="O62" si="17">IF((H62)=0,"",(N62/H62))</f>
        <v>1.6776777295950833E-2</v>
      </c>
      <c r="Q62" s="102"/>
      <c r="S62" s="102"/>
      <c r="U62" s="102"/>
      <c r="W62" s="102"/>
    </row>
    <row r="63" spans="2:23" x14ac:dyDescent="0.25">
      <c r="B63" s="105" t="s">
        <v>42</v>
      </c>
      <c r="C63" s="21"/>
      <c r="D63" s="21"/>
      <c r="E63" s="21"/>
      <c r="F63" s="106">
        <v>0.13</v>
      </c>
      <c r="G63" s="107"/>
      <c r="H63" s="108">
        <f>H62*F63</f>
        <v>252.65351475000006</v>
      </c>
      <c r="I63" s="109"/>
      <c r="J63" s="110">
        <v>0.13</v>
      </c>
      <c r="K63" s="109"/>
      <c r="L63" s="113">
        <f>L62*J63</f>
        <v>256.89222650000005</v>
      </c>
      <c r="M63" s="112"/>
      <c r="N63" s="113">
        <f t="shared" si="13"/>
        <v>4.2387117499999931</v>
      </c>
      <c r="O63" s="114">
        <f t="shared" si="12"/>
        <v>1.6776777295950885E-2</v>
      </c>
      <c r="Q63" s="112"/>
      <c r="S63" s="112"/>
      <c r="U63" s="112"/>
      <c r="W63" s="112"/>
    </row>
    <row r="64" spans="2:23" x14ac:dyDescent="0.25">
      <c r="B64" s="250" t="s">
        <v>43</v>
      </c>
      <c r="C64" s="21"/>
      <c r="D64" s="21"/>
      <c r="E64" s="21"/>
      <c r="F64" s="106"/>
      <c r="G64" s="107"/>
      <c r="H64" s="99">
        <f>SUM(H62:H63)</f>
        <v>2196.1420897500002</v>
      </c>
      <c r="I64" s="109"/>
      <c r="J64" s="110"/>
      <c r="K64" s="109"/>
      <c r="L64" s="103">
        <f>SUM(L62:L63)</f>
        <v>2232.9862765000003</v>
      </c>
      <c r="M64" s="112"/>
      <c r="N64" s="103">
        <f t="shared" si="13"/>
        <v>36.844186750000063</v>
      </c>
      <c r="O64" s="104">
        <f t="shared" si="12"/>
        <v>1.6776777295950944E-2</v>
      </c>
      <c r="Q64" s="112"/>
      <c r="S64" s="112"/>
      <c r="U64" s="112"/>
      <c r="W64" s="112"/>
    </row>
    <row r="65" spans="1:23" x14ac:dyDescent="0.25">
      <c r="B65" s="249" t="s">
        <v>137</v>
      </c>
      <c r="C65" s="21"/>
      <c r="D65" s="21"/>
      <c r="E65" s="21"/>
      <c r="F65" s="106">
        <v>-0.08</v>
      </c>
      <c r="G65" s="107"/>
      <c r="H65" s="108">
        <f>H62*F65</f>
        <v>-155.47908600000002</v>
      </c>
      <c r="I65" s="109"/>
      <c r="J65" s="106">
        <v>-0.08</v>
      </c>
      <c r="K65" s="109"/>
      <c r="L65" s="113">
        <f>L62*J65</f>
        <v>-158.087524</v>
      </c>
      <c r="M65" s="112"/>
      <c r="N65" s="113">
        <f t="shared" si="13"/>
        <v>-2.6084379999999783</v>
      </c>
      <c r="O65" s="114">
        <f t="shared" si="12"/>
        <v>1.6776777295950774E-2</v>
      </c>
      <c r="Q65" s="112"/>
      <c r="S65" s="112"/>
      <c r="U65" s="112"/>
      <c r="W65" s="112"/>
    </row>
    <row r="66" spans="1:23" ht="13.8" thickBot="1" x14ac:dyDescent="0.3">
      <c r="B66" s="294" t="s">
        <v>138</v>
      </c>
      <c r="C66" s="294"/>
      <c r="D66" s="294"/>
      <c r="E66" s="21"/>
      <c r="F66" s="116"/>
      <c r="G66" s="107"/>
      <c r="H66" s="99">
        <f>SUM(H64:H65)</f>
        <v>2040.6630037500001</v>
      </c>
      <c r="I66" s="109"/>
      <c r="J66" s="109"/>
      <c r="K66" s="109"/>
      <c r="L66" s="251">
        <f>SUM(L64:L65)</f>
        <v>2074.8987525000002</v>
      </c>
      <c r="M66" s="112"/>
      <c r="N66" s="103">
        <f t="shared" si="13"/>
        <v>34.235748750000084</v>
      </c>
      <c r="O66" s="104">
        <f t="shared" si="12"/>
        <v>1.6776777295950958E-2</v>
      </c>
      <c r="Q66" s="112"/>
      <c r="S66" s="112"/>
      <c r="U66" s="112"/>
      <c r="W66" s="112"/>
    </row>
    <row r="67" spans="1:23" s="85" customFormat="1" ht="8.25" customHeight="1" thickBot="1" x14ac:dyDescent="0.3">
      <c r="B67" s="117"/>
      <c r="C67" s="118"/>
      <c r="D67" s="119"/>
      <c r="E67" s="118"/>
      <c r="F67" s="89"/>
      <c r="G67" s="120"/>
      <c r="H67" s="91"/>
      <c r="I67" s="121"/>
      <c r="J67" s="89"/>
      <c r="K67" s="122"/>
      <c r="L67" s="91"/>
      <c r="M67" s="121"/>
      <c r="N67" s="123"/>
      <c r="O67" s="95"/>
      <c r="Q67" s="143"/>
      <c r="R67" s="204"/>
      <c r="S67" s="143"/>
      <c r="T67" s="204"/>
      <c r="U67" s="143"/>
      <c r="V67" s="204"/>
      <c r="W67" s="143"/>
    </row>
    <row r="68" spans="1:23" s="85" customFormat="1" x14ac:dyDescent="0.25">
      <c r="B68" s="124" t="s">
        <v>44</v>
      </c>
      <c r="C68" s="79"/>
      <c r="D68" s="79"/>
      <c r="E68" s="79"/>
      <c r="F68" s="125"/>
      <c r="G68" s="126"/>
      <c r="H68" s="127">
        <f>SUM(H59:H60,H50,H51:H55)</f>
        <v>2051.3385750000002</v>
      </c>
      <c r="I68" s="128"/>
      <c r="J68" s="129"/>
      <c r="K68" s="129"/>
      <c r="L68" s="259">
        <f>SUM(L59:L60,L50,L51:L55)</f>
        <v>2083.9440500000001</v>
      </c>
      <c r="M68" s="130"/>
      <c r="N68" s="131">
        <f t="shared" ref="N68:N72" si="18">L68-H68</f>
        <v>32.605474999999842</v>
      </c>
      <c r="O68" s="104">
        <f t="shared" ref="O68:O72" si="19">IF((H68)=0,"",(N68/H68))</f>
        <v>1.5894731078217959E-2</v>
      </c>
      <c r="Q68" s="130"/>
      <c r="R68" s="204"/>
      <c r="S68" s="130"/>
      <c r="T68" s="204"/>
      <c r="U68" s="130"/>
      <c r="V68" s="204"/>
      <c r="W68" s="130"/>
    </row>
    <row r="69" spans="1:23" s="85" customFormat="1" x14ac:dyDescent="0.25">
      <c r="B69" s="132" t="s">
        <v>42</v>
      </c>
      <c r="C69" s="79"/>
      <c r="D69" s="79"/>
      <c r="E69" s="79"/>
      <c r="F69" s="133">
        <v>0.13</v>
      </c>
      <c r="G69" s="126"/>
      <c r="H69" s="134">
        <f>H68*F69</f>
        <v>266.67401475000003</v>
      </c>
      <c r="I69" s="135"/>
      <c r="J69" s="136">
        <v>0.13</v>
      </c>
      <c r="K69" s="137"/>
      <c r="L69" s="140">
        <f>L68*J69</f>
        <v>270.91272650000002</v>
      </c>
      <c r="M69" s="139"/>
      <c r="N69" s="140">
        <f t="shared" si="18"/>
        <v>4.2387117499999931</v>
      </c>
      <c r="O69" s="114">
        <f t="shared" si="19"/>
        <v>1.5894731078218007E-2</v>
      </c>
      <c r="Q69" s="139"/>
      <c r="R69" s="204"/>
      <c r="S69" s="139"/>
      <c r="T69" s="204"/>
      <c r="U69" s="139"/>
      <c r="V69" s="204"/>
      <c r="W69" s="139"/>
    </row>
    <row r="70" spans="1:23" s="85" customFormat="1" x14ac:dyDescent="0.25">
      <c r="B70" s="258" t="s">
        <v>43</v>
      </c>
      <c r="C70" s="79"/>
      <c r="D70" s="79"/>
      <c r="E70" s="79"/>
      <c r="F70" s="142"/>
      <c r="G70" s="143"/>
      <c r="H70" s="127">
        <f>H68+H69</f>
        <v>2318.0125897500002</v>
      </c>
      <c r="I70" s="135"/>
      <c r="J70" s="135"/>
      <c r="K70" s="135"/>
      <c r="L70" s="131">
        <f>L68+L69</f>
        <v>2354.8567765000003</v>
      </c>
      <c r="M70" s="139"/>
      <c r="N70" s="131">
        <f t="shared" si="18"/>
        <v>36.844186750000063</v>
      </c>
      <c r="O70" s="104">
        <f t="shared" si="19"/>
        <v>1.5894731078218063E-2</v>
      </c>
      <c r="Q70" s="139"/>
      <c r="R70" s="204"/>
      <c r="S70" s="139"/>
      <c r="T70" s="204"/>
      <c r="U70" s="139"/>
      <c r="V70" s="204"/>
      <c r="W70" s="139"/>
    </row>
    <row r="71" spans="1:23" s="85" customFormat="1" x14ac:dyDescent="0.25">
      <c r="B71" s="249" t="s">
        <v>137</v>
      </c>
      <c r="C71" s="21"/>
      <c r="D71" s="21"/>
      <c r="E71" s="79"/>
      <c r="F71" s="260">
        <v>-0.08</v>
      </c>
      <c r="G71" s="143"/>
      <c r="H71" s="134">
        <f>H68*F71</f>
        <v>-164.10708600000001</v>
      </c>
      <c r="I71" s="135"/>
      <c r="J71" s="261">
        <v>-0.08</v>
      </c>
      <c r="K71" s="135"/>
      <c r="L71" s="140">
        <f>L68*J71</f>
        <v>-166.71552400000002</v>
      </c>
      <c r="M71" s="139"/>
      <c r="N71" s="140">
        <f t="shared" si="18"/>
        <v>-2.6084380000000067</v>
      </c>
      <c r="O71" s="114">
        <f t="shared" si="19"/>
        <v>1.5894731078218077E-2</v>
      </c>
      <c r="Q71" s="139"/>
      <c r="R71" s="204"/>
      <c r="S71" s="139"/>
      <c r="T71" s="204"/>
      <c r="U71" s="139"/>
      <c r="V71" s="204"/>
      <c r="W71" s="139"/>
    </row>
    <row r="72" spans="1:23" s="85" customFormat="1" ht="13.8" thickBot="1" x14ac:dyDescent="0.3">
      <c r="B72" s="294" t="s">
        <v>138</v>
      </c>
      <c r="C72" s="294"/>
      <c r="D72" s="294"/>
      <c r="E72" s="79"/>
      <c r="F72" s="142"/>
      <c r="G72" s="143"/>
      <c r="H72" s="127">
        <f>SUM(H70:H71)</f>
        <v>2153.9055037500002</v>
      </c>
      <c r="I72" s="135"/>
      <c r="J72" s="135"/>
      <c r="K72" s="135"/>
      <c r="L72" s="262">
        <f>SUM(L70:L71)</f>
        <v>2188.1412525000001</v>
      </c>
      <c r="M72" s="139"/>
      <c r="N72" s="131">
        <f t="shared" si="18"/>
        <v>34.235748749999857</v>
      </c>
      <c r="O72" s="104">
        <f t="shared" si="19"/>
        <v>1.5894731078217969E-2</v>
      </c>
      <c r="Q72" s="139"/>
      <c r="R72" s="204"/>
      <c r="S72" s="139"/>
      <c r="T72" s="204"/>
      <c r="U72" s="139"/>
      <c r="V72" s="204"/>
      <c r="W72" s="139"/>
    </row>
    <row r="73" spans="1:23" s="85" customFormat="1" ht="8.25" customHeight="1" thickBot="1" x14ac:dyDescent="0.3">
      <c r="B73" s="117"/>
      <c r="C73" s="118"/>
      <c r="D73" s="119"/>
      <c r="E73" s="118"/>
      <c r="F73" s="144"/>
      <c r="G73" s="145"/>
      <c r="H73" s="146"/>
      <c r="I73" s="147"/>
      <c r="J73" s="144"/>
      <c r="K73" s="120"/>
      <c r="L73" s="148"/>
      <c r="M73" s="121"/>
      <c r="N73" s="149"/>
      <c r="O73" s="95"/>
      <c r="Q73" s="143"/>
      <c r="R73" s="204"/>
      <c r="S73" s="143"/>
      <c r="T73" s="204"/>
      <c r="U73" s="143"/>
      <c r="V73" s="204"/>
      <c r="W73" s="143"/>
    </row>
    <row r="74" spans="1:23" x14ac:dyDescent="0.25">
      <c r="L74" s="150"/>
    </row>
    <row r="75" spans="1:23" x14ac:dyDescent="0.25">
      <c r="B75" s="12" t="s">
        <v>45</v>
      </c>
      <c r="F75" s="151">
        <f>'Proposed Rates'!D202</f>
        <v>3.3500000000000002E-2</v>
      </c>
      <c r="J75" s="151">
        <f>+'Res (100)'!J74</f>
        <v>3.3500000000000002E-2</v>
      </c>
    </row>
    <row r="77" spans="1:23" ht="13.5" customHeight="1" x14ac:dyDescent="0.25">
      <c r="Q77" s="202"/>
      <c r="R77" s="202"/>
      <c r="S77" s="6"/>
      <c r="T77" s="6"/>
      <c r="U77" s="6"/>
      <c r="V77" s="6"/>
      <c r="W77" s="6"/>
    </row>
    <row r="78" spans="1:23" ht="12" customHeight="1" x14ac:dyDescent="0.25">
      <c r="A78" s="6" t="s">
        <v>46</v>
      </c>
      <c r="Q78" s="202"/>
      <c r="R78" s="202"/>
      <c r="S78" s="6"/>
      <c r="T78" s="6"/>
      <c r="U78" s="6"/>
      <c r="V78" s="6"/>
      <c r="W78" s="6"/>
    </row>
    <row r="79" spans="1:23" x14ac:dyDescent="0.25">
      <c r="A79" s="6" t="s">
        <v>47</v>
      </c>
      <c r="Q79" s="202"/>
      <c r="R79" s="202"/>
      <c r="S79" s="6"/>
      <c r="T79" s="6"/>
      <c r="U79" s="6"/>
      <c r="V79" s="6"/>
      <c r="W79" s="6"/>
    </row>
    <row r="80" spans="1:23" x14ac:dyDescent="0.25">
      <c r="Q80" s="202"/>
      <c r="R80" s="202"/>
      <c r="S80" s="6"/>
      <c r="T80" s="6"/>
      <c r="U80" s="6"/>
      <c r="V80" s="6"/>
      <c r="W80" s="6"/>
    </row>
    <row r="81" spans="1:23" x14ac:dyDescent="0.25">
      <c r="A81" s="153" t="s">
        <v>133</v>
      </c>
      <c r="Q81" s="202"/>
      <c r="R81" s="202"/>
      <c r="S81" s="6"/>
      <c r="T81" s="6"/>
      <c r="U81" s="6"/>
      <c r="V81" s="6"/>
      <c r="W81" s="6"/>
    </row>
    <row r="82" spans="1:23" x14ac:dyDescent="0.25">
      <c r="A82" s="11" t="s">
        <v>48</v>
      </c>
      <c r="Q82" s="202"/>
      <c r="R82" s="202"/>
      <c r="S82" s="6"/>
      <c r="T82" s="6"/>
      <c r="U82" s="6"/>
      <c r="V82" s="6"/>
      <c r="W82" s="6"/>
    </row>
    <row r="83" spans="1:23" x14ac:dyDescent="0.25">
      <c r="Q83" s="202"/>
      <c r="R83" s="202"/>
      <c r="S83" s="6"/>
      <c r="T83" s="6"/>
      <c r="U83" s="6"/>
      <c r="V83" s="6"/>
      <c r="W83" s="6"/>
    </row>
    <row r="84" spans="1:23" x14ac:dyDescent="0.25">
      <c r="A84" s="6" t="s">
        <v>132</v>
      </c>
      <c r="Q84" s="202"/>
      <c r="R84" s="202"/>
      <c r="S84" s="6"/>
      <c r="T84" s="6"/>
      <c r="U84" s="6"/>
      <c r="V84" s="6"/>
      <c r="W84" s="6"/>
    </row>
    <row r="85" spans="1:23" x14ac:dyDescent="0.25">
      <c r="A85" s="6" t="s">
        <v>49</v>
      </c>
      <c r="Q85" s="202"/>
      <c r="R85" s="202"/>
      <c r="S85" s="6"/>
      <c r="T85" s="6"/>
      <c r="U85" s="6"/>
      <c r="V85" s="6"/>
      <c r="W85" s="6"/>
    </row>
    <row r="86" spans="1:23" x14ac:dyDescent="0.25">
      <c r="A86" s="6" t="s">
        <v>50</v>
      </c>
      <c r="Q86" s="202"/>
      <c r="R86" s="202"/>
      <c r="S86" s="6"/>
      <c r="T86" s="6"/>
      <c r="U86" s="6"/>
      <c r="V86" s="6"/>
      <c r="W86" s="6"/>
    </row>
    <row r="87" spans="1:23" x14ac:dyDescent="0.25">
      <c r="A87" s="6" t="s">
        <v>51</v>
      </c>
      <c r="Q87" s="202"/>
      <c r="R87" s="202"/>
      <c r="S87" s="6"/>
      <c r="T87" s="6"/>
      <c r="U87" s="6"/>
      <c r="V87" s="6"/>
      <c r="W87" s="6"/>
    </row>
    <row r="88" spans="1:23" x14ac:dyDescent="0.25">
      <c r="A88" s="6" t="s">
        <v>52</v>
      </c>
      <c r="Q88" s="202"/>
      <c r="R88" s="202"/>
      <c r="S88" s="6"/>
      <c r="T88" s="6"/>
      <c r="U88" s="6"/>
      <c r="V88" s="6"/>
      <c r="W88" s="6"/>
    </row>
    <row r="89" spans="1:23" x14ac:dyDescent="0.25">
      <c r="Q89" s="202"/>
      <c r="R89" s="202"/>
      <c r="S89" s="6"/>
      <c r="T89" s="6"/>
      <c r="U89" s="6"/>
      <c r="V89" s="6"/>
      <c r="W89" s="6"/>
    </row>
    <row r="90" spans="1:23" x14ac:dyDescent="0.25">
      <c r="A90" s="152"/>
      <c r="B90" s="6" t="s">
        <v>53</v>
      </c>
      <c r="Q90" s="202"/>
      <c r="R90" s="202"/>
      <c r="S90" s="6"/>
      <c r="T90" s="6"/>
      <c r="U90" s="6"/>
      <c r="V90" s="6"/>
      <c r="W90" s="6"/>
    </row>
    <row r="91" spans="1:23" x14ac:dyDescent="0.25">
      <c r="Q91" s="202"/>
      <c r="R91" s="202"/>
      <c r="S91" s="6"/>
      <c r="T91" s="6"/>
      <c r="U91" s="6"/>
      <c r="V91" s="6"/>
      <c r="W91" s="6"/>
    </row>
    <row r="92" spans="1:23" x14ac:dyDescent="0.25">
      <c r="B92" s="153" t="s">
        <v>54</v>
      </c>
      <c r="Q92" s="202"/>
      <c r="R92" s="202"/>
      <c r="S92" s="6"/>
      <c r="T92" s="6"/>
      <c r="U92" s="6"/>
      <c r="V92" s="6"/>
      <c r="W92" s="6"/>
    </row>
  </sheetData>
  <sheetProtection selectLockedCells="1"/>
  <mergeCells count="10">
    <mergeCell ref="B66:D66"/>
    <mergeCell ref="B72:D72"/>
    <mergeCell ref="A3:K3"/>
    <mergeCell ref="D14:O14"/>
    <mergeCell ref="F20:H20"/>
    <mergeCell ref="J20:L20"/>
    <mergeCell ref="N20:O20"/>
    <mergeCell ref="D21:D22"/>
    <mergeCell ref="N21:N22"/>
    <mergeCell ref="O21:O22"/>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3 D67 D23:D38 D51:D61 D48:D49 D40:D46">
      <formula1>"Monthly, per kWh, per kW"</formula1>
    </dataValidation>
    <dataValidation type="list" allowBlank="1" showInputMessage="1" showErrorMessage="1" sqref="E48:E49 E73 E67 E51:E61 E23:E38 E40:E46">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2" manualBreakCount="2">
    <brk id="15" max="71" man="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Option Button 1">
              <controlPr defaultSize="0" autoFill="0" autoLine="0" autoPict="0">
                <anchor moveWithCells="1">
                  <from>
                    <xdr:col>3</xdr:col>
                    <xdr:colOff>624840</xdr:colOff>
                    <xdr:row>9</xdr:row>
                    <xdr:rowOff>198120</xdr:rowOff>
                  </from>
                  <to>
                    <xdr:col>5</xdr:col>
                    <xdr:colOff>800100</xdr:colOff>
                    <xdr:row>10</xdr:row>
                    <xdr:rowOff>91440</xdr:rowOff>
                  </to>
                </anchor>
              </controlPr>
            </control>
          </mc:Choice>
        </mc:AlternateContent>
        <mc:AlternateContent xmlns:mc="http://schemas.openxmlformats.org/markup-compatibility/2006">
          <mc:Choice Requires="x14">
            <control shapeId="133122" r:id="rId5" name="Option Button 2">
              <controlPr defaultSize="0" autoFill="0" autoLine="0" autoPict="0">
                <anchor moveWithCells="1">
                  <from>
                    <xdr:col>5</xdr:col>
                    <xdr:colOff>556260</xdr:colOff>
                    <xdr:row>9</xdr:row>
                    <xdr:rowOff>167640</xdr:rowOff>
                  </from>
                  <to>
                    <xdr:col>9</xdr:col>
                    <xdr:colOff>472440</xdr:colOff>
                    <xdr:row>10</xdr:row>
                    <xdr:rowOff>160020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89"/>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10.44140625" style="6" bestFit="1" customWidth="1"/>
    <col min="9" max="9" width="2.88671875" style="6" customWidth="1"/>
    <col min="10" max="10" width="10.88671875" style="6" bestFit="1" customWidth="1"/>
    <col min="11" max="11" width="7.44140625" style="6" bestFit="1" customWidth="1"/>
    <col min="12" max="12" width="10.4414062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56</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f>51100*1</f>
        <v>51100</v>
      </c>
      <c r="G18" s="12" t="s">
        <v>6</v>
      </c>
    </row>
    <row r="19" spans="2:23" x14ac:dyDescent="0.25">
      <c r="B19" s="11"/>
      <c r="F19" s="13">
        <v>50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'Proposed Rates'!D9</f>
        <v>200</v>
      </c>
      <c r="G23" s="25">
        <v>1</v>
      </c>
      <c r="H23" s="26">
        <f>G23*F23</f>
        <v>200</v>
      </c>
      <c r="I23" s="27"/>
      <c r="J23" s="28">
        <f>+'Proposed Rates'!E9</f>
        <v>200</v>
      </c>
      <c r="K23" s="29">
        <v>1</v>
      </c>
      <c r="L23" s="26">
        <f>K23*J23</f>
        <v>200</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'Proposed Rates'!D22</f>
        <v>4.3244999999999996</v>
      </c>
      <c r="G29" s="51">
        <f>+$F$19</f>
        <v>50</v>
      </c>
      <c r="H29" s="26">
        <f t="shared" si="0"/>
        <v>216.22499999999997</v>
      </c>
      <c r="I29" s="27"/>
      <c r="J29" s="28">
        <f>+'Proposed Rates'!E22</f>
        <v>4.5850999999999997</v>
      </c>
      <c r="K29" s="51">
        <f>+$F$19</f>
        <v>50</v>
      </c>
      <c r="L29" s="26">
        <f t="shared" si="1"/>
        <v>229.255</v>
      </c>
      <c r="M29" s="27"/>
      <c r="N29" s="30">
        <f t="shared" si="2"/>
        <v>13.03000000000003</v>
      </c>
      <c r="O29" s="31">
        <f t="shared" si="3"/>
        <v>6.0261301884611082E-2</v>
      </c>
      <c r="Q29" s="107"/>
      <c r="S29" s="107"/>
      <c r="U29" s="107"/>
      <c r="W29" s="107"/>
    </row>
    <row r="30" spans="2:23" x14ac:dyDescent="0.25">
      <c r="B30" s="21" t="s">
        <v>21</v>
      </c>
      <c r="C30" s="21"/>
      <c r="D30" s="22"/>
      <c r="E30" s="23"/>
      <c r="F30" s="24"/>
      <c r="G30" s="25">
        <f t="shared" ref="G30" si="4">$F$18</f>
        <v>51100</v>
      </c>
      <c r="H30" s="26">
        <f t="shared" si="0"/>
        <v>0</v>
      </c>
      <c r="I30" s="27"/>
      <c r="J30" s="28"/>
      <c r="K30" s="25">
        <f t="shared" ref="K30:K38" si="5">$F$18</f>
        <v>51100</v>
      </c>
      <c r="L30" s="26">
        <f t="shared" si="1"/>
        <v>0</v>
      </c>
      <c r="M30" s="27"/>
      <c r="N30" s="30">
        <f t="shared" si="2"/>
        <v>0</v>
      </c>
      <c r="O30" s="31" t="str">
        <f t="shared" si="3"/>
        <v/>
      </c>
      <c r="Q30" s="107"/>
      <c r="S30" s="107"/>
      <c r="U30" s="107"/>
      <c r="W30" s="107"/>
    </row>
    <row r="31" spans="2:23" x14ac:dyDescent="0.25">
      <c r="B31" s="21" t="s">
        <v>22</v>
      </c>
      <c r="C31" s="21"/>
      <c r="D31" s="22" t="s">
        <v>58</v>
      </c>
      <c r="E31" s="23"/>
      <c r="F31" s="24">
        <f>'Proposed Rates'!D69</f>
        <v>0</v>
      </c>
      <c r="G31" s="51">
        <f>+$F$19</f>
        <v>50</v>
      </c>
      <c r="H31" s="26">
        <f t="shared" si="0"/>
        <v>0</v>
      </c>
      <c r="I31" s="27"/>
      <c r="J31" s="28">
        <f>+'Proposed Rates'!E69</f>
        <v>0</v>
      </c>
      <c r="K31" s="51">
        <f>+$F$19</f>
        <v>50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51100</v>
      </c>
      <c r="H32" s="26">
        <f t="shared" si="0"/>
        <v>0</v>
      </c>
      <c r="I32" s="27"/>
      <c r="J32" s="28"/>
      <c r="K32" s="25">
        <f t="shared" si="5"/>
        <v>51100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51100</v>
      </c>
      <c r="H33" s="26">
        <f t="shared" si="0"/>
        <v>0</v>
      </c>
      <c r="I33" s="27"/>
      <c r="J33" s="28"/>
      <c r="K33" s="25">
        <f t="shared" si="5"/>
        <v>51100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51100</v>
      </c>
      <c r="H34" s="26">
        <f t="shared" si="0"/>
        <v>0</v>
      </c>
      <c r="I34" s="27"/>
      <c r="J34" s="28"/>
      <c r="K34" s="25">
        <f t="shared" si="5"/>
        <v>51100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51100</v>
      </c>
      <c r="H35" s="26">
        <f t="shared" si="0"/>
        <v>0</v>
      </c>
      <c r="I35" s="27"/>
      <c r="J35" s="28"/>
      <c r="K35" s="25">
        <f t="shared" si="5"/>
        <v>51100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51100</v>
      </c>
      <c r="H36" s="26">
        <f t="shared" si="0"/>
        <v>0</v>
      </c>
      <c r="I36" s="27"/>
      <c r="J36" s="28"/>
      <c r="K36" s="25">
        <f t="shared" si="5"/>
        <v>51100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51100</v>
      </c>
      <c r="H37" s="26">
        <f t="shared" si="0"/>
        <v>0</v>
      </c>
      <c r="I37" s="27"/>
      <c r="J37" s="28"/>
      <c r="K37" s="25">
        <f t="shared" si="5"/>
        <v>51100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51100</v>
      </c>
      <c r="H38" s="26">
        <f t="shared" si="0"/>
        <v>0</v>
      </c>
      <c r="I38" s="27"/>
      <c r="J38" s="28"/>
      <c r="K38" s="25">
        <f t="shared" si="5"/>
        <v>51100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416.22499999999997</v>
      </c>
      <c r="I39" s="40"/>
      <c r="J39" s="41"/>
      <c r="K39" s="42"/>
      <c r="L39" s="39">
        <f>SUM(L23:L38)</f>
        <v>429.255</v>
      </c>
      <c r="M39" s="40"/>
      <c r="N39" s="43">
        <f t="shared" si="2"/>
        <v>13.03000000000003</v>
      </c>
      <c r="O39" s="44">
        <f t="shared" si="3"/>
        <v>3.130518349450425E-2</v>
      </c>
      <c r="Q39" s="107"/>
      <c r="R39" s="203"/>
      <c r="S39" s="107"/>
      <c r="T39" s="203"/>
      <c r="U39" s="107"/>
      <c r="V39" s="203"/>
      <c r="W39" s="107"/>
    </row>
    <row r="40" spans="2:23" ht="26.4" x14ac:dyDescent="0.25">
      <c r="B40" s="154" t="s">
        <v>100</v>
      </c>
      <c r="C40" s="21"/>
      <c r="D40" s="22" t="s">
        <v>58</v>
      </c>
      <c r="E40" s="23"/>
      <c r="F40" s="50">
        <f>'Proposed Rates'!D40</f>
        <v>1.17E-2</v>
      </c>
      <c r="G40" s="51">
        <f>+$F$19</f>
        <v>50</v>
      </c>
      <c r="H40" s="26">
        <f>G40*F40</f>
        <v>0.58499999999999996</v>
      </c>
      <c r="I40" s="27"/>
      <c r="J40" s="28">
        <f>+'Proposed Rates'!E40</f>
        <v>-0.16650000000000001</v>
      </c>
      <c r="K40" s="51">
        <f>+$F$19</f>
        <v>50</v>
      </c>
      <c r="L40" s="26">
        <f>K40*J40</f>
        <v>-8.3250000000000011</v>
      </c>
      <c r="M40" s="27"/>
      <c r="N40" s="30">
        <f>L40-H40</f>
        <v>-8.91</v>
      </c>
      <c r="O40" s="31">
        <f>IF((H40)=0,"",(N40/H40))</f>
        <v>-15.230769230769232</v>
      </c>
      <c r="Q40" s="107"/>
      <c r="S40" s="107"/>
      <c r="U40" s="107"/>
      <c r="W40" s="107"/>
    </row>
    <row r="41" spans="2:23" ht="26.4" x14ac:dyDescent="0.25">
      <c r="B41" s="154" t="s">
        <v>101</v>
      </c>
      <c r="C41" s="21"/>
      <c r="D41" s="22" t="s">
        <v>58</v>
      </c>
      <c r="E41" s="23"/>
      <c r="F41" s="24">
        <f>'Proposed Rates'!D54</f>
        <v>1.29E-2</v>
      </c>
      <c r="G41" s="51">
        <f>+F19</f>
        <v>50</v>
      </c>
      <c r="H41" s="26">
        <f t="shared" ref="H41:H46" si="7">G41*F41</f>
        <v>0.64500000000000002</v>
      </c>
      <c r="I41" s="47"/>
      <c r="J41" s="28">
        <f>+'Proposed Rates'!E54</f>
        <v>0</v>
      </c>
      <c r="K41" s="25">
        <f>$G$41</f>
        <v>50</v>
      </c>
      <c r="L41" s="26">
        <f t="shared" ref="L41:L46" si="8">K41*J41</f>
        <v>0</v>
      </c>
      <c r="M41" s="48"/>
      <c r="N41" s="30">
        <f t="shared" ref="N41:N46" si="9">L41-H41</f>
        <v>-0.64500000000000002</v>
      </c>
      <c r="O41" s="31">
        <f t="shared" ref="O41:O65" si="10">IF((H41)=0,"",(N41/H41))</f>
        <v>-1</v>
      </c>
      <c r="Q41" s="107"/>
      <c r="S41" s="107"/>
      <c r="U41" s="107"/>
      <c r="W41" s="107"/>
    </row>
    <row r="42" spans="2:23" ht="39.6" x14ac:dyDescent="0.25">
      <c r="B42" s="154" t="s">
        <v>59</v>
      </c>
      <c r="C42" s="21"/>
      <c r="D42" s="22" t="s">
        <v>20</v>
      </c>
      <c r="E42" s="23"/>
      <c r="F42" s="24">
        <f>'Proposed Rates'!D83</f>
        <v>-1.9E-3</v>
      </c>
      <c r="G42" s="25">
        <f t="shared" ref="G42:G44" si="11">$F$18</f>
        <v>51100</v>
      </c>
      <c r="H42" s="26">
        <f t="shared" si="7"/>
        <v>-97.09</v>
      </c>
      <c r="I42" s="47"/>
      <c r="J42" s="28">
        <f>+'Proposed Rates'!E83</f>
        <v>0</v>
      </c>
      <c r="K42" s="25">
        <f t="shared" ref="K42" si="12">$F$18</f>
        <v>51100</v>
      </c>
      <c r="L42" s="26">
        <f t="shared" si="8"/>
        <v>0</v>
      </c>
      <c r="M42" s="48"/>
      <c r="N42" s="30">
        <f t="shared" si="9"/>
        <v>97.09</v>
      </c>
      <c r="O42" s="31">
        <f t="shared" si="10"/>
        <v>-1</v>
      </c>
      <c r="Q42" s="107"/>
      <c r="S42" s="107"/>
      <c r="U42" s="107"/>
      <c r="W42" s="107"/>
    </row>
    <row r="43" spans="2:23" ht="39.6" x14ac:dyDescent="0.25">
      <c r="B43" s="46" t="s">
        <v>106</v>
      </c>
      <c r="C43" s="21"/>
      <c r="D43" s="22" t="s">
        <v>58</v>
      </c>
      <c r="E43" s="23"/>
      <c r="F43" s="24">
        <f>'Proposed Rates'!D99</f>
        <v>-0.9869</v>
      </c>
      <c r="G43" s="51">
        <f>+F19</f>
        <v>50</v>
      </c>
      <c r="H43" s="26">
        <f>G43*F43</f>
        <v>-49.344999999999999</v>
      </c>
      <c r="I43" s="47"/>
      <c r="J43" s="28">
        <f>+'Proposed Rates'!E99</f>
        <v>-0.33910000000000001</v>
      </c>
      <c r="K43" s="51">
        <f>+F19</f>
        <v>50</v>
      </c>
      <c r="L43" s="26">
        <f t="shared" si="8"/>
        <v>-16.955000000000002</v>
      </c>
      <c r="M43" s="48"/>
      <c r="N43" s="30">
        <f t="shared" si="9"/>
        <v>32.39</v>
      </c>
      <c r="O43" s="31">
        <f t="shared" si="10"/>
        <v>-0.65639882460229004</v>
      </c>
      <c r="Q43" s="107"/>
      <c r="S43" s="107"/>
      <c r="U43" s="107"/>
      <c r="W43" s="107"/>
    </row>
    <row r="44" spans="2:23" ht="39.6" x14ac:dyDescent="0.25">
      <c r="B44" s="46" t="s">
        <v>125</v>
      </c>
      <c r="C44" s="21"/>
      <c r="D44" s="22" t="s">
        <v>20</v>
      </c>
      <c r="E44" s="23"/>
      <c r="F44" s="24">
        <f>+'Proposed Rates'!D113</f>
        <v>2.7E-4</v>
      </c>
      <c r="G44" s="25">
        <f t="shared" si="11"/>
        <v>51100</v>
      </c>
      <c r="H44" s="26">
        <f>G44*F44</f>
        <v>13.797000000000001</v>
      </c>
      <c r="I44" s="226"/>
      <c r="J44" s="223">
        <f>+'Proposed Rates'!E113</f>
        <v>0</v>
      </c>
      <c r="K44" s="25">
        <f t="shared" ref="K44" si="13">$F$18</f>
        <v>51100</v>
      </c>
      <c r="L44" s="26">
        <f t="shared" si="8"/>
        <v>0</v>
      </c>
      <c r="M44" s="226"/>
      <c r="N44" s="30">
        <f t="shared" si="9"/>
        <v>-13.797000000000001</v>
      </c>
      <c r="O44" s="31">
        <f t="shared" si="10"/>
        <v>-1</v>
      </c>
      <c r="Q44" s="107"/>
      <c r="S44" s="107"/>
      <c r="U44" s="107"/>
      <c r="W44" s="107"/>
    </row>
    <row r="45" spans="2:23" x14ac:dyDescent="0.25">
      <c r="B45" s="49" t="s">
        <v>25</v>
      </c>
      <c r="C45" s="21"/>
      <c r="D45" s="22" t="s">
        <v>58</v>
      </c>
      <c r="E45" s="23"/>
      <c r="F45" s="50">
        <f>'Proposed Rates'!D128</f>
        <v>2.632E-2</v>
      </c>
      <c r="G45" s="51">
        <f>+$F$19</f>
        <v>50</v>
      </c>
      <c r="H45" s="26">
        <f>G45*F45</f>
        <v>1.3160000000000001</v>
      </c>
      <c r="I45" s="27"/>
      <c r="J45" s="52">
        <f>'Proposed Rates'!E128</f>
        <v>2.3820000000000001E-2</v>
      </c>
      <c r="K45" s="51">
        <f>+$F$19</f>
        <v>50</v>
      </c>
      <c r="L45" s="26">
        <f>K45*J45</f>
        <v>1.1910000000000001</v>
      </c>
      <c r="M45" s="27"/>
      <c r="N45" s="30">
        <f>L45-H45</f>
        <v>-0.125</v>
      </c>
      <c r="O45" s="31">
        <f>IF((H45)=0,"",(N45/H45))</f>
        <v>-9.4984802431610935E-2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1711.8500000000058</v>
      </c>
      <c r="H46" s="26">
        <f t="shared" si="7"/>
        <v>140.64559600000049</v>
      </c>
      <c r="I46" s="27"/>
      <c r="J46" s="55">
        <f>0.65*$J$57+0.17*$J$58+0.18*$J$59</f>
        <v>8.2160000000000011E-2</v>
      </c>
      <c r="K46" s="54">
        <f>$F$18*(1+$J$72)-$F$18</f>
        <v>1711.8500000000058</v>
      </c>
      <c r="L46" s="26">
        <f t="shared" si="8"/>
        <v>140.64559600000049</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426.77859600000045</v>
      </c>
      <c r="I48" s="40"/>
      <c r="J48" s="59"/>
      <c r="K48" s="61"/>
      <c r="L48" s="60">
        <f>SUM(L40:L47)+L39</f>
        <v>545.81159600000046</v>
      </c>
      <c r="M48" s="40"/>
      <c r="N48" s="43">
        <f t="shared" ref="N48:N65" si="14">L48-H48</f>
        <v>119.03300000000002</v>
      </c>
      <c r="O48" s="44">
        <f t="shared" si="10"/>
        <v>0.27891042595772514</v>
      </c>
      <c r="Q48" s="107"/>
      <c r="S48" s="107"/>
      <c r="U48" s="107"/>
      <c r="W48" s="107"/>
    </row>
    <row r="49" spans="2:23" x14ac:dyDescent="0.25">
      <c r="B49" s="27" t="s">
        <v>29</v>
      </c>
      <c r="C49" s="27"/>
      <c r="D49" s="62" t="s">
        <v>58</v>
      </c>
      <c r="E49" s="63"/>
      <c r="F49" s="28">
        <f>'Proposed Rates'!D158</f>
        <v>2.8016000000000001</v>
      </c>
      <c r="G49" s="64">
        <f>+$F$19</f>
        <v>50</v>
      </c>
      <c r="H49" s="26">
        <f>G49*F49</f>
        <v>140.08000000000001</v>
      </c>
      <c r="I49" s="27"/>
      <c r="J49" s="28">
        <f>'Proposed Rates'!E158</f>
        <v>2.8473000000000002</v>
      </c>
      <c r="K49" s="64">
        <f>+$F$19</f>
        <v>50</v>
      </c>
      <c r="L49" s="26">
        <f>K49*J49</f>
        <v>142.36500000000001</v>
      </c>
      <c r="M49" s="27"/>
      <c r="N49" s="30">
        <f t="shared" si="14"/>
        <v>2.2849999999999966</v>
      </c>
      <c r="O49" s="31">
        <f t="shared" si="10"/>
        <v>1.6312107367218706E-2</v>
      </c>
      <c r="Q49" s="107"/>
      <c r="S49" s="107"/>
      <c r="U49" s="107"/>
      <c r="W49" s="107"/>
    </row>
    <row r="50" spans="2:23" ht="26.4" x14ac:dyDescent="0.25">
      <c r="B50" s="66" t="s">
        <v>30</v>
      </c>
      <c r="C50" s="27"/>
      <c r="D50" s="62" t="s">
        <v>58</v>
      </c>
      <c r="E50" s="63"/>
      <c r="F50" s="28">
        <f>'Proposed Rates'!D173</f>
        <v>1.8173999999999999</v>
      </c>
      <c r="G50" s="64">
        <f>G49</f>
        <v>50</v>
      </c>
      <c r="H50" s="26">
        <f>G50*F50</f>
        <v>90.86999999999999</v>
      </c>
      <c r="I50" s="27"/>
      <c r="J50" s="28">
        <f>'Proposed Rates'!E173</f>
        <v>1.8407</v>
      </c>
      <c r="K50" s="64">
        <f>K49</f>
        <v>50</v>
      </c>
      <c r="L50" s="26">
        <f>K50*J50</f>
        <v>92.034999999999997</v>
      </c>
      <c r="M50" s="27"/>
      <c r="N50" s="30">
        <f t="shared" si="14"/>
        <v>1.1650000000000063</v>
      </c>
      <c r="O50" s="31">
        <f t="shared" si="10"/>
        <v>1.2820512820512891E-2</v>
      </c>
      <c r="Q50" s="107"/>
      <c r="S50" s="107"/>
      <c r="U50" s="107"/>
      <c r="W50" s="107"/>
    </row>
    <row r="51" spans="2:23" ht="26.4" x14ac:dyDescent="0.25">
      <c r="B51" s="56" t="s">
        <v>31</v>
      </c>
      <c r="C51" s="35"/>
      <c r="D51" s="35"/>
      <c r="E51" s="35"/>
      <c r="F51" s="67"/>
      <c r="G51" s="59"/>
      <c r="H51" s="60">
        <f>SUM(H48:H50)</f>
        <v>657.72859600000049</v>
      </c>
      <c r="I51" s="68"/>
      <c r="J51" s="69"/>
      <c r="K51" s="59"/>
      <c r="L51" s="60">
        <f>SUM(L48:L50)</f>
        <v>780.21159600000044</v>
      </c>
      <c r="M51" s="68"/>
      <c r="N51" s="43">
        <f t="shared" si="14"/>
        <v>122.48299999999995</v>
      </c>
      <c r="O51" s="44">
        <f t="shared" si="10"/>
        <v>0.18622118719618488</v>
      </c>
      <c r="Q51" s="102"/>
      <c r="S51" s="102"/>
      <c r="U51" s="102"/>
      <c r="W51" s="102"/>
    </row>
    <row r="52" spans="2:23" ht="26.4" x14ac:dyDescent="0.25">
      <c r="B52" s="71" t="s">
        <v>32</v>
      </c>
      <c r="C52" s="21"/>
      <c r="D52" s="22" t="s">
        <v>20</v>
      </c>
      <c r="E52" s="23"/>
      <c r="F52" s="72">
        <f>'Proposed Rates'!D186</f>
        <v>3.5999999999999999E-3</v>
      </c>
      <c r="G52" s="64">
        <f>+$F$18+G46</f>
        <v>52811.850000000006</v>
      </c>
      <c r="H52" s="73">
        <f t="shared" ref="H52:H59" si="15">G52*F52</f>
        <v>190.12266000000002</v>
      </c>
      <c r="I52" s="27"/>
      <c r="J52" s="72">
        <f>F52</f>
        <v>3.5999999999999999E-3</v>
      </c>
      <c r="K52" s="64">
        <f>+$F$18+K46</f>
        <v>52811.850000000006</v>
      </c>
      <c r="L52" s="73">
        <f t="shared" ref="L52:L59" si="16">K52*J52</f>
        <v>190.12266000000002</v>
      </c>
      <c r="M52" s="27"/>
      <c r="N52" s="30">
        <f t="shared" si="14"/>
        <v>0</v>
      </c>
      <c r="O52" s="74">
        <f t="shared" si="10"/>
        <v>0</v>
      </c>
      <c r="Q52" s="107"/>
      <c r="S52" s="107"/>
      <c r="U52" s="107"/>
      <c r="W52" s="107"/>
    </row>
    <row r="53" spans="2:23" ht="26.4" x14ac:dyDescent="0.25">
      <c r="B53" s="71" t="s">
        <v>33</v>
      </c>
      <c r="C53" s="21"/>
      <c r="D53" s="22" t="s">
        <v>20</v>
      </c>
      <c r="E53" s="23"/>
      <c r="F53" s="72">
        <f>'Proposed Rates'!D191</f>
        <v>2.9999999999999997E-4</v>
      </c>
      <c r="G53" s="64">
        <f>G52</f>
        <v>52811.850000000006</v>
      </c>
      <c r="H53" s="73">
        <f t="shared" si="15"/>
        <v>15.843555</v>
      </c>
      <c r="I53" s="27"/>
      <c r="J53" s="72">
        <f>F53</f>
        <v>2.9999999999999997E-4</v>
      </c>
      <c r="K53" s="64">
        <f>K52</f>
        <v>52811.850000000006</v>
      </c>
      <c r="L53" s="73">
        <f t="shared" si="16"/>
        <v>15.843555</v>
      </c>
      <c r="M53" s="27"/>
      <c r="N53" s="30">
        <f t="shared" si="14"/>
        <v>0</v>
      </c>
      <c r="O53" s="74">
        <f t="shared" si="10"/>
        <v>0</v>
      </c>
      <c r="Q53" s="107"/>
      <c r="S53" s="107"/>
      <c r="U53" s="107"/>
      <c r="W53" s="107"/>
    </row>
    <row r="54" spans="2:23" x14ac:dyDescent="0.25">
      <c r="B54" s="21" t="s">
        <v>34</v>
      </c>
      <c r="C54" s="21"/>
      <c r="D54" s="22" t="s">
        <v>17</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5">
      <c r="B55" s="21" t="s">
        <v>120</v>
      </c>
      <c r="C55" s="21"/>
      <c r="D55" s="22"/>
      <c r="E55" s="23"/>
      <c r="F55" s="72">
        <f>'Proposed Rates'!D221</f>
        <v>0</v>
      </c>
      <c r="G55" s="75">
        <f>G52</f>
        <v>52811.850000000006</v>
      </c>
      <c r="H55" s="73">
        <f>G55*F55</f>
        <v>0</v>
      </c>
      <c r="I55" s="27"/>
      <c r="J55" s="72">
        <f>F55</f>
        <v>0</v>
      </c>
      <c r="K55" s="75">
        <f>K52</f>
        <v>52811.850000000006</v>
      </c>
      <c r="L55" s="73">
        <f>K55*J55</f>
        <v>0</v>
      </c>
      <c r="M55" s="27"/>
      <c r="N55" s="30"/>
      <c r="O55" s="74"/>
      <c r="Q55" s="107"/>
      <c r="S55" s="107"/>
      <c r="U55" s="107"/>
      <c r="W55" s="107"/>
    </row>
    <row r="56" spans="2:23" x14ac:dyDescent="0.25">
      <c r="B56" s="21" t="s">
        <v>35</v>
      </c>
      <c r="C56" s="21"/>
      <c r="D56" s="22"/>
      <c r="E56" s="23"/>
      <c r="F56" s="72">
        <f>'Proposed Rates'!D216</f>
        <v>6.94E-3</v>
      </c>
      <c r="G56" s="75">
        <f>$F$18</f>
        <v>51100</v>
      </c>
      <c r="H56" s="73">
        <f t="shared" si="15"/>
        <v>354.63400000000001</v>
      </c>
      <c r="I56" s="27"/>
      <c r="J56" s="72">
        <f>+F56</f>
        <v>6.94E-3</v>
      </c>
      <c r="K56" s="76">
        <f>$F$18</f>
        <v>51100</v>
      </c>
      <c r="L56" s="73">
        <f t="shared" si="16"/>
        <v>354.63400000000001</v>
      </c>
      <c r="M56" s="27"/>
      <c r="N56" s="30">
        <f t="shared" si="14"/>
        <v>0</v>
      </c>
      <c r="O56" s="74">
        <f t="shared" si="10"/>
        <v>0</v>
      </c>
      <c r="Q56" s="107"/>
      <c r="S56" s="107"/>
      <c r="U56" s="107"/>
      <c r="W56" s="107"/>
    </row>
    <row r="57" spans="2:23" x14ac:dyDescent="0.25">
      <c r="B57" s="49" t="s">
        <v>36</v>
      </c>
      <c r="C57" s="21"/>
      <c r="D57" s="22"/>
      <c r="E57" s="23"/>
      <c r="F57" s="72">
        <f>'Proposed Rates'!D226</f>
        <v>6.5000000000000002E-2</v>
      </c>
      <c r="G57" s="77">
        <f>0.65*$F$18</f>
        <v>33215</v>
      </c>
      <c r="H57" s="73">
        <f t="shared" si="15"/>
        <v>2158.9749999999999</v>
      </c>
      <c r="I57" s="27"/>
      <c r="J57" s="72">
        <f>F57</f>
        <v>6.5000000000000002E-2</v>
      </c>
      <c r="K57" s="77">
        <f>$G$57</f>
        <v>33215</v>
      </c>
      <c r="L57" s="73">
        <f t="shared" si="16"/>
        <v>2158.9749999999999</v>
      </c>
      <c r="M57" s="27"/>
      <c r="N57" s="30">
        <f t="shared" si="14"/>
        <v>0</v>
      </c>
      <c r="O57" s="74">
        <f t="shared" si="10"/>
        <v>0</v>
      </c>
      <c r="Q57" s="107"/>
      <c r="S57" s="107"/>
      <c r="U57" s="107"/>
      <c r="W57" s="107"/>
    </row>
    <row r="58" spans="2:23" x14ac:dyDescent="0.25">
      <c r="B58" s="49" t="s">
        <v>37</v>
      </c>
      <c r="C58" s="21"/>
      <c r="D58" s="22"/>
      <c r="E58" s="23"/>
      <c r="F58" s="72">
        <f>'Proposed Rates'!D227</f>
        <v>9.5000000000000001E-2</v>
      </c>
      <c r="G58" s="77">
        <f>0.17*$F$18</f>
        <v>8687</v>
      </c>
      <c r="H58" s="73">
        <f t="shared" si="15"/>
        <v>825.26499999999999</v>
      </c>
      <c r="I58" s="27"/>
      <c r="J58" s="72">
        <f>F58</f>
        <v>9.5000000000000001E-2</v>
      </c>
      <c r="K58" s="77">
        <f>$G$58</f>
        <v>8687</v>
      </c>
      <c r="L58" s="73">
        <f t="shared" si="16"/>
        <v>825.26499999999999</v>
      </c>
      <c r="M58" s="27"/>
      <c r="N58" s="30">
        <f t="shared" si="14"/>
        <v>0</v>
      </c>
      <c r="O58" s="74">
        <f t="shared" si="10"/>
        <v>0</v>
      </c>
      <c r="Q58" s="107"/>
      <c r="S58" s="107"/>
      <c r="U58" s="107"/>
      <c r="W58" s="107"/>
    </row>
    <row r="59" spans="2:23" x14ac:dyDescent="0.25">
      <c r="B59" s="11" t="s">
        <v>38</v>
      </c>
      <c r="C59" s="21"/>
      <c r="D59" s="22"/>
      <c r="E59" s="23"/>
      <c r="F59" s="72">
        <f>'Proposed Rates'!D228</f>
        <v>0.13200000000000001</v>
      </c>
      <c r="G59" s="77">
        <f>0.18*$F$18</f>
        <v>9198</v>
      </c>
      <c r="H59" s="73">
        <f t="shared" si="15"/>
        <v>1214.136</v>
      </c>
      <c r="I59" s="27"/>
      <c r="J59" s="72">
        <f>F59</f>
        <v>0.13200000000000001</v>
      </c>
      <c r="K59" s="77">
        <f>$G$59</f>
        <v>9198</v>
      </c>
      <c r="L59" s="73">
        <f t="shared" si="16"/>
        <v>1214.136</v>
      </c>
      <c r="M59" s="27"/>
      <c r="N59" s="30">
        <f t="shared" si="14"/>
        <v>0</v>
      </c>
      <c r="O59" s="74">
        <f t="shared" si="10"/>
        <v>0</v>
      </c>
      <c r="Q59" s="107"/>
      <c r="S59" s="107"/>
      <c r="U59" s="107"/>
      <c r="W59" s="107"/>
    </row>
    <row r="60" spans="2:23" s="85" customFormat="1" x14ac:dyDescent="0.25">
      <c r="B60" s="78" t="s">
        <v>39</v>
      </c>
      <c r="C60" s="79"/>
      <c r="D60" s="80"/>
      <c r="E60" s="81"/>
      <c r="F60" s="72">
        <f>'Proposed Rates'!D229</f>
        <v>7.6999999999999999E-2</v>
      </c>
      <c r="G60" s="82">
        <v>750</v>
      </c>
      <c r="H60" s="73">
        <f>G60*F60</f>
        <v>57.75</v>
      </c>
      <c r="I60" s="83"/>
      <c r="J60" s="72">
        <f>F60</f>
        <v>7.6999999999999999E-2</v>
      </c>
      <c r="K60" s="82">
        <f>$G$60</f>
        <v>750</v>
      </c>
      <c r="L60" s="73">
        <f>K60*J60</f>
        <v>57.75</v>
      </c>
      <c r="M60" s="83"/>
      <c r="N60" s="84">
        <f t="shared" si="14"/>
        <v>0</v>
      </c>
      <c r="O60" s="74">
        <f t="shared" si="10"/>
        <v>0</v>
      </c>
      <c r="Q60" s="143"/>
      <c r="R60" s="204"/>
      <c r="S60" s="143"/>
      <c r="T60" s="204"/>
      <c r="U60" s="143"/>
      <c r="V60" s="204"/>
      <c r="W60" s="143"/>
    </row>
    <row r="61" spans="2:23" s="85" customFormat="1" ht="13.8" thickBot="1" x14ac:dyDescent="0.3">
      <c r="B61" s="78" t="s">
        <v>40</v>
      </c>
      <c r="C61" s="79"/>
      <c r="D61" s="80"/>
      <c r="E61" s="81"/>
      <c r="F61" s="72">
        <f>'Proposed Rates'!D230</f>
        <v>0.09</v>
      </c>
      <c r="G61" s="82">
        <f>F18-G60</f>
        <v>50350</v>
      </c>
      <c r="H61" s="73">
        <f>G61*F61</f>
        <v>4531.5</v>
      </c>
      <c r="I61" s="83"/>
      <c r="J61" s="72">
        <f>F61</f>
        <v>0.09</v>
      </c>
      <c r="K61" s="82">
        <f>$G$61</f>
        <v>50350</v>
      </c>
      <c r="L61" s="73">
        <f>K61*J61</f>
        <v>4531.5</v>
      </c>
      <c r="M61" s="83"/>
      <c r="N61" s="84">
        <f t="shared" si="14"/>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5416.9548110000005</v>
      </c>
      <c r="I63" s="100"/>
      <c r="J63" s="101"/>
      <c r="K63" s="101"/>
      <c r="L63" s="99">
        <f>SUM(L52:L59,L51)</f>
        <v>5539.4378109999998</v>
      </c>
      <c r="M63" s="102"/>
      <c r="N63" s="103">
        <f t="shared" ref="N63" si="17">L63-H63</f>
        <v>122.48299999999927</v>
      </c>
      <c r="O63" s="104">
        <f t="shared" ref="O63" si="18">IF((H63)=0,"",(N63/H63))</f>
        <v>2.2611043339567424E-2</v>
      </c>
      <c r="Q63" s="102"/>
      <c r="S63" s="102"/>
      <c r="U63" s="102"/>
      <c r="W63" s="102"/>
    </row>
    <row r="64" spans="2:23" x14ac:dyDescent="0.25">
      <c r="B64" s="105" t="s">
        <v>42</v>
      </c>
      <c r="C64" s="21"/>
      <c r="D64" s="21"/>
      <c r="E64" s="21"/>
      <c r="F64" s="106">
        <v>0.13</v>
      </c>
      <c r="G64" s="107"/>
      <c r="H64" s="108">
        <f>H63*F64</f>
        <v>704.20412543000009</v>
      </c>
      <c r="I64" s="109"/>
      <c r="J64" s="110">
        <v>0.13</v>
      </c>
      <c r="K64" s="109"/>
      <c r="L64" s="111">
        <f>L63*J64</f>
        <v>720.12691542999994</v>
      </c>
      <c r="M64" s="112"/>
      <c r="N64" s="113">
        <f t="shared" si="14"/>
        <v>15.92278999999985</v>
      </c>
      <c r="O64" s="114">
        <f t="shared" si="10"/>
        <v>2.2611043339567344E-2</v>
      </c>
      <c r="Q64" s="112"/>
      <c r="S64" s="112"/>
      <c r="U64" s="112"/>
      <c r="W64" s="112"/>
    </row>
    <row r="65" spans="1:23" ht="13.8" thickBot="1" x14ac:dyDescent="0.3">
      <c r="B65" s="115" t="s">
        <v>43</v>
      </c>
      <c r="C65" s="21"/>
      <c r="D65" s="21"/>
      <c r="E65" s="21"/>
      <c r="F65" s="116"/>
      <c r="G65" s="107"/>
      <c r="H65" s="99">
        <f>H63+H64</f>
        <v>6121.1589364300007</v>
      </c>
      <c r="I65" s="109"/>
      <c r="J65" s="109"/>
      <c r="K65" s="109"/>
      <c r="L65" s="212">
        <f>L63+L64</f>
        <v>6259.5647264299996</v>
      </c>
      <c r="M65" s="112"/>
      <c r="N65" s="103">
        <f t="shared" si="14"/>
        <v>138.40578999999889</v>
      </c>
      <c r="O65" s="104">
        <f t="shared" si="10"/>
        <v>2.2611043339567375E-2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5807.8288110000012</v>
      </c>
      <c r="I67" s="128"/>
      <c r="J67" s="129"/>
      <c r="K67" s="129"/>
      <c r="L67" s="127">
        <f>SUM(L60:L61,L51,L52:L56)</f>
        <v>5930.3118110000005</v>
      </c>
      <c r="M67" s="130"/>
      <c r="N67" s="131">
        <f t="shared" ref="N67:N69" si="19">L67-H67</f>
        <v>122.48299999999927</v>
      </c>
      <c r="O67" s="104">
        <f t="shared" ref="O67:O69" si="20">IF((H67)=0,"",(N67/H67))</f>
        <v>2.1089292399255471E-2</v>
      </c>
      <c r="Q67" s="130"/>
      <c r="R67" s="204"/>
      <c r="S67" s="130"/>
      <c r="T67" s="204"/>
      <c r="U67" s="130"/>
      <c r="V67" s="204"/>
      <c r="W67" s="130"/>
    </row>
    <row r="68" spans="1:23" s="85" customFormat="1" x14ac:dyDescent="0.25">
      <c r="B68" s="132" t="s">
        <v>42</v>
      </c>
      <c r="C68" s="79"/>
      <c r="D68" s="79"/>
      <c r="E68" s="79"/>
      <c r="F68" s="133">
        <v>0.13</v>
      </c>
      <c r="G68" s="126"/>
      <c r="H68" s="134">
        <f>H67*F68</f>
        <v>755.01774543000022</v>
      </c>
      <c r="I68" s="135"/>
      <c r="J68" s="136">
        <v>0.13</v>
      </c>
      <c r="K68" s="137"/>
      <c r="L68" s="138">
        <f>L67*J68</f>
        <v>770.94053543000007</v>
      </c>
      <c r="M68" s="139"/>
      <c r="N68" s="140">
        <f t="shared" si="19"/>
        <v>15.92278999999985</v>
      </c>
      <c r="O68" s="114">
        <f t="shared" si="20"/>
        <v>2.1089292399255399E-2</v>
      </c>
      <c r="Q68" s="139"/>
      <c r="R68" s="204"/>
      <c r="S68" s="139"/>
      <c r="T68" s="204"/>
      <c r="U68" s="139"/>
      <c r="V68" s="204"/>
      <c r="W68" s="139"/>
    </row>
    <row r="69" spans="1:23" s="85" customFormat="1" ht="13.8" thickBot="1" x14ac:dyDescent="0.3">
      <c r="B69" s="141" t="s">
        <v>43</v>
      </c>
      <c r="C69" s="79"/>
      <c r="D69" s="79"/>
      <c r="E69" s="79"/>
      <c r="F69" s="142"/>
      <c r="G69" s="143"/>
      <c r="H69" s="127">
        <f>H67+H68</f>
        <v>6562.8465564300013</v>
      </c>
      <c r="I69" s="135"/>
      <c r="J69" s="135"/>
      <c r="K69" s="135"/>
      <c r="L69" s="211">
        <f>L67+L68</f>
        <v>6701.2523464300002</v>
      </c>
      <c r="M69" s="139"/>
      <c r="N69" s="131">
        <f t="shared" si="19"/>
        <v>138.40578999999889</v>
      </c>
      <c r="O69" s="104">
        <f t="shared" si="20"/>
        <v>2.108929239925543E-2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218"/>
      <c r="O70" s="95"/>
      <c r="Q70" s="143"/>
      <c r="R70" s="204"/>
      <c r="S70" s="143"/>
      <c r="T70" s="204"/>
      <c r="U70" s="143"/>
      <c r="V70" s="204"/>
      <c r="W70" s="143"/>
    </row>
    <row r="71" spans="1:23" x14ac:dyDescent="0.25">
      <c r="L71" s="150"/>
    </row>
    <row r="72" spans="1:23" x14ac:dyDescent="0.25">
      <c r="B72" s="12" t="s">
        <v>45</v>
      </c>
      <c r="F72" s="151">
        <f>'Proposed Rates'!D203</f>
        <v>3.3500000000000002E-2</v>
      </c>
      <c r="J72" s="151">
        <f>+'Res (100)'!J74</f>
        <v>3.3500000000000002E-2</v>
      </c>
    </row>
    <row r="74" spans="1:23" ht="13.5" customHeight="1" x14ac:dyDescent="0.25">
      <c r="Q74" s="202"/>
      <c r="R74" s="202"/>
      <c r="S74" s="6"/>
      <c r="T74" s="6"/>
      <c r="U74" s="6"/>
      <c r="V74" s="6"/>
      <c r="W74" s="6"/>
    </row>
    <row r="75" spans="1:23" ht="12" customHeight="1" x14ac:dyDescent="0.25">
      <c r="A75" s="6" t="s">
        <v>46</v>
      </c>
      <c r="Q75" s="202"/>
      <c r="R75" s="202"/>
      <c r="S75" s="6"/>
      <c r="T75" s="6"/>
      <c r="U75" s="6"/>
      <c r="V75" s="6"/>
      <c r="W75" s="6"/>
    </row>
    <row r="76" spans="1:23" x14ac:dyDescent="0.25">
      <c r="A76" s="6" t="s">
        <v>47</v>
      </c>
      <c r="Q76" s="202"/>
      <c r="R76" s="202"/>
      <c r="S76" s="6"/>
      <c r="T76" s="6"/>
      <c r="U76" s="6"/>
      <c r="V76" s="6"/>
      <c r="W76" s="6"/>
    </row>
    <row r="77" spans="1:23" x14ac:dyDescent="0.25">
      <c r="Q77" s="202"/>
      <c r="R77" s="202"/>
      <c r="S77" s="6"/>
      <c r="T77" s="6"/>
      <c r="U77" s="6"/>
      <c r="V77" s="6"/>
      <c r="W77" s="6"/>
    </row>
    <row r="78" spans="1:23" x14ac:dyDescent="0.25">
      <c r="A78" s="153" t="s">
        <v>133</v>
      </c>
      <c r="Q78" s="202"/>
      <c r="R78" s="202"/>
      <c r="S78" s="6"/>
      <c r="T78" s="6"/>
      <c r="U78" s="6"/>
      <c r="V78" s="6"/>
      <c r="W78" s="6"/>
    </row>
    <row r="79" spans="1:23" x14ac:dyDescent="0.25">
      <c r="A79" s="11" t="s">
        <v>48</v>
      </c>
      <c r="Q79" s="202"/>
      <c r="R79" s="202"/>
      <c r="S79" s="6"/>
      <c r="T79" s="6"/>
      <c r="U79" s="6"/>
      <c r="V79" s="6"/>
      <c r="W79" s="6"/>
    </row>
    <row r="80" spans="1:23" x14ac:dyDescent="0.25">
      <c r="Q80" s="202"/>
      <c r="R80" s="202"/>
      <c r="S80" s="6"/>
      <c r="T80" s="6"/>
      <c r="U80" s="6"/>
      <c r="V80" s="6"/>
      <c r="W80" s="6"/>
    </row>
    <row r="81" spans="1:23" x14ac:dyDescent="0.25">
      <c r="A81" s="6" t="s">
        <v>132</v>
      </c>
      <c r="Q81" s="202"/>
      <c r="R81" s="202"/>
      <c r="S81" s="6"/>
      <c r="T81" s="6"/>
      <c r="U81" s="6"/>
      <c r="V81" s="6"/>
      <c r="W81" s="6"/>
    </row>
    <row r="82" spans="1:23" x14ac:dyDescent="0.25">
      <c r="A82" s="6" t="s">
        <v>49</v>
      </c>
      <c r="Q82" s="202"/>
      <c r="R82" s="202"/>
      <c r="S82" s="6"/>
      <c r="T82" s="6"/>
      <c r="U82" s="6"/>
      <c r="V82" s="6"/>
      <c r="W82" s="6"/>
    </row>
    <row r="83" spans="1:23" x14ac:dyDescent="0.25">
      <c r="A83" s="6" t="s">
        <v>50</v>
      </c>
      <c r="Q83" s="202"/>
      <c r="R83" s="202"/>
      <c r="S83" s="6"/>
      <c r="T83" s="6"/>
      <c r="U83" s="6"/>
      <c r="V83" s="6"/>
      <c r="W83" s="6"/>
    </row>
    <row r="84" spans="1:23" x14ac:dyDescent="0.25">
      <c r="A84" s="6" t="s">
        <v>51</v>
      </c>
      <c r="Q84" s="202"/>
      <c r="R84" s="202"/>
      <c r="S84" s="6"/>
      <c r="T84" s="6"/>
      <c r="U84" s="6"/>
      <c r="V84" s="6"/>
      <c r="W84" s="6"/>
    </row>
    <row r="85" spans="1:23" x14ac:dyDescent="0.25">
      <c r="A85" s="6" t="s">
        <v>52</v>
      </c>
      <c r="Q85" s="202"/>
      <c r="R85" s="202"/>
      <c r="S85" s="6"/>
      <c r="T85" s="6"/>
      <c r="U85" s="6"/>
      <c r="V85" s="6"/>
      <c r="W85" s="6"/>
    </row>
    <row r="86" spans="1:23" x14ac:dyDescent="0.25">
      <c r="Q86" s="202"/>
      <c r="R86" s="202"/>
      <c r="S86" s="6"/>
      <c r="T86" s="6"/>
      <c r="U86" s="6"/>
      <c r="V86" s="6"/>
      <c r="W86" s="6"/>
    </row>
    <row r="87" spans="1:23" x14ac:dyDescent="0.25">
      <c r="A87" s="152"/>
      <c r="B87" s="6" t="s">
        <v>53</v>
      </c>
      <c r="Q87" s="202"/>
      <c r="R87" s="202"/>
      <c r="S87" s="6"/>
      <c r="T87" s="6"/>
      <c r="U87" s="6"/>
      <c r="V87" s="6"/>
      <c r="W87" s="6"/>
    </row>
    <row r="88" spans="1:23" x14ac:dyDescent="0.25">
      <c r="Q88" s="202"/>
      <c r="R88" s="202"/>
      <c r="S88" s="6"/>
      <c r="T88" s="6"/>
      <c r="U88" s="6"/>
      <c r="V88" s="6"/>
      <c r="W88" s="6"/>
    </row>
    <row r="89" spans="1:23" x14ac:dyDescent="0.25">
      <c r="B89" s="153" t="s">
        <v>54</v>
      </c>
      <c r="Q89" s="202"/>
      <c r="R89" s="202"/>
      <c r="S89" s="6"/>
      <c r="T89" s="6"/>
      <c r="U89" s="6"/>
      <c r="V89" s="6"/>
      <c r="W89"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E49:E50 E70 E66 E52:E62 E23:E38 E40:E47">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3</xdr:col>
                    <xdr:colOff>274320</xdr:colOff>
                    <xdr:row>9</xdr:row>
                    <xdr:rowOff>53340</xdr:rowOff>
                  </from>
                  <to>
                    <xdr:col>5</xdr:col>
                    <xdr:colOff>350520</xdr:colOff>
                    <xdr:row>9</xdr:row>
                    <xdr:rowOff>175260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5</xdr:col>
                    <xdr:colOff>121920</xdr:colOff>
                    <xdr:row>9</xdr:row>
                    <xdr:rowOff>22860</xdr:rowOff>
                  </from>
                  <to>
                    <xdr:col>9</xdr:col>
                    <xdr:colOff>83820</xdr:colOff>
                    <xdr:row>9</xdr:row>
                    <xdr:rowOff>236220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93"/>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11.44140625" style="6" bestFit="1" customWidth="1"/>
    <col min="9" max="9" width="2.88671875" style="6" customWidth="1"/>
    <col min="10" max="10" width="10.88671875" style="6" bestFit="1" customWidth="1"/>
    <col min="11" max="11" width="7.44140625" style="6" bestFit="1" customWidth="1"/>
    <col min="12" max="12" width="11.44140625" style="6" bestFit="1" customWidth="1"/>
    <col min="13" max="13" width="2.88671875" style="6" customWidth="1"/>
    <col min="14" max="14" width="9.21875" style="6" bestFit="1" customWidth="1"/>
    <col min="15" max="15" width="10"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56</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127750</v>
      </c>
      <c r="G18" s="12" t="s">
        <v>6</v>
      </c>
    </row>
    <row r="19" spans="2:23" x14ac:dyDescent="0.25">
      <c r="B19" s="11"/>
      <c r="F19" s="13">
        <v>250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+'&gt;50 (100)'!F29</f>
        <v>4.3244999999999996</v>
      </c>
      <c r="G29" s="51">
        <f>+$F$19</f>
        <v>250</v>
      </c>
      <c r="H29" s="26">
        <f t="shared" si="0"/>
        <v>1081.125</v>
      </c>
      <c r="I29" s="27"/>
      <c r="J29" s="24">
        <f>+'&gt;50 (100)'!J29</f>
        <v>4.5850999999999997</v>
      </c>
      <c r="K29" s="51">
        <f>+$F$19</f>
        <v>250</v>
      </c>
      <c r="L29" s="26">
        <f t="shared" si="1"/>
        <v>1146.2749999999999</v>
      </c>
      <c r="M29" s="27"/>
      <c r="N29" s="30">
        <f t="shared" si="2"/>
        <v>65.149999999999864</v>
      </c>
      <c r="O29" s="31">
        <f t="shared" si="3"/>
        <v>6.0261301884610811E-2</v>
      </c>
      <c r="Q29" s="107"/>
      <c r="S29" s="107"/>
      <c r="U29" s="107"/>
      <c r="W29" s="107"/>
    </row>
    <row r="30" spans="2:23" x14ac:dyDescent="0.25">
      <c r="B30" s="21" t="s">
        <v>21</v>
      </c>
      <c r="C30" s="21"/>
      <c r="D30" s="22"/>
      <c r="E30" s="23"/>
      <c r="F30" s="24"/>
      <c r="G30" s="25">
        <f t="shared" ref="G30" si="4">$F$18</f>
        <v>127750</v>
      </c>
      <c r="H30" s="26">
        <f t="shared" si="0"/>
        <v>0</v>
      </c>
      <c r="I30" s="27"/>
      <c r="J30" s="24"/>
      <c r="K30" s="25">
        <f t="shared" ref="K30:K38" si="5">$F$18</f>
        <v>127750</v>
      </c>
      <c r="L30" s="26">
        <f t="shared" si="1"/>
        <v>0</v>
      </c>
      <c r="M30" s="27"/>
      <c r="N30" s="30">
        <f t="shared" si="2"/>
        <v>0</v>
      </c>
      <c r="O30" s="31" t="str">
        <f t="shared" si="3"/>
        <v/>
      </c>
      <c r="Q30" s="107"/>
      <c r="S30" s="107"/>
      <c r="U30" s="107"/>
      <c r="W30" s="107"/>
    </row>
    <row r="31" spans="2:23" x14ac:dyDescent="0.25">
      <c r="B31" s="21" t="s">
        <v>22</v>
      </c>
      <c r="C31" s="21"/>
      <c r="D31" s="22" t="s">
        <v>58</v>
      </c>
      <c r="E31" s="23"/>
      <c r="F31" s="24">
        <f>+'&gt;50 (100)'!F31</f>
        <v>0</v>
      </c>
      <c r="G31" s="51">
        <f>+$F$19</f>
        <v>250</v>
      </c>
      <c r="H31" s="26">
        <f t="shared" si="0"/>
        <v>0</v>
      </c>
      <c r="I31" s="27"/>
      <c r="J31" s="24">
        <f>+'&gt;50 (100)'!J31</f>
        <v>0</v>
      </c>
      <c r="K31" s="51">
        <f>+$F$19</f>
        <v>250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127750</v>
      </c>
      <c r="H32" s="26">
        <f t="shared" si="0"/>
        <v>0</v>
      </c>
      <c r="I32" s="27"/>
      <c r="J32" s="28"/>
      <c r="K32" s="25">
        <f t="shared" si="5"/>
        <v>127750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127750</v>
      </c>
      <c r="H33" s="26">
        <f t="shared" si="0"/>
        <v>0</v>
      </c>
      <c r="I33" s="27"/>
      <c r="J33" s="28"/>
      <c r="K33" s="25">
        <f t="shared" si="5"/>
        <v>127750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127750</v>
      </c>
      <c r="H34" s="26">
        <f t="shared" si="0"/>
        <v>0</v>
      </c>
      <c r="I34" s="27"/>
      <c r="J34" s="28"/>
      <c r="K34" s="25">
        <f t="shared" si="5"/>
        <v>127750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127750</v>
      </c>
      <c r="H35" s="26">
        <f t="shared" si="0"/>
        <v>0</v>
      </c>
      <c r="I35" s="27"/>
      <c r="J35" s="28"/>
      <c r="K35" s="25">
        <f t="shared" si="5"/>
        <v>127750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127750</v>
      </c>
      <c r="H36" s="26">
        <f t="shared" si="0"/>
        <v>0</v>
      </c>
      <c r="I36" s="27"/>
      <c r="J36" s="28"/>
      <c r="K36" s="25">
        <f t="shared" si="5"/>
        <v>127750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127750</v>
      </c>
      <c r="H37" s="26">
        <f t="shared" si="0"/>
        <v>0</v>
      </c>
      <c r="I37" s="27"/>
      <c r="J37" s="28"/>
      <c r="K37" s="25">
        <f t="shared" si="5"/>
        <v>127750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127750</v>
      </c>
      <c r="H38" s="26">
        <f t="shared" si="0"/>
        <v>0</v>
      </c>
      <c r="I38" s="27"/>
      <c r="J38" s="28"/>
      <c r="K38" s="25">
        <f t="shared" si="5"/>
        <v>127750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1281.125</v>
      </c>
      <c r="I39" s="40"/>
      <c r="J39" s="41"/>
      <c r="K39" s="42"/>
      <c r="L39" s="39">
        <f>SUM(L23:L38)</f>
        <v>1346.2749999999999</v>
      </c>
      <c r="M39" s="40"/>
      <c r="N39" s="43">
        <f t="shared" si="2"/>
        <v>65.149999999999864</v>
      </c>
      <c r="O39" s="44">
        <f t="shared" si="3"/>
        <v>5.0853741828470966E-2</v>
      </c>
      <c r="Q39" s="107"/>
      <c r="R39" s="203"/>
      <c r="S39" s="107"/>
      <c r="T39" s="203"/>
      <c r="U39" s="107"/>
      <c r="V39" s="203"/>
      <c r="W39" s="107"/>
    </row>
    <row r="40" spans="2:23" ht="26.4" x14ac:dyDescent="0.25">
      <c r="B40" s="46" t="str">
        <f>+'&gt;50 (100)'!B40</f>
        <v>Deferral/Variance Account Disposition Rate Rider Class 1</v>
      </c>
      <c r="C40" s="21"/>
      <c r="D40" s="22" t="str">
        <f>+'&gt;50 (100)'!D40</f>
        <v>per kW</v>
      </c>
      <c r="E40" s="23"/>
      <c r="F40" s="24">
        <f>'Proposed Rates'!D40</f>
        <v>1.17E-2</v>
      </c>
      <c r="G40" s="51">
        <f>+$F$19</f>
        <v>250</v>
      </c>
      <c r="H40" s="26">
        <f>G40*F40</f>
        <v>2.9250000000000003</v>
      </c>
      <c r="I40" s="27"/>
      <c r="J40" s="24">
        <f>+'&gt;50 (100)'!J40</f>
        <v>-0.16650000000000001</v>
      </c>
      <c r="K40" s="51">
        <f>+$F$19</f>
        <v>250</v>
      </c>
      <c r="L40" s="26">
        <f>K40*J40</f>
        <v>-41.625</v>
      </c>
      <c r="M40" s="27"/>
      <c r="N40" s="30">
        <f>L40-H40</f>
        <v>-44.55</v>
      </c>
      <c r="O40" s="31">
        <f>IF((H40)=0,"",(N40/H40))</f>
        <v>-15.230769230769228</v>
      </c>
      <c r="Q40" s="107"/>
      <c r="S40" s="107"/>
      <c r="U40" s="107"/>
      <c r="W40" s="107"/>
    </row>
    <row r="41" spans="2:23" ht="26.4" x14ac:dyDescent="0.25">
      <c r="B41" s="46" t="str">
        <f>+'&gt;50 (100)'!B41</f>
        <v>Deferral/Variance Account Disposition Rate Rider Class 2</v>
      </c>
      <c r="C41" s="21"/>
      <c r="D41" s="22" t="str">
        <f>+'&gt;50 (100)'!D41</f>
        <v>per kW</v>
      </c>
      <c r="E41" s="23"/>
      <c r="F41" s="24">
        <f>'Proposed Rates'!D54</f>
        <v>1.29E-2</v>
      </c>
      <c r="G41" s="51">
        <f>+F19</f>
        <v>250</v>
      </c>
      <c r="H41" s="26">
        <f t="shared" ref="H41:H46" si="7">G41*F41</f>
        <v>3.2250000000000001</v>
      </c>
      <c r="I41" s="47"/>
      <c r="J41" s="24">
        <f>+'&gt;50 (100)'!J41</f>
        <v>0</v>
      </c>
      <c r="K41" s="25">
        <f>+$G$41</f>
        <v>250</v>
      </c>
      <c r="L41" s="26">
        <f t="shared" ref="L41:L46" si="8">K41*J41</f>
        <v>0</v>
      </c>
      <c r="M41" s="48"/>
      <c r="N41" s="30">
        <f t="shared" ref="N41:N46" si="9">L41-H41</f>
        <v>-3.2250000000000001</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tr">
        <f>+'&gt;50 (100)'!D42</f>
        <v>per kWh</v>
      </c>
      <c r="E42" s="23"/>
      <c r="F42" s="24">
        <f>'Proposed Rates'!D83</f>
        <v>-1.9E-3</v>
      </c>
      <c r="G42" s="25">
        <f t="shared" ref="G42" si="11">$F$18</f>
        <v>127750</v>
      </c>
      <c r="H42" s="26">
        <f t="shared" si="7"/>
        <v>-242.72499999999999</v>
      </c>
      <c r="I42" s="47"/>
      <c r="J42" s="24">
        <f>+'&gt;50 (100)'!J42</f>
        <v>0</v>
      </c>
      <c r="K42" s="25">
        <f t="shared" ref="K42" si="12">$F$18</f>
        <v>127750</v>
      </c>
      <c r="L42" s="26">
        <f t="shared" si="8"/>
        <v>0</v>
      </c>
      <c r="M42" s="48"/>
      <c r="N42" s="30">
        <f t="shared" si="9"/>
        <v>242.72499999999999</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Rates'!D99</f>
        <v>-0.9869</v>
      </c>
      <c r="G43" s="51">
        <f>+F19</f>
        <v>250</v>
      </c>
      <c r="H43" s="26">
        <f t="shared" si="7"/>
        <v>-246.72499999999999</v>
      </c>
      <c r="I43" s="47"/>
      <c r="J43" s="24">
        <f>+'&gt;50 (100)'!J43</f>
        <v>-0.33910000000000001</v>
      </c>
      <c r="K43" s="51">
        <f>+F19</f>
        <v>250</v>
      </c>
      <c r="L43" s="26">
        <f t="shared" si="8"/>
        <v>-84.775000000000006</v>
      </c>
      <c r="M43" s="48"/>
      <c r="N43" s="30">
        <f t="shared" si="9"/>
        <v>161.94999999999999</v>
      </c>
      <c r="O43" s="31">
        <f t="shared" si="10"/>
        <v>-0.65639882460228993</v>
      </c>
      <c r="Q43" s="107"/>
      <c r="S43" s="107"/>
      <c r="U43" s="107"/>
      <c r="W43" s="107"/>
    </row>
    <row r="44" spans="2:23" ht="39.6" x14ac:dyDescent="0.25">
      <c r="B44" s="46" t="s">
        <v>125</v>
      </c>
      <c r="C44" s="21"/>
      <c r="D44" s="22" t="s">
        <v>20</v>
      </c>
      <c r="E44" s="23"/>
      <c r="F44" s="24">
        <f>+'&gt;50 (100)'!F44</f>
        <v>2.7E-4</v>
      </c>
      <c r="G44" s="25">
        <f t="shared" ref="G44" si="13">$F$18</f>
        <v>127750</v>
      </c>
      <c r="H44" s="26">
        <f t="shared" si="7"/>
        <v>34.4925</v>
      </c>
      <c r="I44" s="226"/>
      <c r="J44" s="227">
        <f>+'&gt;50 (100)'!J44</f>
        <v>0</v>
      </c>
      <c r="K44" s="25">
        <f t="shared" ref="K44" si="14">$F$18</f>
        <v>127750</v>
      </c>
      <c r="L44" s="26">
        <f t="shared" si="8"/>
        <v>0</v>
      </c>
      <c r="M44" s="226"/>
      <c r="N44" s="30">
        <f t="shared" si="9"/>
        <v>-34.4925</v>
      </c>
      <c r="O44" s="31">
        <f t="shared" si="10"/>
        <v>-1</v>
      </c>
      <c r="Q44" s="107"/>
      <c r="S44" s="107"/>
      <c r="U44" s="107"/>
      <c r="W44" s="107"/>
    </row>
    <row r="45" spans="2:23" x14ac:dyDescent="0.25">
      <c r="B45" s="49" t="s">
        <v>25</v>
      </c>
      <c r="C45" s="21"/>
      <c r="D45" s="22" t="s">
        <v>58</v>
      </c>
      <c r="E45" s="23"/>
      <c r="F45" s="50">
        <f>'&gt;50 (100)'!F45</f>
        <v>2.632E-2</v>
      </c>
      <c r="G45" s="51">
        <f>+$F$19</f>
        <v>250</v>
      </c>
      <c r="H45" s="26">
        <f>G45*F45</f>
        <v>6.58</v>
      </c>
      <c r="I45" s="27"/>
      <c r="J45" s="52">
        <f>'&gt;50 (100)'!J45</f>
        <v>2.3820000000000001E-2</v>
      </c>
      <c r="K45" s="51">
        <f>+$F$19</f>
        <v>250</v>
      </c>
      <c r="L45" s="26">
        <f>K45*J45</f>
        <v>5.9550000000000001</v>
      </c>
      <c r="M45" s="27"/>
      <c r="N45" s="30">
        <f>L45-H45</f>
        <v>-0.625</v>
      </c>
      <c r="O45" s="31">
        <f>IF((H45)=0,"",(N45/H45))</f>
        <v>-9.4984802431610935E-2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4279.625</v>
      </c>
      <c r="H46" s="26">
        <f t="shared" si="7"/>
        <v>351.61399000000006</v>
      </c>
      <c r="I46" s="27"/>
      <c r="J46" s="55">
        <f>0.65*$J$57+0.17*$J$58+0.18*$J$59</f>
        <v>8.2160000000000011E-2</v>
      </c>
      <c r="K46" s="54">
        <f>$F$18*(1+$J$72)-$F$18</f>
        <v>4279.625</v>
      </c>
      <c r="L46" s="26">
        <f t="shared" si="8"/>
        <v>351.61399000000006</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1190.5114900000001</v>
      </c>
      <c r="I48" s="40"/>
      <c r="J48" s="59"/>
      <c r="K48" s="61"/>
      <c r="L48" s="60">
        <f>SUM(L40:L47)+L39</f>
        <v>1577.44399</v>
      </c>
      <c r="M48" s="40"/>
      <c r="N48" s="43">
        <f t="shared" ref="N48:N65" si="15">L48-H48</f>
        <v>386.93249999999989</v>
      </c>
      <c r="O48" s="44">
        <f t="shared" si="10"/>
        <v>0.32501366282487526</v>
      </c>
      <c r="Q48" s="107"/>
      <c r="S48" s="107"/>
      <c r="U48" s="107"/>
      <c r="W48" s="107"/>
    </row>
    <row r="49" spans="2:23" x14ac:dyDescent="0.25">
      <c r="B49" s="27" t="s">
        <v>29</v>
      </c>
      <c r="C49" s="27"/>
      <c r="D49" s="62" t="s">
        <v>58</v>
      </c>
      <c r="E49" s="63"/>
      <c r="F49" s="28">
        <f>'&gt;50 (100)'!F49</f>
        <v>2.8016000000000001</v>
      </c>
      <c r="G49" s="64">
        <f>+$F$19</f>
        <v>250</v>
      </c>
      <c r="H49" s="26">
        <f>G49*F49</f>
        <v>700.4</v>
      </c>
      <c r="I49" s="27"/>
      <c r="J49" s="28">
        <f>'&gt;50 (100)'!J49</f>
        <v>2.8473000000000002</v>
      </c>
      <c r="K49" s="64">
        <f>+$F$19</f>
        <v>250</v>
      </c>
      <c r="L49" s="26">
        <f>K49*J49</f>
        <v>711.82500000000005</v>
      </c>
      <c r="M49" s="27"/>
      <c r="N49" s="30">
        <f t="shared" si="15"/>
        <v>11.425000000000068</v>
      </c>
      <c r="O49" s="31">
        <f t="shared" si="10"/>
        <v>1.6312107367218831E-2</v>
      </c>
      <c r="Q49" s="107"/>
      <c r="S49" s="107"/>
      <c r="U49" s="107"/>
      <c r="W49" s="107"/>
    </row>
    <row r="50" spans="2:23" ht="26.4" x14ac:dyDescent="0.25">
      <c r="B50" s="66" t="s">
        <v>30</v>
      </c>
      <c r="C50" s="27"/>
      <c r="D50" s="62" t="s">
        <v>58</v>
      </c>
      <c r="E50" s="63"/>
      <c r="F50" s="28">
        <f>'&gt;50 (100)'!F50</f>
        <v>1.8173999999999999</v>
      </c>
      <c r="G50" s="64">
        <f>G49</f>
        <v>250</v>
      </c>
      <c r="H50" s="26">
        <f>G50*F50</f>
        <v>454.34999999999997</v>
      </c>
      <c r="I50" s="27"/>
      <c r="J50" s="28">
        <f>'&gt;50 (100)'!J50</f>
        <v>1.8407</v>
      </c>
      <c r="K50" s="64">
        <f>K49</f>
        <v>250</v>
      </c>
      <c r="L50" s="26">
        <f>K50*J50</f>
        <v>460.17500000000001</v>
      </c>
      <c r="M50" s="27"/>
      <c r="N50" s="30">
        <f t="shared" si="15"/>
        <v>5.8250000000000455</v>
      </c>
      <c r="O50" s="31">
        <f t="shared" si="10"/>
        <v>1.2820512820512922E-2</v>
      </c>
      <c r="Q50" s="107"/>
      <c r="S50" s="107"/>
      <c r="U50" s="107"/>
      <c r="W50" s="107"/>
    </row>
    <row r="51" spans="2:23" ht="26.4" x14ac:dyDescent="0.25">
      <c r="B51" s="56" t="s">
        <v>31</v>
      </c>
      <c r="C51" s="35"/>
      <c r="D51" s="35"/>
      <c r="E51" s="35"/>
      <c r="F51" s="67"/>
      <c r="G51" s="59"/>
      <c r="H51" s="60">
        <f>SUM(H48:H50)</f>
        <v>2345.2614899999999</v>
      </c>
      <c r="I51" s="68"/>
      <c r="J51" s="69"/>
      <c r="K51" s="59"/>
      <c r="L51" s="60">
        <f>SUM(L48:L50)</f>
        <v>2749.4439900000002</v>
      </c>
      <c r="M51" s="68"/>
      <c r="N51" s="43">
        <f t="shared" si="15"/>
        <v>404.18250000000035</v>
      </c>
      <c r="O51" s="44">
        <f t="shared" si="10"/>
        <v>0.17234005748331302</v>
      </c>
      <c r="Q51" s="102"/>
      <c r="S51" s="102"/>
      <c r="U51" s="102"/>
      <c r="W51" s="102"/>
    </row>
    <row r="52" spans="2:23" ht="26.4" x14ac:dyDescent="0.25">
      <c r="B52" s="71" t="s">
        <v>32</v>
      </c>
      <c r="C52" s="21"/>
      <c r="D52" s="22" t="s">
        <v>20</v>
      </c>
      <c r="E52" s="23"/>
      <c r="F52" s="72">
        <f>'&gt;50 (100)'!F52</f>
        <v>3.5999999999999999E-3</v>
      </c>
      <c r="G52" s="64">
        <f>+$F$18+G46</f>
        <v>132029.625</v>
      </c>
      <c r="H52" s="73">
        <f t="shared" ref="H52:H59" si="16">G52*F52</f>
        <v>475.30664999999999</v>
      </c>
      <c r="I52" s="27"/>
      <c r="J52" s="72">
        <f>F52</f>
        <v>3.5999999999999999E-3</v>
      </c>
      <c r="K52" s="64">
        <f>+$F$18+K46</f>
        <v>132029.625</v>
      </c>
      <c r="L52" s="73">
        <f t="shared" ref="L52:L59" si="17">K52*J52</f>
        <v>475.30664999999999</v>
      </c>
      <c r="M52" s="27"/>
      <c r="N52" s="30">
        <f t="shared" si="15"/>
        <v>0</v>
      </c>
      <c r="O52" s="74">
        <f t="shared" si="10"/>
        <v>0</v>
      </c>
      <c r="Q52" s="107"/>
      <c r="S52" s="107"/>
      <c r="U52" s="107"/>
      <c r="W52" s="107"/>
    </row>
    <row r="53" spans="2:23" ht="26.4" x14ac:dyDescent="0.25">
      <c r="B53" s="71" t="s">
        <v>33</v>
      </c>
      <c r="C53" s="21"/>
      <c r="D53" s="22" t="s">
        <v>20</v>
      </c>
      <c r="E53" s="23"/>
      <c r="F53" s="72">
        <f>'&gt;50 (100)'!F53</f>
        <v>2.9999999999999997E-4</v>
      </c>
      <c r="G53" s="64">
        <f>G52</f>
        <v>132029.625</v>
      </c>
      <c r="H53" s="73">
        <f t="shared" si="16"/>
        <v>39.608887499999994</v>
      </c>
      <c r="I53" s="27"/>
      <c r="J53" s="72">
        <f>F53</f>
        <v>2.9999999999999997E-4</v>
      </c>
      <c r="K53" s="64">
        <f>K52</f>
        <v>132029.625</v>
      </c>
      <c r="L53" s="73">
        <f t="shared" si="17"/>
        <v>39.608887499999994</v>
      </c>
      <c r="M53" s="27"/>
      <c r="N53" s="30">
        <f t="shared" si="15"/>
        <v>0</v>
      </c>
      <c r="O53" s="74">
        <f t="shared" si="10"/>
        <v>0</v>
      </c>
      <c r="Q53" s="107"/>
      <c r="S53" s="107"/>
      <c r="U53" s="107"/>
      <c r="W53" s="107"/>
    </row>
    <row r="54" spans="2:23" x14ac:dyDescent="0.25">
      <c r="B54" s="21" t="s">
        <v>34</v>
      </c>
      <c r="C54" s="21"/>
      <c r="D54" s="22" t="s">
        <v>17</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75">
        <f>G52</f>
        <v>132029.625</v>
      </c>
      <c r="H55" s="73">
        <f>G55*F55</f>
        <v>0</v>
      </c>
      <c r="I55" s="27"/>
      <c r="J55" s="72">
        <f>F55</f>
        <v>0</v>
      </c>
      <c r="K55" s="75">
        <f>K52</f>
        <v>132029.625</v>
      </c>
      <c r="L55" s="73">
        <f>K55*J55</f>
        <v>0</v>
      </c>
      <c r="M55" s="27"/>
      <c r="N55" s="30"/>
      <c r="O55" s="74"/>
      <c r="Q55" s="107"/>
      <c r="S55" s="107"/>
      <c r="U55" s="107"/>
      <c r="W55" s="107"/>
    </row>
    <row r="56" spans="2:23" x14ac:dyDescent="0.25">
      <c r="B56" s="21" t="s">
        <v>35</v>
      </c>
      <c r="C56" s="21"/>
      <c r="D56" s="22"/>
      <c r="E56" s="23"/>
      <c r="F56" s="72">
        <f>'&gt;50 (100)'!F56</f>
        <v>6.94E-3</v>
      </c>
      <c r="G56" s="75">
        <f>$F$18</f>
        <v>127750</v>
      </c>
      <c r="H56" s="73">
        <f t="shared" si="16"/>
        <v>886.58500000000004</v>
      </c>
      <c r="I56" s="27"/>
      <c r="J56" s="72">
        <f>+F56</f>
        <v>6.94E-3</v>
      </c>
      <c r="K56" s="76">
        <f>$F$18</f>
        <v>127750</v>
      </c>
      <c r="L56" s="73">
        <f t="shared" si="17"/>
        <v>886.58500000000004</v>
      </c>
      <c r="M56" s="27"/>
      <c r="N56" s="30">
        <f t="shared" si="15"/>
        <v>0</v>
      </c>
      <c r="O56" s="74">
        <f t="shared" si="10"/>
        <v>0</v>
      </c>
      <c r="Q56" s="107"/>
      <c r="S56" s="107"/>
      <c r="U56" s="107"/>
      <c r="W56" s="107"/>
    </row>
    <row r="57" spans="2:23" x14ac:dyDescent="0.25">
      <c r="B57" s="49" t="s">
        <v>36</v>
      </c>
      <c r="C57" s="21"/>
      <c r="D57" s="22"/>
      <c r="E57" s="23"/>
      <c r="F57" s="72">
        <f>'&gt;50 (100)'!F57</f>
        <v>6.5000000000000002E-2</v>
      </c>
      <c r="G57" s="77">
        <f>0.65*$F$18</f>
        <v>83037.5</v>
      </c>
      <c r="H57" s="73">
        <f t="shared" si="16"/>
        <v>5397.4375</v>
      </c>
      <c r="I57" s="27"/>
      <c r="J57" s="72">
        <f>F57</f>
        <v>6.5000000000000002E-2</v>
      </c>
      <c r="K57" s="77">
        <f>$G$57</f>
        <v>83037.5</v>
      </c>
      <c r="L57" s="73">
        <f t="shared" si="17"/>
        <v>5397.4375</v>
      </c>
      <c r="M57" s="27"/>
      <c r="N57" s="30">
        <f t="shared" si="15"/>
        <v>0</v>
      </c>
      <c r="O57" s="74">
        <f t="shared" si="10"/>
        <v>0</v>
      </c>
      <c r="Q57" s="107"/>
      <c r="S57" s="107"/>
      <c r="U57" s="107"/>
      <c r="W57" s="107"/>
    </row>
    <row r="58" spans="2:23" x14ac:dyDescent="0.25">
      <c r="B58" s="49" t="s">
        <v>37</v>
      </c>
      <c r="C58" s="21"/>
      <c r="D58" s="22"/>
      <c r="E58" s="23"/>
      <c r="F58" s="72">
        <f>'&gt;50 (100)'!F58</f>
        <v>9.5000000000000001E-2</v>
      </c>
      <c r="G58" s="77">
        <f>0.17*$F$18</f>
        <v>21717.5</v>
      </c>
      <c r="H58" s="73">
        <f t="shared" si="16"/>
        <v>2063.1624999999999</v>
      </c>
      <c r="I58" s="27"/>
      <c r="J58" s="72">
        <f>F58</f>
        <v>9.5000000000000001E-2</v>
      </c>
      <c r="K58" s="77">
        <f>$G$58</f>
        <v>21717.5</v>
      </c>
      <c r="L58" s="73">
        <f t="shared" si="17"/>
        <v>2063.1624999999999</v>
      </c>
      <c r="M58" s="27"/>
      <c r="N58" s="30">
        <f t="shared" si="15"/>
        <v>0</v>
      </c>
      <c r="O58" s="74">
        <f t="shared" si="10"/>
        <v>0</v>
      </c>
      <c r="Q58" s="107"/>
      <c r="S58" s="107"/>
      <c r="U58" s="107"/>
      <c r="W58" s="107"/>
    </row>
    <row r="59" spans="2:23" x14ac:dyDescent="0.25">
      <c r="B59" s="11" t="s">
        <v>38</v>
      </c>
      <c r="C59" s="21"/>
      <c r="D59" s="22"/>
      <c r="E59" s="23"/>
      <c r="F59" s="72">
        <f>'&gt;50 (100)'!F59</f>
        <v>0.13200000000000001</v>
      </c>
      <c r="G59" s="77">
        <f>0.18*$F$18</f>
        <v>22995</v>
      </c>
      <c r="H59" s="73">
        <f t="shared" si="16"/>
        <v>3035.34</v>
      </c>
      <c r="I59" s="27"/>
      <c r="J59" s="72">
        <f>F59</f>
        <v>0.13200000000000001</v>
      </c>
      <c r="K59" s="77">
        <f>$G$59</f>
        <v>22995</v>
      </c>
      <c r="L59" s="73">
        <f t="shared" si="17"/>
        <v>3035.34</v>
      </c>
      <c r="M59" s="27"/>
      <c r="N59" s="30">
        <f t="shared" si="15"/>
        <v>0</v>
      </c>
      <c r="O59" s="74">
        <f t="shared" si="10"/>
        <v>0</v>
      </c>
      <c r="Q59" s="107"/>
      <c r="S59" s="107"/>
      <c r="U59" s="107"/>
      <c r="W59" s="107"/>
    </row>
    <row r="60" spans="2:23" s="85" customFormat="1" x14ac:dyDescent="0.25">
      <c r="B60" s="78" t="s">
        <v>39</v>
      </c>
      <c r="C60" s="79"/>
      <c r="D60" s="80"/>
      <c r="E60" s="81"/>
      <c r="F60" s="72">
        <f>'&gt;50 (100)'!F60</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'&gt;50 (100)'!F61</f>
        <v>0.09</v>
      </c>
      <c r="G61" s="82">
        <f>F18-G60</f>
        <v>127000</v>
      </c>
      <c r="H61" s="73">
        <f>G61*F61</f>
        <v>11430</v>
      </c>
      <c r="I61" s="83"/>
      <c r="J61" s="72">
        <f>F61</f>
        <v>0.09</v>
      </c>
      <c r="K61" s="82">
        <f>$G$61</f>
        <v>127000</v>
      </c>
      <c r="L61" s="73">
        <f>K61*J61</f>
        <v>11430</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14242.9520275</v>
      </c>
      <c r="I63" s="100"/>
      <c r="J63" s="101"/>
      <c r="K63" s="101"/>
      <c r="L63" s="99">
        <f>SUM(L52:L59,L51)</f>
        <v>14647.1345275</v>
      </c>
      <c r="M63" s="102"/>
      <c r="N63" s="103">
        <f t="shared" ref="N63" si="18">L63-H63</f>
        <v>404.1825000000008</v>
      </c>
      <c r="O63" s="104">
        <f t="shared" ref="O63" si="19">IF((H63)=0,"",(N63/H63))</f>
        <v>2.8377719676343324E-2</v>
      </c>
      <c r="Q63" s="102"/>
      <c r="S63" s="102"/>
      <c r="U63" s="102"/>
      <c r="W63" s="102"/>
    </row>
    <row r="64" spans="2:23" x14ac:dyDescent="0.25">
      <c r="B64" s="105" t="s">
        <v>42</v>
      </c>
      <c r="C64" s="21"/>
      <c r="D64" s="21"/>
      <c r="E64" s="21"/>
      <c r="F64" s="106">
        <v>0.13</v>
      </c>
      <c r="G64" s="107"/>
      <c r="H64" s="108">
        <f>H63*F64</f>
        <v>1851.5837635749999</v>
      </c>
      <c r="I64" s="109"/>
      <c r="J64" s="110">
        <v>0.13</v>
      </c>
      <c r="K64" s="109"/>
      <c r="L64" s="111">
        <f>L63*J64</f>
        <v>1904.1274885750001</v>
      </c>
      <c r="M64" s="112"/>
      <c r="N64" s="113">
        <f t="shared" si="15"/>
        <v>52.543725000000222</v>
      </c>
      <c r="O64" s="114">
        <f t="shared" si="10"/>
        <v>2.837771967634339E-2</v>
      </c>
      <c r="Q64" s="112"/>
      <c r="S64" s="112"/>
      <c r="U64" s="112"/>
      <c r="W64" s="112"/>
    </row>
    <row r="65" spans="1:23" ht="13.8" thickBot="1" x14ac:dyDescent="0.3">
      <c r="B65" s="115" t="s">
        <v>43</v>
      </c>
      <c r="C65" s="21"/>
      <c r="D65" s="21"/>
      <c r="E65" s="21"/>
      <c r="F65" s="116"/>
      <c r="G65" s="107"/>
      <c r="H65" s="99">
        <f>H63+H64</f>
        <v>16094.535791074999</v>
      </c>
      <c r="I65" s="109"/>
      <c r="J65" s="109"/>
      <c r="K65" s="109"/>
      <c r="L65" s="212">
        <f>L63+L64</f>
        <v>16551.262016075001</v>
      </c>
      <c r="M65" s="112"/>
      <c r="N65" s="103">
        <f t="shared" si="15"/>
        <v>456.72622500000216</v>
      </c>
      <c r="O65" s="104">
        <f t="shared" si="10"/>
        <v>2.8377719676343404E-2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15234.762027500001</v>
      </c>
      <c r="I67" s="128"/>
      <c r="J67" s="129"/>
      <c r="K67" s="129"/>
      <c r="L67" s="127">
        <f>SUM(L60:L61,L51,L52:L56)</f>
        <v>15638.9445275</v>
      </c>
      <c r="M67" s="130"/>
      <c r="N67" s="131">
        <f t="shared" ref="N67:N69" si="20">L67-H67</f>
        <v>404.18249999999898</v>
      </c>
      <c r="O67" s="104">
        <f t="shared" ref="O67:O69" si="21">IF((H67)=0,"",(N67/H67))</f>
        <v>2.6530279847523465E-2</v>
      </c>
      <c r="Q67" s="130"/>
      <c r="R67" s="204"/>
      <c r="S67" s="130"/>
      <c r="T67" s="204"/>
      <c r="U67" s="130"/>
      <c r="V67" s="204"/>
      <c r="W67" s="130"/>
    </row>
    <row r="68" spans="1:23" s="85" customFormat="1" x14ac:dyDescent="0.25">
      <c r="B68" s="132" t="s">
        <v>42</v>
      </c>
      <c r="C68" s="79"/>
      <c r="D68" s="79"/>
      <c r="E68" s="79"/>
      <c r="F68" s="133">
        <v>0.13</v>
      </c>
      <c r="G68" s="126"/>
      <c r="H68" s="134">
        <f>H67*F68</f>
        <v>1980.5190635750002</v>
      </c>
      <c r="I68" s="135"/>
      <c r="J68" s="136">
        <v>0.13</v>
      </c>
      <c r="K68" s="137"/>
      <c r="L68" s="138">
        <f>L67*J68</f>
        <v>2033.062788575</v>
      </c>
      <c r="M68" s="139"/>
      <c r="N68" s="140">
        <f t="shared" si="20"/>
        <v>52.543724999999768</v>
      </c>
      <c r="O68" s="114">
        <f t="shared" si="21"/>
        <v>2.6530279847523413E-2</v>
      </c>
      <c r="Q68" s="139"/>
      <c r="R68" s="204"/>
      <c r="S68" s="139"/>
      <c r="T68" s="204"/>
      <c r="U68" s="139"/>
      <c r="V68" s="204"/>
      <c r="W68" s="139"/>
    </row>
    <row r="69" spans="1:23" s="85" customFormat="1" ht="13.8" thickBot="1" x14ac:dyDescent="0.3">
      <c r="B69" s="141" t="s">
        <v>43</v>
      </c>
      <c r="C69" s="79"/>
      <c r="D69" s="79"/>
      <c r="E69" s="79"/>
      <c r="F69" s="142"/>
      <c r="G69" s="143"/>
      <c r="H69" s="127">
        <f>H67+H68</f>
        <v>17215.281091075001</v>
      </c>
      <c r="I69" s="135"/>
      <c r="J69" s="135"/>
      <c r="K69" s="135"/>
      <c r="L69" s="211">
        <f>L67+L68</f>
        <v>17672.007316075</v>
      </c>
      <c r="M69" s="139"/>
      <c r="N69" s="131">
        <f t="shared" si="20"/>
        <v>456.72622499999852</v>
      </c>
      <c r="O69" s="104">
        <f t="shared" si="21"/>
        <v>2.6530279847523444E-2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'&gt;50 (100)'!F72</f>
        <v>3.3500000000000002E-2</v>
      </c>
      <c r="J72" s="151">
        <f>+'Res (100)'!J74</f>
        <v>3.3500000000000002E-2</v>
      </c>
    </row>
    <row r="73" spans="1:23" ht="13.8" thickBot="1" x14ac:dyDescent="0.3"/>
    <row r="74" spans="1:23" ht="8.25" customHeight="1" thickBot="1" x14ac:dyDescent="0.3">
      <c r="B74" s="86"/>
      <c r="C74" s="87"/>
      <c r="D74" s="88"/>
      <c r="E74" s="87"/>
      <c r="F74" s="89"/>
      <c r="G74" s="90"/>
      <c r="H74" s="91"/>
      <c r="I74" s="92"/>
      <c r="J74" s="89"/>
      <c r="K74" s="93"/>
      <c r="L74" s="91"/>
      <c r="M74" s="92"/>
      <c r="N74" s="94"/>
      <c r="O74" s="95"/>
      <c r="Q74" s="107"/>
      <c r="S74" s="107"/>
      <c r="U74" s="107"/>
      <c r="W74" s="107"/>
    </row>
    <row r="75" spans="1:23" x14ac:dyDescent="0.25">
      <c r="B75" s="96" t="s">
        <v>41</v>
      </c>
      <c r="C75" s="21"/>
      <c r="D75" s="21"/>
      <c r="E75" s="21"/>
      <c r="F75" s="97"/>
      <c r="G75" s="98"/>
      <c r="H75" s="99">
        <f>+H63-H31-H40-H41-H42-H43</f>
        <v>14726.252027500001</v>
      </c>
      <c r="I75" s="100"/>
      <c r="J75" s="101"/>
      <c r="K75" s="101"/>
      <c r="L75" s="99">
        <f>+L63-L31-L40-L41-L42-L43</f>
        <v>14773.5345275</v>
      </c>
      <c r="M75" s="102"/>
      <c r="N75" s="103">
        <f t="shared" ref="N75:N77" si="22">L75-H75</f>
        <v>47.282499999999345</v>
      </c>
      <c r="O75" s="104">
        <f t="shared" ref="O75:O77" si="23">IF((H75)=0,"",(N75/H75))</f>
        <v>3.2107626510603899E-3</v>
      </c>
      <c r="Q75" s="102"/>
      <c r="S75" s="102"/>
      <c r="U75" s="102"/>
      <c r="W75" s="102"/>
    </row>
    <row r="76" spans="1:23" x14ac:dyDescent="0.25">
      <c r="B76" s="105" t="s">
        <v>42</v>
      </c>
      <c r="C76" s="21"/>
      <c r="D76" s="21"/>
      <c r="E76" s="21"/>
      <c r="F76" s="106">
        <v>0.13</v>
      </c>
      <c r="G76" s="107"/>
      <c r="H76" s="108">
        <f>H75*F76</f>
        <v>1914.4127635750001</v>
      </c>
      <c r="I76" s="109"/>
      <c r="J76" s="110">
        <v>0.13</v>
      </c>
      <c r="K76" s="109"/>
      <c r="L76" s="111">
        <f>L75*J76</f>
        <v>1920.5594885750002</v>
      </c>
      <c r="M76" s="112"/>
      <c r="N76" s="113">
        <f t="shared" si="22"/>
        <v>6.1467250000000604</v>
      </c>
      <c r="O76" s="114">
        <f t="shared" si="23"/>
        <v>3.2107626510604658E-3</v>
      </c>
      <c r="Q76" s="112"/>
      <c r="S76" s="112"/>
      <c r="U76" s="112"/>
      <c r="W76" s="112"/>
    </row>
    <row r="77" spans="1:23" x14ac:dyDescent="0.25">
      <c r="B77" s="115" t="s">
        <v>43</v>
      </c>
      <c r="C77" s="21"/>
      <c r="D77" s="21"/>
      <c r="E77" s="21"/>
      <c r="F77" s="205"/>
      <c r="G77" s="206"/>
      <c r="H77" s="216">
        <f>H75+H76</f>
        <v>16640.664791075</v>
      </c>
      <c r="I77" s="207"/>
      <c r="J77" s="207"/>
      <c r="K77" s="207"/>
      <c r="L77" s="215">
        <f>L75+L76</f>
        <v>16694.094016075</v>
      </c>
      <c r="M77" s="208"/>
      <c r="N77" s="214">
        <f t="shared" si="22"/>
        <v>53.42922499999986</v>
      </c>
      <c r="O77" s="213">
        <f t="shared" si="23"/>
        <v>3.2107626510604263E-3</v>
      </c>
      <c r="Q77" s="112"/>
      <c r="S77" s="112"/>
      <c r="U77" s="112"/>
      <c r="W77" s="112"/>
    </row>
    <row r="78" spans="1:23" ht="13.5" customHeight="1" x14ac:dyDescent="0.25">
      <c r="Q78" s="202"/>
      <c r="R78" s="202"/>
      <c r="S78" s="6"/>
      <c r="T78" s="6"/>
      <c r="U78" s="6"/>
      <c r="V78" s="6"/>
      <c r="W78" s="6"/>
    </row>
    <row r="79" spans="1:23" ht="12" customHeight="1" x14ac:dyDescent="0.25">
      <c r="A79" s="6" t="s">
        <v>46</v>
      </c>
      <c r="Q79" s="202"/>
      <c r="R79" s="202"/>
      <c r="S79" s="6"/>
      <c r="T79" s="6"/>
      <c r="U79" s="6"/>
      <c r="V79" s="6"/>
      <c r="W79" s="6"/>
    </row>
    <row r="80" spans="1:23" x14ac:dyDescent="0.25">
      <c r="A80" s="6" t="s">
        <v>47</v>
      </c>
      <c r="Q80" s="202"/>
      <c r="R80" s="202"/>
      <c r="S80" s="6"/>
      <c r="T80" s="6"/>
      <c r="U80" s="6"/>
      <c r="V80" s="6"/>
      <c r="W80" s="6"/>
    </row>
    <row r="81" spans="1:23" x14ac:dyDescent="0.25">
      <c r="Q81" s="202"/>
      <c r="R81" s="202"/>
      <c r="S81" s="6"/>
      <c r="T81" s="6"/>
      <c r="U81" s="6"/>
      <c r="V81" s="6"/>
      <c r="W81" s="6"/>
    </row>
    <row r="82" spans="1:23" x14ac:dyDescent="0.25">
      <c r="A82" s="153" t="s">
        <v>133</v>
      </c>
      <c r="Q82" s="202"/>
      <c r="R82" s="202"/>
      <c r="S82" s="6"/>
      <c r="T82" s="6"/>
      <c r="U82" s="6"/>
      <c r="V82" s="6"/>
      <c r="W82" s="6"/>
    </row>
    <row r="83" spans="1:23" x14ac:dyDescent="0.25">
      <c r="A83" s="11" t="s">
        <v>48</v>
      </c>
      <c r="Q83" s="202"/>
      <c r="R83" s="202"/>
      <c r="S83" s="6"/>
      <c r="T83" s="6"/>
      <c r="U83" s="6"/>
      <c r="V83" s="6"/>
      <c r="W83" s="6"/>
    </row>
    <row r="84" spans="1:23" x14ac:dyDescent="0.25">
      <c r="Q84" s="202"/>
      <c r="R84" s="202"/>
      <c r="S84" s="6"/>
      <c r="T84" s="6"/>
      <c r="U84" s="6"/>
      <c r="V84" s="6"/>
      <c r="W84" s="6"/>
    </row>
    <row r="85" spans="1:23" x14ac:dyDescent="0.25">
      <c r="A85" s="6" t="s">
        <v>132</v>
      </c>
      <c r="Q85" s="202"/>
      <c r="R85" s="202"/>
      <c r="S85" s="6"/>
      <c r="T85" s="6"/>
      <c r="U85" s="6"/>
      <c r="V85" s="6"/>
      <c r="W85" s="6"/>
    </row>
    <row r="86" spans="1:23" x14ac:dyDescent="0.25">
      <c r="A86" s="6" t="s">
        <v>49</v>
      </c>
      <c r="Q86" s="202"/>
      <c r="R86" s="202"/>
      <c r="S86" s="6"/>
      <c r="T86" s="6"/>
      <c r="U86" s="6"/>
      <c r="V86" s="6"/>
      <c r="W86" s="6"/>
    </row>
    <row r="87" spans="1:23" x14ac:dyDescent="0.25">
      <c r="A87" s="6" t="s">
        <v>50</v>
      </c>
      <c r="Q87" s="202"/>
      <c r="R87" s="202"/>
      <c r="S87" s="6"/>
      <c r="T87" s="6"/>
      <c r="U87" s="6"/>
      <c r="V87" s="6"/>
      <c r="W87" s="6"/>
    </row>
    <row r="88" spans="1:23" x14ac:dyDescent="0.25">
      <c r="A88" s="6" t="s">
        <v>51</v>
      </c>
      <c r="Q88" s="202"/>
      <c r="R88" s="202"/>
      <c r="S88" s="6"/>
      <c r="T88" s="6"/>
      <c r="U88" s="6"/>
      <c r="V88" s="6"/>
      <c r="W88" s="6"/>
    </row>
    <row r="89" spans="1:23" x14ac:dyDescent="0.25">
      <c r="A89" s="6" t="s">
        <v>52</v>
      </c>
      <c r="Q89" s="202"/>
      <c r="R89" s="202"/>
      <c r="S89" s="6"/>
      <c r="T89" s="6"/>
      <c r="U89" s="6"/>
      <c r="V89" s="6"/>
      <c r="W89" s="6"/>
    </row>
    <row r="90" spans="1:23" x14ac:dyDescent="0.25">
      <c r="Q90" s="202"/>
      <c r="R90" s="202"/>
      <c r="S90" s="6"/>
      <c r="T90" s="6"/>
      <c r="U90" s="6"/>
      <c r="V90" s="6"/>
      <c r="W90" s="6"/>
    </row>
    <row r="91" spans="1:23" x14ac:dyDescent="0.25">
      <c r="A91" s="152"/>
      <c r="B91" s="6" t="s">
        <v>53</v>
      </c>
      <c r="Q91" s="202"/>
      <c r="R91" s="202"/>
      <c r="S91" s="6"/>
      <c r="T91" s="6"/>
      <c r="U91" s="6"/>
      <c r="V91" s="6"/>
      <c r="W91" s="6"/>
    </row>
    <row r="92" spans="1:23" x14ac:dyDescent="0.25">
      <c r="Q92" s="202"/>
      <c r="R92" s="202"/>
      <c r="S92" s="6"/>
      <c r="T92" s="6"/>
      <c r="U92" s="6"/>
      <c r="V92" s="6"/>
      <c r="W92" s="6"/>
    </row>
    <row r="93" spans="1:23" x14ac:dyDescent="0.25">
      <c r="B93" s="153" t="s">
        <v>54</v>
      </c>
      <c r="Q93" s="202"/>
      <c r="R93" s="202"/>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xdr:col>
                    <xdr:colOff>274320</xdr:colOff>
                    <xdr:row>9</xdr:row>
                    <xdr:rowOff>53340</xdr:rowOff>
                  </from>
                  <to>
                    <xdr:col>5</xdr:col>
                    <xdr:colOff>358140</xdr:colOff>
                    <xdr:row>9</xdr:row>
                    <xdr:rowOff>175260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5</xdr:col>
                    <xdr:colOff>160020</xdr:colOff>
                    <xdr:row>9</xdr:row>
                    <xdr:rowOff>22860</xdr:rowOff>
                  </from>
                  <to>
                    <xdr:col>9</xdr:col>
                    <xdr:colOff>53340</xdr:colOff>
                    <xdr:row>9</xdr:row>
                    <xdr:rowOff>236220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89"/>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11.44140625" style="6" bestFit="1" customWidth="1"/>
    <col min="9" max="9" width="2.88671875" style="6" customWidth="1"/>
    <col min="10" max="10" width="10.88671875" style="6" bestFit="1" customWidth="1"/>
    <col min="11" max="11" width="7.44140625" style="6" bestFit="1" customWidth="1"/>
    <col min="12" max="12" width="11.44140625" style="6" bestFit="1" customWidth="1"/>
    <col min="13" max="13" width="2.88671875" style="6" customWidth="1"/>
    <col min="14" max="14" width="10.5546875" style="6" bestFit="1" customWidth="1"/>
    <col min="15" max="15" width="11.21875"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56</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f>51100*5</f>
        <v>255500</v>
      </c>
      <c r="G18" s="12" t="s">
        <v>6</v>
      </c>
    </row>
    <row r="19" spans="2:23" x14ac:dyDescent="0.25">
      <c r="B19" s="11"/>
      <c r="F19" s="13">
        <v>500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+'&gt;50 (100)'!F29</f>
        <v>4.3244999999999996</v>
      </c>
      <c r="G29" s="51">
        <f>+$F$19</f>
        <v>500</v>
      </c>
      <c r="H29" s="26">
        <f t="shared" si="0"/>
        <v>2162.25</v>
      </c>
      <c r="I29" s="27"/>
      <c r="J29" s="24">
        <f>+'&gt;50 (100)'!J29</f>
        <v>4.5850999999999997</v>
      </c>
      <c r="K29" s="51">
        <f>+$F$19</f>
        <v>500</v>
      </c>
      <c r="L29" s="26">
        <f t="shared" si="1"/>
        <v>2292.5499999999997</v>
      </c>
      <c r="M29" s="27"/>
      <c r="N29" s="30">
        <f t="shared" si="2"/>
        <v>130.29999999999973</v>
      </c>
      <c r="O29" s="31">
        <f t="shared" si="3"/>
        <v>6.0261301884610811E-2</v>
      </c>
      <c r="Q29" s="107"/>
      <c r="S29" s="107"/>
      <c r="U29" s="107"/>
      <c r="W29" s="107"/>
    </row>
    <row r="30" spans="2:23" x14ac:dyDescent="0.25">
      <c r="B30" s="21" t="s">
        <v>21</v>
      </c>
      <c r="C30" s="21"/>
      <c r="D30" s="22"/>
      <c r="E30" s="23"/>
      <c r="F30" s="24"/>
      <c r="G30" s="25">
        <f t="shared" ref="G30" si="4">$F$18</f>
        <v>255500</v>
      </c>
      <c r="H30" s="26">
        <f t="shared" si="0"/>
        <v>0</v>
      </c>
      <c r="I30" s="27"/>
      <c r="J30" s="24"/>
      <c r="K30" s="25">
        <f t="shared" ref="K30:K38" si="5">$F$18</f>
        <v>255500</v>
      </c>
      <c r="L30" s="26">
        <f t="shared" si="1"/>
        <v>0</v>
      </c>
      <c r="M30" s="27"/>
      <c r="N30" s="30">
        <f t="shared" si="2"/>
        <v>0</v>
      </c>
      <c r="O30" s="31" t="str">
        <f t="shared" si="3"/>
        <v/>
      </c>
      <c r="Q30" s="107"/>
      <c r="S30" s="107"/>
      <c r="U30" s="107"/>
      <c r="W30" s="107"/>
    </row>
    <row r="31" spans="2:23" x14ac:dyDescent="0.25">
      <c r="B31" s="21" t="s">
        <v>22</v>
      </c>
      <c r="C31" s="21"/>
      <c r="D31" s="22" t="s">
        <v>58</v>
      </c>
      <c r="E31" s="23"/>
      <c r="F31" s="24">
        <f>+'&gt;50 (100)'!F31</f>
        <v>0</v>
      </c>
      <c r="G31" s="51">
        <f>+$F$19</f>
        <v>500</v>
      </c>
      <c r="H31" s="26">
        <f t="shared" si="0"/>
        <v>0</v>
      </c>
      <c r="I31" s="27"/>
      <c r="J31" s="24">
        <f>+'&gt;50 (100)'!J31</f>
        <v>0</v>
      </c>
      <c r="K31" s="51">
        <f>+$F$19</f>
        <v>500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255500</v>
      </c>
      <c r="H32" s="26">
        <f t="shared" si="0"/>
        <v>0</v>
      </c>
      <c r="I32" s="27"/>
      <c r="J32" s="28"/>
      <c r="K32" s="25">
        <f t="shared" si="5"/>
        <v>255500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255500</v>
      </c>
      <c r="H33" s="26">
        <f t="shared" si="0"/>
        <v>0</v>
      </c>
      <c r="I33" s="27"/>
      <c r="J33" s="28"/>
      <c r="K33" s="25">
        <f t="shared" si="5"/>
        <v>255500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255500</v>
      </c>
      <c r="H34" s="26">
        <f t="shared" si="0"/>
        <v>0</v>
      </c>
      <c r="I34" s="27"/>
      <c r="J34" s="28"/>
      <c r="K34" s="25">
        <f t="shared" si="5"/>
        <v>255500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255500</v>
      </c>
      <c r="H35" s="26">
        <f t="shared" si="0"/>
        <v>0</v>
      </c>
      <c r="I35" s="27"/>
      <c r="J35" s="28"/>
      <c r="K35" s="25">
        <f t="shared" si="5"/>
        <v>255500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255500</v>
      </c>
      <c r="H36" s="26">
        <f t="shared" si="0"/>
        <v>0</v>
      </c>
      <c r="I36" s="27"/>
      <c r="J36" s="28"/>
      <c r="K36" s="25">
        <f t="shared" si="5"/>
        <v>255500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255500</v>
      </c>
      <c r="H37" s="26">
        <f t="shared" si="0"/>
        <v>0</v>
      </c>
      <c r="I37" s="27"/>
      <c r="J37" s="28"/>
      <c r="K37" s="25">
        <f t="shared" si="5"/>
        <v>255500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255500</v>
      </c>
      <c r="H38" s="26">
        <f t="shared" si="0"/>
        <v>0</v>
      </c>
      <c r="I38" s="27"/>
      <c r="J38" s="28"/>
      <c r="K38" s="25">
        <f t="shared" si="5"/>
        <v>255500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2362.25</v>
      </c>
      <c r="I39" s="40"/>
      <c r="J39" s="41"/>
      <c r="K39" s="42"/>
      <c r="L39" s="39">
        <f>SUM(L23:L38)</f>
        <v>2492.5499999999997</v>
      </c>
      <c r="M39" s="40"/>
      <c r="N39" s="43">
        <f t="shared" si="2"/>
        <v>130.29999999999973</v>
      </c>
      <c r="O39" s="44">
        <f t="shared" si="3"/>
        <v>5.5159276113874368E-2</v>
      </c>
      <c r="Q39" s="107"/>
      <c r="R39" s="203"/>
      <c r="S39" s="107"/>
      <c r="T39" s="203"/>
      <c r="U39" s="107"/>
      <c r="V39" s="203"/>
      <c r="W39" s="107"/>
    </row>
    <row r="40" spans="2:23" ht="26.4" x14ac:dyDescent="0.25">
      <c r="B40" s="46" t="s">
        <v>24</v>
      </c>
      <c r="C40" s="21"/>
      <c r="D40" s="22" t="s">
        <v>58</v>
      </c>
      <c r="E40" s="23"/>
      <c r="F40" s="24">
        <f>'Proposed Rates'!D40</f>
        <v>1.17E-2</v>
      </c>
      <c r="G40" s="51">
        <f>+$F$19</f>
        <v>500</v>
      </c>
      <c r="H40" s="26">
        <f>G40*F40</f>
        <v>5.8500000000000005</v>
      </c>
      <c r="I40" s="27"/>
      <c r="J40" s="24">
        <f>+'&gt;50 (100)'!J40</f>
        <v>-0.16650000000000001</v>
      </c>
      <c r="K40" s="51">
        <f>+$F$19</f>
        <v>500</v>
      </c>
      <c r="L40" s="26">
        <f>K40*J40</f>
        <v>-83.25</v>
      </c>
      <c r="M40" s="27"/>
      <c r="N40" s="30">
        <f>L40-H40</f>
        <v>-89.1</v>
      </c>
      <c r="O40" s="31">
        <f>IF((H40)=0,"",(N40/H40))</f>
        <v>-15.230769230769228</v>
      </c>
      <c r="Q40" s="107"/>
      <c r="S40" s="107"/>
      <c r="U40" s="107"/>
      <c r="W40" s="107"/>
    </row>
    <row r="41" spans="2:23" ht="39.6" x14ac:dyDescent="0.25">
      <c r="B41" s="154" t="s">
        <v>59</v>
      </c>
      <c r="C41" s="21"/>
      <c r="D41" s="22" t="s">
        <v>20</v>
      </c>
      <c r="E41" s="23"/>
      <c r="F41" s="24">
        <f>'Proposed Rates'!D54</f>
        <v>1.29E-2</v>
      </c>
      <c r="G41" s="51">
        <f>+F19</f>
        <v>500</v>
      </c>
      <c r="H41" s="26">
        <f t="shared" ref="H41:H46" si="7">G41*F41</f>
        <v>6.45</v>
      </c>
      <c r="I41" s="47"/>
      <c r="J41" s="24">
        <f>+'&gt;50 (100)'!J41</f>
        <v>0</v>
      </c>
      <c r="K41" s="25">
        <f>+$G$41</f>
        <v>500</v>
      </c>
      <c r="L41" s="26">
        <f t="shared" ref="L41:L46" si="8">K41*J41</f>
        <v>0</v>
      </c>
      <c r="M41" s="48"/>
      <c r="N41" s="30">
        <f t="shared" ref="N41:N46" si="9">L41-H41</f>
        <v>-6.45</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
        <v>20</v>
      </c>
      <c r="E42" s="23"/>
      <c r="F42" s="24">
        <f>'Proposed Rates'!D83</f>
        <v>-1.9E-3</v>
      </c>
      <c r="G42" s="25">
        <f t="shared" ref="G42" si="11">$F$18</f>
        <v>255500</v>
      </c>
      <c r="H42" s="26">
        <f t="shared" si="7"/>
        <v>-485.45</v>
      </c>
      <c r="I42" s="47"/>
      <c r="J42" s="24">
        <f>+'&gt;50 (100)'!J42</f>
        <v>0</v>
      </c>
      <c r="K42" s="25">
        <f t="shared" ref="K42" si="12">$F$18</f>
        <v>255500</v>
      </c>
      <c r="L42" s="26">
        <f t="shared" si="8"/>
        <v>0</v>
      </c>
      <c r="M42" s="48"/>
      <c r="N42" s="30">
        <f t="shared" si="9"/>
        <v>485.45</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Rates'!D99</f>
        <v>-0.9869</v>
      </c>
      <c r="G43" s="51">
        <f>$F$19</f>
        <v>500</v>
      </c>
      <c r="H43" s="26">
        <f t="shared" si="7"/>
        <v>-493.45</v>
      </c>
      <c r="I43" s="47"/>
      <c r="J43" s="24">
        <f>+'&gt;50 (100)'!J43</f>
        <v>-0.33910000000000001</v>
      </c>
      <c r="K43" s="51">
        <f>+F19</f>
        <v>500</v>
      </c>
      <c r="L43" s="26">
        <f t="shared" si="8"/>
        <v>-169.55</v>
      </c>
      <c r="M43" s="48"/>
      <c r="N43" s="30">
        <f t="shared" si="9"/>
        <v>323.89999999999998</v>
      </c>
      <c r="O43" s="31">
        <f t="shared" si="10"/>
        <v>-0.65639882460228993</v>
      </c>
      <c r="Q43" s="107"/>
      <c r="S43" s="107"/>
      <c r="U43" s="107"/>
      <c r="W43" s="107"/>
    </row>
    <row r="44" spans="2:23" ht="39.6" x14ac:dyDescent="0.25">
      <c r="B44" s="46" t="s">
        <v>125</v>
      </c>
      <c r="C44" s="21"/>
      <c r="D44" s="22" t="s">
        <v>20</v>
      </c>
      <c r="E44" s="23"/>
      <c r="F44" s="24">
        <f>+'&gt;50 (100)'!F44</f>
        <v>2.7E-4</v>
      </c>
      <c r="G44" s="25">
        <f t="shared" ref="G44" si="13">$F$18</f>
        <v>255500</v>
      </c>
      <c r="H44" s="26">
        <f t="shared" si="7"/>
        <v>68.984999999999999</v>
      </c>
      <c r="I44" s="226"/>
      <c r="J44" s="227">
        <f>+'&gt;50 (100)'!J44</f>
        <v>0</v>
      </c>
      <c r="K44" s="25">
        <f t="shared" ref="K44" si="14">$F$18</f>
        <v>255500</v>
      </c>
      <c r="L44" s="26">
        <f t="shared" si="8"/>
        <v>0</v>
      </c>
      <c r="M44" s="226"/>
      <c r="N44" s="30">
        <f t="shared" si="9"/>
        <v>-68.984999999999999</v>
      </c>
      <c r="O44" s="31">
        <f t="shared" si="10"/>
        <v>-1</v>
      </c>
      <c r="Q44" s="107"/>
      <c r="S44" s="107"/>
      <c r="U44" s="107"/>
      <c r="W44" s="107"/>
    </row>
    <row r="45" spans="2:23" x14ac:dyDescent="0.25">
      <c r="B45" s="49" t="s">
        <v>25</v>
      </c>
      <c r="C45" s="21"/>
      <c r="D45" s="22" t="s">
        <v>58</v>
      </c>
      <c r="E45" s="23"/>
      <c r="F45" s="50">
        <f>'&gt;50 (100)'!F45</f>
        <v>2.632E-2</v>
      </c>
      <c r="G45" s="51">
        <f>+$F$19</f>
        <v>500</v>
      </c>
      <c r="H45" s="26">
        <f>G45*F45</f>
        <v>13.16</v>
      </c>
      <c r="I45" s="27"/>
      <c r="J45" s="52">
        <f>'&gt;50 (100)'!J45</f>
        <v>2.3820000000000001E-2</v>
      </c>
      <c r="K45" s="51">
        <f>+$F$19</f>
        <v>500</v>
      </c>
      <c r="L45" s="26">
        <f>K45*J45</f>
        <v>11.91</v>
      </c>
      <c r="M45" s="27"/>
      <c r="N45" s="30">
        <f>L45-H45</f>
        <v>-1.25</v>
      </c>
      <c r="O45" s="31">
        <f>IF((H45)=0,"",(N45/H45))</f>
        <v>-9.4984802431610935E-2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8559.25</v>
      </c>
      <c r="H46" s="26">
        <f t="shared" si="7"/>
        <v>703.22798000000012</v>
      </c>
      <c r="I46" s="27"/>
      <c r="J46" s="55">
        <f>0.65*$J$57+0.17*$J$58+0.18*$J$59</f>
        <v>8.2160000000000011E-2</v>
      </c>
      <c r="K46" s="54">
        <f>$F$18*(1+$J$72)-$F$18</f>
        <v>8559.25</v>
      </c>
      <c r="L46" s="26">
        <f t="shared" si="8"/>
        <v>703.22798000000012</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2181.0229800000002</v>
      </c>
      <c r="I48" s="40"/>
      <c r="J48" s="59"/>
      <c r="K48" s="61"/>
      <c r="L48" s="60">
        <f>SUM(L40:L47)+L39</f>
        <v>2954.88798</v>
      </c>
      <c r="M48" s="40"/>
      <c r="N48" s="43">
        <f t="shared" ref="N48:N65" si="15">L48-H48</f>
        <v>773.86499999999978</v>
      </c>
      <c r="O48" s="44">
        <f t="shared" si="10"/>
        <v>0.35481744442692653</v>
      </c>
      <c r="Q48" s="107"/>
      <c r="S48" s="107"/>
      <c r="U48" s="107"/>
      <c r="W48" s="107"/>
    </row>
    <row r="49" spans="2:23" x14ac:dyDescent="0.25">
      <c r="B49" s="27" t="s">
        <v>29</v>
      </c>
      <c r="C49" s="27"/>
      <c r="D49" s="62" t="s">
        <v>58</v>
      </c>
      <c r="E49" s="63"/>
      <c r="F49" s="28">
        <f>'&gt;50 (100)'!F49</f>
        <v>2.8016000000000001</v>
      </c>
      <c r="G49" s="64">
        <f>+$F$19</f>
        <v>500</v>
      </c>
      <c r="H49" s="26">
        <f>G49*F49</f>
        <v>1400.8</v>
      </c>
      <c r="I49" s="27"/>
      <c r="J49" s="28">
        <f>'&gt;50 (100)'!J49</f>
        <v>2.8473000000000002</v>
      </c>
      <c r="K49" s="64">
        <f>+$F$19</f>
        <v>500</v>
      </c>
      <c r="L49" s="26">
        <f>K49*J49</f>
        <v>1423.65</v>
      </c>
      <c r="M49" s="27"/>
      <c r="N49" s="30">
        <f t="shared" si="15"/>
        <v>22.850000000000136</v>
      </c>
      <c r="O49" s="31">
        <f t="shared" si="10"/>
        <v>1.6312107367218831E-2</v>
      </c>
      <c r="Q49" s="107"/>
      <c r="S49" s="107"/>
      <c r="U49" s="107"/>
      <c r="W49" s="107"/>
    </row>
    <row r="50" spans="2:23" ht="26.4" x14ac:dyDescent="0.25">
      <c r="B50" s="66" t="s">
        <v>30</v>
      </c>
      <c r="C50" s="27"/>
      <c r="D50" s="62" t="s">
        <v>58</v>
      </c>
      <c r="E50" s="63"/>
      <c r="F50" s="28">
        <f>'&gt;50 (100)'!F50</f>
        <v>1.8173999999999999</v>
      </c>
      <c r="G50" s="64">
        <f>G49</f>
        <v>500</v>
      </c>
      <c r="H50" s="26">
        <f>G50*F50</f>
        <v>908.69999999999993</v>
      </c>
      <c r="I50" s="27"/>
      <c r="J50" s="28">
        <f>'&gt;50 (100)'!J50</f>
        <v>1.8407</v>
      </c>
      <c r="K50" s="64">
        <f>K49</f>
        <v>500</v>
      </c>
      <c r="L50" s="26">
        <f>K50*J50</f>
        <v>920.35</v>
      </c>
      <c r="M50" s="27"/>
      <c r="N50" s="30">
        <f t="shared" si="15"/>
        <v>11.650000000000091</v>
      </c>
      <c r="O50" s="31">
        <f t="shared" si="10"/>
        <v>1.2820512820512922E-2</v>
      </c>
      <c r="Q50" s="107"/>
      <c r="S50" s="107"/>
      <c r="U50" s="107"/>
      <c r="W50" s="107"/>
    </row>
    <row r="51" spans="2:23" ht="26.4" x14ac:dyDescent="0.25">
      <c r="B51" s="56" t="s">
        <v>31</v>
      </c>
      <c r="C51" s="35"/>
      <c r="D51" s="35"/>
      <c r="E51" s="35"/>
      <c r="F51" s="67"/>
      <c r="G51" s="59"/>
      <c r="H51" s="60">
        <f>SUM(H48:H50)</f>
        <v>4490.5229799999997</v>
      </c>
      <c r="I51" s="68"/>
      <c r="J51" s="69"/>
      <c r="K51" s="59"/>
      <c r="L51" s="60">
        <f>SUM(L48:L50)</f>
        <v>5298.8879800000004</v>
      </c>
      <c r="M51" s="68"/>
      <c r="N51" s="43">
        <f t="shared" si="15"/>
        <v>808.36500000000069</v>
      </c>
      <c r="O51" s="44">
        <f t="shared" si="10"/>
        <v>0.18001578070089305</v>
      </c>
      <c r="Q51" s="102"/>
      <c r="S51" s="102"/>
      <c r="U51" s="102"/>
      <c r="W51" s="102"/>
    </row>
    <row r="52" spans="2:23" ht="26.4" x14ac:dyDescent="0.25">
      <c r="B52" s="71" t="s">
        <v>32</v>
      </c>
      <c r="C52" s="21"/>
      <c r="D52" s="22" t="s">
        <v>20</v>
      </c>
      <c r="E52" s="23"/>
      <c r="F52" s="72">
        <f>'&gt;50 (100)'!F52</f>
        <v>3.5999999999999999E-3</v>
      </c>
      <c r="G52" s="64">
        <f>+$F$18+G46</f>
        <v>264059.25</v>
      </c>
      <c r="H52" s="73">
        <f t="shared" ref="H52:H59" si="16">G52*F52</f>
        <v>950.61329999999998</v>
      </c>
      <c r="I52" s="27"/>
      <c r="J52" s="72">
        <f>F52</f>
        <v>3.5999999999999999E-3</v>
      </c>
      <c r="K52" s="64">
        <f>+$F$18+K46</f>
        <v>264059.25</v>
      </c>
      <c r="L52" s="73">
        <f t="shared" ref="L52:L59" si="17">K52*J52</f>
        <v>950.61329999999998</v>
      </c>
      <c r="M52" s="27"/>
      <c r="N52" s="30">
        <f t="shared" si="15"/>
        <v>0</v>
      </c>
      <c r="O52" s="74">
        <f t="shared" si="10"/>
        <v>0</v>
      </c>
      <c r="Q52" s="107"/>
      <c r="S52" s="107"/>
      <c r="U52" s="107"/>
      <c r="W52" s="107"/>
    </row>
    <row r="53" spans="2:23" ht="26.4" x14ac:dyDescent="0.25">
      <c r="B53" s="71" t="s">
        <v>33</v>
      </c>
      <c r="C53" s="21"/>
      <c r="D53" s="22" t="s">
        <v>20</v>
      </c>
      <c r="E53" s="23"/>
      <c r="F53" s="72">
        <f>'&gt;50 (100)'!F53</f>
        <v>2.9999999999999997E-4</v>
      </c>
      <c r="G53" s="64">
        <f>G52</f>
        <v>264059.25</v>
      </c>
      <c r="H53" s="73">
        <f t="shared" si="16"/>
        <v>79.217774999999989</v>
      </c>
      <c r="I53" s="27"/>
      <c r="J53" s="72">
        <f>F53</f>
        <v>2.9999999999999997E-4</v>
      </c>
      <c r="K53" s="64">
        <f>K52</f>
        <v>264059.25</v>
      </c>
      <c r="L53" s="73">
        <f t="shared" si="17"/>
        <v>79.217774999999989</v>
      </c>
      <c r="M53" s="27"/>
      <c r="N53" s="30">
        <f t="shared" si="15"/>
        <v>0</v>
      </c>
      <c r="O53" s="74">
        <f t="shared" si="10"/>
        <v>0</v>
      </c>
      <c r="Q53" s="107"/>
      <c r="S53" s="107"/>
      <c r="U53" s="107"/>
      <c r="W53" s="107"/>
    </row>
    <row r="54" spans="2:23" x14ac:dyDescent="0.25">
      <c r="B54" s="21" t="s">
        <v>34</v>
      </c>
      <c r="C54" s="21"/>
      <c r="D54" s="22" t="s">
        <v>17</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G52</f>
        <v>264059.25</v>
      </c>
      <c r="H55" s="73">
        <f>G55*F55</f>
        <v>0</v>
      </c>
      <c r="I55" s="27"/>
      <c r="J55" s="72">
        <f>F55</f>
        <v>0</v>
      </c>
      <c r="K55" s="64">
        <f>K52</f>
        <v>264059.25</v>
      </c>
      <c r="L55" s="73">
        <f>K55*J55</f>
        <v>0</v>
      </c>
      <c r="M55" s="27"/>
      <c r="N55" s="30"/>
      <c r="O55" s="74"/>
      <c r="Q55" s="107"/>
      <c r="S55" s="107"/>
      <c r="U55" s="107"/>
      <c r="W55" s="107"/>
    </row>
    <row r="56" spans="2:23" x14ac:dyDescent="0.25">
      <c r="B56" s="21" t="s">
        <v>35</v>
      </c>
      <c r="C56" s="21"/>
      <c r="D56" s="22"/>
      <c r="E56" s="23"/>
      <c r="F56" s="72">
        <f>'&gt;50 (100)'!F56</f>
        <v>6.94E-3</v>
      </c>
      <c r="G56" s="75">
        <f>$F$18</f>
        <v>255500</v>
      </c>
      <c r="H56" s="73">
        <f t="shared" si="16"/>
        <v>1773.17</v>
      </c>
      <c r="I56" s="27"/>
      <c r="J56" s="72">
        <f>+F56</f>
        <v>6.94E-3</v>
      </c>
      <c r="K56" s="76">
        <f>$F$18</f>
        <v>255500</v>
      </c>
      <c r="L56" s="73">
        <f t="shared" si="17"/>
        <v>1773.17</v>
      </c>
      <c r="M56" s="27"/>
      <c r="N56" s="30">
        <f t="shared" si="15"/>
        <v>0</v>
      </c>
      <c r="O56" s="74">
        <f t="shared" si="10"/>
        <v>0</v>
      </c>
      <c r="Q56" s="107"/>
      <c r="S56" s="107"/>
      <c r="U56" s="107"/>
      <c r="W56" s="107"/>
    </row>
    <row r="57" spans="2:23" x14ac:dyDescent="0.25">
      <c r="B57" s="49" t="s">
        <v>36</v>
      </c>
      <c r="C57" s="21"/>
      <c r="D57" s="22"/>
      <c r="E57" s="23"/>
      <c r="F57" s="72">
        <f>'&gt;50 (100)'!F57</f>
        <v>6.5000000000000002E-2</v>
      </c>
      <c r="G57" s="77">
        <f>0.65*$F$18</f>
        <v>166075</v>
      </c>
      <c r="H57" s="73">
        <f t="shared" si="16"/>
        <v>10794.875</v>
      </c>
      <c r="I57" s="27"/>
      <c r="J57" s="72">
        <f>F57</f>
        <v>6.5000000000000002E-2</v>
      </c>
      <c r="K57" s="77">
        <f>$G$57</f>
        <v>166075</v>
      </c>
      <c r="L57" s="73">
        <f t="shared" si="17"/>
        <v>10794.875</v>
      </c>
      <c r="M57" s="27"/>
      <c r="N57" s="30">
        <f t="shared" si="15"/>
        <v>0</v>
      </c>
      <c r="O57" s="74">
        <f t="shared" si="10"/>
        <v>0</v>
      </c>
      <c r="Q57" s="107"/>
      <c r="S57" s="107"/>
      <c r="U57" s="107"/>
      <c r="W57" s="107"/>
    </row>
    <row r="58" spans="2:23" x14ac:dyDescent="0.25">
      <c r="B58" s="49" t="s">
        <v>37</v>
      </c>
      <c r="C58" s="21"/>
      <c r="D58" s="22"/>
      <c r="E58" s="23"/>
      <c r="F58" s="72">
        <f>'&gt;50 (100)'!F58</f>
        <v>9.5000000000000001E-2</v>
      </c>
      <c r="G58" s="77">
        <f>0.17*$F$18</f>
        <v>43435</v>
      </c>
      <c r="H58" s="73">
        <f t="shared" si="16"/>
        <v>4126.3249999999998</v>
      </c>
      <c r="I58" s="27"/>
      <c r="J58" s="72">
        <f>F58</f>
        <v>9.5000000000000001E-2</v>
      </c>
      <c r="K58" s="77">
        <f>$G$58</f>
        <v>43435</v>
      </c>
      <c r="L58" s="73">
        <f t="shared" si="17"/>
        <v>4126.3249999999998</v>
      </c>
      <c r="M58" s="27"/>
      <c r="N58" s="30">
        <f t="shared" si="15"/>
        <v>0</v>
      </c>
      <c r="O58" s="74">
        <f t="shared" si="10"/>
        <v>0</v>
      </c>
      <c r="Q58" s="107"/>
      <c r="S58" s="107"/>
      <c r="U58" s="107"/>
      <c r="W58" s="107"/>
    </row>
    <row r="59" spans="2:23" x14ac:dyDescent="0.25">
      <c r="B59" s="11" t="s">
        <v>38</v>
      </c>
      <c r="C59" s="21"/>
      <c r="D59" s="22"/>
      <c r="E59" s="23"/>
      <c r="F59" s="72">
        <f>'&gt;50 (100)'!F59</f>
        <v>0.13200000000000001</v>
      </c>
      <c r="G59" s="77">
        <f>0.18*$F$18</f>
        <v>45990</v>
      </c>
      <c r="H59" s="73">
        <f t="shared" si="16"/>
        <v>6070.68</v>
      </c>
      <c r="I59" s="27"/>
      <c r="J59" s="72">
        <f>F59</f>
        <v>0.13200000000000001</v>
      </c>
      <c r="K59" s="77">
        <f>$G$59</f>
        <v>45990</v>
      </c>
      <c r="L59" s="73">
        <f t="shared" si="17"/>
        <v>6070.68</v>
      </c>
      <c r="M59" s="27"/>
      <c r="N59" s="30">
        <f t="shared" si="15"/>
        <v>0</v>
      </c>
      <c r="O59" s="74">
        <f t="shared" si="10"/>
        <v>0</v>
      </c>
      <c r="Q59" s="107"/>
      <c r="S59" s="107"/>
      <c r="U59" s="107"/>
      <c r="W59" s="107"/>
    </row>
    <row r="60" spans="2:23" s="85" customFormat="1" x14ac:dyDescent="0.25">
      <c r="B60" s="78" t="s">
        <v>39</v>
      </c>
      <c r="C60" s="79"/>
      <c r="D60" s="80"/>
      <c r="E60" s="81"/>
      <c r="F60" s="72">
        <f>'&gt;50 (100)'!F60</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'&gt;50 (100)'!F61</f>
        <v>0.09</v>
      </c>
      <c r="G61" s="82">
        <f>F18-G60</f>
        <v>254750</v>
      </c>
      <c r="H61" s="73">
        <f>G61*F61</f>
        <v>22927.5</v>
      </c>
      <c r="I61" s="83"/>
      <c r="J61" s="72">
        <f>F61</f>
        <v>0.09</v>
      </c>
      <c r="K61" s="82">
        <f>$G$61</f>
        <v>254750</v>
      </c>
      <c r="L61" s="73">
        <f>K61*J61</f>
        <v>22927.5</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28285.654054999999</v>
      </c>
      <c r="I63" s="100"/>
      <c r="J63" s="101"/>
      <c r="K63" s="101"/>
      <c r="L63" s="99">
        <f>SUM(L52:L59,L51)</f>
        <v>29094.019055000001</v>
      </c>
      <c r="M63" s="102"/>
      <c r="N63" s="103">
        <f t="shared" ref="N63" si="18">L63-H63</f>
        <v>808.3650000000016</v>
      </c>
      <c r="O63" s="104">
        <f t="shared" ref="O63" si="19">IF((H63)=0,"",(N63/H63))</f>
        <v>2.8578621460482314E-2</v>
      </c>
      <c r="Q63" s="102"/>
      <c r="S63" s="102"/>
      <c r="U63" s="102"/>
      <c r="W63" s="102"/>
    </row>
    <row r="64" spans="2:23" x14ac:dyDescent="0.25">
      <c r="B64" s="105" t="s">
        <v>42</v>
      </c>
      <c r="C64" s="21"/>
      <c r="D64" s="21"/>
      <c r="E64" s="21"/>
      <c r="F64" s="106">
        <v>0.13</v>
      </c>
      <c r="G64" s="107"/>
      <c r="H64" s="108">
        <f>H63*F64</f>
        <v>3677.13502715</v>
      </c>
      <c r="I64" s="109"/>
      <c r="J64" s="110">
        <v>0.13</v>
      </c>
      <c r="K64" s="109"/>
      <c r="L64" s="111">
        <f>L63*J64</f>
        <v>3782.22247715</v>
      </c>
      <c r="M64" s="112"/>
      <c r="N64" s="113">
        <f t="shared" si="15"/>
        <v>105.08744999999999</v>
      </c>
      <c r="O64" s="114">
        <f t="shared" si="10"/>
        <v>2.8578621460482255E-2</v>
      </c>
      <c r="Q64" s="112"/>
      <c r="S64" s="112"/>
      <c r="U64" s="112"/>
      <c r="W64" s="112"/>
    </row>
    <row r="65" spans="1:23" ht="13.8" thickBot="1" x14ac:dyDescent="0.3">
      <c r="B65" s="115" t="s">
        <v>43</v>
      </c>
      <c r="C65" s="21"/>
      <c r="D65" s="21"/>
      <c r="E65" s="21"/>
      <c r="F65" s="116"/>
      <c r="G65" s="107"/>
      <c r="H65" s="99">
        <f>H63+H64</f>
        <v>31962.78908215</v>
      </c>
      <c r="I65" s="109"/>
      <c r="J65" s="109"/>
      <c r="K65" s="109"/>
      <c r="L65" s="212">
        <f>L63+L64</f>
        <v>32876.241532150001</v>
      </c>
      <c r="M65" s="112"/>
      <c r="N65" s="103">
        <f t="shared" si="15"/>
        <v>913.45245000000068</v>
      </c>
      <c r="O65" s="104">
        <f t="shared" si="10"/>
        <v>2.8578621460482279E-2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30279.024055000002</v>
      </c>
      <c r="I67" s="128"/>
      <c r="J67" s="129"/>
      <c r="K67" s="129"/>
      <c r="L67" s="127">
        <f>SUM(L60:L61,L51,L52:L56)</f>
        <v>31087.389055</v>
      </c>
      <c r="M67" s="130"/>
      <c r="N67" s="131">
        <f t="shared" ref="N67:N69" si="20">L67-H67</f>
        <v>808.36499999999796</v>
      </c>
      <c r="O67" s="104">
        <f t="shared" ref="O67:O69" si="21">IF((H67)=0,"",(N67/H67))</f>
        <v>2.6697194682749753E-2</v>
      </c>
      <c r="Q67" s="130"/>
      <c r="R67" s="204"/>
      <c r="S67" s="130"/>
      <c r="T67" s="204"/>
      <c r="U67" s="130"/>
      <c r="V67" s="204"/>
      <c r="W67" s="130"/>
    </row>
    <row r="68" spans="1:23" s="85" customFormat="1" x14ac:dyDescent="0.25">
      <c r="B68" s="132" t="s">
        <v>42</v>
      </c>
      <c r="C68" s="79"/>
      <c r="D68" s="79"/>
      <c r="E68" s="79"/>
      <c r="F68" s="133">
        <v>0.13</v>
      </c>
      <c r="G68" s="126"/>
      <c r="H68" s="134">
        <f>H67*F68</f>
        <v>3936.2731271500002</v>
      </c>
      <c r="I68" s="135"/>
      <c r="J68" s="136">
        <v>0.13</v>
      </c>
      <c r="K68" s="137"/>
      <c r="L68" s="138">
        <f>L67*J68</f>
        <v>4041.3605771500002</v>
      </c>
      <c r="M68" s="139"/>
      <c r="N68" s="140">
        <f t="shared" si="20"/>
        <v>105.08744999999999</v>
      </c>
      <c r="O68" s="114">
        <f t="shared" si="21"/>
        <v>2.6697194682749819E-2</v>
      </c>
      <c r="Q68" s="139"/>
      <c r="R68" s="204"/>
      <c r="S68" s="139"/>
      <c r="T68" s="204"/>
      <c r="U68" s="139"/>
      <c r="V68" s="204"/>
      <c r="W68" s="139"/>
    </row>
    <row r="69" spans="1:23" s="85" customFormat="1" ht="13.8" thickBot="1" x14ac:dyDescent="0.3">
      <c r="B69" s="141" t="s">
        <v>43</v>
      </c>
      <c r="C69" s="79"/>
      <c r="D69" s="79"/>
      <c r="E69" s="79"/>
      <c r="F69" s="142"/>
      <c r="G69" s="143"/>
      <c r="H69" s="127">
        <f>H67+H68</f>
        <v>34215.297182150003</v>
      </c>
      <c r="I69" s="135"/>
      <c r="J69" s="135"/>
      <c r="K69" s="135"/>
      <c r="L69" s="211">
        <f>L67+L68</f>
        <v>35128.74963215</v>
      </c>
      <c r="M69" s="139"/>
      <c r="N69" s="131">
        <f t="shared" si="20"/>
        <v>913.45244999999704</v>
      </c>
      <c r="O69" s="104">
        <f t="shared" si="21"/>
        <v>2.6697194682749736E-2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'&gt;50 (100)'!F72</f>
        <v>3.3500000000000002E-2</v>
      </c>
      <c r="J72" s="151">
        <f>+'Res (100)'!J74</f>
        <v>3.3500000000000002E-2</v>
      </c>
    </row>
    <row r="74" spans="1:23" ht="13.5" customHeight="1" x14ac:dyDescent="0.25">
      <c r="Q74" s="202"/>
      <c r="R74" s="202"/>
      <c r="S74" s="6"/>
      <c r="T74" s="6"/>
      <c r="U74" s="6"/>
      <c r="V74" s="6"/>
      <c r="W74" s="6"/>
    </row>
    <row r="75" spans="1:23" ht="12" customHeight="1" x14ac:dyDescent="0.25">
      <c r="A75" s="6" t="s">
        <v>46</v>
      </c>
      <c r="Q75" s="202"/>
      <c r="R75" s="202"/>
      <c r="S75" s="6"/>
      <c r="T75" s="6"/>
      <c r="U75" s="6"/>
      <c r="V75" s="6"/>
      <c r="W75" s="6"/>
    </row>
    <row r="76" spans="1:23" x14ac:dyDescent="0.25">
      <c r="A76" s="6" t="s">
        <v>47</v>
      </c>
      <c r="Q76" s="202"/>
      <c r="R76" s="202"/>
      <c r="S76" s="6"/>
      <c r="T76" s="6"/>
      <c r="U76" s="6"/>
      <c r="V76" s="6"/>
      <c r="W76" s="6"/>
    </row>
    <row r="77" spans="1:23" x14ac:dyDescent="0.25">
      <c r="Q77" s="202"/>
      <c r="R77" s="202"/>
      <c r="S77" s="6"/>
      <c r="T77" s="6"/>
      <c r="U77" s="6"/>
      <c r="V77" s="6"/>
      <c r="W77" s="6"/>
    </row>
    <row r="78" spans="1:23" x14ac:dyDescent="0.25">
      <c r="A78" s="153" t="s">
        <v>133</v>
      </c>
      <c r="Q78" s="202"/>
      <c r="R78" s="202"/>
      <c r="S78" s="6"/>
      <c r="T78" s="6"/>
      <c r="U78" s="6"/>
      <c r="V78" s="6"/>
      <c r="W78" s="6"/>
    </row>
    <row r="79" spans="1:23" x14ac:dyDescent="0.25">
      <c r="A79" s="11" t="s">
        <v>48</v>
      </c>
      <c r="Q79" s="202"/>
      <c r="R79" s="202"/>
      <c r="S79" s="6"/>
      <c r="T79" s="6"/>
      <c r="U79" s="6"/>
      <c r="V79" s="6"/>
      <c r="W79" s="6"/>
    </row>
    <row r="80" spans="1:23" x14ac:dyDescent="0.25">
      <c r="Q80" s="202"/>
      <c r="R80" s="202"/>
      <c r="S80" s="6"/>
      <c r="T80" s="6"/>
      <c r="U80" s="6"/>
      <c r="V80" s="6"/>
      <c r="W80" s="6"/>
    </row>
    <row r="81" spans="1:23" x14ac:dyDescent="0.25">
      <c r="A81" s="6" t="s">
        <v>132</v>
      </c>
      <c r="Q81" s="202"/>
      <c r="R81" s="202"/>
      <c r="S81" s="6"/>
      <c r="T81" s="6"/>
      <c r="U81" s="6"/>
      <c r="V81" s="6"/>
      <c r="W81" s="6"/>
    </row>
    <row r="82" spans="1:23" x14ac:dyDescent="0.25">
      <c r="A82" s="6" t="s">
        <v>49</v>
      </c>
      <c r="Q82" s="202"/>
      <c r="R82" s="202"/>
      <c r="S82" s="6"/>
      <c r="T82" s="6"/>
      <c r="U82" s="6"/>
      <c r="V82" s="6"/>
      <c r="W82" s="6"/>
    </row>
    <row r="83" spans="1:23" x14ac:dyDescent="0.25">
      <c r="A83" s="6" t="s">
        <v>50</v>
      </c>
      <c r="Q83" s="202"/>
      <c r="R83" s="202"/>
      <c r="S83" s="6"/>
      <c r="T83" s="6"/>
      <c r="U83" s="6"/>
      <c r="V83" s="6"/>
      <c r="W83" s="6"/>
    </row>
    <row r="84" spans="1:23" x14ac:dyDescent="0.25">
      <c r="A84" s="6" t="s">
        <v>51</v>
      </c>
      <c r="Q84" s="202"/>
      <c r="R84" s="202"/>
      <c r="S84" s="6"/>
      <c r="T84" s="6"/>
      <c r="U84" s="6"/>
      <c r="V84" s="6"/>
      <c r="W84" s="6"/>
    </row>
    <row r="85" spans="1:23" x14ac:dyDescent="0.25">
      <c r="A85" s="6" t="s">
        <v>52</v>
      </c>
      <c r="Q85" s="202"/>
      <c r="R85" s="202"/>
      <c r="S85" s="6"/>
      <c r="T85" s="6"/>
      <c r="U85" s="6"/>
      <c r="V85" s="6"/>
      <c r="W85" s="6"/>
    </row>
    <row r="86" spans="1:23" x14ac:dyDescent="0.25">
      <c r="Q86" s="202"/>
      <c r="R86" s="202"/>
      <c r="S86" s="6"/>
      <c r="T86" s="6"/>
      <c r="U86" s="6"/>
      <c r="V86" s="6"/>
      <c r="W86" s="6"/>
    </row>
    <row r="87" spans="1:23" x14ac:dyDescent="0.25">
      <c r="A87" s="152"/>
      <c r="B87" s="6" t="s">
        <v>53</v>
      </c>
      <c r="Q87" s="202"/>
      <c r="R87" s="202"/>
      <c r="S87" s="6"/>
      <c r="T87" s="6"/>
      <c r="U87" s="6"/>
      <c r="V87" s="6"/>
      <c r="W87" s="6"/>
    </row>
    <row r="88" spans="1:23" x14ac:dyDescent="0.25">
      <c r="Q88" s="202"/>
      <c r="R88" s="202"/>
      <c r="S88" s="6"/>
      <c r="T88" s="6"/>
      <c r="U88" s="6"/>
      <c r="V88" s="6"/>
      <c r="W88" s="6"/>
    </row>
    <row r="89" spans="1:23" x14ac:dyDescent="0.25">
      <c r="B89" s="153" t="s">
        <v>54</v>
      </c>
      <c r="Q89" s="202"/>
      <c r="R89" s="202"/>
      <c r="S89" s="6"/>
      <c r="T89" s="6"/>
      <c r="U89" s="6"/>
      <c r="V89" s="6"/>
      <c r="W89"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E49:E50 E70 E66 E52:E62 E23:E38 E40:E47">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3</xdr:col>
                    <xdr:colOff>487680</xdr:colOff>
                    <xdr:row>9</xdr:row>
                    <xdr:rowOff>198120</xdr:rowOff>
                  </from>
                  <to>
                    <xdr:col>5</xdr:col>
                    <xdr:colOff>655320</xdr:colOff>
                    <xdr:row>10</xdr:row>
                    <xdr:rowOff>91440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5</xdr:col>
                    <xdr:colOff>441960</xdr:colOff>
                    <xdr:row>9</xdr:row>
                    <xdr:rowOff>167640</xdr:rowOff>
                  </from>
                  <to>
                    <xdr:col>9</xdr:col>
                    <xdr:colOff>525780</xdr:colOff>
                    <xdr:row>10</xdr:row>
                    <xdr:rowOff>160020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W89"/>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11.44140625" style="6" bestFit="1" customWidth="1"/>
    <col min="9" max="9" width="2.88671875" style="6" customWidth="1"/>
    <col min="10" max="10" width="10.88671875" style="6" bestFit="1" customWidth="1"/>
    <col min="11" max="11" width="7.44140625" style="6" bestFit="1" customWidth="1"/>
    <col min="12" max="12" width="11.44140625" style="6" bestFit="1" customWidth="1"/>
    <col min="13" max="13" width="2.88671875" style="6" customWidth="1"/>
    <col min="14" max="14" width="10.44140625" style="6" bestFit="1" customWidth="1"/>
    <col min="15" max="15" width="10"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56</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f>51100*5</f>
        <v>255500</v>
      </c>
      <c r="G18" s="12" t="s">
        <v>6</v>
      </c>
    </row>
    <row r="19" spans="2:23" x14ac:dyDescent="0.25">
      <c r="B19" s="11"/>
      <c r="F19" s="13">
        <v>1000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24">
        <f>+'&gt;50 (100)'!F23</f>
        <v>200</v>
      </c>
      <c r="G23" s="25">
        <v>1</v>
      </c>
      <c r="H23" s="26">
        <f>G23*F23</f>
        <v>200</v>
      </c>
      <c r="I23" s="27"/>
      <c r="J23" s="24">
        <f>+'&gt;50 (100)'!J23</f>
        <v>200</v>
      </c>
      <c r="K23" s="29">
        <v>1</v>
      </c>
      <c r="L23" s="26">
        <f>K23*J23</f>
        <v>200</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+'&gt;50 (100)'!F29</f>
        <v>4.3244999999999996</v>
      </c>
      <c r="G29" s="51">
        <f>+$F$19</f>
        <v>1000</v>
      </c>
      <c r="H29" s="26">
        <f t="shared" si="0"/>
        <v>4324.5</v>
      </c>
      <c r="I29" s="27"/>
      <c r="J29" s="24">
        <f>+'&gt;50 (100)'!J29</f>
        <v>4.5850999999999997</v>
      </c>
      <c r="K29" s="51">
        <f>+$F$19</f>
        <v>1000</v>
      </c>
      <c r="L29" s="26">
        <f t="shared" si="1"/>
        <v>4585.0999999999995</v>
      </c>
      <c r="M29" s="27"/>
      <c r="N29" s="30">
        <f t="shared" si="2"/>
        <v>260.59999999999945</v>
      </c>
      <c r="O29" s="31">
        <f t="shared" si="3"/>
        <v>6.0261301884610811E-2</v>
      </c>
      <c r="Q29" s="107"/>
      <c r="S29" s="107"/>
      <c r="U29" s="107"/>
      <c r="W29" s="107"/>
    </row>
    <row r="30" spans="2:23" x14ac:dyDescent="0.25">
      <c r="B30" s="21" t="s">
        <v>21</v>
      </c>
      <c r="C30" s="21"/>
      <c r="D30" s="22"/>
      <c r="E30" s="23"/>
      <c r="F30" s="24"/>
      <c r="G30" s="25">
        <f t="shared" ref="G30" si="4">$F$18</f>
        <v>255500</v>
      </c>
      <c r="H30" s="26">
        <f t="shared" si="0"/>
        <v>0</v>
      </c>
      <c r="I30" s="27"/>
      <c r="J30" s="24"/>
      <c r="K30" s="25">
        <f t="shared" ref="K30:K38" si="5">$F$18</f>
        <v>255500</v>
      </c>
      <c r="L30" s="26">
        <f t="shared" si="1"/>
        <v>0</v>
      </c>
      <c r="M30" s="27"/>
      <c r="N30" s="30">
        <f t="shared" si="2"/>
        <v>0</v>
      </c>
      <c r="O30" s="31" t="str">
        <f t="shared" si="3"/>
        <v/>
      </c>
      <c r="Q30" s="107"/>
      <c r="S30" s="107"/>
      <c r="U30" s="107"/>
      <c r="W30" s="107"/>
    </row>
    <row r="31" spans="2:23" x14ac:dyDescent="0.25">
      <c r="B31" s="21" t="s">
        <v>22</v>
      </c>
      <c r="C31" s="21"/>
      <c r="D31" s="22" t="s">
        <v>58</v>
      </c>
      <c r="E31" s="23"/>
      <c r="F31" s="24">
        <f>+'&gt;50 (100)'!F31</f>
        <v>0</v>
      </c>
      <c r="G31" s="51">
        <f>+$F$19</f>
        <v>1000</v>
      </c>
      <c r="H31" s="26">
        <f t="shared" si="0"/>
        <v>0</v>
      </c>
      <c r="I31" s="27"/>
      <c r="J31" s="24">
        <f>+'&gt;50 (100)'!J31</f>
        <v>0</v>
      </c>
      <c r="K31" s="51">
        <f>+$F$19</f>
        <v>1000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255500</v>
      </c>
      <c r="H32" s="26">
        <f t="shared" si="0"/>
        <v>0</v>
      </c>
      <c r="I32" s="27"/>
      <c r="J32" s="28"/>
      <c r="K32" s="25">
        <f t="shared" si="5"/>
        <v>255500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255500</v>
      </c>
      <c r="H33" s="26">
        <f t="shared" si="0"/>
        <v>0</v>
      </c>
      <c r="I33" s="27"/>
      <c r="J33" s="28"/>
      <c r="K33" s="25">
        <f t="shared" si="5"/>
        <v>255500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255500</v>
      </c>
      <c r="H34" s="26">
        <f t="shared" si="0"/>
        <v>0</v>
      </c>
      <c r="I34" s="27"/>
      <c r="J34" s="28"/>
      <c r="K34" s="25">
        <f t="shared" si="5"/>
        <v>255500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255500</v>
      </c>
      <c r="H35" s="26">
        <f t="shared" si="0"/>
        <v>0</v>
      </c>
      <c r="I35" s="27"/>
      <c r="J35" s="28"/>
      <c r="K35" s="25">
        <f t="shared" si="5"/>
        <v>255500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255500</v>
      </c>
      <c r="H36" s="26">
        <f t="shared" si="0"/>
        <v>0</v>
      </c>
      <c r="I36" s="27"/>
      <c r="J36" s="28"/>
      <c r="K36" s="25">
        <f t="shared" si="5"/>
        <v>255500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255500</v>
      </c>
      <c r="H37" s="26">
        <f t="shared" si="0"/>
        <v>0</v>
      </c>
      <c r="I37" s="27"/>
      <c r="J37" s="28"/>
      <c r="K37" s="25">
        <f t="shared" si="5"/>
        <v>255500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255500</v>
      </c>
      <c r="H38" s="26">
        <f t="shared" si="0"/>
        <v>0</v>
      </c>
      <c r="I38" s="27"/>
      <c r="J38" s="28"/>
      <c r="K38" s="25">
        <f t="shared" si="5"/>
        <v>255500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4524.5</v>
      </c>
      <c r="I39" s="40"/>
      <c r="J39" s="41"/>
      <c r="K39" s="42"/>
      <c r="L39" s="39">
        <f>SUM(L23:L38)</f>
        <v>4785.0999999999995</v>
      </c>
      <c r="M39" s="40"/>
      <c r="N39" s="43">
        <f t="shared" si="2"/>
        <v>260.59999999999945</v>
      </c>
      <c r="O39" s="44">
        <f t="shared" si="3"/>
        <v>5.7597524588352184E-2</v>
      </c>
      <c r="Q39" s="107"/>
      <c r="R39" s="203"/>
      <c r="S39" s="107"/>
      <c r="T39" s="203"/>
      <c r="U39" s="107"/>
      <c r="V39" s="203"/>
      <c r="W39" s="107"/>
    </row>
    <row r="40" spans="2:23" ht="26.4" x14ac:dyDescent="0.25">
      <c r="B40" s="46" t="s">
        <v>24</v>
      </c>
      <c r="C40" s="21"/>
      <c r="D40" s="22" t="s">
        <v>58</v>
      </c>
      <c r="E40" s="23"/>
      <c r="F40" s="24">
        <f>'Proposed Rates'!D40</f>
        <v>1.17E-2</v>
      </c>
      <c r="G40" s="51">
        <f>+$F$19</f>
        <v>1000</v>
      </c>
      <c r="H40" s="26">
        <f>G40*F40</f>
        <v>11.700000000000001</v>
      </c>
      <c r="I40" s="27"/>
      <c r="J40" s="24">
        <f>+'&gt;50 (100)'!J40</f>
        <v>-0.16650000000000001</v>
      </c>
      <c r="K40" s="224">
        <f>+$F$19</f>
        <v>1000</v>
      </c>
      <c r="L40" s="26">
        <f>K40*J40</f>
        <v>-166.5</v>
      </c>
      <c r="M40" s="27"/>
      <c r="N40" s="30">
        <f>L40-H40</f>
        <v>-178.2</v>
      </c>
      <c r="O40" s="31">
        <f>IF((H40)=0,"",(N40/H40))</f>
        <v>-15.230769230769228</v>
      </c>
      <c r="Q40" s="107"/>
      <c r="S40" s="107"/>
      <c r="U40" s="107"/>
      <c r="W40" s="107"/>
    </row>
    <row r="41" spans="2:23" ht="39.6" x14ac:dyDescent="0.25">
      <c r="B41" s="154" t="s">
        <v>59</v>
      </c>
      <c r="C41" s="21"/>
      <c r="D41" s="22" t="s">
        <v>20</v>
      </c>
      <c r="E41" s="23"/>
      <c r="F41" s="24">
        <f>'Proposed Rates'!D54</f>
        <v>1.29E-2</v>
      </c>
      <c r="G41" s="51">
        <f>+F19</f>
        <v>1000</v>
      </c>
      <c r="H41" s="26">
        <f t="shared" ref="H41:H46" si="7">G41*F41</f>
        <v>12.9</v>
      </c>
      <c r="I41" s="47"/>
      <c r="J41" s="24">
        <f>+'&gt;50 (100)'!J41</f>
        <v>0</v>
      </c>
      <c r="K41" s="25">
        <f>+$G$41</f>
        <v>1000</v>
      </c>
      <c r="L41" s="26">
        <f t="shared" ref="L41:L46" si="8">K41*J41</f>
        <v>0</v>
      </c>
      <c r="M41" s="48"/>
      <c r="N41" s="30">
        <f t="shared" ref="N41:N46" si="9">L41-H41</f>
        <v>-12.9</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
        <v>20</v>
      </c>
      <c r="E42" s="23"/>
      <c r="F42" s="24">
        <f>'Proposed Rates'!D83</f>
        <v>-1.9E-3</v>
      </c>
      <c r="G42" s="25">
        <f t="shared" ref="G42" si="11">$F$18</f>
        <v>255500</v>
      </c>
      <c r="H42" s="26">
        <f t="shared" si="7"/>
        <v>-485.45</v>
      </c>
      <c r="I42" s="47"/>
      <c r="J42" s="24">
        <f>+'&gt;50 (100)'!J42</f>
        <v>0</v>
      </c>
      <c r="K42" s="25">
        <f t="shared" ref="K42" si="12">$F$18</f>
        <v>255500</v>
      </c>
      <c r="L42" s="26">
        <f t="shared" si="8"/>
        <v>0</v>
      </c>
      <c r="M42" s="48"/>
      <c r="N42" s="30">
        <f t="shared" si="9"/>
        <v>485.45</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Rates'!D99</f>
        <v>-0.9869</v>
      </c>
      <c r="G43" s="51">
        <f>$F$19</f>
        <v>1000</v>
      </c>
      <c r="H43" s="26">
        <f t="shared" si="7"/>
        <v>-986.9</v>
      </c>
      <c r="I43" s="47"/>
      <c r="J43" s="24">
        <f>+'&gt;50 (100)'!J43</f>
        <v>-0.33910000000000001</v>
      </c>
      <c r="K43" s="25">
        <f>+$G$41</f>
        <v>1000</v>
      </c>
      <c r="L43" s="26">
        <f t="shared" si="8"/>
        <v>-339.1</v>
      </c>
      <c r="M43" s="48"/>
      <c r="N43" s="30">
        <f t="shared" si="9"/>
        <v>647.79999999999995</v>
      </c>
      <c r="O43" s="31">
        <f t="shared" si="10"/>
        <v>-0.65639882460228993</v>
      </c>
      <c r="Q43" s="107"/>
      <c r="S43" s="107"/>
      <c r="U43" s="107"/>
      <c r="W43" s="107"/>
    </row>
    <row r="44" spans="2:23" ht="39.6" x14ac:dyDescent="0.25">
      <c r="B44" s="46" t="s">
        <v>125</v>
      </c>
      <c r="C44" s="21"/>
      <c r="D44" s="22" t="s">
        <v>20</v>
      </c>
      <c r="E44" s="23"/>
      <c r="F44" s="24">
        <f>+'&gt;50 (100)'!F44</f>
        <v>2.7E-4</v>
      </c>
      <c r="G44" s="25">
        <f t="shared" ref="G44" si="13">$F$18</f>
        <v>255500</v>
      </c>
      <c r="H44" s="26">
        <f t="shared" si="7"/>
        <v>68.984999999999999</v>
      </c>
      <c r="I44" s="226"/>
      <c r="J44" s="227">
        <f>+'&gt;50 (100)'!J44</f>
        <v>0</v>
      </c>
      <c r="K44" s="25">
        <f t="shared" ref="K44" si="14">$F$18</f>
        <v>255500</v>
      </c>
      <c r="L44" s="26">
        <f t="shared" si="8"/>
        <v>0</v>
      </c>
      <c r="M44" s="226"/>
      <c r="N44" s="30">
        <f t="shared" si="9"/>
        <v>-68.984999999999999</v>
      </c>
      <c r="O44" s="31">
        <f t="shared" si="10"/>
        <v>-1</v>
      </c>
      <c r="Q44" s="107"/>
      <c r="S44" s="107"/>
      <c r="U44" s="107"/>
      <c r="W44" s="107"/>
    </row>
    <row r="45" spans="2:23" x14ac:dyDescent="0.25">
      <c r="B45" s="49" t="s">
        <v>25</v>
      </c>
      <c r="C45" s="21"/>
      <c r="D45" s="22" t="s">
        <v>58</v>
      </c>
      <c r="E45" s="23"/>
      <c r="F45" s="50">
        <f>'&gt;50 (100)'!F45</f>
        <v>2.632E-2</v>
      </c>
      <c r="G45" s="51">
        <f>+$F$19</f>
        <v>1000</v>
      </c>
      <c r="H45" s="26">
        <f>G45*F45</f>
        <v>26.32</v>
      </c>
      <c r="I45" s="27"/>
      <c r="J45" s="52">
        <f>'&gt;50 (100)'!J45</f>
        <v>2.3820000000000001E-2</v>
      </c>
      <c r="K45" s="51">
        <f>+$F$19</f>
        <v>1000</v>
      </c>
      <c r="L45" s="26">
        <f>K45*J45</f>
        <v>23.82</v>
      </c>
      <c r="M45" s="27"/>
      <c r="N45" s="30">
        <f>L45-H45</f>
        <v>-2.5</v>
      </c>
      <c r="O45" s="31">
        <f>IF((H45)=0,"",(N45/H45))</f>
        <v>-9.4984802431610935E-2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8559.25</v>
      </c>
      <c r="H46" s="26">
        <f t="shared" si="7"/>
        <v>703.22798000000012</v>
      </c>
      <c r="I46" s="27"/>
      <c r="J46" s="55">
        <f>0.65*$J$57+0.17*$J$58+0.18*$J$59</f>
        <v>8.2160000000000011E-2</v>
      </c>
      <c r="K46" s="54">
        <f>$F$18*(1+$J$72)-$F$18</f>
        <v>8559.25</v>
      </c>
      <c r="L46" s="26">
        <f t="shared" si="8"/>
        <v>703.22798000000012</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3875.28298</v>
      </c>
      <c r="I48" s="40"/>
      <c r="J48" s="59"/>
      <c r="K48" s="61"/>
      <c r="L48" s="60">
        <f>SUM(L40:L47)+L39</f>
        <v>5006.5479799999994</v>
      </c>
      <c r="M48" s="40"/>
      <c r="N48" s="43">
        <f t="shared" ref="N48:N65" si="15">L48-H48</f>
        <v>1131.2649999999994</v>
      </c>
      <c r="O48" s="44">
        <f t="shared" si="10"/>
        <v>0.29191803691197782</v>
      </c>
      <c r="Q48" s="107"/>
      <c r="S48" s="107"/>
      <c r="U48" s="107"/>
      <c r="W48" s="107"/>
    </row>
    <row r="49" spans="2:23" x14ac:dyDescent="0.25">
      <c r="B49" s="27" t="s">
        <v>29</v>
      </c>
      <c r="C49" s="27"/>
      <c r="D49" s="62" t="s">
        <v>58</v>
      </c>
      <c r="E49" s="63"/>
      <c r="F49" s="28">
        <f>'&gt;50 (100)'!F49</f>
        <v>2.8016000000000001</v>
      </c>
      <c r="G49" s="64">
        <f>+$F$19</f>
        <v>1000</v>
      </c>
      <c r="H49" s="26">
        <f>G49*F49</f>
        <v>2801.6</v>
      </c>
      <c r="I49" s="27"/>
      <c r="J49" s="28">
        <f>'&gt;50 (100)'!J49</f>
        <v>2.8473000000000002</v>
      </c>
      <c r="K49" s="64">
        <f>+$F$19</f>
        <v>1000</v>
      </c>
      <c r="L49" s="26">
        <f>K49*J49</f>
        <v>2847.3</v>
      </c>
      <c r="M49" s="27"/>
      <c r="N49" s="30">
        <f t="shared" si="15"/>
        <v>45.700000000000273</v>
      </c>
      <c r="O49" s="31">
        <f t="shared" si="10"/>
        <v>1.6312107367218831E-2</v>
      </c>
      <c r="Q49" s="107"/>
      <c r="S49" s="107"/>
      <c r="U49" s="107"/>
      <c r="W49" s="107"/>
    </row>
    <row r="50" spans="2:23" ht="26.4" x14ac:dyDescent="0.25">
      <c r="B50" s="66" t="s">
        <v>30</v>
      </c>
      <c r="C50" s="27"/>
      <c r="D50" s="62" t="s">
        <v>58</v>
      </c>
      <c r="E50" s="63"/>
      <c r="F50" s="28">
        <f>'&gt;50 (100)'!F50</f>
        <v>1.8173999999999999</v>
      </c>
      <c r="G50" s="64">
        <f>G49</f>
        <v>1000</v>
      </c>
      <c r="H50" s="26">
        <f>G50*F50</f>
        <v>1817.3999999999999</v>
      </c>
      <c r="I50" s="27"/>
      <c r="J50" s="28">
        <f>'&gt;50 (100)'!J50</f>
        <v>1.8407</v>
      </c>
      <c r="K50" s="64">
        <f>K49</f>
        <v>1000</v>
      </c>
      <c r="L50" s="26">
        <f>K50*J50</f>
        <v>1840.7</v>
      </c>
      <c r="M50" s="27"/>
      <c r="N50" s="30">
        <f t="shared" si="15"/>
        <v>23.300000000000182</v>
      </c>
      <c r="O50" s="31">
        <f t="shared" si="10"/>
        <v>1.2820512820512922E-2</v>
      </c>
      <c r="Q50" s="107"/>
      <c r="S50" s="107"/>
      <c r="U50" s="107"/>
      <c r="W50" s="107"/>
    </row>
    <row r="51" spans="2:23" ht="26.4" x14ac:dyDescent="0.25">
      <c r="B51" s="56" t="s">
        <v>31</v>
      </c>
      <c r="C51" s="35"/>
      <c r="D51" s="35"/>
      <c r="E51" s="35"/>
      <c r="F51" s="67"/>
      <c r="G51" s="59"/>
      <c r="H51" s="60">
        <f>SUM(H48:H50)</f>
        <v>8494.28298</v>
      </c>
      <c r="I51" s="68"/>
      <c r="J51" s="69"/>
      <c r="K51" s="59"/>
      <c r="L51" s="60">
        <f>SUM(L48:L50)</f>
        <v>9694.5479799999994</v>
      </c>
      <c r="M51" s="68"/>
      <c r="N51" s="43">
        <f t="shared" si="15"/>
        <v>1200.2649999999994</v>
      </c>
      <c r="O51" s="44">
        <f t="shared" si="10"/>
        <v>0.14130268591546258</v>
      </c>
      <c r="Q51" s="102"/>
      <c r="S51" s="102"/>
      <c r="U51" s="102"/>
      <c r="W51" s="102"/>
    </row>
    <row r="52" spans="2:23" ht="26.4" x14ac:dyDescent="0.25">
      <c r="B52" s="71" t="s">
        <v>32</v>
      </c>
      <c r="C52" s="21"/>
      <c r="D52" s="22" t="s">
        <v>20</v>
      </c>
      <c r="E52" s="23"/>
      <c r="F52" s="72">
        <f>'&gt;50 (100)'!F52</f>
        <v>3.5999999999999999E-3</v>
      </c>
      <c r="G52" s="64">
        <f>+$F$18+G46</f>
        <v>264059.25</v>
      </c>
      <c r="H52" s="73">
        <f t="shared" ref="H52:H59" si="16">G52*F52</f>
        <v>950.61329999999998</v>
      </c>
      <c r="I52" s="27"/>
      <c r="J52" s="72">
        <f>F52</f>
        <v>3.5999999999999999E-3</v>
      </c>
      <c r="K52" s="64">
        <f>+$F$18+K46</f>
        <v>264059.25</v>
      </c>
      <c r="L52" s="73">
        <f t="shared" ref="L52:L59" si="17">K52*J52</f>
        <v>950.61329999999998</v>
      </c>
      <c r="M52" s="27"/>
      <c r="N52" s="30">
        <f t="shared" si="15"/>
        <v>0</v>
      </c>
      <c r="O52" s="74">
        <f t="shared" si="10"/>
        <v>0</v>
      </c>
      <c r="Q52" s="107"/>
      <c r="S52" s="107"/>
      <c r="U52" s="107"/>
      <c r="W52" s="107"/>
    </row>
    <row r="53" spans="2:23" ht="26.4" x14ac:dyDescent="0.25">
      <c r="B53" s="71" t="s">
        <v>33</v>
      </c>
      <c r="C53" s="21"/>
      <c r="D53" s="22" t="s">
        <v>20</v>
      </c>
      <c r="E53" s="23"/>
      <c r="F53" s="72">
        <f>'&gt;50 (100)'!F53</f>
        <v>2.9999999999999997E-4</v>
      </c>
      <c r="G53" s="64">
        <f>G52</f>
        <v>264059.25</v>
      </c>
      <c r="H53" s="73">
        <f t="shared" si="16"/>
        <v>79.217774999999989</v>
      </c>
      <c r="I53" s="27"/>
      <c r="J53" s="72">
        <f>F53</f>
        <v>2.9999999999999997E-4</v>
      </c>
      <c r="K53" s="64">
        <f>K52</f>
        <v>264059.25</v>
      </c>
      <c r="L53" s="73">
        <f t="shared" si="17"/>
        <v>79.217774999999989</v>
      </c>
      <c r="M53" s="27"/>
      <c r="N53" s="30">
        <f t="shared" si="15"/>
        <v>0</v>
      </c>
      <c r="O53" s="74">
        <f t="shared" si="10"/>
        <v>0</v>
      </c>
      <c r="Q53" s="107"/>
      <c r="S53" s="107"/>
      <c r="U53" s="107"/>
      <c r="W53" s="107"/>
    </row>
    <row r="54" spans="2:23" x14ac:dyDescent="0.25">
      <c r="B54" s="21" t="s">
        <v>34</v>
      </c>
      <c r="C54" s="21"/>
      <c r="D54" s="22" t="s">
        <v>17</v>
      </c>
      <c r="E54" s="23"/>
      <c r="F54" s="72">
        <f>'&gt;50 (100)'!F54</f>
        <v>0.25</v>
      </c>
      <c r="G54" s="25">
        <v>1</v>
      </c>
      <c r="H54" s="73">
        <f t="shared" si="16"/>
        <v>0.25</v>
      </c>
      <c r="I54" s="27"/>
      <c r="J54" s="72">
        <f>'&gt;50 (100)'!J54</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G52</f>
        <v>264059.25</v>
      </c>
      <c r="H55" s="73">
        <f>G55*F55</f>
        <v>0</v>
      </c>
      <c r="I55" s="27"/>
      <c r="J55" s="72">
        <f>F55</f>
        <v>0</v>
      </c>
      <c r="K55" s="64">
        <f>K52</f>
        <v>264059.25</v>
      </c>
      <c r="L55" s="73">
        <f>K55*J55</f>
        <v>0</v>
      </c>
      <c r="M55" s="27"/>
      <c r="N55" s="30"/>
      <c r="O55" s="74"/>
      <c r="Q55" s="107"/>
      <c r="S55" s="107"/>
      <c r="U55" s="107"/>
      <c r="W55" s="107"/>
    </row>
    <row r="56" spans="2:23" x14ac:dyDescent="0.25">
      <c r="B56" s="21" t="s">
        <v>35</v>
      </c>
      <c r="C56" s="21"/>
      <c r="D56" s="22"/>
      <c r="E56" s="23"/>
      <c r="F56" s="72">
        <f>'&gt;50 (100)'!F56</f>
        <v>6.94E-3</v>
      </c>
      <c r="G56" s="75">
        <f>$F$18</f>
        <v>255500</v>
      </c>
      <c r="H56" s="73">
        <f t="shared" si="16"/>
        <v>1773.17</v>
      </c>
      <c r="I56" s="27"/>
      <c r="J56" s="72">
        <f>+F56</f>
        <v>6.94E-3</v>
      </c>
      <c r="K56" s="76">
        <f>$F$18</f>
        <v>255500</v>
      </c>
      <c r="L56" s="73">
        <f t="shared" si="17"/>
        <v>1773.17</v>
      </c>
      <c r="M56" s="27"/>
      <c r="N56" s="30">
        <f t="shared" si="15"/>
        <v>0</v>
      </c>
      <c r="O56" s="74">
        <f t="shared" si="10"/>
        <v>0</v>
      </c>
      <c r="Q56" s="107"/>
      <c r="S56" s="107"/>
      <c r="U56" s="107"/>
      <c r="W56" s="107"/>
    </row>
    <row r="57" spans="2:23" x14ac:dyDescent="0.25">
      <c r="B57" s="49" t="s">
        <v>36</v>
      </c>
      <c r="C57" s="21"/>
      <c r="D57" s="22"/>
      <c r="E57" s="23"/>
      <c r="F57" s="72">
        <f>'&gt;50 (100)'!F57</f>
        <v>6.5000000000000002E-2</v>
      </c>
      <c r="G57" s="77">
        <f>0.65*$F$18</f>
        <v>166075</v>
      </c>
      <c r="H57" s="73">
        <f t="shared" si="16"/>
        <v>10794.875</v>
      </c>
      <c r="I57" s="27"/>
      <c r="J57" s="72">
        <f>F57</f>
        <v>6.5000000000000002E-2</v>
      </c>
      <c r="K57" s="77">
        <f>$G$57</f>
        <v>166075</v>
      </c>
      <c r="L57" s="73">
        <f t="shared" si="17"/>
        <v>10794.875</v>
      </c>
      <c r="M57" s="27"/>
      <c r="N57" s="30">
        <f t="shared" si="15"/>
        <v>0</v>
      </c>
      <c r="O57" s="74">
        <f t="shared" si="10"/>
        <v>0</v>
      </c>
      <c r="Q57" s="107"/>
      <c r="S57" s="107"/>
      <c r="U57" s="107"/>
      <c r="W57" s="107"/>
    </row>
    <row r="58" spans="2:23" x14ac:dyDescent="0.25">
      <c r="B58" s="49" t="s">
        <v>37</v>
      </c>
      <c r="C58" s="21"/>
      <c r="D58" s="22"/>
      <c r="E58" s="23"/>
      <c r="F58" s="72">
        <f>'&gt;50 (100)'!F58</f>
        <v>9.5000000000000001E-2</v>
      </c>
      <c r="G58" s="77">
        <f>0.17*$F$18</f>
        <v>43435</v>
      </c>
      <c r="H58" s="73">
        <f t="shared" si="16"/>
        <v>4126.3249999999998</v>
      </c>
      <c r="I58" s="27"/>
      <c r="J58" s="72">
        <f>F58</f>
        <v>9.5000000000000001E-2</v>
      </c>
      <c r="K58" s="77">
        <f>$G$58</f>
        <v>43435</v>
      </c>
      <c r="L58" s="73">
        <f t="shared" si="17"/>
        <v>4126.3249999999998</v>
      </c>
      <c r="M58" s="27"/>
      <c r="N58" s="30">
        <f t="shared" si="15"/>
        <v>0</v>
      </c>
      <c r="O58" s="74">
        <f t="shared" si="10"/>
        <v>0</v>
      </c>
      <c r="Q58" s="107"/>
      <c r="S58" s="107"/>
      <c r="U58" s="107"/>
      <c r="W58" s="107"/>
    </row>
    <row r="59" spans="2:23" x14ac:dyDescent="0.25">
      <c r="B59" s="11" t="s">
        <v>38</v>
      </c>
      <c r="C59" s="21"/>
      <c r="D59" s="22"/>
      <c r="E59" s="23"/>
      <c r="F59" s="72">
        <f>'&gt;50 (100)'!F59</f>
        <v>0.13200000000000001</v>
      </c>
      <c r="G59" s="77">
        <f>0.18*$F$18</f>
        <v>45990</v>
      </c>
      <c r="H59" s="73">
        <f t="shared" si="16"/>
        <v>6070.68</v>
      </c>
      <c r="I59" s="27"/>
      <c r="J59" s="72">
        <f>F59</f>
        <v>0.13200000000000001</v>
      </c>
      <c r="K59" s="77">
        <f>$G$59</f>
        <v>45990</v>
      </c>
      <c r="L59" s="73">
        <f t="shared" si="17"/>
        <v>6070.68</v>
      </c>
      <c r="M59" s="27"/>
      <c r="N59" s="30">
        <f t="shared" si="15"/>
        <v>0</v>
      </c>
      <c r="O59" s="74">
        <f t="shared" si="10"/>
        <v>0</v>
      </c>
      <c r="Q59" s="107"/>
      <c r="S59" s="107"/>
      <c r="U59" s="107"/>
      <c r="W59" s="107"/>
    </row>
    <row r="60" spans="2:23" s="85" customFormat="1" x14ac:dyDescent="0.25">
      <c r="B60" s="78" t="s">
        <v>39</v>
      </c>
      <c r="C60" s="79"/>
      <c r="D60" s="80"/>
      <c r="E60" s="81"/>
      <c r="F60" s="72">
        <f>'&gt;50 (100)'!F60</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'&gt;50 (100)'!F61</f>
        <v>0.09</v>
      </c>
      <c r="G61" s="82">
        <f>F18-G60</f>
        <v>254750</v>
      </c>
      <c r="H61" s="73">
        <f>G61*F61</f>
        <v>22927.5</v>
      </c>
      <c r="I61" s="83"/>
      <c r="J61" s="72">
        <f>F61</f>
        <v>0.09</v>
      </c>
      <c r="K61" s="82">
        <f>$G$61</f>
        <v>254750</v>
      </c>
      <c r="L61" s="73">
        <f>K61*J61</f>
        <v>22927.5</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32289.414055000001</v>
      </c>
      <c r="I63" s="100"/>
      <c r="J63" s="101"/>
      <c r="K63" s="101"/>
      <c r="L63" s="99">
        <f>SUM(L52:L59,L51)</f>
        <v>33489.679055000001</v>
      </c>
      <c r="M63" s="102"/>
      <c r="N63" s="103">
        <f t="shared" ref="N63" si="18">L63-H63</f>
        <v>1200.2649999999994</v>
      </c>
      <c r="O63" s="104">
        <f t="shared" ref="O63" si="19">IF((H63)=0,"",(N63/H63))</f>
        <v>3.7172089835868019E-2</v>
      </c>
      <c r="Q63" s="102"/>
      <c r="S63" s="102"/>
      <c r="U63" s="102"/>
      <c r="W63" s="102"/>
    </row>
    <row r="64" spans="2:23" x14ac:dyDescent="0.25">
      <c r="B64" s="105" t="s">
        <v>42</v>
      </c>
      <c r="C64" s="21"/>
      <c r="D64" s="21"/>
      <c r="E64" s="21"/>
      <c r="F64" s="106">
        <v>0.13</v>
      </c>
      <c r="G64" s="107"/>
      <c r="H64" s="108">
        <f>H63*F64</f>
        <v>4197.6238271500006</v>
      </c>
      <c r="I64" s="109"/>
      <c r="J64" s="110">
        <v>0.13</v>
      </c>
      <c r="K64" s="109"/>
      <c r="L64" s="111">
        <f>L63*J64</f>
        <v>4353.6582771499998</v>
      </c>
      <c r="M64" s="112"/>
      <c r="N64" s="113">
        <f t="shared" si="15"/>
        <v>156.0344499999992</v>
      </c>
      <c r="O64" s="114">
        <f t="shared" si="10"/>
        <v>3.7172089835867839E-2</v>
      </c>
      <c r="Q64" s="112"/>
      <c r="S64" s="112"/>
      <c r="U64" s="112"/>
      <c r="W64" s="112"/>
    </row>
    <row r="65" spans="1:23" ht="13.8" thickBot="1" x14ac:dyDescent="0.3">
      <c r="B65" s="115" t="s">
        <v>43</v>
      </c>
      <c r="C65" s="21"/>
      <c r="D65" s="21"/>
      <c r="E65" s="21"/>
      <c r="F65" s="116"/>
      <c r="G65" s="107"/>
      <c r="H65" s="99">
        <f>H63+H64</f>
        <v>36487.037882150005</v>
      </c>
      <c r="I65" s="109"/>
      <c r="J65" s="109"/>
      <c r="K65" s="109"/>
      <c r="L65" s="212">
        <f>L63+L64</f>
        <v>37843.337332149997</v>
      </c>
      <c r="M65" s="112"/>
      <c r="N65" s="103">
        <f t="shared" si="15"/>
        <v>1356.2994499999913</v>
      </c>
      <c r="O65" s="104">
        <f t="shared" si="10"/>
        <v>3.717208983586779E-2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34282.784055000004</v>
      </c>
      <c r="I67" s="128"/>
      <c r="J67" s="129"/>
      <c r="K67" s="129"/>
      <c r="L67" s="127">
        <f>SUM(L60:L61,L51,L52:L56)</f>
        <v>35483.049054999996</v>
      </c>
      <c r="M67" s="130"/>
      <c r="N67" s="131">
        <f t="shared" ref="N67:N69" si="20">L67-H67</f>
        <v>1200.2649999999921</v>
      </c>
      <c r="O67" s="104">
        <f t="shared" ref="O67:O69" si="21">IF((H67)=0,"",(N67/H67))</f>
        <v>3.501072136015565E-2</v>
      </c>
      <c r="Q67" s="130"/>
      <c r="R67" s="204"/>
      <c r="S67" s="130"/>
      <c r="T67" s="204"/>
      <c r="U67" s="130"/>
      <c r="V67" s="204"/>
      <c r="W67" s="130"/>
    </row>
    <row r="68" spans="1:23" s="85" customFormat="1" x14ac:dyDescent="0.25">
      <c r="B68" s="132" t="s">
        <v>42</v>
      </c>
      <c r="C68" s="79"/>
      <c r="D68" s="79"/>
      <c r="E68" s="79"/>
      <c r="F68" s="133">
        <v>0.13</v>
      </c>
      <c r="G68" s="126"/>
      <c r="H68" s="134">
        <f>H67*F68</f>
        <v>4456.7619271500007</v>
      </c>
      <c r="I68" s="135"/>
      <c r="J68" s="136">
        <v>0.13</v>
      </c>
      <c r="K68" s="137"/>
      <c r="L68" s="138">
        <f>L67*J68</f>
        <v>4612.7963771499999</v>
      </c>
      <c r="M68" s="139"/>
      <c r="N68" s="140">
        <f t="shared" si="20"/>
        <v>156.0344499999992</v>
      </c>
      <c r="O68" s="114">
        <f t="shared" si="21"/>
        <v>3.5010721360155699E-2</v>
      </c>
      <c r="Q68" s="139"/>
      <c r="R68" s="204"/>
      <c r="S68" s="139"/>
      <c r="T68" s="204"/>
      <c r="U68" s="139"/>
      <c r="V68" s="204"/>
      <c r="W68" s="139"/>
    </row>
    <row r="69" spans="1:23" s="85" customFormat="1" ht="13.8" thickBot="1" x14ac:dyDescent="0.3">
      <c r="B69" s="141" t="s">
        <v>43</v>
      </c>
      <c r="C69" s="79"/>
      <c r="D69" s="79"/>
      <c r="E69" s="79"/>
      <c r="F69" s="142"/>
      <c r="G69" s="143"/>
      <c r="H69" s="127">
        <f>H67+H68</f>
        <v>38739.545982150004</v>
      </c>
      <c r="I69" s="135"/>
      <c r="J69" s="135"/>
      <c r="K69" s="135"/>
      <c r="L69" s="211">
        <f>L67+L68</f>
        <v>40095.845432149996</v>
      </c>
      <c r="M69" s="139"/>
      <c r="N69" s="131">
        <f t="shared" si="20"/>
        <v>1356.2994499999913</v>
      </c>
      <c r="O69" s="104">
        <f t="shared" si="21"/>
        <v>3.5010721360155657E-2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'&gt;50 (100)'!F72</f>
        <v>3.3500000000000002E-2</v>
      </c>
      <c r="J72" s="151">
        <f>+'Res (100)'!J74</f>
        <v>3.3500000000000002E-2</v>
      </c>
    </row>
    <row r="74" spans="1:23" ht="13.5" customHeight="1" x14ac:dyDescent="0.25">
      <c r="Q74" s="202"/>
      <c r="R74" s="202"/>
      <c r="S74" s="6"/>
      <c r="T74" s="6"/>
      <c r="U74" s="6"/>
      <c r="V74" s="6"/>
      <c r="W74" s="6"/>
    </row>
    <row r="75" spans="1:23" ht="12" customHeight="1" x14ac:dyDescent="0.25">
      <c r="A75" s="6" t="s">
        <v>46</v>
      </c>
      <c r="Q75" s="202"/>
      <c r="R75" s="202"/>
      <c r="S75" s="6"/>
      <c r="T75" s="6"/>
      <c r="U75" s="6"/>
      <c r="V75" s="6"/>
      <c r="W75" s="6"/>
    </row>
    <row r="76" spans="1:23" x14ac:dyDescent="0.25">
      <c r="A76" s="6" t="s">
        <v>47</v>
      </c>
      <c r="Q76" s="202"/>
      <c r="R76" s="202"/>
      <c r="S76" s="6"/>
      <c r="T76" s="6"/>
      <c r="U76" s="6"/>
      <c r="V76" s="6"/>
      <c r="W76" s="6"/>
    </row>
    <row r="77" spans="1:23" x14ac:dyDescent="0.25">
      <c r="Q77" s="202"/>
      <c r="R77" s="202"/>
      <c r="S77" s="6"/>
      <c r="T77" s="6"/>
      <c r="U77" s="6"/>
      <c r="V77" s="6"/>
      <c r="W77" s="6"/>
    </row>
    <row r="78" spans="1:23" x14ac:dyDescent="0.25">
      <c r="A78" s="153" t="s">
        <v>133</v>
      </c>
      <c r="Q78" s="202"/>
      <c r="R78" s="202"/>
      <c r="S78" s="6"/>
      <c r="T78" s="6"/>
      <c r="U78" s="6"/>
      <c r="V78" s="6"/>
      <c r="W78" s="6"/>
    </row>
    <row r="79" spans="1:23" x14ac:dyDescent="0.25">
      <c r="A79" s="11" t="s">
        <v>48</v>
      </c>
      <c r="Q79" s="202"/>
      <c r="R79" s="202"/>
      <c r="S79" s="6"/>
      <c r="T79" s="6"/>
      <c r="U79" s="6"/>
      <c r="V79" s="6"/>
      <c r="W79" s="6"/>
    </row>
    <row r="80" spans="1:23" x14ac:dyDescent="0.25">
      <c r="Q80" s="202"/>
      <c r="R80" s="202"/>
      <c r="S80" s="6"/>
      <c r="T80" s="6"/>
      <c r="U80" s="6"/>
      <c r="V80" s="6"/>
      <c r="W80" s="6"/>
    </row>
    <row r="81" spans="1:23" x14ac:dyDescent="0.25">
      <c r="A81" s="6" t="s">
        <v>132</v>
      </c>
      <c r="Q81" s="202"/>
      <c r="R81" s="202"/>
      <c r="S81" s="6"/>
      <c r="T81" s="6"/>
      <c r="U81" s="6"/>
      <c r="V81" s="6"/>
      <c r="W81" s="6"/>
    </row>
    <row r="82" spans="1:23" x14ac:dyDescent="0.25">
      <c r="A82" s="6" t="s">
        <v>49</v>
      </c>
      <c r="Q82" s="202"/>
      <c r="R82" s="202"/>
      <c r="S82" s="6"/>
      <c r="T82" s="6"/>
      <c r="U82" s="6"/>
      <c r="V82" s="6"/>
      <c r="W82" s="6"/>
    </row>
    <row r="83" spans="1:23" x14ac:dyDescent="0.25">
      <c r="A83" s="6" t="s">
        <v>50</v>
      </c>
      <c r="Q83" s="202"/>
      <c r="R83" s="202"/>
      <c r="S83" s="6"/>
      <c r="T83" s="6"/>
      <c r="U83" s="6"/>
      <c r="V83" s="6"/>
      <c r="W83" s="6"/>
    </row>
    <row r="84" spans="1:23" x14ac:dyDescent="0.25">
      <c r="A84" s="6" t="s">
        <v>51</v>
      </c>
      <c r="Q84" s="202"/>
      <c r="R84" s="202"/>
      <c r="S84" s="6"/>
      <c r="T84" s="6"/>
      <c r="U84" s="6"/>
      <c r="V84" s="6"/>
      <c r="W84" s="6"/>
    </row>
    <row r="85" spans="1:23" x14ac:dyDescent="0.25">
      <c r="A85" s="6" t="s">
        <v>52</v>
      </c>
      <c r="Q85" s="202"/>
      <c r="R85" s="202"/>
      <c r="S85" s="6"/>
      <c r="T85" s="6"/>
      <c r="U85" s="6"/>
      <c r="V85" s="6"/>
      <c r="W85" s="6"/>
    </row>
    <row r="86" spans="1:23" x14ac:dyDescent="0.25">
      <c r="Q86" s="202"/>
      <c r="R86" s="202"/>
      <c r="S86" s="6"/>
      <c r="T86" s="6"/>
      <c r="U86" s="6"/>
      <c r="V86" s="6"/>
      <c r="W86" s="6"/>
    </row>
    <row r="87" spans="1:23" x14ac:dyDescent="0.25">
      <c r="A87" s="152"/>
      <c r="B87" s="6" t="s">
        <v>53</v>
      </c>
      <c r="Q87" s="202"/>
      <c r="R87" s="202"/>
      <c r="S87" s="6"/>
      <c r="T87" s="6"/>
      <c r="U87" s="6"/>
      <c r="V87" s="6"/>
      <c r="W87" s="6"/>
    </row>
    <row r="88" spans="1:23" x14ac:dyDescent="0.25">
      <c r="Q88" s="202"/>
      <c r="R88" s="202"/>
      <c r="S88" s="6"/>
      <c r="T88" s="6"/>
      <c r="U88" s="6"/>
      <c r="V88" s="6"/>
      <c r="W88" s="6"/>
    </row>
    <row r="89" spans="1:23" x14ac:dyDescent="0.25">
      <c r="B89" s="153" t="s">
        <v>54</v>
      </c>
      <c r="Q89" s="202"/>
      <c r="R89" s="202"/>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0:D47 D49:D50">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3</xdr:col>
                    <xdr:colOff>274320</xdr:colOff>
                    <xdr:row>9</xdr:row>
                    <xdr:rowOff>53340</xdr:rowOff>
                  </from>
                  <to>
                    <xdr:col>5</xdr:col>
                    <xdr:colOff>358140</xdr:colOff>
                    <xdr:row>9</xdr:row>
                    <xdr:rowOff>175260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5</xdr:col>
                    <xdr:colOff>160020</xdr:colOff>
                    <xdr:row>9</xdr:row>
                    <xdr:rowOff>22860</xdr:rowOff>
                  </from>
                  <to>
                    <xdr:col>9</xdr:col>
                    <xdr:colOff>38100</xdr:colOff>
                    <xdr:row>9</xdr:row>
                    <xdr:rowOff>236220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93"/>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3.6640625" style="6" customWidth="1"/>
    <col min="7" max="7" width="8" style="6" bestFit="1" customWidth="1"/>
    <col min="8" max="8" width="12.44140625" style="6" bestFit="1" customWidth="1"/>
    <col min="9" max="9" width="2.88671875" style="6" customWidth="1"/>
    <col min="10" max="10" width="9.88671875" style="6" bestFit="1" customWidth="1"/>
    <col min="11" max="11" width="8" style="6" bestFit="1" customWidth="1"/>
    <col min="12" max="12" width="12.44140625" style="6" bestFit="1" customWidth="1"/>
    <col min="13" max="13" width="2.88671875" style="6" customWidth="1"/>
    <col min="14" max="14" width="10.4414062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60</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1277500</v>
      </c>
      <c r="G18" s="12" t="s">
        <v>6</v>
      </c>
    </row>
    <row r="19" spans="2:23" x14ac:dyDescent="0.25">
      <c r="B19" s="11"/>
      <c r="F19" s="13">
        <v>2500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'Proposed Rates'!D10</f>
        <v>4193.93</v>
      </c>
      <c r="G23" s="25">
        <v>1</v>
      </c>
      <c r="H23" s="26">
        <f>G23*F23</f>
        <v>4193.93</v>
      </c>
      <c r="I23" s="27"/>
      <c r="J23" s="157">
        <f>+'Proposed Rates'!E10</f>
        <v>4193.93</v>
      </c>
      <c r="K23" s="29">
        <v>1</v>
      </c>
      <c r="L23" s="26">
        <f>K23*J23</f>
        <v>4193.93</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'Proposed Rates'!D23</f>
        <v>3.9180999999999999</v>
      </c>
      <c r="G29" s="51">
        <f>+$F$19</f>
        <v>2500</v>
      </c>
      <c r="H29" s="26">
        <f t="shared" si="0"/>
        <v>9795.25</v>
      </c>
      <c r="I29" s="27"/>
      <c r="J29" s="28">
        <f>+'Proposed Rates'!E23</f>
        <v>4.1833999999999998</v>
      </c>
      <c r="K29" s="51">
        <f>+$F$19</f>
        <v>2500</v>
      </c>
      <c r="L29" s="26">
        <f t="shared" si="1"/>
        <v>10458.5</v>
      </c>
      <c r="M29" s="27"/>
      <c r="N29" s="30">
        <f t="shared" si="2"/>
        <v>663.25</v>
      </c>
      <c r="O29" s="31">
        <f t="shared" si="3"/>
        <v>6.7711390725096354E-2</v>
      </c>
      <c r="Q29" s="107"/>
      <c r="S29" s="107"/>
      <c r="U29" s="107"/>
      <c r="W29" s="107"/>
    </row>
    <row r="30" spans="2:23" x14ac:dyDescent="0.25">
      <c r="B30" s="21" t="s">
        <v>21</v>
      </c>
      <c r="C30" s="21"/>
      <c r="D30" s="22"/>
      <c r="E30" s="23"/>
      <c r="F30" s="24"/>
      <c r="G30" s="25">
        <f t="shared" ref="G30" si="4">$F$18</f>
        <v>1277500</v>
      </c>
      <c r="H30" s="26">
        <f t="shared" si="0"/>
        <v>0</v>
      </c>
      <c r="I30" s="27"/>
      <c r="J30" s="28"/>
      <c r="K30" s="25">
        <f t="shared" ref="K30:K38" si="5">$F$18</f>
        <v>1277500</v>
      </c>
      <c r="L30" s="26">
        <f t="shared" si="1"/>
        <v>0</v>
      </c>
      <c r="M30" s="27"/>
      <c r="N30" s="30">
        <f t="shared" si="2"/>
        <v>0</v>
      </c>
      <c r="O30" s="31" t="str">
        <f t="shared" si="3"/>
        <v/>
      </c>
      <c r="Q30" s="107"/>
      <c r="S30" s="107"/>
      <c r="U30" s="107"/>
      <c r="W30" s="107"/>
    </row>
    <row r="31" spans="2:23" x14ac:dyDescent="0.25">
      <c r="B31" s="21" t="s">
        <v>22</v>
      </c>
      <c r="C31" s="21"/>
      <c r="D31" s="22" t="s">
        <v>58</v>
      </c>
      <c r="E31" s="23"/>
      <c r="F31" s="24">
        <f>'Proposed Rates'!D70</f>
        <v>0</v>
      </c>
      <c r="G31" s="51">
        <f>+$F$19</f>
        <v>2500</v>
      </c>
      <c r="H31" s="26">
        <f t="shared" si="0"/>
        <v>0</v>
      </c>
      <c r="I31" s="27"/>
      <c r="J31" s="28">
        <f>+'Proposed Rates'!E70</f>
        <v>0</v>
      </c>
      <c r="K31" s="51">
        <f>+$F$19</f>
        <v>2500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1277500</v>
      </c>
      <c r="H32" s="26">
        <f t="shared" si="0"/>
        <v>0</v>
      </c>
      <c r="I32" s="27"/>
      <c r="J32" s="28"/>
      <c r="K32" s="25">
        <f t="shared" si="5"/>
        <v>1277500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1277500</v>
      </c>
      <c r="H33" s="26">
        <f t="shared" si="0"/>
        <v>0</v>
      </c>
      <c r="I33" s="27"/>
      <c r="J33" s="28"/>
      <c r="K33" s="25">
        <f t="shared" si="5"/>
        <v>1277500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1277500</v>
      </c>
      <c r="H34" s="26">
        <f t="shared" si="0"/>
        <v>0</v>
      </c>
      <c r="I34" s="27"/>
      <c r="J34" s="28"/>
      <c r="K34" s="25">
        <f t="shared" si="5"/>
        <v>1277500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1277500</v>
      </c>
      <c r="H35" s="26">
        <f t="shared" si="0"/>
        <v>0</v>
      </c>
      <c r="I35" s="27"/>
      <c r="J35" s="28"/>
      <c r="K35" s="25">
        <f t="shared" si="5"/>
        <v>1277500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1277500</v>
      </c>
      <c r="H36" s="26">
        <f t="shared" si="0"/>
        <v>0</v>
      </c>
      <c r="I36" s="27"/>
      <c r="J36" s="28"/>
      <c r="K36" s="25">
        <f t="shared" si="5"/>
        <v>1277500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1277500</v>
      </c>
      <c r="H37" s="26">
        <f t="shared" si="0"/>
        <v>0</v>
      </c>
      <c r="I37" s="27"/>
      <c r="J37" s="28"/>
      <c r="K37" s="25">
        <f t="shared" si="5"/>
        <v>1277500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1277500</v>
      </c>
      <c r="H38" s="26">
        <f t="shared" si="0"/>
        <v>0</v>
      </c>
      <c r="I38" s="27"/>
      <c r="J38" s="28"/>
      <c r="K38" s="25">
        <f t="shared" si="5"/>
        <v>1277500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13989.18</v>
      </c>
      <c r="I39" s="40"/>
      <c r="J39" s="41"/>
      <c r="K39" s="42"/>
      <c r="L39" s="39">
        <f>SUM(L23:L38)</f>
        <v>14652.43</v>
      </c>
      <c r="M39" s="40"/>
      <c r="N39" s="43">
        <f t="shared" si="2"/>
        <v>663.25</v>
      </c>
      <c r="O39" s="44">
        <f t="shared" si="3"/>
        <v>4.7411642426503912E-2</v>
      </c>
      <c r="Q39" s="107"/>
      <c r="R39" s="203"/>
      <c r="S39" s="107"/>
      <c r="T39" s="203"/>
      <c r="U39" s="107"/>
      <c r="V39" s="203"/>
      <c r="W39" s="107"/>
    </row>
    <row r="40" spans="2:23" ht="26.4" x14ac:dyDescent="0.25">
      <c r="B40" s="46" t="str">
        <f>+'&gt;50 (100)'!B40</f>
        <v>Deferral/Variance Account Disposition Rate Rider Class 1</v>
      </c>
      <c r="C40" s="21"/>
      <c r="D40" s="22" t="str">
        <f>+'&gt;50 (100)'!D40</f>
        <v>per kW</v>
      </c>
      <c r="E40" s="23"/>
      <c r="F40" s="24">
        <f>'Proposed Rates'!D41</f>
        <v>1.2999999999999999E-2</v>
      </c>
      <c r="G40" s="51">
        <f>+$F$19</f>
        <v>2500</v>
      </c>
      <c r="H40" s="26">
        <f>G40*F40</f>
        <v>32.5</v>
      </c>
      <c r="I40" s="27"/>
      <c r="J40" s="28">
        <f>+'Proposed Rates'!E41</f>
        <v>-0.1847</v>
      </c>
      <c r="K40" s="51">
        <f>+$F$19</f>
        <v>2500</v>
      </c>
      <c r="L40" s="26">
        <f>K40*J40</f>
        <v>-461.75</v>
      </c>
      <c r="M40" s="27"/>
      <c r="N40" s="30">
        <f>L40-H40</f>
        <v>-494.25</v>
      </c>
      <c r="O40" s="31">
        <f>IF((H40)=0,"",(N40/H40))</f>
        <v>-15.207692307692307</v>
      </c>
      <c r="Q40" s="107"/>
      <c r="S40" s="107"/>
      <c r="U40" s="107"/>
      <c r="W40" s="107"/>
    </row>
    <row r="41" spans="2:23" ht="26.4" x14ac:dyDescent="0.25">
      <c r="B41" s="46" t="str">
        <f>+'&gt;50 (100)'!B41</f>
        <v>Deferral/Variance Account Disposition Rate Rider Class 2</v>
      </c>
      <c r="C41" s="21"/>
      <c r="D41" s="22" t="str">
        <f>+'&gt;50 (100)'!D41</f>
        <v>per kW</v>
      </c>
      <c r="E41" s="23"/>
      <c r="F41" s="24">
        <f>'Proposed Rates'!D55</f>
        <v>1.43E-2</v>
      </c>
      <c r="G41" s="51">
        <f>+F19</f>
        <v>2500</v>
      </c>
      <c r="H41" s="26">
        <f t="shared" ref="H41:H46" si="7">G41*F41</f>
        <v>35.75</v>
      </c>
      <c r="I41" s="47"/>
      <c r="J41" s="28">
        <f>+'Proposed Rates'!E55</f>
        <v>0</v>
      </c>
      <c r="K41" s="51">
        <f>+$F$19</f>
        <v>2500</v>
      </c>
      <c r="L41" s="26">
        <f t="shared" ref="L41:L46" si="8">K41*J41</f>
        <v>0</v>
      </c>
      <c r="M41" s="48"/>
      <c r="N41" s="30">
        <f t="shared" ref="N41:N46" si="9">L41-H41</f>
        <v>-35.75</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tr">
        <f>+'&gt;50 (100)'!D42</f>
        <v>per kWh</v>
      </c>
      <c r="E42" s="23"/>
      <c r="F42" s="24">
        <f>'Proposed Rates'!D84</f>
        <v>-1.9E-3</v>
      </c>
      <c r="G42" s="25">
        <f t="shared" ref="G42:G44" si="11">$F$18</f>
        <v>1277500</v>
      </c>
      <c r="H42" s="26">
        <f t="shared" si="7"/>
        <v>-2427.25</v>
      </c>
      <c r="I42" s="47"/>
      <c r="J42" s="28">
        <f>+'Proposed Rates'!E84</f>
        <v>0</v>
      </c>
      <c r="K42" s="25">
        <f t="shared" ref="K42" si="12">$F$18</f>
        <v>1277500</v>
      </c>
      <c r="L42" s="26">
        <f t="shared" si="8"/>
        <v>0</v>
      </c>
      <c r="M42" s="48"/>
      <c r="N42" s="30">
        <f t="shared" si="9"/>
        <v>2427.25</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Rates'!D100</f>
        <v>-1.0875999999999999</v>
      </c>
      <c r="G43" s="51">
        <f>$F$19</f>
        <v>2500</v>
      </c>
      <c r="H43" s="26">
        <f t="shared" si="7"/>
        <v>-2718.9999999999995</v>
      </c>
      <c r="I43" s="47"/>
      <c r="J43" s="28">
        <f>+'Proposed Rates'!E100</f>
        <v>-0.3735</v>
      </c>
      <c r="K43" s="51">
        <f>+$F$19</f>
        <v>2500</v>
      </c>
      <c r="L43" s="26">
        <f t="shared" si="8"/>
        <v>-933.75</v>
      </c>
      <c r="M43" s="48"/>
      <c r="N43" s="30">
        <f t="shared" si="9"/>
        <v>1785.2499999999995</v>
      </c>
      <c r="O43" s="31">
        <f>IF((H43)=0,"",(N43/H43))</f>
        <v>-0.65658330268481058</v>
      </c>
      <c r="Q43" s="107"/>
      <c r="S43" s="107"/>
      <c r="U43" s="107"/>
      <c r="W43" s="107"/>
    </row>
    <row r="44" spans="2:23" ht="39.6" x14ac:dyDescent="0.25">
      <c r="B44" s="46" t="s">
        <v>125</v>
      </c>
      <c r="C44" s="21"/>
      <c r="D44" s="22" t="s">
        <v>20</v>
      </c>
      <c r="E44" s="23"/>
      <c r="F44" s="24">
        <f>+'Proposed Rates'!D114</f>
        <v>2.7E-4</v>
      </c>
      <c r="G44" s="25">
        <f t="shared" si="11"/>
        <v>1277500</v>
      </c>
      <c r="H44" s="26">
        <f t="shared" si="7"/>
        <v>344.92500000000001</v>
      </c>
      <c r="I44" s="226"/>
      <c r="J44" s="223">
        <f>+'Proposed Rates'!E114</f>
        <v>0</v>
      </c>
      <c r="K44" s="25">
        <f t="shared" ref="K44" si="13">$F$18</f>
        <v>1277500</v>
      </c>
      <c r="L44" s="26">
        <f t="shared" si="8"/>
        <v>0</v>
      </c>
      <c r="M44" s="226"/>
      <c r="N44" s="30">
        <f t="shared" si="9"/>
        <v>-344.92500000000001</v>
      </c>
      <c r="O44" s="31">
        <f>IF((H44)=0,"",(N44/H44))</f>
        <v>-1</v>
      </c>
      <c r="Q44" s="107"/>
      <c r="S44" s="107"/>
      <c r="U44" s="107"/>
      <c r="W44" s="107"/>
    </row>
    <row r="45" spans="2:23" x14ac:dyDescent="0.25">
      <c r="B45" s="49" t="s">
        <v>25</v>
      </c>
      <c r="C45" s="21"/>
      <c r="D45" s="22" t="s">
        <v>58</v>
      </c>
      <c r="E45" s="23"/>
      <c r="F45" s="50">
        <f>'Proposed Rates'!D129</f>
        <v>2.8129999999999999E-2</v>
      </c>
      <c r="G45" s="51">
        <f>+$F$19</f>
        <v>2500</v>
      </c>
      <c r="H45" s="26">
        <f>G45*F45</f>
        <v>70.325000000000003</v>
      </c>
      <c r="I45" s="27"/>
      <c r="J45" s="52">
        <f>'Proposed Rates'!E129</f>
        <v>2.546E-2</v>
      </c>
      <c r="K45" s="51">
        <f>+$F$19</f>
        <v>2500</v>
      </c>
      <c r="L45" s="26">
        <f>K45*J45</f>
        <v>63.65</v>
      </c>
      <c r="M45" s="27"/>
      <c r="N45" s="30">
        <f>L45-H45</f>
        <v>-6.6750000000000043</v>
      </c>
      <c r="O45" s="31">
        <f>IF((H45)=0,"",(N45/H45))</f>
        <v>-9.4916459296125189E-2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42796.25</v>
      </c>
      <c r="H46" s="26">
        <f t="shared" si="7"/>
        <v>3516.1399000000006</v>
      </c>
      <c r="I46" s="27"/>
      <c r="J46" s="55">
        <f>0.65*$J$57+0.17*$J$58+0.18*$J$59</f>
        <v>8.2160000000000011E-2</v>
      </c>
      <c r="K46" s="54">
        <f>$F$18*(1+$J$72)-$F$18</f>
        <v>42796.25</v>
      </c>
      <c r="L46" s="26">
        <f t="shared" si="8"/>
        <v>3516.1399000000006</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12842.5699</v>
      </c>
      <c r="I48" s="40"/>
      <c r="J48" s="59"/>
      <c r="K48" s="61"/>
      <c r="L48" s="60">
        <f>SUM(L40:L47)+L39</f>
        <v>16836.7199</v>
      </c>
      <c r="M48" s="40"/>
      <c r="N48" s="43">
        <f t="shared" ref="N48:N65" si="14">L48-H48</f>
        <v>3994.1499999999996</v>
      </c>
      <c r="O48" s="44">
        <f t="shared" si="10"/>
        <v>0.31100862452771227</v>
      </c>
      <c r="Q48" s="107"/>
      <c r="S48" s="107"/>
      <c r="U48" s="107"/>
      <c r="W48" s="107"/>
    </row>
    <row r="49" spans="2:23" x14ac:dyDescent="0.25">
      <c r="B49" s="27" t="s">
        <v>29</v>
      </c>
      <c r="C49" s="27"/>
      <c r="D49" s="62" t="s">
        <v>58</v>
      </c>
      <c r="E49" s="63"/>
      <c r="F49" s="28">
        <f>'Proposed Rates'!D159</f>
        <v>2.9089</v>
      </c>
      <c r="G49" s="64">
        <f>+$F$19</f>
        <v>2500</v>
      </c>
      <c r="H49" s="26">
        <f>G49*F49</f>
        <v>7272.25</v>
      </c>
      <c r="I49" s="27"/>
      <c r="J49" s="28">
        <f>'Proposed Rates'!E159</f>
        <v>2.9563000000000001</v>
      </c>
      <c r="K49" s="64">
        <f>+$F$19</f>
        <v>2500</v>
      </c>
      <c r="L49" s="26">
        <f>K49*J49</f>
        <v>7390.75</v>
      </c>
      <c r="M49" s="27"/>
      <c r="N49" s="30">
        <f t="shared" si="14"/>
        <v>118.5</v>
      </c>
      <c r="O49" s="31">
        <f t="shared" si="10"/>
        <v>1.6294819347519682E-2</v>
      </c>
      <c r="Q49" s="107"/>
      <c r="S49" s="107"/>
      <c r="U49" s="107"/>
      <c r="W49" s="107"/>
    </row>
    <row r="50" spans="2:23" ht="26.4" x14ac:dyDescent="0.25">
      <c r="B50" s="66" t="s">
        <v>30</v>
      </c>
      <c r="C50" s="27"/>
      <c r="D50" s="62" t="s">
        <v>58</v>
      </c>
      <c r="E50" s="63"/>
      <c r="F50" s="28">
        <f>'Proposed Rates'!D174</f>
        <v>1.9422999999999999</v>
      </c>
      <c r="G50" s="64">
        <f>G49</f>
        <v>2500</v>
      </c>
      <c r="H50" s="26">
        <f>G50*F50</f>
        <v>4855.75</v>
      </c>
      <c r="I50" s="27"/>
      <c r="J50" s="28">
        <f>'Proposed Rates'!E174</f>
        <v>1.9672000000000001</v>
      </c>
      <c r="K50" s="64">
        <f>K49</f>
        <v>2500</v>
      </c>
      <c r="L50" s="26">
        <f>K50*J50</f>
        <v>4918</v>
      </c>
      <c r="M50" s="27"/>
      <c r="N50" s="30">
        <f t="shared" si="14"/>
        <v>62.25</v>
      </c>
      <c r="O50" s="31">
        <f t="shared" si="10"/>
        <v>1.2819852751892086E-2</v>
      </c>
      <c r="Q50" s="107"/>
      <c r="S50" s="107"/>
      <c r="U50" s="107"/>
      <c r="W50" s="107"/>
    </row>
    <row r="51" spans="2:23" ht="26.4" x14ac:dyDescent="0.25">
      <c r="B51" s="56" t="s">
        <v>31</v>
      </c>
      <c r="C51" s="35"/>
      <c r="D51" s="35"/>
      <c r="E51" s="35"/>
      <c r="F51" s="67"/>
      <c r="G51" s="59"/>
      <c r="H51" s="60">
        <f>SUM(H48:H50)</f>
        <v>24970.569900000002</v>
      </c>
      <c r="I51" s="68"/>
      <c r="J51" s="69"/>
      <c r="K51" s="59"/>
      <c r="L51" s="60">
        <f>SUM(L48:L50)</f>
        <v>29145.4699</v>
      </c>
      <c r="M51" s="68"/>
      <c r="N51" s="43">
        <f t="shared" si="14"/>
        <v>4174.8999999999978</v>
      </c>
      <c r="O51" s="44">
        <f t="shared" si="10"/>
        <v>0.16719282005654174</v>
      </c>
      <c r="Q51" s="102"/>
      <c r="S51" s="102"/>
      <c r="U51" s="102"/>
      <c r="W51" s="102"/>
    </row>
    <row r="52" spans="2:23" ht="26.4" x14ac:dyDescent="0.25">
      <c r="B52" s="71" t="s">
        <v>32</v>
      </c>
      <c r="C52" s="21"/>
      <c r="D52" s="22" t="s">
        <v>20</v>
      </c>
      <c r="E52" s="23"/>
      <c r="F52" s="72">
        <f>'Proposed Rates'!D186</f>
        <v>3.5999999999999999E-3</v>
      </c>
      <c r="G52" s="64">
        <f>+$F$18+G46</f>
        <v>1320296.25</v>
      </c>
      <c r="H52" s="73">
        <f t="shared" ref="H52:H59" si="15">G52*F52</f>
        <v>4753.0664999999999</v>
      </c>
      <c r="I52" s="27"/>
      <c r="J52" s="72">
        <f>F52</f>
        <v>3.5999999999999999E-3</v>
      </c>
      <c r="K52" s="64">
        <f>+$F$18+K46</f>
        <v>1320296.25</v>
      </c>
      <c r="L52" s="73">
        <f t="shared" ref="L52:L59" si="16">K52*J52</f>
        <v>4753.0664999999999</v>
      </c>
      <c r="M52" s="27"/>
      <c r="N52" s="30">
        <f t="shared" si="14"/>
        <v>0</v>
      </c>
      <c r="O52" s="74">
        <f t="shared" si="10"/>
        <v>0</v>
      </c>
      <c r="Q52" s="107"/>
      <c r="S52" s="107"/>
      <c r="U52" s="107"/>
      <c r="W52" s="107"/>
    </row>
    <row r="53" spans="2:23" ht="26.4" x14ac:dyDescent="0.25">
      <c r="B53" s="71" t="s">
        <v>33</v>
      </c>
      <c r="C53" s="21"/>
      <c r="D53" s="22" t="s">
        <v>20</v>
      </c>
      <c r="E53" s="23"/>
      <c r="F53" s="72">
        <f>'Proposed Rates'!D191</f>
        <v>2.9999999999999997E-4</v>
      </c>
      <c r="G53" s="64">
        <f>G52</f>
        <v>1320296.25</v>
      </c>
      <c r="H53" s="73">
        <f t="shared" si="15"/>
        <v>396.08887499999997</v>
      </c>
      <c r="I53" s="27"/>
      <c r="J53" s="72">
        <f>F53</f>
        <v>2.9999999999999997E-4</v>
      </c>
      <c r="K53" s="64">
        <f>K52</f>
        <v>1320296.25</v>
      </c>
      <c r="L53" s="73">
        <f t="shared" si="16"/>
        <v>396.08887499999997</v>
      </c>
      <c r="M53" s="27"/>
      <c r="N53" s="30">
        <f t="shared" si="14"/>
        <v>0</v>
      </c>
      <c r="O53" s="74">
        <f t="shared" si="10"/>
        <v>0</v>
      </c>
      <c r="Q53" s="107"/>
      <c r="S53" s="107"/>
      <c r="U53" s="107"/>
      <c r="W53" s="107"/>
    </row>
    <row r="54" spans="2:23" x14ac:dyDescent="0.25">
      <c r="B54" s="21" t="s">
        <v>34</v>
      </c>
      <c r="C54" s="21"/>
      <c r="D54" s="22" t="s">
        <v>17</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5">
      <c r="B55" s="21" t="s">
        <v>120</v>
      </c>
      <c r="C55" s="21"/>
      <c r="D55" s="22"/>
      <c r="E55" s="23"/>
      <c r="F55" s="72">
        <f>'Proposed Rates'!D221</f>
        <v>0</v>
      </c>
      <c r="G55" s="64">
        <f>G53</f>
        <v>1320296.25</v>
      </c>
      <c r="H55" s="73">
        <f>G55*F55</f>
        <v>0</v>
      </c>
      <c r="I55" s="27"/>
      <c r="J55" s="72">
        <f>F55</f>
        <v>0</v>
      </c>
      <c r="K55" s="64">
        <f>K53</f>
        <v>1320296.25</v>
      </c>
      <c r="L55" s="73">
        <f>K55*J55</f>
        <v>0</v>
      </c>
      <c r="M55" s="27"/>
      <c r="N55" s="30"/>
      <c r="O55" s="74"/>
      <c r="Q55" s="107"/>
      <c r="S55" s="107"/>
      <c r="U55" s="107"/>
      <c r="W55" s="107"/>
    </row>
    <row r="56" spans="2:23" x14ac:dyDescent="0.25">
      <c r="B56" s="21" t="s">
        <v>35</v>
      </c>
      <c r="C56" s="21"/>
      <c r="D56" s="22"/>
      <c r="E56" s="23"/>
      <c r="F56" s="72">
        <f>'Proposed Rates'!D216</f>
        <v>6.94E-3</v>
      </c>
      <c r="G56" s="75">
        <f>$F$18</f>
        <v>1277500</v>
      </c>
      <c r="H56" s="73">
        <f t="shared" si="15"/>
        <v>8865.85</v>
      </c>
      <c r="I56" s="27"/>
      <c r="J56" s="72">
        <f>+F56</f>
        <v>6.94E-3</v>
      </c>
      <c r="K56" s="76">
        <f>$F$18</f>
        <v>1277500</v>
      </c>
      <c r="L56" s="73">
        <f t="shared" si="16"/>
        <v>8865.85</v>
      </c>
      <c r="M56" s="27"/>
      <c r="N56" s="30">
        <f t="shared" si="14"/>
        <v>0</v>
      </c>
      <c r="O56" s="74">
        <f t="shared" si="10"/>
        <v>0</v>
      </c>
      <c r="Q56" s="107"/>
      <c r="S56" s="107"/>
      <c r="U56" s="107"/>
      <c r="W56" s="107"/>
    </row>
    <row r="57" spans="2:23" x14ac:dyDescent="0.25">
      <c r="B57" s="49" t="s">
        <v>36</v>
      </c>
      <c r="C57" s="21"/>
      <c r="D57" s="22"/>
      <c r="E57" s="23"/>
      <c r="F57" s="72">
        <f>'Proposed Rates'!D226</f>
        <v>6.5000000000000002E-2</v>
      </c>
      <c r="G57" s="77">
        <f>0.65*$F$18</f>
        <v>830375</v>
      </c>
      <c r="H57" s="73">
        <f t="shared" si="15"/>
        <v>53974.375</v>
      </c>
      <c r="I57" s="27"/>
      <c r="J57" s="72">
        <f>F57</f>
        <v>6.5000000000000002E-2</v>
      </c>
      <c r="K57" s="77">
        <f>$G$57</f>
        <v>830375</v>
      </c>
      <c r="L57" s="73">
        <f t="shared" si="16"/>
        <v>53974.375</v>
      </c>
      <c r="M57" s="27"/>
      <c r="N57" s="30">
        <f t="shared" si="14"/>
        <v>0</v>
      </c>
      <c r="O57" s="74">
        <f t="shared" si="10"/>
        <v>0</v>
      </c>
      <c r="Q57" s="107"/>
      <c r="S57" s="107"/>
      <c r="U57" s="107"/>
      <c r="W57" s="107"/>
    </row>
    <row r="58" spans="2:23" x14ac:dyDescent="0.25">
      <c r="B58" s="49" t="s">
        <v>37</v>
      </c>
      <c r="C58" s="21"/>
      <c r="D58" s="22"/>
      <c r="E58" s="23"/>
      <c r="F58" s="72">
        <f>'Proposed Rates'!D227</f>
        <v>9.5000000000000001E-2</v>
      </c>
      <c r="G58" s="77">
        <f>0.17*$F$18</f>
        <v>217175.00000000003</v>
      </c>
      <c r="H58" s="73">
        <f t="shared" si="15"/>
        <v>20631.625000000004</v>
      </c>
      <c r="I58" s="27"/>
      <c r="J58" s="72">
        <f>F58</f>
        <v>9.5000000000000001E-2</v>
      </c>
      <c r="K58" s="77">
        <f>$G$58</f>
        <v>217175.00000000003</v>
      </c>
      <c r="L58" s="73">
        <f t="shared" si="16"/>
        <v>20631.625000000004</v>
      </c>
      <c r="M58" s="27"/>
      <c r="N58" s="30">
        <f t="shared" si="14"/>
        <v>0</v>
      </c>
      <c r="O58" s="74">
        <f t="shared" si="10"/>
        <v>0</v>
      </c>
      <c r="Q58" s="107"/>
      <c r="S58" s="107"/>
      <c r="U58" s="107"/>
      <c r="W58" s="107"/>
    </row>
    <row r="59" spans="2:23" x14ac:dyDescent="0.25">
      <c r="B59" s="11" t="s">
        <v>38</v>
      </c>
      <c r="C59" s="21"/>
      <c r="D59" s="22"/>
      <c r="E59" s="23"/>
      <c r="F59" s="72">
        <f>'Proposed Rates'!D228</f>
        <v>0.13200000000000001</v>
      </c>
      <c r="G59" s="77">
        <f>0.18*$F$18</f>
        <v>229950</v>
      </c>
      <c r="H59" s="73">
        <f t="shared" si="15"/>
        <v>30353.4</v>
      </c>
      <c r="I59" s="27"/>
      <c r="J59" s="72">
        <f>F59</f>
        <v>0.13200000000000001</v>
      </c>
      <c r="K59" s="77">
        <f>$G$59</f>
        <v>229950</v>
      </c>
      <c r="L59" s="73">
        <f t="shared" si="16"/>
        <v>30353.4</v>
      </c>
      <c r="M59" s="27"/>
      <c r="N59" s="30">
        <f t="shared" si="14"/>
        <v>0</v>
      </c>
      <c r="O59" s="74">
        <f t="shared" si="10"/>
        <v>0</v>
      </c>
      <c r="Q59" s="107"/>
      <c r="S59" s="107"/>
      <c r="U59" s="107"/>
      <c r="W59" s="107"/>
    </row>
    <row r="60" spans="2:23" s="85" customFormat="1" x14ac:dyDescent="0.25">
      <c r="B60" s="78" t="s">
        <v>39</v>
      </c>
      <c r="C60" s="79"/>
      <c r="D60" s="80"/>
      <c r="E60" s="81"/>
      <c r="F60" s="72">
        <f>'Proposed Rates'!D229</f>
        <v>7.6999999999999999E-2</v>
      </c>
      <c r="G60" s="82">
        <v>750</v>
      </c>
      <c r="H60" s="73">
        <f>G60*F60</f>
        <v>57.75</v>
      </c>
      <c r="I60" s="83"/>
      <c r="J60" s="72">
        <f>F60</f>
        <v>7.6999999999999999E-2</v>
      </c>
      <c r="K60" s="82">
        <f>$G$60</f>
        <v>750</v>
      </c>
      <c r="L60" s="73">
        <f>K60*J60</f>
        <v>57.75</v>
      </c>
      <c r="M60" s="83"/>
      <c r="N60" s="84">
        <f t="shared" si="14"/>
        <v>0</v>
      </c>
      <c r="O60" s="74">
        <f t="shared" si="10"/>
        <v>0</v>
      </c>
      <c r="Q60" s="143"/>
      <c r="R60" s="204"/>
      <c r="S60" s="143"/>
      <c r="T60" s="204"/>
      <c r="U60" s="143"/>
      <c r="V60" s="204"/>
      <c r="W60" s="143"/>
    </row>
    <row r="61" spans="2:23" s="85" customFormat="1" ht="13.8" thickBot="1" x14ac:dyDescent="0.3">
      <c r="B61" s="78" t="s">
        <v>40</v>
      </c>
      <c r="C61" s="79"/>
      <c r="D61" s="80"/>
      <c r="E61" s="81"/>
      <c r="F61" s="72">
        <f>'Proposed Rates'!D230</f>
        <v>0.09</v>
      </c>
      <c r="G61" s="82">
        <f>F18-G60</f>
        <v>1276750</v>
      </c>
      <c r="H61" s="73">
        <f>G61*F61</f>
        <v>114907.5</v>
      </c>
      <c r="I61" s="83"/>
      <c r="J61" s="72">
        <f>F61</f>
        <v>0.09</v>
      </c>
      <c r="K61" s="82">
        <f>$G$61</f>
        <v>1276750</v>
      </c>
      <c r="L61" s="73">
        <f>K61*J61</f>
        <v>114907.5</v>
      </c>
      <c r="M61" s="83"/>
      <c r="N61" s="84">
        <f t="shared" si="14"/>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143945.225275</v>
      </c>
      <c r="I63" s="100"/>
      <c r="J63" s="101"/>
      <c r="K63" s="101"/>
      <c r="L63" s="99">
        <f>SUM(L52:L59,L51)</f>
        <v>148120.125275</v>
      </c>
      <c r="M63" s="102"/>
      <c r="N63" s="103">
        <f t="shared" ref="N63" si="17">L63-H63</f>
        <v>4174.8999999999942</v>
      </c>
      <c r="O63" s="104">
        <f t="shared" ref="O63" si="18">IF((H63)=0,"",(N63/H63))</f>
        <v>2.9003393422908339E-2</v>
      </c>
      <c r="Q63" s="102"/>
      <c r="S63" s="102"/>
      <c r="U63" s="102"/>
      <c r="W63" s="102"/>
    </row>
    <row r="64" spans="2:23" x14ac:dyDescent="0.25">
      <c r="B64" s="105" t="s">
        <v>42</v>
      </c>
      <c r="C64" s="21"/>
      <c r="D64" s="21"/>
      <c r="E64" s="21"/>
      <c r="F64" s="106">
        <v>0.13</v>
      </c>
      <c r="G64" s="107"/>
      <c r="H64" s="108">
        <f>H63*F64</f>
        <v>18712.879285750001</v>
      </c>
      <c r="I64" s="109"/>
      <c r="J64" s="110">
        <v>0.13</v>
      </c>
      <c r="K64" s="109"/>
      <c r="L64" s="111">
        <f>L63*J64</f>
        <v>19255.616285750002</v>
      </c>
      <c r="M64" s="112"/>
      <c r="N64" s="113">
        <f t="shared" si="14"/>
        <v>542.73700000000099</v>
      </c>
      <c r="O64" s="114">
        <f t="shared" si="10"/>
        <v>2.9003393422908429E-2</v>
      </c>
      <c r="Q64" s="112"/>
      <c r="S64" s="112"/>
      <c r="U64" s="112"/>
      <c r="W64" s="112"/>
    </row>
    <row r="65" spans="1:23" ht="13.8" thickBot="1" x14ac:dyDescent="0.3">
      <c r="B65" s="115" t="s">
        <v>43</v>
      </c>
      <c r="C65" s="21"/>
      <c r="D65" s="21"/>
      <c r="E65" s="21"/>
      <c r="F65" s="116"/>
      <c r="G65" s="107"/>
      <c r="H65" s="99">
        <f>H63+H64</f>
        <v>162658.10456075001</v>
      </c>
      <c r="I65" s="109"/>
      <c r="J65" s="109"/>
      <c r="K65" s="109"/>
      <c r="L65" s="212">
        <f>L63+L64</f>
        <v>167375.74156075</v>
      </c>
      <c r="M65" s="112"/>
      <c r="N65" s="103">
        <f t="shared" si="14"/>
        <v>4717.6369999999879</v>
      </c>
      <c r="O65" s="104">
        <f t="shared" si="10"/>
        <v>2.9003393422908301E-2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153951.07527499998</v>
      </c>
      <c r="I67" s="128"/>
      <c r="J67" s="129"/>
      <c r="K67" s="129"/>
      <c r="L67" s="127">
        <f>SUM(L60:L61,L51,L52:L56)</f>
        <v>158125.97527499998</v>
      </c>
      <c r="M67" s="130"/>
      <c r="N67" s="131">
        <f t="shared" ref="N67:N69" si="19">L67-H67</f>
        <v>4174.8999999999942</v>
      </c>
      <c r="O67" s="104">
        <f t="shared" ref="O67:O69" si="20">IF((H67)=0,"",(N67/H67))</f>
        <v>2.7118355572005242E-2</v>
      </c>
      <c r="Q67" s="130"/>
      <c r="R67" s="204"/>
      <c r="S67" s="130"/>
      <c r="T67" s="204"/>
      <c r="U67" s="130"/>
      <c r="V67" s="204"/>
      <c r="W67" s="130"/>
    </row>
    <row r="68" spans="1:23" s="85" customFormat="1" x14ac:dyDescent="0.25">
      <c r="B68" s="132" t="s">
        <v>42</v>
      </c>
      <c r="C68" s="79"/>
      <c r="D68" s="79"/>
      <c r="E68" s="79"/>
      <c r="F68" s="133">
        <v>0.13</v>
      </c>
      <c r="G68" s="126"/>
      <c r="H68" s="134">
        <f>H67*F68</f>
        <v>20013.639785749998</v>
      </c>
      <c r="I68" s="135"/>
      <c r="J68" s="136">
        <v>0.13</v>
      </c>
      <c r="K68" s="137"/>
      <c r="L68" s="138">
        <f>L67*J68</f>
        <v>20556.376785749999</v>
      </c>
      <c r="M68" s="139"/>
      <c r="N68" s="140">
        <f t="shared" si="19"/>
        <v>542.73700000000099</v>
      </c>
      <c r="O68" s="114">
        <f t="shared" si="20"/>
        <v>2.7118355572005329E-2</v>
      </c>
      <c r="Q68" s="139"/>
      <c r="R68" s="204"/>
      <c r="S68" s="139"/>
      <c r="T68" s="204"/>
      <c r="U68" s="139"/>
      <c r="V68" s="204"/>
      <c r="W68" s="139"/>
    </row>
    <row r="69" spans="1:23" s="85" customFormat="1" ht="13.8" thickBot="1" x14ac:dyDescent="0.3">
      <c r="B69" s="141" t="s">
        <v>43</v>
      </c>
      <c r="C69" s="79"/>
      <c r="D69" s="79"/>
      <c r="E69" s="79"/>
      <c r="F69" s="142"/>
      <c r="G69" s="143"/>
      <c r="H69" s="127">
        <f>H67+H68</f>
        <v>173964.71506074996</v>
      </c>
      <c r="I69" s="135"/>
      <c r="J69" s="135"/>
      <c r="K69" s="135"/>
      <c r="L69" s="211">
        <f>L67+L68</f>
        <v>178682.35206074998</v>
      </c>
      <c r="M69" s="139"/>
      <c r="N69" s="131">
        <f t="shared" si="19"/>
        <v>4717.637000000017</v>
      </c>
      <c r="O69" s="104">
        <f t="shared" si="20"/>
        <v>2.7118355572005381E-2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'Proposed Rates'!D204</f>
        <v>3.3500000000000002E-2</v>
      </c>
      <c r="J72" s="151">
        <f>+'Res (100)'!J74</f>
        <v>3.3500000000000002E-2</v>
      </c>
    </row>
    <row r="73" spans="1:23" ht="13.8" thickBot="1" x14ac:dyDescent="0.3"/>
    <row r="74" spans="1:23" ht="8.25" customHeight="1" thickBot="1" x14ac:dyDescent="0.3">
      <c r="B74" s="86"/>
      <c r="C74" s="87"/>
      <c r="D74" s="88"/>
      <c r="E74" s="87"/>
      <c r="F74" s="89"/>
      <c r="G74" s="90"/>
      <c r="H74" s="91"/>
      <c r="I74" s="92"/>
      <c r="J74" s="89"/>
      <c r="K74" s="93"/>
      <c r="L74" s="91"/>
      <c r="M74" s="92"/>
      <c r="N74" s="94"/>
      <c r="O74" s="95"/>
      <c r="Q74" s="107"/>
      <c r="S74" s="107"/>
      <c r="U74" s="107"/>
      <c r="W74" s="107"/>
    </row>
    <row r="75" spans="1:23" x14ac:dyDescent="0.25">
      <c r="B75" s="96" t="s">
        <v>41</v>
      </c>
      <c r="C75" s="21"/>
      <c r="D75" s="21"/>
      <c r="E75" s="21"/>
      <c r="F75" s="97"/>
      <c r="G75" s="98"/>
      <c r="H75" s="99">
        <f>+H63-H31-H40-H41-H42-H43</f>
        <v>149023.225275</v>
      </c>
      <c r="I75" s="100"/>
      <c r="J75" s="101"/>
      <c r="K75" s="101"/>
      <c r="L75" s="99">
        <f>+L63-L31-L40-L41-L42-L43</f>
        <v>149515.625275</v>
      </c>
      <c r="M75" s="102"/>
      <c r="N75" s="103">
        <f t="shared" ref="N75:N77" si="21">L75-H75</f>
        <v>492.39999999999418</v>
      </c>
      <c r="O75" s="104">
        <f t="shared" ref="O75:O77" si="22">IF((H75)=0,"",(N75/H75))</f>
        <v>3.3041829492774957E-3</v>
      </c>
      <c r="Q75" s="102"/>
      <c r="S75" s="102"/>
      <c r="U75" s="102"/>
      <c r="W75" s="102"/>
    </row>
    <row r="76" spans="1:23" x14ac:dyDescent="0.25">
      <c r="B76" s="105" t="s">
        <v>42</v>
      </c>
      <c r="C76" s="21"/>
      <c r="D76" s="21"/>
      <c r="E76" s="21"/>
      <c r="F76" s="106">
        <v>0.13</v>
      </c>
      <c r="G76" s="107"/>
      <c r="H76" s="108">
        <f>H75*F76</f>
        <v>19373.019285750001</v>
      </c>
      <c r="I76" s="109"/>
      <c r="J76" s="110">
        <v>0.13</v>
      </c>
      <c r="K76" s="109"/>
      <c r="L76" s="111">
        <f>L75*J76</f>
        <v>19437.031285749999</v>
      </c>
      <c r="M76" s="112"/>
      <c r="N76" s="113">
        <f t="shared" si="21"/>
        <v>64.011999999998807</v>
      </c>
      <c r="O76" s="114">
        <f t="shared" si="22"/>
        <v>3.3041829492774732E-3</v>
      </c>
      <c r="Q76" s="112"/>
      <c r="S76" s="112"/>
      <c r="U76" s="112"/>
      <c r="W76" s="112"/>
    </row>
    <row r="77" spans="1:23" x14ac:dyDescent="0.25">
      <c r="B77" s="115" t="s">
        <v>43</v>
      </c>
      <c r="C77" s="21"/>
      <c r="D77" s="21"/>
      <c r="E77" s="21"/>
      <c r="F77" s="205"/>
      <c r="G77" s="206"/>
      <c r="H77" s="216">
        <f>H75+H76</f>
        <v>168396.24456075</v>
      </c>
      <c r="I77" s="207"/>
      <c r="J77" s="207"/>
      <c r="K77" s="207"/>
      <c r="L77" s="215">
        <f>L75+L76</f>
        <v>168952.65656075001</v>
      </c>
      <c r="M77" s="208"/>
      <c r="N77" s="214">
        <f t="shared" si="21"/>
        <v>556.41200000001118</v>
      </c>
      <c r="O77" s="213">
        <f t="shared" si="22"/>
        <v>3.3041829492776015E-3</v>
      </c>
      <c r="Q77" s="112"/>
      <c r="S77" s="112"/>
      <c r="U77" s="112"/>
      <c r="W77" s="112"/>
    </row>
    <row r="78" spans="1:23" ht="13.5" customHeight="1" x14ac:dyDescent="0.25">
      <c r="Q78" s="202"/>
      <c r="R78" s="202"/>
      <c r="S78" s="6"/>
      <c r="T78" s="6"/>
      <c r="U78" s="6"/>
      <c r="V78" s="6"/>
      <c r="W78" s="6"/>
    </row>
    <row r="79" spans="1:23" ht="12" customHeight="1" x14ac:dyDescent="0.25">
      <c r="A79" s="6" t="s">
        <v>46</v>
      </c>
      <c r="Q79" s="202"/>
      <c r="R79" s="202"/>
      <c r="S79" s="6"/>
      <c r="T79" s="6"/>
      <c r="U79" s="6"/>
      <c r="V79" s="6"/>
      <c r="W79" s="6"/>
    </row>
    <row r="80" spans="1:23" x14ac:dyDescent="0.25">
      <c r="A80" s="6" t="s">
        <v>47</v>
      </c>
      <c r="Q80" s="202"/>
      <c r="R80" s="202"/>
      <c r="S80" s="6"/>
      <c r="T80" s="6"/>
      <c r="U80" s="6"/>
      <c r="V80" s="6"/>
      <c r="W80" s="6"/>
    </row>
    <row r="81" spans="1:23" x14ac:dyDescent="0.25">
      <c r="Q81" s="202"/>
      <c r="R81" s="202"/>
      <c r="S81" s="6"/>
      <c r="T81" s="6"/>
      <c r="U81" s="6"/>
      <c r="V81" s="6"/>
      <c r="W81" s="6"/>
    </row>
    <row r="82" spans="1:23" x14ac:dyDescent="0.25">
      <c r="A82" s="153" t="s">
        <v>133</v>
      </c>
      <c r="Q82" s="202"/>
      <c r="R82" s="202"/>
      <c r="S82" s="6"/>
      <c r="T82" s="6"/>
      <c r="U82" s="6"/>
      <c r="V82" s="6"/>
      <c r="W82" s="6"/>
    </row>
    <row r="83" spans="1:23" x14ac:dyDescent="0.25">
      <c r="A83" s="11" t="s">
        <v>48</v>
      </c>
      <c r="Q83" s="202"/>
      <c r="R83" s="202"/>
      <c r="S83" s="6"/>
      <c r="T83" s="6"/>
      <c r="U83" s="6"/>
      <c r="V83" s="6"/>
      <c r="W83" s="6"/>
    </row>
    <row r="84" spans="1:23" x14ac:dyDescent="0.25">
      <c r="Q84" s="202"/>
      <c r="R84" s="202"/>
      <c r="S84" s="6"/>
      <c r="T84" s="6"/>
      <c r="U84" s="6"/>
      <c r="V84" s="6"/>
      <c r="W84" s="6"/>
    </row>
    <row r="85" spans="1:23" x14ac:dyDescent="0.25">
      <c r="A85" s="6" t="s">
        <v>132</v>
      </c>
      <c r="Q85" s="202"/>
      <c r="R85" s="202"/>
      <c r="S85" s="6"/>
      <c r="T85" s="6"/>
      <c r="U85" s="6"/>
      <c r="V85" s="6"/>
      <c r="W85" s="6"/>
    </row>
    <row r="86" spans="1:23" x14ac:dyDescent="0.25">
      <c r="A86" s="6" t="s">
        <v>49</v>
      </c>
      <c r="Q86" s="202"/>
      <c r="R86" s="202"/>
      <c r="S86" s="6"/>
      <c r="T86" s="6"/>
      <c r="U86" s="6"/>
      <c r="V86" s="6"/>
      <c r="W86" s="6"/>
    </row>
    <row r="87" spans="1:23" x14ac:dyDescent="0.25">
      <c r="A87" s="6" t="s">
        <v>50</v>
      </c>
      <c r="Q87" s="202"/>
      <c r="R87" s="202"/>
      <c r="S87" s="6"/>
      <c r="T87" s="6"/>
      <c r="U87" s="6"/>
      <c r="V87" s="6"/>
      <c r="W87" s="6"/>
    </row>
    <row r="88" spans="1:23" x14ac:dyDescent="0.25">
      <c r="A88" s="6" t="s">
        <v>51</v>
      </c>
      <c r="Q88" s="202"/>
      <c r="R88" s="202"/>
      <c r="S88" s="6"/>
      <c r="T88" s="6"/>
      <c r="U88" s="6"/>
      <c r="V88" s="6"/>
      <c r="W88" s="6"/>
    </row>
    <row r="89" spans="1:23" x14ac:dyDescent="0.25">
      <c r="A89" s="6" t="s">
        <v>52</v>
      </c>
      <c r="Q89" s="202"/>
      <c r="R89" s="202"/>
      <c r="S89" s="6"/>
      <c r="T89" s="6"/>
      <c r="U89" s="6"/>
      <c r="V89" s="6"/>
      <c r="W89" s="6"/>
    </row>
    <row r="90" spans="1:23" x14ac:dyDescent="0.25">
      <c r="Q90" s="202"/>
      <c r="R90" s="202"/>
      <c r="S90" s="6"/>
      <c r="T90" s="6"/>
      <c r="U90" s="6"/>
      <c r="V90" s="6"/>
      <c r="W90" s="6"/>
    </row>
    <row r="91" spans="1:23" x14ac:dyDescent="0.25">
      <c r="A91" s="152"/>
      <c r="B91" s="6" t="s">
        <v>53</v>
      </c>
      <c r="Q91" s="202"/>
      <c r="R91" s="202"/>
      <c r="S91" s="6"/>
      <c r="T91" s="6"/>
      <c r="U91" s="6"/>
      <c r="V91" s="6"/>
      <c r="W91" s="6"/>
    </row>
    <row r="92" spans="1:23" x14ac:dyDescent="0.25">
      <c r="Q92" s="202"/>
      <c r="R92" s="202"/>
      <c r="S92" s="6"/>
      <c r="T92" s="6"/>
      <c r="U92" s="6"/>
      <c r="V92" s="6"/>
      <c r="W92" s="6"/>
    </row>
    <row r="93" spans="1:23" x14ac:dyDescent="0.25">
      <c r="B93" s="153" t="s">
        <v>54</v>
      </c>
      <c r="Q93" s="202"/>
      <c r="R93" s="202"/>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327660</xdr:colOff>
                    <xdr:row>9</xdr:row>
                    <xdr:rowOff>53340</xdr:rowOff>
                  </from>
                  <to>
                    <xdr:col>5</xdr:col>
                    <xdr:colOff>411480</xdr:colOff>
                    <xdr:row>9</xdr:row>
                    <xdr:rowOff>175260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5</xdr:col>
                    <xdr:colOff>281940</xdr:colOff>
                    <xdr:row>9</xdr:row>
                    <xdr:rowOff>22860</xdr:rowOff>
                  </from>
                  <to>
                    <xdr:col>8</xdr:col>
                    <xdr:colOff>167640</xdr:colOff>
                    <xdr:row>9</xdr:row>
                    <xdr:rowOff>236220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W89"/>
  <sheetViews>
    <sheetView showGridLines="0" tabSelected="1" view="pageBreakPreview"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4.109375" style="6" customWidth="1"/>
    <col min="7" max="7" width="8.6640625" style="6" bestFit="1" customWidth="1"/>
    <col min="8" max="8" width="14.109375" style="6" bestFit="1" customWidth="1"/>
    <col min="9" max="9" width="2.88671875" style="6" customWidth="1"/>
    <col min="10" max="10" width="10.44140625" style="6" bestFit="1" customWidth="1"/>
    <col min="11" max="11" width="8.6640625" style="6" bestFit="1" customWidth="1"/>
    <col min="12" max="12" width="14.109375" style="6" bestFit="1" customWidth="1"/>
    <col min="13" max="13" width="2.88671875" style="6" customWidth="1"/>
    <col min="14" max="14" width="12" style="6" bestFit="1" customWidth="1"/>
    <col min="15" max="15" width="11.21875"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60</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1277500</v>
      </c>
      <c r="G18" s="12" t="s">
        <v>6</v>
      </c>
    </row>
    <row r="19" spans="2:23" x14ac:dyDescent="0.25">
      <c r="B19" s="11"/>
      <c r="F19" s="13">
        <v>4000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+'&gt;1500(2500)'!F23</f>
        <v>4193.93</v>
      </c>
      <c r="G23" s="25">
        <v>1</v>
      </c>
      <c r="H23" s="26">
        <f>G23*F23</f>
        <v>4193.93</v>
      </c>
      <c r="I23" s="27"/>
      <c r="J23" s="156">
        <f>+'&gt;1500(2500)'!J23</f>
        <v>4193.93</v>
      </c>
      <c r="K23" s="29">
        <v>1</v>
      </c>
      <c r="L23" s="26">
        <f>K23*J23</f>
        <v>4193.93</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+'&gt;1500(2500)'!F29</f>
        <v>3.9180999999999999</v>
      </c>
      <c r="G29" s="51">
        <f>+$F$19</f>
        <v>4000</v>
      </c>
      <c r="H29" s="26">
        <f t="shared" si="0"/>
        <v>15672.4</v>
      </c>
      <c r="I29" s="27"/>
      <c r="J29" s="24">
        <f>+'&gt;1500(2500)'!J29</f>
        <v>4.1833999999999998</v>
      </c>
      <c r="K29" s="51">
        <f>+$F$19</f>
        <v>4000</v>
      </c>
      <c r="L29" s="26">
        <f t="shared" si="1"/>
        <v>16733.599999999999</v>
      </c>
      <c r="M29" s="27"/>
      <c r="N29" s="30">
        <f t="shared" si="2"/>
        <v>1061.1999999999989</v>
      </c>
      <c r="O29" s="31">
        <f t="shared" si="3"/>
        <v>6.7711390725096285E-2</v>
      </c>
      <c r="Q29" s="107"/>
      <c r="S29" s="107"/>
      <c r="U29" s="107"/>
      <c r="W29" s="107"/>
    </row>
    <row r="30" spans="2:23" x14ac:dyDescent="0.25">
      <c r="B30" s="21" t="s">
        <v>21</v>
      </c>
      <c r="C30" s="21"/>
      <c r="D30" s="22"/>
      <c r="E30" s="23"/>
      <c r="F30" s="24"/>
      <c r="G30" s="25">
        <f t="shared" ref="G30" si="4">$F$18</f>
        <v>1277500</v>
      </c>
      <c r="H30" s="26">
        <f t="shared" si="0"/>
        <v>0</v>
      </c>
      <c r="I30" s="27"/>
      <c r="J30" s="24"/>
      <c r="K30" s="25">
        <f t="shared" ref="K30:K38" si="5">$F$18</f>
        <v>1277500</v>
      </c>
      <c r="L30" s="26">
        <f t="shared" si="1"/>
        <v>0</v>
      </c>
      <c r="M30" s="27"/>
      <c r="N30" s="30">
        <f t="shared" si="2"/>
        <v>0</v>
      </c>
      <c r="O30" s="31" t="str">
        <f t="shared" si="3"/>
        <v/>
      </c>
      <c r="Q30" s="107"/>
      <c r="S30" s="107"/>
      <c r="U30" s="107"/>
      <c r="W30" s="107"/>
    </row>
    <row r="31" spans="2:23" x14ac:dyDescent="0.25">
      <c r="B31" s="21" t="s">
        <v>22</v>
      </c>
      <c r="C31" s="21"/>
      <c r="D31" s="22" t="s">
        <v>58</v>
      </c>
      <c r="E31" s="23"/>
      <c r="F31" s="24">
        <f>+'&gt;1500(2500)'!F31</f>
        <v>0</v>
      </c>
      <c r="G31" s="51">
        <f>+$F$19</f>
        <v>4000</v>
      </c>
      <c r="H31" s="26">
        <f t="shared" si="0"/>
        <v>0</v>
      </c>
      <c r="I31" s="27"/>
      <c r="J31" s="24">
        <f>+'&gt;1500(2500)'!J31</f>
        <v>0</v>
      </c>
      <c r="K31" s="51">
        <f>+$F$19</f>
        <v>4000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1277500</v>
      </c>
      <c r="H32" s="26">
        <f t="shared" si="0"/>
        <v>0</v>
      </c>
      <c r="I32" s="27"/>
      <c r="J32" s="28"/>
      <c r="K32" s="25">
        <f t="shared" si="5"/>
        <v>1277500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1277500</v>
      </c>
      <c r="H33" s="26">
        <f t="shared" si="0"/>
        <v>0</v>
      </c>
      <c r="I33" s="27"/>
      <c r="J33" s="28"/>
      <c r="K33" s="25">
        <f t="shared" si="5"/>
        <v>1277500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1277500</v>
      </c>
      <c r="H34" s="26">
        <f t="shared" si="0"/>
        <v>0</v>
      </c>
      <c r="I34" s="27"/>
      <c r="J34" s="28"/>
      <c r="K34" s="25">
        <f t="shared" si="5"/>
        <v>1277500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1277500</v>
      </c>
      <c r="H35" s="26">
        <f t="shared" si="0"/>
        <v>0</v>
      </c>
      <c r="I35" s="27"/>
      <c r="J35" s="28"/>
      <c r="K35" s="25">
        <f t="shared" si="5"/>
        <v>1277500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1277500</v>
      </c>
      <c r="H36" s="26">
        <f t="shared" si="0"/>
        <v>0</v>
      </c>
      <c r="I36" s="27"/>
      <c r="J36" s="28"/>
      <c r="K36" s="25">
        <f t="shared" si="5"/>
        <v>1277500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1277500</v>
      </c>
      <c r="H37" s="26">
        <f t="shared" si="0"/>
        <v>0</v>
      </c>
      <c r="I37" s="27"/>
      <c r="J37" s="28"/>
      <c r="K37" s="25">
        <f t="shared" si="5"/>
        <v>1277500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1277500</v>
      </c>
      <c r="H38" s="26">
        <f t="shared" si="0"/>
        <v>0</v>
      </c>
      <c r="I38" s="27"/>
      <c r="J38" s="28"/>
      <c r="K38" s="25">
        <f t="shared" si="5"/>
        <v>1277500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19866.330000000002</v>
      </c>
      <c r="I39" s="40"/>
      <c r="J39" s="41"/>
      <c r="K39" s="42"/>
      <c r="L39" s="39">
        <f>SUM(L23:L38)</f>
        <v>20927.53</v>
      </c>
      <c r="M39" s="40"/>
      <c r="N39" s="43">
        <f t="shared" si="2"/>
        <v>1061.1999999999971</v>
      </c>
      <c r="O39" s="44">
        <f t="shared" si="3"/>
        <v>5.3417012603736928E-2</v>
      </c>
      <c r="Q39" s="107"/>
      <c r="R39" s="203"/>
      <c r="S39" s="107"/>
      <c r="T39" s="203"/>
      <c r="U39" s="107"/>
      <c r="V39" s="203"/>
      <c r="W39" s="107"/>
    </row>
    <row r="40" spans="2:23" ht="26.4" x14ac:dyDescent="0.25">
      <c r="B40" s="46" t="str">
        <f>+'&gt;1500(2500)'!B40</f>
        <v>Deferral/Variance Account Disposition Rate Rider Class 1</v>
      </c>
      <c r="C40" s="21"/>
      <c r="D40" s="22" t="str">
        <f>+'&gt;1500(2500)'!D40</f>
        <v>per kW</v>
      </c>
      <c r="E40" s="23"/>
      <c r="F40" s="24">
        <f>'Proposed Rates'!D41</f>
        <v>1.2999999999999999E-2</v>
      </c>
      <c r="G40" s="51">
        <f>+$F$19</f>
        <v>4000</v>
      </c>
      <c r="H40" s="26">
        <f>G40*F40</f>
        <v>52</v>
      </c>
      <c r="I40" s="27"/>
      <c r="J40" s="24">
        <f>+'&gt;1500(2500)'!J40</f>
        <v>-0.1847</v>
      </c>
      <c r="K40" s="51">
        <f>+$F$19</f>
        <v>4000</v>
      </c>
      <c r="L40" s="26">
        <f>K40*J40</f>
        <v>-738.80000000000007</v>
      </c>
      <c r="M40" s="27"/>
      <c r="N40" s="30">
        <f>L40-H40</f>
        <v>-790.80000000000007</v>
      </c>
      <c r="O40" s="31">
        <f>IF((H40)=0,"",(N40/H40))</f>
        <v>-15.207692307692309</v>
      </c>
      <c r="Q40" s="107"/>
      <c r="S40" s="107"/>
      <c r="U40" s="107"/>
      <c r="W40" s="107"/>
    </row>
    <row r="41" spans="2:23" ht="26.4" x14ac:dyDescent="0.25">
      <c r="B41" s="46" t="str">
        <f>+'&gt;1500(2500)'!B41</f>
        <v>Deferral/Variance Account Disposition Rate Rider Class 2</v>
      </c>
      <c r="C41" s="21"/>
      <c r="D41" s="22" t="str">
        <f>+'&gt;1500(2500)'!D41</f>
        <v>per kW</v>
      </c>
      <c r="E41" s="23"/>
      <c r="F41" s="24">
        <f>'Proposed Rates'!D55</f>
        <v>1.43E-2</v>
      </c>
      <c r="G41" s="51">
        <f>+F19</f>
        <v>4000</v>
      </c>
      <c r="H41" s="26">
        <f t="shared" ref="H41:H46" si="7">G41*F41</f>
        <v>57.2</v>
      </c>
      <c r="I41" s="47"/>
      <c r="J41" s="24">
        <f>+'&gt;1500(2500)'!J41</f>
        <v>0</v>
      </c>
      <c r="K41" s="51">
        <f>+$F$19</f>
        <v>4000</v>
      </c>
      <c r="L41" s="26">
        <f t="shared" ref="L41:L46" si="8">K41*J41</f>
        <v>0</v>
      </c>
      <c r="M41" s="48"/>
      <c r="N41" s="30">
        <f t="shared" ref="N41:N46" si="9">L41-H41</f>
        <v>-57.2</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tr">
        <f>+'&gt;1500(2500)'!D42</f>
        <v>per kWh</v>
      </c>
      <c r="E42" s="23"/>
      <c r="F42" s="24">
        <f>'Proposed Rates'!D84</f>
        <v>-1.9E-3</v>
      </c>
      <c r="G42" s="25">
        <f t="shared" ref="G42" si="11">$F$18</f>
        <v>1277500</v>
      </c>
      <c r="H42" s="26">
        <f t="shared" si="7"/>
        <v>-2427.25</v>
      </c>
      <c r="I42" s="47"/>
      <c r="J42" s="24">
        <f>+'&gt;1500(2500)'!J42</f>
        <v>0</v>
      </c>
      <c r="K42" s="25">
        <f t="shared" ref="K42" si="12">$F$18</f>
        <v>1277500</v>
      </c>
      <c r="L42" s="26">
        <f t="shared" si="8"/>
        <v>0</v>
      </c>
      <c r="M42" s="48"/>
      <c r="N42" s="30">
        <f t="shared" si="9"/>
        <v>2427.25</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Rates'!D100</f>
        <v>-1.0875999999999999</v>
      </c>
      <c r="G43" s="51">
        <f>$F$19</f>
        <v>4000</v>
      </c>
      <c r="H43" s="26">
        <f t="shared" si="7"/>
        <v>-4350.3999999999996</v>
      </c>
      <c r="I43" s="47"/>
      <c r="J43" s="28">
        <f>+'&gt;1500(2500)'!J43</f>
        <v>-0.3735</v>
      </c>
      <c r="K43" s="51">
        <f>+$F$19</f>
        <v>4000</v>
      </c>
      <c r="L43" s="26">
        <f t="shared" si="8"/>
        <v>-1494</v>
      </c>
      <c r="M43" s="48"/>
      <c r="N43" s="30">
        <f t="shared" si="9"/>
        <v>2856.3999999999996</v>
      </c>
      <c r="O43" s="31">
        <f t="shared" si="10"/>
        <v>-0.65658330268481058</v>
      </c>
      <c r="Q43" s="107"/>
      <c r="S43" s="107"/>
      <c r="U43" s="107"/>
      <c r="W43" s="107"/>
    </row>
    <row r="44" spans="2:23" ht="39.6" x14ac:dyDescent="0.25">
      <c r="B44" s="46" t="s">
        <v>125</v>
      </c>
      <c r="C44" s="21"/>
      <c r="D44" s="22" t="s">
        <v>20</v>
      </c>
      <c r="E44" s="23"/>
      <c r="F44" s="24">
        <f>+'&gt;1500(2500)'!F44</f>
        <v>2.7E-4</v>
      </c>
      <c r="G44" s="25">
        <f t="shared" ref="G44" si="13">$F$18</f>
        <v>1277500</v>
      </c>
      <c r="H44" s="26">
        <f t="shared" si="7"/>
        <v>344.92500000000001</v>
      </c>
      <c r="I44" s="226"/>
      <c r="J44" s="223">
        <f>+'&gt;1500(2500)'!J44</f>
        <v>0</v>
      </c>
      <c r="K44" s="25">
        <f t="shared" ref="K44" si="14">$F$18</f>
        <v>1277500</v>
      </c>
      <c r="L44" s="26">
        <f t="shared" si="8"/>
        <v>0</v>
      </c>
      <c r="M44" s="226"/>
      <c r="N44" s="30">
        <f t="shared" si="9"/>
        <v>-344.92500000000001</v>
      </c>
      <c r="O44" s="31">
        <f t="shared" si="10"/>
        <v>-1</v>
      </c>
      <c r="Q44" s="107"/>
      <c r="S44" s="107"/>
      <c r="U44" s="107"/>
      <c r="W44" s="107"/>
    </row>
    <row r="45" spans="2:23" x14ac:dyDescent="0.25">
      <c r="B45" s="49" t="s">
        <v>25</v>
      </c>
      <c r="C45" s="21"/>
      <c r="D45" s="22" t="s">
        <v>58</v>
      </c>
      <c r="E45" s="23"/>
      <c r="F45" s="50">
        <f>'&gt;1500(2500)'!F45</f>
        <v>2.8129999999999999E-2</v>
      </c>
      <c r="G45" s="51">
        <f>+$F$19</f>
        <v>4000</v>
      </c>
      <c r="H45" s="26">
        <f>G45*F45</f>
        <v>112.52</v>
      </c>
      <c r="I45" s="27"/>
      <c r="J45" s="52">
        <f>'&gt;1500(2500)'!J45</f>
        <v>2.546E-2</v>
      </c>
      <c r="K45" s="51">
        <f>+$F$19</f>
        <v>4000</v>
      </c>
      <c r="L45" s="26">
        <f>K45*J45</f>
        <v>101.84</v>
      </c>
      <c r="M45" s="27"/>
      <c r="N45" s="30">
        <f>L45-H45</f>
        <v>-10.679999999999993</v>
      </c>
      <c r="O45" s="31">
        <f>IF((H45)=0,"",(N45/H45))</f>
        <v>-9.4916459296125077E-2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42796.25</v>
      </c>
      <c r="H46" s="26">
        <f t="shared" si="7"/>
        <v>3516.1399000000006</v>
      </c>
      <c r="I46" s="27"/>
      <c r="J46" s="55">
        <f>0.65*$J$57+0.17*$J$58+0.18*$J$59</f>
        <v>8.2160000000000011E-2</v>
      </c>
      <c r="K46" s="54">
        <f>$F$18*(1+$J$72)-$F$18</f>
        <v>42796.25</v>
      </c>
      <c r="L46" s="26">
        <f t="shared" si="8"/>
        <v>3516.1399000000006</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17171.464900000003</v>
      </c>
      <c r="I48" s="40"/>
      <c r="J48" s="59"/>
      <c r="K48" s="61"/>
      <c r="L48" s="60">
        <f>SUM(L40:L47)+L39</f>
        <v>22312.709899999998</v>
      </c>
      <c r="M48" s="40"/>
      <c r="N48" s="43">
        <f t="shared" ref="N48:N65" si="15">L48-H48</f>
        <v>5141.2449999999953</v>
      </c>
      <c r="O48" s="44">
        <f t="shared" si="10"/>
        <v>0.29940631331925527</v>
      </c>
      <c r="Q48" s="107"/>
      <c r="S48" s="107"/>
      <c r="U48" s="107"/>
      <c r="W48" s="107"/>
    </row>
    <row r="49" spans="2:23" x14ac:dyDescent="0.25">
      <c r="B49" s="27" t="s">
        <v>29</v>
      </c>
      <c r="C49" s="27"/>
      <c r="D49" s="62" t="s">
        <v>58</v>
      </c>
      <c r="E49" s="63"/>
      <c r="F49" s="28">
        <f>'&gt;1500(2500)'!F49</f>
        <v>2.9089</v>
      </c>
      <c r="G49" s="64">
        <f>+$F$19</f>
        <v>4000</v>
      </c>
      <c r="H49" s="26">
        <f>G49*F49</f>
        <v>11635.6</v>
      </c>
      <c r="I49" s="27"/>
      <c r="J49" s="28">
        <f>'&gt;1500(2500)'!J49</f>
        <v>2.9563000000000001</v>
      </c>
      <c r="K49" s="64">
        <f>+$F$19</f>
        <v>4000</v>
      </c>
      <c r="L49" s="26">
        <f>K49*J49</f>
        <v>11825.2</v>
      </c>
      <c r="M49" s="27"/>
      <c r="N49" s="30">
        <f t="shared" si="15"/>
        <v>189.60000000000036</v>
      </c>
      <c r="O49" s="31">
        <f t="shared" si="10"/>
        <v>1.6294819347519713E-2</v>
      </c>
      <c r="Q49" s="107"/>
      <c r="S49" s="107"/>
      <c r="U49" s="107"/>
      <c r="W49" s="107"/>
    </row>
    <row r="50" spans="2:23" ht="26.4" x14ac:dyDescent="0.25">
      <c r="B50" s="66" t="s">
        <v>30</v>
      </c>
      <c r="C50" s="27"/>
      <c r="D50" s="62" t="s">
        <v>58</v>
      </c>
      <c r="E50" s="63"/>
      <c r="F50" s="28">
        <f>'&gt;1500(2500)'!F50</f>
        <v>1.9422999999999999</v>
      </c>
      <c r="G50" s="64">
        <f>G49</f>
        <v>4000</v>
      </c>
      <c r="H50" s="26">
        <f>G50*F50</f>
        <v>7769.2</v>
      </c>
      <c r="I50" s="27"/>
      <c r="J50" s="28">
        <f>'&gt;1500(2500)'!J50</f>
        <v>1.9672000000000001</v>
      </c>
      <c r="K50" s="64">
        <f>K49</f>
        <v>4000</v>
      </c>
      <c r="L50" s="26">
        <f>K50*J50</f>
        <v>7868.8</v>
      </c>
      <c r="M50" s="27"/>
      <c r="N50" s="30">
        <f t="shared" si="15"/>
        <v>99.600000000000364</v>
      </c>
      <c r="O50" s="31">
        <f t="shared" si="10"/>
        <v>1.2819852751892133E-2</v>
      </c>
      <c r="Q50" s="107"/>
      <c r="S50" s="107"/>
      <c r="U50" s="107"/>
      <c r="W50" s="107"/>
    </row>
    <row r="51" spans="2:23" ht="26.4" x14ac:dyDescent="0.25">
      <c r="B51" s="56" t="s">
        <v>31</v>
      </c>
      <c r="C51" s="35"/>
      <c r="D51" s="35"/>
      <c r="E51" s="35"/>
      <c r="F51" s="67"/>
      <c r="G51" s="59"/>
      <c r="H51" s="60">
        <f>SUM(H48:H50)</f>
        <v>36576.264900000002</v>
      </c>
      <c r="I51" s="68"/>
      <c r="J51" s="69"/>
      <c r="K51" s="59"/>
      <c r="L51" s="60">
        <f>SUM(L48:L50)</f>
        <v>42006.709900000002</v>
      </c>
      <c r="M51" s="68"/>
      <c r="N51" s="43">
        <f t="shared" si="15"/>
        <v>5430.4449999999997</v>
      </c>
      <c r="O51" s="44">
        <f t="shared" si="10"/>
        <v>0.14846909641667647</v>
      </c>
      <c r="Q51" s="102"/>
      <c r="S51" s="102"/>
      <c r="U51" s="102"/>
      <c r="W51" s="102"/>
    </row>
    <row r="52" spans="2:23" ht="26.4" x14ac:dyDescent="0.25">
      <c r="B52" s="71" t="s">
        <v>32</v>
      </c>
      <c r="C52" s="21"/>
      <c r="D52" s="22" t="s">
        <v>20</v>
      </c>
      <c r="E52" s="23"/>
      <c r="F52" s="72">
        <f>'&gt;1500(2500)'!F52</f>
        <v>3.5999999999999999E-3</v>
      </c>
      <c r="G52" s="64">
        <f>+$F$18+G46</f>
        <v>1320296.25</v>
      </c>
      <c r="H52" s="73">
        <f t="shared" ref="H52:H59" si="16">G52*F52</f>
        <v>4753.0664999999999</v>
      </c>
      <c r="I52" s="27"/>
      <c r="J52" s="72">
        <f>F52</f>
        <v>3.5999999999999999E-3</v>
      </c>
      <c r="K52" s="64">
        <f>+$F$18+K46</f>
        <v>1320296.25</v>
      </c>
      <c r="L52" s="73">
        <f t="shared" ref="L52:L59" si="17">K52*J52</f>
        <v>4753.0664999999999</v>
      </c>
      <c r="M52" s="27"/>
      <c r="N52" s="30">
        <f t="shared" si="15"/>
        <v>0</v>
      </c>
      <c r="O52" s="74">
        <f t="shared" si="10"/>
        <v>0</v>
      </c>
      <c r="Q52" s="107"/>
      <c r="S52" s="107"/>
      <c r="U52" s="107"/>
      <c r="W52" s="107"/>
    </row>
    <row r="53" spans="2:23" ht="26.4" x14ac:dyDescent="0.25">
      <c r="B53" s="71" t="s">
        <v>33</v>
      </c>
      <c r="C53" s="21"/>
      <c r="D53" s="22" t="s">
        <v>20</v>
      </c>
      <c r="E53" s="23"/>
      <c r="F53" s="72">
        <f>'&gt;1500(2500)'!F53</f>
        <v>2.9999999999999997E-4</v>
      </c>
      <c r="G53" s="64">
        <f>G52</f>
        <v>1320296.25</v>
      </c>
      <c r="H53" s="73">
        <f t="shared" si="16"/>
        <v>396.08887499999997</v>
      </c>
      <c r="I53" s="27"/>
      <c r="J53" s="72">
        <f>F53</f>
        <v>2.9999999999999997E-4</v>
      </c>
      <c r="K53" s="64">
        <f>K52</f>
        <v>1320296.25</v>
      </c>
      <c r="L53" s="73">
        <f t="shared" si="17"/>
        <v>396.08887499999997</v>
      </c>
      <c r="M53" s="27"/>
      <c r="N53" s="30">
        <f t="shared" si="15"/>
        <v>0</v>
      </c>
      <c r="O53" s="74">
        <f t="shared" si="10"/>
        <v>0</v>
      </c>
      <c r="Q53" s="107"/>
      <c r="S53" s="107"/>
      <c r="U53" s="107"/>
      <c r="W53" s="107"/>
    </row>
    <row r="54" spans="2:23" x14ac:dyDescent="0.25">
      <c r="B54" s="21" t="s">
        <v>34</v>
      </c>
      <c r="C54" s="21"/>
      <c r="D54" s="22" t="s">
        <v>17</v>
      </c>
      <c r="E54" s="23"/>
      <c r="F54" s="72">
        <f>'&gt;1500(2500)'!F54</f>
        <v>0.25</v>
      </c>
      <c r="G54" s="25">
        <v>1</v>
      </c>
      <c r="H54" s="73">
        <f t="shared" si="16"/>
        <v>0.25</v>
      </c>
      <c r="I54" s="27"/>
      <c r="J54" s="72">
        <f>'&gt;1500(2500)'!J54</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G53</f>
        <v>1320296.25</v>
      </c>
      <c r="H55" s="73">
        <f>G55*F55</f>
        <v>0</v>
      </c>
      <c r="I55" s="27"/>
      <c r="J55" s="72">
        <f>F55</f>
        <v>0</v>
      </c>
      <c r="K55" s="64">
        <f>K53</f>
        <v>1320296.25</v>
      </c>
      <c r="L55" s="73">
        <f>K55*J55</f>
        <v>0</v>
      </c>
      <c r="M55" s="27"/>
      <c r="N55" s="30"/>
      <c r="O55" s="74"/>
      <c r="Q55" s="107"/>
      <c r="S55" s="107"/>
      <c r="U55" s="107"/>
      <c r="W55" s="107"/>
    </row>
    <row r="56" spans="2:23" x14ac:dyDescent="0.25">
      <c r="B56" s="21" t="s">
        <v>35</v>
      </c>
      <c r="C56" s="21"/>
      <c r="D56" s="22"/>
      <c r="E56" s="23"/>
      <c r="F56" s="72">
        <f>'&gt;1500(2500)'!F56</f>
        <v>6.94E-3</v>
      </c>
      <c r="G56" s="75">
        <f>$F$18</f>
        <v>1277500</v>
      </c>
      <c r="H56" s="73">
        <f t="shared" si="16"/>
        <v>8865.85</v>
      </c>
      <c r="I56" s="27"/>
      <c r="J56" s="72">
        <f>+F56</f>
        <v>6.94E-3</v>
      </c>
      <c r="K56" s="76">
        <f>$F$18</f>
        <v>1277500</v>
      </c>
      <c r="L56" s="73">
        <f t="shared" si="17"/>
        <v>8865.85</v>
      </c>
      <c r="M56" s="27"/>
      <c r="N56" s="30">
        <f t="shared" si="15"/>
        <v>0</v>
      </c>
      <c r="O56" s="74">
        <f t="shared" si="10"/>
        <v>0</v>
      </c>
      <c r="Q56" s="107"/>
      <c r="S56" s="107"/>
      <c r="U56" s="107"/>
      <c r="W56" s="107"/>
    </row>
    <row r="57" spans="2:23" x14ac:dyDescent="0.25">
      <c r="B57" s="49" t="s">
        <v>36</v>
      </c>
      <c r="C57" s="21"/>
      <c r="D57" s="22"/>
      <c r="E57" s="23"/>
      <c r="F57" s="72">
        <f>'&gt;1500(2500)'!F57</f>
        <v>6.5000000000000002E-2</v>
      </c>
      <c r="G57" s="77">
        <f>0.65*$F$18</f>
        <v>830375</v>
      </c>
      <c r="H57" s="73">
        <f t="shared" si="16"/>
        <v>53974.375</v>
      </c>
      <c r="I57" s="27"/>
      <c r="J57" s="72">
        <f>F57</f>
        <v>6.5000000000000002E-2</v>
      </c>
      <c r="K57" s="77">
        <f>$G$57</f>
        <v>830375</v>
      </c>
      <c r="L57" s="73">
        <f t="shared" si="17"/>
        <v>53974.375</v>
      </c>
      <c r="M57" s="27"/>
      <c r="N57" s="30">
        <f t="shared" si="15"/>
        <v>0</v>
      </c>
      <c r="O57" s="74">
        <f t="shared" si="10"/>
        <v>0</v>
      </c>
      <c r="Q57" s="107"/>
      <c r="S57" s="107"/>
      <c r="U57" s="107"/>
      <c r="W57" s="107"/>
    </row>
    <row r="58" spans="2:23" x14ac:dyDescent="0.25">
      <c r="B58" s="49" t="s">
        <v>37</v>
      </c>
      <c r="C58" s="21"/>
      <c r="D58" s="22"/>
      <c r="E58" s="23"/>
      <c r="F58" s="72">
        <f>'&gt;1500(2500)'!F58</f>
        <v>9.5000000000000001E-2</v>
      </c>
      <c r="G58" s="77">
        <f>0.17*$F$18</f>
        <v>217175.00000000003</v>
      </c>
      <c r="H58" s="73">
        <f t="shared" si="16"/>
        <v>20631.625000000004</v>
      </c>
      <c r="I58" s="27"/>
      <c r="J58" s="72">
        <f>F58</f>
        <v>9.5000000000000001E-2</v>
      </c>
      <c r="K58" s="77">
        <f>$G$58</f>
        <v>217175.00000000003</v>
      </c>
      <c r="L58" s="73">
        <f t="shared" si="17"/>
        <v>20631.625000000004</v>
      </c>
      <c r="M58" s="27"/>
      <c r="N58" s="30">
        <f t="shared" si="15"/>
        <v>0</v>
      </c>
      <c r="O58" s="74">
        <f t="shared" si="10"/>
        <v>0</v>
      </c>
      <c r="Q58" s="107"/>
      <c r="S58" s="107"/>
      <c r="U58" s="107"/>
      <c r="W58" s="107"/>
    </row>
    <row r="59" spans="2:23" x14ac:dyDescent="0.25">
      <c r="B59" s="11" t="s">
        <v>38</v>
      </c>
      <c r="C59" s="21"/>
      <c r="D59" s="22"/>
      <c r="E59" s="23"/>
      <c r="F59" s="72">
        <f>'&gt;1500(2500)'!F59</f>
        <v>0.13200000000000001</v>
      </c>
      <c r="G59" s="77">
        <f>0.18*$F$18</f>
        <v>229950</v>
      </c>
      <c r="H59" s="73">
        <f t="shared" si="16"/>
        <v>30353.4</v>
      </c>
      <c r="I59" s="27"/>
      <c r="J59" s="72">
        <f>F59</f>
        <v>0.13200000000000001</v>
      </c>
      <c r="K59" s="77">
        <f>$G$59</f>
        <v>229950</v>
      </c>
      <c r="L59" s="73">
        <f t="shared" si="17"/>
        <v>30353.4</v>
      </c>
      <c r="M59" s="27"/>
      <c r="N59" s="30">
        <f t="shared" si="15"/>
        <v>0</v>
      </c>
      <c r="O59" s="74">
        <f t="shared" si="10"/>
        <v>0</v>
      </c>
      <c r="Q59" s="107"/>
      <c r="S59" s="107"/>
      <c r="U59" s="107"/>
      <c r="W59" s="107"/>
    </row>
    <row r="60" spans="2:23" s="85" customFormat="1" x14ac:dyDescent="0.25">
      <c r="B60" s="78" t="s">
        <v>39</v>
      </c>
      <c r="C60" s="79"/>
      <c r="D60" s="80"/>
      <c r="E60" s="81"/>
      <c r="F60" s="72">
        <f>'&gt;1500(2500)'!F60</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'&gt;1500(2500)'!F61</f>
        <v>0.09</v>
      </c>
      <c r="G61" s="82">
        <f>F18-G60</f>
        <v>1276750</v>
      </c>
      <c r="H61" s="73">
        <f>G61*F61</f>
        <v>114907.5</v>
      </c>
      <c r="I61" s="83"/>
      <c r="J61" s="72">
        <f>F61</f>
        <v>0.09</v>
      </c>
      <c r="K61" s="82">
        <f>$G$61</f>
        <v>1276750</v>
      </c>
      <c r="L61" s="73">
        <f>K61*J61</f>
        <v>114907.5</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155550.92027500001</v>
      </c>
      <c r="I63" s="100"/>
      <c r="J63" s="101"/>
      <c r="K63" s="101"/>
      <c r="L63" s="99">
        <f>SUM(L52:L59,L51)</f>
        <v>160981.36527499999</v>
      </c>
      <c r="M63" s="102"/>
      <c r="N63" s="103">
        <f t="shared" ref="N63" si="18">L63-H63</f>
        <v>5430.4449999999779</v>
      </c>
      <c r="O63" s="104">
        <f t="shared" ref="O63" si="19">IF((H63)=0,"",(N63/H63))</f>
        <v>3.4911043858817679E-2</v>
      </c>
      <c r="Q63" s="102"/>
      <c r="S63" s="102"/>
      <c r="U63" s="102"/>
      <c r="W63" s="102"/>
    </row>
    <row r="64" spans="2:23" x14ac:dyDescent="0.25">
      <c r="B64" s="105" t="s">
        <v>42</v>
      </c>
      <c r="C64" s="21"/>
      <c r="D64" s="21"/>
      <c r="E64" s="21"/>
      <c r="F64" s="106">
        <v>0.13</v>
      </c>
      <c r="G64" s="107"/>
      <c r="H64" s="108">
        <f>H63*F64</f>
        <v>20221.619635750001</v>
      </c>
      <c r="I64" s="109"/>
      <c r="J64" s="110">
        <v>0.13</v>
      </c>
      <c r="K64" s="109"/>
      <c r="L64" s="111">
        <f>L63*J64</f>
        <v>20927.57748575</v>
      </c>
      <c r="M64" s="112"/>
      <c r="N64" s="113">
        <f t="shared" si="15"/>
        <v>705.95784999999887</v>
      </c>
      <c r="O64" s="114">
        <f t="shared" si="10"/>
        <v>3.491104385881777E-2</v>
      </c>
      <c r="Q64" s="112"/>
      <c r="S64" s="112"/>
      <c r="U64" s="112"/>
      <c r="W64" s="112"/>
    </row>
    <row r="65" spans="1:23" ht="13.8" thickBot="1" x14ac:dyDescent="0.3">
      <c r="B65" s="115" t="s">
        <v>43</v>
      </c>
      <c r="C65" s="21"/>
      <c r="D65" s="21"/>
      <c r="E65" s="21"/>
      <c r="F65" s="116"/>
      <c r="G65" s="107"/>
      <c r="H65" s="99">
        <f>H63+H64</f>
        <v>175772.53991075</v>
      </c>
      <c r="I65" s="109"/>
      <c r="J65" s="109"/>
      <c r="K65" s="109"/>
      <c r="L65" s="212">
        <f>L63+L64</f>
        <v>181908.94276074998</v>
      </c>
      <c r="M65" s="112"/>
      <c r="N65" s="103">
        <f t="shared" si="15"/>
        <v>6136.402849999984</v>
      </c>
      <c r="O65" s="104">
        <f t="shared" si="10"/>
        <v>3.4911043858817735E-2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165556.77027499999</v>
      </c>
      <c r="I67" s="128"/>
      <c r="J67" s="129"/>
      <c r="K67" s="129"/>
      <c r="L67" s="127">
        <f>SUM(L60:L61,L51,L52:L56)</f>
        <v>170987.215275</v>
      </c>
      <c r="M67" s="130"/>
      <c r="N67" s="131">
        <f t="shared" ref="N67:N69" si="20">L67-H67</f>
        <v>5430.445000000007</v>
      </c>
      <c r="O67" s="104">
        <f t="shared" ref="O67:O69" si="21">IF((H67)=0,"",(N67/H67))</f>
        <v>3.2801104968281897E-2</v>
      </c>
      <c r="Q67" s="130"/>
      <c r="R67" s="204"/>
      <c r="S67" s="130"/>
      <c r="T67" s="204"/>
      <c r="U67" s="130"/>
      <c r="V67" s="204"/>
      <c r="W67" s="130"/>
    </row>
    <row r="68" spans="1:23" s="85" customFormat="1" x14ac:dyDescent="0.25">
      <c r="B68" s="132" t="s">
        <v>42</v>
      </c>
      <c r="C68" s="79"/>
      <c r="D68" s="79"/>
      <c r="E68" s="79"/>
      <c r="F68" s="133">
        <v>0.13</v>
      </c>
      <c r="G68" s="126"/>
      <c r="H68" s="134">
        <f>H67*F68</f>
        <v>21522.380135749998</v>
      </c>
      <c r="I68" s="135"/>
      <c r="J68" s="136">
        <v>0.13</v>
      </c>
      <c r="K68" s="137"/>
      <c r="L68" s="138">
        <f>L67*J68</f>
        <v>22228.33798575</v>
      </c>
      <c r="M68" s="139"/>
      <c r="N68" s="140">
        <f t="shared" si="20"/>
        <v>705.95785000000251</v>
      </c>
      <c r="O68" s="114">
        <f t="shared" si="21"/>
        <v>3.2801104968281973E-2</v>
      </c>
      <c r="Q68" s="139"/>
      <c r="R68" s="204"/>
      <c r="S68" s="139"/>
      <c r="T68" s="204"/>
      <c r="U68" s="139"/>
      <c r="V68" s="204"/>
      <c r="W68" s="139"/>
    </row>
    <row r="69" spans="1:23" s="85" customFormat="1" ht="13.8" thickBot="1" x14ac:dyDescent="0.3">
      <c r="B69" s="141" t="s">
        <v>43</v>
      </c>
      <c r="C69" s="79"/>
      <c r="D69" s="79"/>
      <c r="E69" s="79"/>
      <c r="F69" s="142"/>
      <c r="G69" s="143"/>
      <c r="H69" s="127">
        <f>H67+H68</f>
        <v>187079.15041074998</v>
      </c>
      <c r="I69" s="135"/>
      <c r="J69" s="135"/>
      <c r="K69" s="135"/>
      <c r="L69" s="211">
        <f>L67+L68</f>
        <v>193215.55326074999</v>
      </c>
      <c r="M69" s="139"/>
      <c r="N69" s="131">
        <f t="shared" si="20"/>
        <v>6136.4028500000131</v>
      </c>
      <c r="O69" s="104">
        <f t="shared" si="21"/>
        <v>3.2801104968281924E-2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'&gt;1500(2500)'!F72</f>
        <v>3.3500000000000002E-2</v>
      </c>
      <c r="J72" s="151">
        <f>+'Res (100)'!J74</f>
        <v>3.3500000000000002E-2</v>
      </c>
    </row>
    <row r="74" spans="1:23" ht="13.5" customHeight="1" x14ac:dyDescent="0.25">
      <c r="Q74" s="202"/>
      <c r="R74" s="202"/>
      <c r="S74" s="6"/>
      <c r="T74" s="6"/>
      <c r="U74" s="6"/>
      <c r="V74" s="6"/>
      <c r="W74" s="6"/>
    </row>
    <row r="75" spans="1:23" ht="12" customHeight="1" x14ac:dyDescent="0.25">
      <c r="A75" s="6" t="s">
        <v>46</v>
      </c>
      <c r="Q75" s="202"/>
      <c r="R75" s="202"/>
      <c r="S75" s="6"/>
      <c r="T75" s="6"/>
      <c r="U75" s="6"/>
      <c r="V75" s="6"/>
      <c r="W75" s="6"/>
    </row>
    <row r="76" spans="1:23" x14ac:dyDescent="0.25">
      <c r="A76" s="6" t="s">
        <v>47</v>
      </c>
      <c r="Q76" s="202"/>
      <c r="R76" s="202"/>
      <c r="S76" s="6"/>
      <c r="T76" s="6"/>
      <c r="U76" s="6"/>
      <c r="V76" s="6"/>
      <c r="W76" s="6"/>
    </row>
    <row r="77" spans="1:23" x14ac:dyDescent="0.25">
      <c r="Q77" s="202"/>
      <c r="R77" s="202"/>
      <c r="S77" s="6"/>
      <c r="T77" s="6"/>
      <c r="U77" s="6"/>
      <c r="V77" s="6"/>
      <c r="W77" s="6"/>
    </row>
    <row r="78" spans="1:23" x14ac:dyDescent="0.25">
      <c r="A78" s="153" t="s">
        <v>133</v>
      </c>
      <c r="Q78" s="202"/>
      <c r="R78" s="202"/>
      <c r="S78" s="6"/>
      <c r="T78" s="6"/>
      <c r="U78" s="6"/>
      <c r="V78" s="6"/>
      <c r="W78" s="6"/>
    </row>
    <row r="79" spans="1:23" x14ac:dyDescent="0.25">
      <c r="A79" s="11" t="s">
        <v>48</v>
      </c>
      <c r="Q79" s="202"/>
      <c r="R79" s="202"/>
      <c r="S79" s="6"/>
      <c r="T79" s="6"/>
      <c r="U79" s="6"/>
      <c r="V79" s="6"/>
      <c r="W79" s="6"/>
    </row>
    <row r="80" spans="1:23" x14ac:dyDescent="0.25">
      <c r="Q80" s="202"/>
      <c r="R80" s="202"/>
      <c r="S80" s="6"/>
      <c r="T80" s="6"/>
      <c r="U80" s="6"/>
      <c r="V80" s="6"/>
      <c r="W80" s="6"/>
    </row>
    <row r="81" spans="1:23" x14ac:dyDescent="0.25">
      <c r="A81" s="6" t="s">
        <v>132</v>
      </c>
      <c r="Q81" s="202"/>
      <c r="R81" s="202"/>
      <c r="S81" s="6"/>
      <c r="T81" s="6"/>
      <c r="U81" s="6"/>
      <c r="V81" s="6"/>
      <c r="W81" s="6"/>
    </row>
    <row r="82" spans="1:23" x14ac:dyDescent="0.25">
      <c r="A82" s="6" t="s">
        <v>49</v>
      </c>
      <c r="Q82" s="202"/>
      <c r="R82" s="202"/>
      <c r="S82" s="6"/>
      <c r="T82" s="6"/>
      <c r="U82" s="6"/>
      <c r="V82" s="6"/>
      <c r="W82" s="6"/>
    </row>
    <row r="83" spans="1:23" x14ac:dyDescent="0.25">
      <c r="A83" s="6" t="s">
        <v>50</v>
      </c>
      <c r="Q83" s="202"/>
      <c r="R83" s="202"/>
      <c r="S83" s="6"/>
      <c r="T83" s="6"/>
      <c r="U83" s="6"/>
      <c r="V83" s="6"/>
      <c r="W83" s="6"/>
    </row>
    <row r="84" spans="1:23" x14ac:dyDescent="0.25">
      <c r="A84" s="6" t="s">
        <v>51</v>
      </c>
      <c r="Q84" s="202"/>
      <c r="R84" s="202"/>
      <c r="S84" s="6"/>
      <c r="T84" s="6"/>
      <c r="U84" s="6"/>
      <c r="V84" s="6"/>
      <c r="W84" s="6"/>
    </row>
    <row r="85" spans="1:23" x14ac:dyDescent="0.25">
      <c r="A85" s="6" t="s">
        <v>52</v>
      </c>
      <c r="Q85" s="202"/>
      <c r="R85" s="202"/>
      <c r="S85" s="6"/>
      <c r="T85" s="6"/>
      <c r="U85" s="6"/>
      <c r="V85" s="6"/>
      <c r="W85" s="6"/>
    </row>
    <row r="86" spans="1:23" x14ac:dyDescent="0.25">
      <c r="Q86" s="202"/>
      <c r="R86" s="202"/>
      <c r="S86" s="6"/>
      <c r="T86" s="6"/>
      <c r="U86" s="6"/>
      <c r="V86" s="6"/>
      <c r="W86" s="6"/>
    </row>
    <row r="87" spans="1:23" x14ac:dyDescent="0.25">
      <c r="A87" s="152"/>
      <c r="B87" s="6" t="s">
        <v>53</v>
      </c>
      <c r="Q87" s="202"/>
      <c r="R87" s="202"/>
      <c r="S87" s="6"/>
      <c r="T87" s="6"/>
      <c r="U87" s="6"/>
      <c r="V87" s="6"/>
      <c r="W87" s="6"/>
    </row>
    <row r="88" spans="1:23" x14ac:dyDescent="0.25">
      <c r="Q88" s="202"/>
      <c r="R88" s="202"/>
      <c r="S88" s="6"/>
      <c r="T88" s="6"/>
      <c r="U88" s="6"/>
      <c r="V88" s="6"/>
      <c r="W88" s="6"/>
    </row>
    <row r="89" spans="1:23" x14ac:dyDescent="0.25">
      <c r="B89" s="153" t="s">
        <v>54</v>
      </c>
      <c r="Q89" s="202"/>
      <c r="R89" s="202"/>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9:D50 D40:D47">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3</xdr:col>
                    <xdr:colOff>342900</xdr:colOff>
                    <xdr:row>9</xdr:row>
                    <xdr:rowOff>53340</xdr:rowOff>
                  </from>
                  <to>
                    <xdr:col>5</xdr:col>
                    <xdr:colOff>426720</xdr:colOff>
                    <xdr:row>9</xdr:row>
                    <xdr:rowOff>175260</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5</xdr:col>
                    <xdr:colOff>381000</xdr:colOff>
                    <xdr:row>9</xdr:row>
                    <xdr:rowOff>22860</xdr:rowOff>
                  </from>
                  <to>
                    <xdr:col>8</xdr:col>
                    <xdr:colOff>76200</xdr:colOff>
                    <xdr:row>9</xdr:row>
                    <xdr:rowOff>236220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W93"/>
  <sheetViews>
    <sheetView showGridLines="0" tabSelected="1" view="pageBreakPreview" topLeftCell="A57"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109375" style="6" customWidth="1"/>
    <col min="7" max="7" width="8" style="6" bestFit="1" customWidth="1"/>
    <col min="8" max="8" width="12.44140625" style="6" bestFit="1" customWidth="1"/>
    <col min="9" max="9" width="2.88671875" style="6" customWidth="1"/>
    <col min="10" max="10" width="10.44140625" style="6" bestFit="1" customWidth="1"/>
    <col min="11" max="11" width="8" style="6" bestFit="1" customWidth="1"/>
    <col min="12" max="12" width="12.44140625" style="6" bestFit="1" customWidth="1"/>
    <col min="13" max="13" width="2.88671875" style="6" customWidth="1"/>
    <col min="14" max="14" width="13" style="6" bestFit="1" customWidth="1"/>
    <col min="15" max="15" width="11.21875" style="6" bestFit="1" customWidth="1"/>
    <col min="16" max="16" width="3.88671875" style="6" customWidth="1"/>
    <col min="17" max="17" width="2.6640625" style="203" bestFit="1" customWidth="1"/>
    <col min="18" max="18" width="4.5546875" style="203" customWidth="1"/>
    <col min="19" max="19" width="2.6640625" style="203" bestFit="1" customWidth="1"/>
    <col min="20" max="20" width="4.5546875" style="203" customWidth="1"/>
    <col min="21" max="21" width="2.6640625" style="203" bestFit="1" customWidth="1"/>
    <col min="22" max="22" width="4.5546875" style="203" customWidth="1"/>
    <col min="23" max="23" width="2.66406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61</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4000000</v>
      </c>
      <c r="G18" s="12" t="s">
        <v>6</v>
      </c>
    </row>
    <row r="19" spans="2:23" x14ac:dyDescent="0.25">
      <c r="B19" s="11"/>
      <c r="F19" s="13">
        <v>7500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306" t="s">
        <v>13</v>
      </c>
      <c r="O21" s="306" t="s">
        <v>14</v>
      </c>
    </row>
    <row r="22" spans="2:23" x14ac:dyDescent="0.25">
      <c r="B22" s="11"/>
      <c r="D22" s="296"/>
      <c r="E22" s="15"/>
      <c r="F22" s="19" t="s">
        <v>15</v>
      </c>
      <c r="G22" s="19"/>
      <c r="H22" s="20" t="s">
        <v>15</v>
      </c>
      <c r="J22" s="19" t="s">
        <v>15</v>
      </c>
      <c r="K22" s="20"/>
      <c r="L22" s="20" t="s">
        <v>15</v>
      </c>
      <c r="N22" s="307"/>
      <c r="O22" s="307"/>
    </row>
    <row r="23" spans="2:23" x14ac:dyDescent="0.25">
      <c r="B23" s="21" t="s">
        <v>16</v>
      </c>
      <c r="C23" s="21"/>
      <c r="D23" s="22" t="s">
        <v>17</v>
      </c>
      <c r="E23" s="23"/>
      <c r="F23" s="156">
        <f>'Proposed Rates'!D11</f>
        <v>15231.32</v>
      </c>
      <c r="G23" s="25">
        <v>1</v>
      </c>
      <c r="H23" s="26">
        <f>G23*F23</f>
        <v>15231.32</v>
      </c>
      <c r="I23" s="27"/>
      <c r="J23" s="157">
        <f>+'Proposed Rates'!E11</f>
        <v>15231.32</v>
      </c>
      <c r="K23" s="29">
        <v>1</v>
      </c>
      <c r="L23" s="26">
        <f>K23*J23</f>
        <v>15231.32</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'Proposed Rates'!D24</f>
        <v>3.7199</v>
      </c>
      <c r="G29" s="51">
        <f>+$F$19</f>
        <v>7500</v>
      </c>
      <c r="H29" s="26">
        <f t="shared" si="0"/>
        <v>27899.25</v>
      </c>
      <c r="I29" s="27"/>
      <c r="J29" s="28">
        <f>+'Proposed Rates'!E24</f>
        <v>3.9710000000000001</v>
      </c>
      <c r="K29" s="51">
        <f>+$F$19</f>
        <v>7500</v>
      </c>
      <c r="L29" s="26">
        <f t="shared" si="1"/>
        <v>29782.5</v>
      </c>
      <c r="M29" s="27"/>
      <c r="N29" s="30">
        <f t="shared" si="2"/>
        <v>1883.25</v>
      </c>
      <c r="O29" s="31">
        <f t="shared" si="3"/>
        <v>6.7501814564907656E-2</v>
      </c>
      <c r="Q29" s="107"/>
      <c r="S29" s="107"/>
      <c r="U29" s="107"/>
      <c r="W29" s="107"/>
    </row>
    <row r="30" spans="2:23" x14ac:dyDescent="0.25">
      <c r="B30" s="21" t="s">
        <v>21</v>
      </c>
      <c r="C30" s="21"/>
      <c r="D30" s="22"/>
      <c r="E30" s="23"/>
      <c r="F30" s="24"/>
      <c r="G30" s="25">
        <f t="shared" ref="G30" si="4">$F$18</f>
        <v>4000000</v>
      </c>
      <c r="H30" s="26">
        <f t="shared" si="0"/>
        <v>0</v>
      </c>
      <c r="I30" s="27"/>
      <c r="J30" s="28"/>
      <c r="K30" s="25">
        <f t="shared" ref="K30:K38" si="5">$F$18</f>
        <v>4000000</v>
      </c>
      <c r="L30" s="26">
        <f t="shared" si="1"/>
        <v>0</v>
      </c>
      <c r="M30" s="27"/>
      <c r="N30" s="30">
        <f t="shared" si="2"/>
        <v>0</v>
      </c>
      <c r="O30" s="31" t="str">
        <f t="shared" si="3"/>
        <v/>
      </c>
      <c r="Q30" s="107"/>
      <c r="S30" s="107"/>
      <c r="U30" s="107"/>
      <c r="W30" s="107"/>
    </row>
    <row r="31" spans="2:23" x14ac:dyDescent="0.25">
      <c r="B31" s="21" t="s">
        <v>22</v>
      </c>
      <c r="C31" s="21"/>
      <c r="D31" s="22" t="s">
        <v>58</v>
      </c>
      <c r="E31" s="23"/>
      <c r="F31" s="24">
        <f>'Proposed Rates'!D71</f>
        <v>0</v>
      </c>
      <c r="G31" s="51">
        <f>+$F$19</f>
        <v>7500</v>
      </c>
      <c r="H31" s="26">
        <f t="shared" si="0"/>
        <v>0</v>
      </c>
      <c r="I31" s="27"/>
      <c r="J31" s="158">
        <f>+'Proposed Rates'!E71</f>
        <v>0</v>
      </c>
      <c r="K31" s="51">
        <f>+$F$19</f>
        <v>7500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4000000</v>
      </c>
      <c r="H32" s="26">
        <f t="shared" si="0"/>
        <v>0</v>
      </c>
      <c r="I32" s="27"/>
      <c r="J32" s="28"/>
      <c r="K32" s="25">
        <f t="shared" si="5"/>
        <v>4000000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4000000</v>
      </c>
      <c r="H33" s="26">
        <f t="shared" si="0"/>
        <v>0</v>
      </c>
      <c r="I33" s="27"/>
      <c r="J33" s="28"/>
      <c r="K33" s="25">
        <f t="shared" si="5"/>
        <v>4000000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4000000</v>
      </c>
      <c r="H34" s="26">
        <f t="shared" si="0"/>
        <v>0</v>
      </c>
      <c r="I34" s="27"/>
      <c r="J34" s="28"/>
      <c r="K34" s="25">
        <f t="shared" si="5"/>
        <v>4000000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4000000</v>
      </c>
      <c r="H35" s="26">
        <f t="shared" si="0"/>
        <v>0</v>
      </c>
      <c r="I35" s="27"/>
      <c r="J35" s="28"/>
      <c r="K35" s="25">
        <f t="shared" si="5"/>
        <v>4000000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4000000</v>
      </c>
      <c r="H36" s="26">
        <f t="shared" si="0"/>
        <v>0</v>
      </c>
      <c r="I36" s="27"/>
      <c r="J36" s="28"/>
      <c r="K36" s="25">
        <f t="shared" si="5"/>
        <v>4000000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4000000</v>
      </c>
      <c r="H37" s="26">
        <f t="shared" si="0"/>
        <v>0</v>
      </c>
      <c r="I37" s="27"/>
      <c r="J37" s="28"/>
      <c r="K37" s="25">
        <f t="shared" si="5"/>
        <v>4000000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4000000</v>
      </c>
      <c r="H38" s="26">
        <f t="shared" si="0"/>
        <v>0</v>
      </c>
      <c r="I38" s="27"/>
      <c r="J38" s="28"/>
      <c r="K38" s="25">
        <f t="shared" si="5"/>
        <v>4000000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43130.57</v>
      </c>
      <c r="I39" s="40"/>
      <c r="J39" s="41"/>
      <c r="K39" s="42"/>
      <c r="L39" s="39">
        <f>SUM(L23:L38)</f>
        <v>45013.82</v>
      </c>
      <c r="M39" s="40"/>
      <c r="N39" s="43">
        <f t="shared" si="2"/>
        <v>1883.25</v>
      </c>
      <c r="O39" s="44">
        <f t="shared" si="3"/>
        <v>4.366392561007193E-2</v>
      </c>
      <c r="Q39" s="107"/>
      <c r="R39" s="203"/>
      <c r="S39" s="107"/>
      <c r="T39" s="203"/>
      <c r="U39" s="107"/>
      <c r="V39" s="203"/>
      <c r="W39" s="107"/>
    </row>
    <row r="40" spans="2:23" ht="26.4" x14ac:dyDescent="0.25">
      <c r="B40" s="46" t="str">
        <f>+'&gt;50 (100)'!B40</f>
        <v>Deferral/Variance Account Disposition Rate Rider Class 1</v>
      </c>
      <c r="C40" s="21"/>
      <c r="D40" s="22" t="str">
        <f>+'&gt;50 (100)'!D40</f>
        <v>per kW</v>
      </c>
      <c r="E40" s="23"/>
      <c r="F40" s="24">
        <f>'Proposed Rates'!D42</f>
        <v>1.54E-2</v>
      </c>
      <c r="G40" s="51">
        <f>+$F$19</f>
        <v>7500</v>
      </c>
      <c r="H40" s="26">
        <f>G40*F40</f>
        <v>115.5</v>
      </c>
      <c r="I40" s="27"/>
      <c r="J40" s="28">
        <f>+'Proposed Rates'!E42</f>
        <v>-0.2185</v>
      </c>
      <c r="K40" s="51">
        <f>+$F$19</f>
        <v>7500</v>
      </c>
      <c r="L40" s="26">
        <f>K40*J40</f>
        <v>-1638.75</v>
      </c>
      <c r="M40" s="27"/>
      <c r="N40" s="30">
        <f>L40-H40</f>
        <v>-1754.25</v>
      </c>
      <c r="O40" s="31">
        <f>IF((H40)=0,"",(N40/H40))</f>
        <v>-15.188311688311689</v>
      </c>
      <c r="Q40" s="107"/>
      <c r="S40" s="107"/>
      <c r="U40" s="107"/>
      <c r="W40" s="107"/>
    </row>
    <row r="41" spans="2:23" ht="26.4" x14ac:dyDescent="0.25">
      <c r="B41" s="46" t="str">
        <f>+'&gt;50 (100)'!B41</f>
        <v>Deferral/Variance Account Disposition Rate Rider Class 2</v>
      </c>
      <c r="C41" s="21"/>
      <c r="D41" s="22" t="str">
        <f>+'&gt;50 (100)'!D41</f>
        <v>per kW</v>
      </c>
      <c r="E41" s="23"/>
      <c r="F41" s="24">
        <f>'Proposed Rates'!D56</f>
        <v>1.7000000000000001E-2</v>
      </c>
      <c r="G41" s="51">
        <f>+F19</f>
        <v>7500</v>
      </c>
      <c r="H41" s="26">
        <f t="shared" ref="H41:H46" si="7">G41*F41</f>
        <v>127.50000000000001</v>
      </c>
      <c r="I41" s="47"/>
      <c r="J41" s="28">
        <f>+'Proposed Rates'!E56</f>
        <v>0</v>
      </c>
      <c r="K41" s="51">
        <f>$G$41</f>
        <v>7500</v>
      </c>
      <c r="L41" s="26">
        <f t="shared" ref="L41:L46" si="8">K41*J41</f>
        <v>0</v>
      </c>
      <c r="M41" s="48"/>
      <c r="N41" s="30">
        <f t="shared" ref="N41:N46" si="9">L41-H41</f>
        <v>-127.50000000000001</v>
      </c>
      <c r="O41" s="31">
        <f t="shared" ref="O41:O65" si="10">IF((H41)=0,"",(N41/H41))</f>
        <v>-1</v>
      </c>
      <c r="Q41" s="107"/>
      <c r="S41" s="107"/>
      <c r="U41" s="107"/>
      <c r="W41" s="107"/>
    </row>
    <row r="42" spans="2:23" ht="39.6" x14ac:dyDescent="0.25">
      <c r="B42" s="46" t="str">
        <f>+'&gt;50 (100)'!B42</f>
        <v xml:space="preserve">Deferral/Variance Account Disposition Rate Rider -  Global Adjustment </v>
      </c>
      <c r="C42" s="21"/>
      <c r="D42" s="22" t="str">
        <f>+'&gt;50 (100)'!D42</f>
        <v>per kWh</v>
      </c>
      <c r="E42" s="23"/>
      <c r="F42" s="24">
        <f>'Proposed Rates'!D85</f>
        <v>-1.9E-3</v>
      </c>
      <c r="G42" s="25">
        <f t="shared" ref="G42" si="11">$F$18</f>
        <v>4000000</v>
      </c>
      <c r="H42" s="26">
        <f t="shared" si="7"/>
        <v>-7600</v>
      </c>
      <c r="I42" s="47"/>
      <c r="J42" s="28">
        <f>+'Proposed Rates'!E85</f>
        <v>0</v>
      </c>
      <c r="K42" s="25">
        <f t="shared" ref="K42" si="12">$F$18</f>
        <v>4000000</v>
      </c>
      <c r="L42" s="26">
        <f t="shared" si="8"/>
        <v>0</v>
      </c>
      <c r="M42" s="48"/>
      <c r="N42" s="30">
        <f t="shared" si="9"/>
        <v>7600</v>
      </c>
      <c r="O42" s="31">
        <f t="shared" si="10"/>
        <v>-1</v>
      </c>
      <c r="Q42" s="107"/>
      <c r="S42" s="107"/>
      <c r="U42" s="107"/>
      <c r="W42" s="107"/>
    </row>
    <row r="43" spans="2:23" ht="39.6" x14ac:dyDescent="0.25">
      <c r="B43" s="46" t="str">
        <f>+'&gt;50 (100)'!B43</f>
        <v>Deferral / Variance Accounts Balances (excluding Global Adj.) - NON-WMP</v>
      </c>
      <c r="C43" s="21"/>
      <c r="D43" s="22" t="s">
        <v>58</v>
      </c>
      <c r="E43" s="23"/>
      <c r="F43" s="24">
        <f>'Proposed Rates'!D101</f>
        <v>-1.2968999999999999</v>
      </c>
      <c r="G43" s="51">
        <f>$F$19</f>
        <v>7500</v>
      </c>
      <c r="H43" s="26">
        <f t="shared" si="7"/>
        <v>-9726.75</v>
      </c>
      <c r="I43" s="47"/>
      <c r="J43" s="28">
        <f>+'Proposed Rates'!E101</f>
        <v>-0.4451</v>
      </c>
      <c r="K43" s="51">
        <f>$G$41</f>
        <v>7500</v>
      </c>
      <c r="L43" s="26">
        <f t="shared" si="8"/>
        <v>-3338.25</v>
      </c>
      <c r="M43" s="48"/>
      <c r="N43" s="30">
        <f t="shared" si="9"/>
        <v>6388.5</v>
      </c>
      <c r="O43" s="31">
        <f t="shared" si="10"/>
        <v>-0.65679697740766441</v>
      </c>
      <c r="Q43" s="107"/>
      <c r="S43" s="107"/>
      <c r="U43" s="107"/>
      <c r="W43" s="107"/>
    </row>
    <row r="44" spans="2:23" ht="39.6" x14ac:dyDescent="0.25">
      <c r="B44" s="46" t="s">
        <v>125</v>
      </c>
      <c r="C44" s="21"/>
      <c r="D44" s="22" t="s">
        <v>20</v>
      </c>
      <c r="E44" s="23"/>
      <c r="F44" s="24">
        <f>+'Proposed Rates'!D115</f>
        <v>2.7E-4</v>
      </c>
      <c r="G44" s="25">
        <f t="shared" ref="G44" si="13">$F$18</f>
        <v>4000000</v>
      </c>
      <c r="H44" s="26">
        <f t="shared" si="7"/>
        <v>1080</v>
      </c>
      <c r="I44" s="226"/>
      <c r="J44" s="223">
        <f>+'Proposed Rates'!E115</f>
        <v>0</v>
      </c>
      <c r="K44" s="25">
        <f t="shared" ref="K44" si="14">$F$18</f>
        <v>4000000</v>
      </c>
      <c r="L44" s="26">
        <f t="shared" si="8"/>
        <v>0</v>
      </c>
      <c r="M44" s="226"/>
      <c r="N44" s="30">
        <f t="shared" si="9"/>
        <v>-1080</v>
      </c>
      <c r="O44" s="31">
        <f t="shared" si="10"/>
        <v>-1</v>
      </c>
      <c r="Q44" s="107"/>
      <c r="S44" s="107"/>
      <c r="U44" s="107"/>
      <c r="W44" s="107"/>
    </row>
    <row r="45" spans="2:23" x14ac:dyDescent="0.25">
      <c r="B45" s="49" t="s">
        <v>25</v>
      </c>
      <c r="C45" s="21"/>
      <c r="D45" s="22" t="s">
        <v>58</v>
      </c>
      <c r="E45" s="23"/>
      <c r="F45" s="50">
        <f>'Proposed Rates'!D130</f>
        <v>3.168E-2</v>
      </c>
      <c r="G45" s="51">
        <f>+$F$19</f>
        <v>7500</v>
      </c>
      <c r="H45" s="26">
        <f>G45*F45</f>
        <v>237.6</v>
      </c>
      <c r="I45" s="27"/>
      <c r="J45" s="52">
        <f>'Proposed Rates'!E130</f>
        <v>2.8670000000000001E-2</v>
      </c>
      <c r="K45" s="51">
        <f>+$F$19</f>
        <v>7500</v>
      </c>
      <c r="L45" s="26">
        <f>K45*J45</f>
        <v>215.02500000000001</v>
      </c>
      <c r="M45" s="27"/>
      <c r="N45" s="30">
        <f>L45-H45</f>
        <v>-22.574999999999989</v>
      </c>
      <c r="O45" s="31">
        <f>IF((H45)=0,"",(N45/H45))</f>
        <v>-9.5012626262626215E-2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24800</v>
      </c>
      <c r="H46" s="26">
        <f t="shared" si="7"/>
        <v>2037.5680000000002</v>
      </c>
      <c r="I46" s="27"/>
      <c r="J46" s="55">
        <f>0.65*$J$57+0.17*$J$58+0.18*$J$59</f>
        <v>8.2160000000000011E-2</v>
      </c>
      <c r="K46" s="54">
        <f>$F$18*(1+$J$72)-$F$18</f>
        <v>24800</v>
      </c>
      <c r="L46" s="26">
        <f t="shared" si="8"/>
        <v>2037.5680000000002</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29401.988000000001</v>
      </c>
      <c r="I48" s="40"/>
      <c r="J48" s="59"/>
      <c r="K48" s="61"/>
      <c r="L48" s="60">
        <f>SUM(L40:L47)+L39</f>
        <v>42289.413</v>
      </c>
      <c r="M48" s="40"/>
      <c r="N48" s="43">
        <f t="shared" ref="N48:N65" si="15">L48-H48</f>
        <v>12887.424999999999</v>
      </c>
      <c r="O48" s="44">
        <f t="shared" si="10"/>
        <v>0.43831815045975797</v>
      </c>
      <c r="Q48" s="107"/>
      <c r="S48" s="107"/>
      <c r="U48" s="107"/>
      <c r="W48" s="107"/>
    </row>
    <row r="49" spans="2:23" x14ac:dyDescent="0.25">
      <c r="B49" s="27" t="s">
        <v>29</v>
      </c>
      <c r="C49" s="27"/>
      <c r="D49" s="62" t="s">
        <v>58</v>
      </c>
      <c r="E49" s="63"/>
      <c r="F49" s="28">
        <f>'Proposed Rates'!D160</f>
        <v>3.2246000000000001</v>
      </c>
      <c r="G49" s="64">
        <f>+$F$19</f>
        <v>7500</v>
      </c>
      <c r="H49" s="26">
        <f>G49*F49</f>
        <v>24184.5</v>
      </c>
      <c r="I49" s="27"/>
      <c r="J49" s="28">
        <f>'Proposed Rates'!E160</f>
        <v>3.2772000000000001</v>
      </c>
      <c r="K49" s="64">
        <f>+$F$19</f>
        <v>7500</v>
      </c>
      <c r="L49" s="26">
        <f>K49*J49</f>
        <v>24579</v>
      </c>
      <c r="M49" s="27"/>
      <c r="N49" s="30">
        <f t="shared" si="15"/>
        <v>394.5</v>
      </c>
      <c r="O49" s="31">
        <f t="shared" si="10"/>
        <v>1.6312100725671401E-2</v>
      </c>
      <c r="Q49" s="107"/>
      <c r="S49" s="107"/>
      <c r="U49" s="107"/>
      <c r="W49" s="107"/>
    </row>
    <row r="50" spans="2:23" ht="26.4" x14ac:dyDescent="0.25">
      <c r="B50" s="66" t="s">
        <v>30</v>
      </c>
      <c r="C50" s="27"/>
      <c r="D50" s="62" t="s">
        <v>58</v>
      </c>
      <c r="E50" s="63"/>
      <c r="F50" s="28">
        <f>'Proposed Rates'!D175</f>
        <v>2.1873</v>
      </c>
      <c r="G50" s="64">
        <f>G49</f>
        <v>7500</v>
      </c>
      <c r="H50" s="26">
        <f>G50*F50</f>
        <v>16404.75</v>
      </c>
      <c r="I50" s="27"/>
      <c r="J50" s="28">
        <f>'Proposed Rates'!E175</f>
        <v>2.2153</v>
      </c>
      <c r="K50" s="64">
        <f>K49</f>
        <v>7500</v>
      </c>
      <c r="L50" s="26">
        <f>K50*J50</f>
        <v>16614.75</v>
      </c>
      <c r="M50" s="27"/>
      <c r="N50" s="30">
        <f t="shared" si="15"/>
        <v>210</v>
      </c>
      <c r="O50" s="31">
        <f t="shared" si="10"/>
        <v>1.280117039272162E-2</v>
      </c>
      <c r="Q50" s="107"/>
      <c r="S50" s="107"/>
      <c r="U50" s="107"/>
      <c r="W50" s="107"/>
    </row>
    <row r="51" spans="2:23" ht="26.4" x14ac:dyDescent="0.25">
      <c r="B51" s="56" t="s">
        <v>31</v>
      </c>
      <c r="C51" s="35"/>
      <c r="D51" s="35"/>
      <c r="E51" s="35"/>
      <c r="F51" s="67"/>
      <c r="G51" s="59"/>
      <c r="H51" s="60">
        <f>SUM(H48:H50)</f>
        <v>69991.237999999998</v>
      </c>
      <c r="I51" s="68"/>
      <c r="J51" s="69"/>
      <c r="K51" s="59"/>
      <c r="L51" s="60">
        <f>SUM(L48:L50)</f>
        <v>83483.163</v>
      </c>
      <c r="M51" s="68"/>
      <c r="N51" s="43">
        <f t="shared" si="15"/>
        <v>13491.925000000003</v>
      </c>
      <c r="O51" s="44">
        <f t="shared" si="10"/>
        <v>0.19276591449918351</v>
      </c>
      <c r="Q51" s="102"/>
      <c r="S51" s="102"/>
      <c r="U51" s="102"/>
      <c r="W51" s="102"/>
    </row>
    <row r="52" spans="2:23" ht="26.4" x14ac:dyDescent="0.25">
      <c r="B52" s="71" t="s">
        <v>32</v>
      </c>
      <c r="C52" s="21"/>
      <c r="D52" s="22" t="s">
        <v>20</v>
      </c>
      <c r="E52" s="23"/>
      <c r="F52" s="72">
        <f>'Proposed Rates'!D186</f>
        <v>3.5999999999999999E-3</v>
      </c>
      <c r="G52" s="64">
        <f>+$F$18+G46</f>
        <v>4024800</v>
      </c>
      <c r="H52" s="73">
        <f t="shared" ref="H52:H59" si="16">G52*F52</f>
        <v>14489.279999999999</v>
      </c>
      <c r="I52" s="27"/>
      <c r="J52" s="72">
        <f>F52</f>
        <v>3.5999999999999999E-3</v>
      </c>
      <c r="K52" s="64">
        <f>+$F$18+K46</f>
        <v>4024800</v>
      </c>
      <c r="L52" s="73">
        <f t="shared" ref="L52:L59" si="17">K52*J52</f>
        <v>14489.279999999999</v>
      </c>
      <c r="M52" s="27"/>
      <c r="N52" s="30">
        <f t="shared" si="15"/>
        <v>0</v>
      </c>
      <c r="O52" s="74">
        <f t="shared" si="10"/>
        <v>0</v>
      </c>
      <c r="Q52" s="107"/>
      <c r="S52" s="107"/>
      <c r="U52" s="107"/>
      <c r="W52" s="107"/>
    </row>
    <row r="53" spans="2:23" ht="26.4" x14ac:dyDescent="0.25">
      <c r="B53" s="71" t="s">
        <v>33</v>
      </c>
      <c r="C53" s="21"/>
      <c r="D53" s="22" t="s">
        <v>20</v>
      </c>
      <c r="E53" s="23"/>
      <c r="F53" s="72">
        <f>'Proposed Rates'!D191</f>
        <v>2.9999999999999997E-4</v>
      </c>
      <c r="G53" s="64">
        <f>G52</f>
        <v>4024800</v>
      </c>
      <c r="H53" s="73">
        <f t="shared" si="16"/>
        <v>1207.4399999999998</v>
      </c>
      <c r="I53" s="27"/>
      <c r="J53" s="72">
        <f>F53</f>
        <v>2.9999999999999997E-4</v>
      </c>
      <c r="K53" s="64">
        <f>K52</f>
        <v>4024800</v>
      </c>
      <c r="L53" s="73">
        <f t="shared" si="17"/>
        <v>1207.4399999999998</v>
      </c>
      <c r="M53" s="27"/>
      <c r="N53" s="30">
        <f t="shared" si="15"/>
        <v>0</v>
      </c>
      <c r="O53" s="74">
        <f t="shared" si="10"/>
        <v>0</v>
      </c>
      <c r="Q53" s="107"/>
      <c r="S53" s="107"/>
      <c r="U53" s="107"/>
      <c r="W53" s="107"/>
    </row>
    <row r="54" spans="2:23" x14ac:dyDescent="0.25">
      <c r="B54" s="21" t="s">
        <v>34</v>
      </c>
      <c r="C54" s="21"/>
      <c r="D54" s="22" t="s">
        <v>17</v>
      </c>
      <c r="E54" s="23"/>
      <c r="F54" s="72">
        <f>'Proposed Rates'!D196</f>
        <v>0.25</v>
      </c>
      <c r="G54" s="25">
        <v>1</v>
      </c>
      <c r="H54" s="73">
        <f t="shared" si="16"/>
        <v>0.25</v>
      </c>
      <c r="I54" s="27"/>
      <c r="J54" s="72">
        <f>'Proposed Rates'!E196</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G53</f>
        <v>4024800</v>
      </c>
      <c r="H55" s="73">
        <f>G55*F55</f>
        <v>0</v>
      </c>
      <c r="I55" s="27"/>
      <c r="J55" s="72">
        <f>F55</f>
        <v>0</v>
      </c>
      <c r="K55" s="64">
        <f>K53</f>
        <v>4024800</v>
      </c>
      <c r="L55" s="73">
        <f>K55*J55</f>
        <v>0</v>
      </c>
      <c r="M55" s="27"/>
      <c r="N55" s="30"/>
      <c r="O55" s="74"/>
      <c r="Q55" s="107"/>
      <c r="S55" s="107"/>
      <c r="U55" s="107"/>
      <c r="W55" s="107"/>
    </row>
    <row r="56" spans="2:23" x14ac:dyDescent="0.25">
      <c r="B56" s="21" t="s">
        <v>35</v>
      </c>
      <c r="C56" s="21"/>
      <c r="D56" s="22"/>
      <c r="E56" s="23"/>
      <c r="F56" s="72">
        <f>'Proposed Rates'!D216</f>
        <v>6.94E-3</v>
      </c>
      <c r="G56" s="75">
        <f>$F$18</f>
        <v>4000000</v>
      </c>
      <c r="H56" s="73">
        <f t="shared" si="16"/>
        <v>27760</v>
      </c>
      <c r="I56" s="27"/>
      <c r="J56" s="72">
        <f>+F56</f>
        <v>6.94E-3</v>
      </c>
      <c r="K56" s="76">
        <f>$F$18</f>
        <v>4000000</v>
      </c>
      <c r="L56" s="73">
        <f t="shared" si="17"/>
        <v>27760</v>
      </c>
      <c r="M56" s="27"/>
      <c r="N56" s="30">
        <f t="shared" si="15"/>
        <v>0</v>
      </c>
      <c r="O56" s="74">
        <f t="shared" si="10"/>
        <v>0</v>
      </c>
      <c r="Q56" s="107"/>
      <c r="S56" s="107"/>
      <c r="U56" s="107"/>
      <c r="W56" s="107"/>
    </row>
    <row r="57" spans="2:23" x14ac:dyDescent="0.25">
      <c r="B57" s="49" t="s">
        <v>36</v>
      </c>
      <c r="C57" s="21"/>
      <c r="D57" s="22"/>
      <c r="E57" s="23"/>
      <c r="F57" s="72">
        <f>'Proposed Rates'!D226</f>
        <v>6.5000000000000002E-2</v>
      </c>
      <c r="G57" s="77">
        <f>0.65*$F$18</f>
        <v>2600000</v>
      </c>
      <c r="H57" s="73">
        <f t="shared" si="16"/>
        <v>169000</v>
      </c>
      <c r="I57" s="27"/>
      <c r="J57" s="72">
        <f>F57</f>
        <v>6.5000000000000002E-2</v>
      </c>
      <c r="K57" s="77">
        <f>$G$57</f>
        <v>2600000</v>
      </c>
      <c r="L57" s="73">
        <f t="shared" si="17"/>
        <v>169000</v>
      </c>
      <c r="M57" s="27"/>
      <c r="N57" s="30">
        <f t="shared" si="15"/>
        <v>0</v>
      </c>
      <c r="O57" s="74">
        <f t="shared" si="10"/>
        <v>0</v>
      </c>
      <c r="Q57" s="107"/>
      <c r="S57" s="107"/>
      <c r="U57" s="107"/>
      <c r="W57" s="107"/>
    </row>
    <row r="58" spans="2:23" x14ac:dyDescent="0.25">
      <c r="B58" s="49" t="s">
        <v>37</v>
      </c>
      <c r="C58" s="21"/>
      <c r="D58" s="22"/>
      <c r="E58" s="23"/>
      <c r="F58" s="72">
        <f>'Proposed Rates'!D227</f>
        <v>9.5000000000000001E-2</v>
      </c>
      <c r="G58" s="77">
        <f>0.17*$F$18</f>
        <v>680000</v>
      </c>
      <c r="H58" s="73">
        <f t="shared" si="16"/>
        <v>64600</v>
      </c>
      <c r="I58" s="27"/>
      <c r="J58" s="72">
        <f>F58</f>
        <v>9.5000000000000001E-2</v>
      </c>
      <c r="K58" s="77">
        <f>$G$58</f>
        <v>680000</v>
      </c>
      <c r="L58" s="73">
        <f t="shared" si="17"/>
        <v>64600</v>
      </c>
      <c r="M58" s="27"/>
      <c r="N58" s="30">
        <f t="shared" si="15"/>
        <v>0</v>
      </c>
      <c r="O58" s="74">
        <f t="shared" si="10"/>
        <v>0</v>
      </c>
      <c r="Q58" s="107"/>
      <c r="S58" s="107"/>
      <c r="U58" s="107"/>
      <c r="W58" s="107"/>
    </row>
    <row r="59" spans="2:23" x14ac:dyDescent="0.25">
      <c r="B59" s="11" t="s">
        <v>38</v>
      </c>
      <c r="C59" s="21"/>
      <c r="D59" s="22"/>
      <c r="E59" s="23"/>
      <c r="F59" s="72">
        <f>'Proposed Rates'!D228</f>
        <v>0.13200000000000001</v>
      </c>
      <c r="G59" s="77">
        <f>0.18*$F$18</f>
        <v>720000</v>
      </c>
      <c r="H59" s="73">
        <f t="shared" si="16"/>
        <v>95040</v>
      </c>
      <c r="I59" s="27"/>
      <c r="J59" s="72">
        <f>F59</f>
        <v>0.13200000000000001</v>
      </c>
      <c r="K59" s="77">
        <f>$G$59</f>
        <v>720000</v>
      </c>
      <c r="L59" s="73">
        <f t="shared" si="17"/>
        <v>95040</v>
      </c>
      <c r="M59" s="27"/>
      <c r="N59" s="30">
        <f t="shared" si="15"/>
        <v>0</v>
      </c>
      <c r="O59" s="74">
        <f t="shared" si="10"/>
        <v>0</v>
      </c>
      <c r="Q59" s="107"/>
      <c r="S59" s="107"/>
      <c r="U59" s="107"/>
      <c r="W59" s="107"/>
    </row>
    <row r="60" spans="2:23" s="85" customFormat="1" x14ac:dyDescent="0.25">
      <c r="B60" s="78" t="s">
        <v>39</v>
      </c>
      <c r="C60" s="79"/>
      <c r="D60" s="80"/>
      <c r="E60" s="81"/>
      <c r="F60" s="72">
        <f>'Proposed Rates'!D229</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'Proposed Rates'!D230</f>
        <v>0.09</v>
      </c>
      <c r="G61" s="82">
        <f>F18-G60</f>
        <v>3999250</v>
      </c>
      <c r="H61" s="73">
        <f>G61*F61</f>
        <v>359932.5</v>
      </c>
      <c r="I61" s="83"/>
      <c r="J61" s="72">
        <f>F61</f>
        <v>0.09</v>
      </c>
      <c r="K61" s="82">
        <f>$G$61</f>
        <v>3999250</v>
      </c>
      <c r="L61" s="73">
        <f>K61*J61</f>
        <v>359932.5</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442088.20799999998</v>
      </c>
      <c r="I63" s="100"/>
      <c r="J63" s="101"/>
      <c r="K63" s="101"/>
      <c r="L63" s="99">
        <f>SUM(L52:L59,L51)</f>
        <v>455580.13299999997</v>
      </c>
      <c r="M63" s="102"/>
      <c r="N63" s="103">
        <f t="shared" ref="N63" si="18">L63-H63</f>
        <v>13491.924999999988</v>
      </c>
      <c r="O63" s="104">
        <f t="shared" ref="O63" si="19">IF((H63)=0,"",(N63/H63))</f>
        <v>3.05186267261849E-2</v>
      </c>
      <c r="Q63" s="102"/>
      <c r="S63" s="102"/>
      <c r="U63" s="102"/>
      <c r="W63" s="102"/>
    </row>
    <row r="64" spans="2:23" x14ac:dyDescent="0.25">
      <c r="B64" s="105" t="s">
        <v>42</v>
      </c>
      <c r="C64" s="21"/>
      <c r="D64" s="21"/>
      <c r="E64" s="21"/>
      <c r="F64" s="106">
        <v>0.13</v>
      </c>
      <c r="G64" s="107"/>
      <c r="H64" s="108">
        <f>H63*F64</f>
        <v>57471.467040000003</v>
      </c>
      <c r="I64" s="109"/>
      <c r="J64" s="110">
        <v>0.13</v>
      </c>
      <c r="K64" s="109"/>
      <c r="L64" s="111">
        <f>L63*J64</f>
        <v>59225.417289999998</v>
      </c>
      <c r="M64" s="112"/>
      <c r="N64" s="113">
        <f t="shared" si="15"/>
        <v>1753.9502499999944</v>
      </c>
      <c r="O64" s="114">
        <f t="shared" si="10"/>
        <v>3.0518626726184824E-2</v>
      </c>
      <c r="Q64" s="112"/>
      <c r="S64" s="112"/>
      <c r="U64" s="112"/>
      <c r="W64" s="112"/>
    </row>
    <row r="65" spans="1:23" ht="13.8" thickBot="1" x14ac:dyDescent="0.3">
      <c r="B65" s="115" t="s">
        <v>43</v>
      </c>
      <c r="C65" s="21"/>
      <c r="D65" s="21"/>
      <c r="E65" s="21"/>
      <c r="F65" s="116"/>
      <c r="G65" s="107"/>
      <c r="H65" s="99">
        <f>H63+H64</f>
        <v>499559.67504</v>
      </c>
      <c r="I65" s="109"/>
      <c r="J65" s="109"/>
      <c r="K65" s="109"/>
      <c r="L65" s="212">
        <f>L63+L64</f>
        <v>514805.55028999998</v>
      </c>
      <c r="M65" s="112"/>
      <c r="N65" s="103">
        <f t="shared" si="15"/>
        <v>15245.875249999983</v>
      </c>
      <c r="O65" s="104">
        <f t="shared" si="10"/>
        <v>3.051862672618489E-2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473438.45800000004</v>
      </c>
      <c r="I67" s="128"/>
      <c r="J67" s="129"/>
      <c r="K67" s="129"/>
      <c r="L67" s="127">
        <f>SUM(L60:L61,L51,L52:L56)</f>
        <v>486930.38299999997</v>
      </c>
      <c r="M67" s="130"/>
      <c r="N67" s="131">
        <f t="shared" ref="N67:N69" si="20">L67-H67</f>
        <v>13491.92499999993</v>
      </c>
      <c r="O67" s="104">
        <f t="shared" ref="O67:O69" si="21">IF((H67)=0,"",(N67/H67))</f>
        <v>2.8497737714412566E-2</v>
      </c>
      <c r="Q67" s="130"/>
      <c r="R67" s="204"/>
      <c r="S67" s="130"/>
      <c r="T67" s="204"/>
      <c r="U67" s="130"/>
      <c r="V67" s="204"/>
      <c r="W67" s="130"/>
    </row>
    <row r="68" spans="1:23" s="85" customFormat="1" x14ac:dyDescent="0.25">
      <c r="B68" s="132" t="s">
        <v>42</v>
      </c>
      <c r="C68" s="79"/>
      <c r="D68" s="79"/>
      <c r="E68" s="79"/>
      <c r="F68" s="133">
        <v>0.13</v>
      </c>
      <c r="G68" s="126"/>
      <c r="H68" s="134">
        <f>H67*F68</f>
        <v>61546.999540000004</v>
      </c>
      <c r="I68" s="135"/>
      <c r="J68" s="136">
        <v>0.13</v>
      </c>
      <c r="K68" s="137"/>
      <c r="L68" s="138">
        <f>L67*J68</f>
        <v>63300.949789999999</v>
      </c>
      <c r="M68" s="139"/>
      <c r="N68" s="140">
        <f t="shared" si="20"/>
        <v>1753.9502499999944</v>
      </c>
      <c r="O68" s="114">
        <f t="shared" si="21"/>
        <v>2.8497737714412621E-2</v>
      </c>
      <c r="Q68" s="139"/>
      <c r="R68" s="204"/>
      <c r="S68" s="139"/>
      <c r="T68" s="204"/>
      <c r="U68" s="139"/>
      <c r="V68" s="204"/>
      <c r="W68" s="139"/>
    </row>
    <row r="69" spans="1:23" s="85" customFormat="1" ht="13.8" thickBot="1" x14ac:dyDescent="0.3">
      <c r="B69" s="141" t="s">
        <v>43</v>
      </c>
      <c r="C69" s="79"/>
      <c r="D69" s="79"/>
      <c r="E69" s="79"/>
      <c r="F69" s="142"/>
      <c r="G69" s="143"/>
      <c r="H69" s="127">
        <f>H67+H68</f>
        <v>534985.45754000009</v>
      </c>
      <c r="I69" s="135"/>
      <c r="J69" s="135"/>
      <c r="K69" s="135"/>
      <c r="L69" s="211">
        <f>L67+L68</f>
        <v>550231.33279000001</v>
      </c>
      <c r="M69" s="139"/>
      <c r="N69" s="131">
        <f t="shared" si="20"/>
        <v>15245.875249999925</v>
      </c>
      <c r="O69" s="104">
        <f t="shared" si="21"/>
        <v>2.8497737714412569E-2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'Proposed Rates'!D205</f>
        <v>6.1999999999999998E-3</v>
      </c>
      <c r="J72" s="151">
        <f>'Proposed Rates'!E205</f>
        <v>6.1999999999999998E-3</v>
      </c>
    </row>
    <row r="73" spans="1:23" ht="13.8" thickBot="1" x14ac:dyDescent="0.3"/>
    <row r="74" spans="1:23" ht="8.25" customHeight="1" thickBot="1" x14ac:dyDescent="0.3">
      <c r="B74" s="86"/>
      <c r="C74" s="87"/>
      <c r="D74" s="88"/>
      <c r="E74" s="87"/>
      <c r="F74" s="89"/>
      <c r="G74" s="90"/>
      <c r="H74" s="91"/>
      <c r="I74" s="92"/>
      <c r="J74" s="89"/>
      <c r="K74" s="93"/>
      <c r="L74" s="91"/>
      <c r="M74" s="92"/>
      <c r="N74" s="94"/>
      <c r="O74" s="95"/>
      <c r="Q74" s="107"/>
      <c r="S74" s="107"/>
      <c r="U74" s="107"/>
      <c r="W74" s="107"/>
    </row>
    <row r="75" spans="1:23" x14ac:dyDescent="0.25">
      <c r="B75" s="96" t="s">
        <v>41</v>
      </c>
      <c r="C75" s="21"/>
      <c r="D75" s="21"/>
      <c r="E75" s="21"/>
      <c r="F75" s="97"/>
      <c r="G75" s="98"/>
      <c r="H75" s="99">
        <f>+H63-H31-H40-H41-H42-H43</f>
        <v>459171.95799999998</v>
      </c>
      <c r="I75" s="100"/>
      <c r="J75" s="101"/>
      <c r="K75" s="101"/>
      <c r="L75" s="99">
        <f>+L63-L31-L40-L41-L42-L43</f>
        <v>460557.13299999997</v>
      </c>
      <c r="M75" s="102"/>
      <c r="N75" s="103">
        <f t="shared" ref="N75:N77" si="22">L75-H75</f>
        <v>1385.1749999999884</v>
      </c>
      <c r="O75" s="104">
        <f t="shared" ref="O75:O77" si="23">IF((H75)=0,"",(N75/H75))</f>
        <v>3.0166802999759589E-3</v>
      </c>
      <c r="Q75" s="102"/>
      <c r="S75" s="102"/>
      <c r="U75" s="102"/>
      <c r="W75" s="102"/>
    </row>
    <row r="76" spans="1:23" x14ac:dyDescent="0.25">
      <c r="B76" s="105" t="s">
        <v>42</v>
      </c>
      <c r="C76" s="21"/>
      <c r="D76" s="21"/>
      <c r="E76" s="21"/>
      <c r="F76" s="106">
        <v>0.13</v>
      </c>
      <c r="G76" s="107"/>
      <c r="H76" s="108">
        <f>H75*F76</f>
        <v>59692.35454</v>
      </c>
      <c r="I76" s="109"/>
      <c r="J76" s="110">
        <v>0.13</v>
      </c>
      <c r="K76" s="109"/>
      <c r="L76" s="111">
        <f>L75*J76</f>
        <v>59872.42729</v>
      </c>
      <c r="M76" s="112"/>
      <c r="N76" s="113">
        <f t="shared" si="22"/>
        <v>180.07274999999936</v>
      </c>
      <c r="O76" s="114">
        <f t="shared" si="23"/>
        <v>3.0166802999759736E-3</v>
      </c>
      <c r="Q76" s="112"/>
      <c r="S76" s="112"/>
      <c r="U76" s="112"/>
      <c r="W76" s="112"/>
    </row>
    <row r="77" spans="1:23" x14ac:dyDescent="0.25">
      <c r="B77" s="115" t="s">
        <v>43</v>
      </c>
      <c r="C77" s="21"/>
      <c r="D77" s="21"/>
      <c r="E77" s="21"/>
      <c r="F77" s="205"/>
      <c r="G77" s="206"/>
      <c r="H77" s="216">
        <f>H75+H76</f>
        <v>518864.31253999996</v>
      </c>
      <c r="I77" s="207"/>
      <c r="J77" s="207"/>
      <c r="K77" s="207"/>
      <c r="L77" s="215">
        <f>L75+L76</f>
        <v>520429.56028999999</v>
      </c>
      <c r="M77" s="208"/>
      <c r="N77" s="214">
        <f t="shared" si="22"/>
        <v>1565.2477500000386</v>
      </c>
      <c r="O77" s="213">
        <f t="shared" si="23"/>
        <v>3.0166802999760591E-3</v>
      </c>
      <c r="Q77" s="112"/>
      <c r="S77" s="112"/>
      <c r="U77" s="112"/>
      <c r="W77" s="112"/>
    </row>
    <row r="78" spans="1:23" ht="13.5" customHeight="1" x14ac:dyDescent="0.25">
      <c r="Q78" s="202"/>
      <c r="R78" s="202"/>
      <c r="S78" s="6"/>
      <c r="T78" s="6"/>
      <c r="U78" s="6"/>
      <c r="V78" s="6"/>
      <c r="W78" s="6"/>
    </row>
    <row r="79" spans="1:23" ht="12" customHeight="1" x14ac:dyDescent="0.25">
      <c r="A79" s="6" t="s">
        <v>46</v>
      </c>
      <c r="Q79" s="202"/>
      <c r="R79" s="202"/>
      <c r="S79" s="6"/>
      <c r="T79" s="6"/>
      <c r="U79" s="6"/>
      <c r="V79" s="6"/>
      <c r="W79" s="6"/>
    </row>
    <row r="80" spans="1:23" x14ac:dyDescent="0.25">
      <c r="A80" s="6" t="s">
        <v>47</v>
      </c>
      <c r="Q80" s="202"/>
      <c r="R80" s="202"/>
      <c r="S80" s="6"/>
      <c r="T80" s="6"/>
      <c r="U80" s="6"/>
      <c r="V80" s="6"/>
      <c r="W80" s="6"/>
    </row>
    <row r="81" spans="1:23" x14ac:dyDescent="0.25">
      <c r="Q81" s="202"/>
      <c r="R81" s="202"/>
      <c r="S81" s="6"/>
      <c r="T81" s="6"/>
      <c r="U81" s="6"/>
      <c r="V81" s="6"/>
      <c r="W81" s="6"/>
    </row>
    <row r="82" spans="1:23" x14ac:dyDescent="0.25">
      <c r="A82" s="153" t="s">
        <v>133</v>
      </c>
      <c r="Q82" s="202"/>
      <c r="R82" s="202"/>
      <c r="S82" s="6"/>
      <c r="T82" s="6"/>
      <c r="U82" s="6"/>
      <c r="V82" s="6"/>
      <c r="W82" s="6"/>
    </row>
    <row r="83" spans="1:23" x14ac:dyDescent="0.25">
      <c r="A83" s="11" t="s">
        <v>48</v>
      </c>
      <c r="Q83" s="202"/>
      <c r="R83" s="202"/>
      <c r="S83" s="6"/>
      <c r="T83" s="6"/>
      <c r="U83" s="6"/>
      <c r="V83" s="6"/>
      <c r="W83" s="6"/>
    </row>
    <row r="84" spans="1:23" x14ac:dyDescent="0.25">
      <c r="Q84" s="202"/>
      <c r="R84" s="202"/>
      <c r="S84" s="6"/>
      <c r="T84" s="6"/>
      <c r="U84" s="6"/>
      <c r="V84" s="6"/>
      <c r="W84" s="6"/>
    </row>
    <row r="85" spans="1:23" x14ac:dyDescent="0.25">
      <c r="A85" s="6" t="s">
        <v>132</v>
      </c>
      <c r="Q85" s="202"/>
      <c r="R85" s="202"/>
      <c r="S85" s="6"/>
      <c r="T85" s="6"/>
      <c r="U85" s="6"/>
      <c r="V85" s="6"/>
      <c r="W85" s="6"/>
    </row>
    <row r="86" spans="1:23" x14ac:dyDescent="0.25">
      <c r="A86" s="6" t="s">
        <v>49</v>
      </c>
      <c r="Q86" s="202"/>
      <c r="R86" s="202"/>
      <c r="S86" s="6"/>
      <c r="T86" s="6"/>
      <c r="U86" s="6"/>
      <c r="V86" s="6"/>
      <c r="W86" s="6"/>
    </row>
    <row r="87" spans="1:23" x14ac:dyDescent="0.25">
      <c r="A87" s="6" t="s">
        <v>50</v>
      </c>
      <c r="Q87" s="202"/>
      <c r="R87" s="202"/>
      <c r="S87" s="6"/>
      <c r="T87" s="6"/>
      <c r="U87" s="6"/>
      <c r="V87" s="6"/>
      <c r="W87" s="6"/>
    </row>
    <row r="88" spans="1:23" x14ac:dyDescent="0.25">
      <c r="A88" s="6" t="s">
        <v>51</v>
      </c>
      <c r="Q88" s="202"/>
      <c r="R88" s="202"/>
      <c r="S88" s="6"/>
      <c r="T88" s="6"/>
      <c r="U88" s="6"/>
      <c r="V88" s="6"/>
      <c r="W88" s="6"/>
    </row>
    <row r="89" spans="1:23" x14ac:dyDescent="0.25">
      <c r="A89" s="6" t="s">
        <v>52</v>
      </c>
      <c r="Q89" s="202"/>
      <c r="R89" s="202"/>
      <c r="S89" s="6"/>
      <c r="T89" s="6"/>
      <c r="U89" s="6"/>
      <c r="V89" s="6"/>
      <c r="W89" s="6"/>
    </row>
    <row r="90" spans="1:23" x14ac:dyDescent="0.25">
      <c r="Q90" s="202"/>
      <c r="R90" s="202"/>
      <c r="S90" s="6"/>
      <c r="T90" s="6"/>
      <c r="U90" s="6"/>
      <c r="V90" s="6"/>
      <c r="W90" s="6"/>
    </row>
    <row r="91" spans="1:23" x14ac:dyDescent="0.25">
      <c r="A91" s="152"/>
      <c r="B91" s="6" t="s">
        <v>53</v>
      </c>
      <c r="Q91" s="202"/>
      <c r="R91" s="202"/>
      <c r="S91" s="6"/>
      <c r="T91" s="6"/>
      <c r="U91" s="6"/>
      <c r="V91" s="6"/>
      <c r="W91" s="6"/>
    </row>
    <row r="92" spans="1:23" x14ac:dyDescent="0.25">
      <c r="Q92" s="202"/>
      <c r="R92" s="202"/>
      <c r="S92" s="6"/>
      <c r="T92" s="6"/>
      <c r="U92" s="6"/>
      <c r="V92" s="6"/>
      <c r="W92" s="6"/>
    </row>
    <row r="93" spans="1:23" x14ac:dyDescent="0.25">
      <c r="B93" s="153" t="s">
        <v>54</v>
      </c>
      <c r="Q93" s="202"/>
      <c r="R93" s="202"/>
      <c r="S93" s="6"/>
      <c r="T93" s="6"/>
      <c r="U93" s="6"/>
      <c r="V93" s="6"/>
      <c r="W93" s="6"/>
    </row>
  </sheetData>
  <sheetProtection selectLockedCells="1"/>
  <mergeCells count="8">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0 D66 D23:D38 D52:D62 D74 D49:D50 D40:D47">
      <formula1>"Monthly, per kWh, per kW"</formula1>
    </dataValidation>
    <dataValidation type="list" allowBlank="1" showInputMessage="1" showErrorMessage="1" sqref="E49:E50 E70 E66 E52:E62 E23:E38 E40:E47 E74">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3</xdr:col>
                    <xdr:colOff>381000</xdr:colOff>
                    <xdr:row>9</xdr:row>
                    <xdr:rowOff>53340</xdr:rowOff>
                  </from>
                  <to>
                    <xdr:col>5</xdr:col>
                    <xdr:colOff>464820</xdr:colOff>
                    <xdr:row>9</xdr:row>
                    <xdr:rowOff>175260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327660</xdr:colOff>
                    <xdr:row>9</xdr:row>
                    <xdr:rowOff>22860</xdr:rowOff>
                  </from>
                  <to>
                    <xdr:col>8</xdr:col>
                    <xdr:colOff>106680</xdr:colOff>
                    <xdr:row>9</xdr:row>
                    <xdr:rowOff>236220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W89"/>
  <sheetViews>
    <sheetView showGridLines="0" tabSelected="1" view="pageBreakPreview" topLeftCell="A46"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5.6640625" style="6" customWidth="1"/>
    <col min="7" max="7" width="8" style="6" bestFit="1" customWidth="1"/>
    <col min="8" max="8" width="12.44140625" style="6" bestFit="1" customWidth="1"/>
    <col min="9" max="9" width="2.88671875" style="6" customWidth="1"/>
    <col min="10" max="10" width="11.44140625" style="6" bestFit="1" customWidth="1"/>
    <col min="11" max="11" width="8" style="6" bestFit="1" customWidth="1"/>
    <col min="12" max="12" width="12.44140625" style="6" bestFit="1" customWidth="1"/>
    <col min="13" max="13" width="2.88671875" style="6" customWidth="1"/>
    <col min="14" max="14" width="11.44140625" style="6" bestFit="1" customWidth="1"/>
    <col min="15" max="15" width="10" style="6" bestFit="1" customWidth="1"/>
    <col min="16" max="16" width="3.88671875" style="6" customWidth="1"/>
    <col min="17" max="17" width="2.33203125" style="203" bestFit="1" customWidth="1"/>
    <col min="18" max="18" width="4.5546875" style="203" customWidth="1"/>
    <col min="19" max="19" width="2.33203125" style="203" bestFit="1" customWidth="1"/>
    <col min="20" max="20" width="4.5546875" style="203" customWidth="1"/>
    <col min="21" max="21" width="2.33203125" style="203" bestFit="1" customWidth="1"/>
    <col min="22" max="22" width="4.5546875" style="203" customWidth="1"/>
    <col min="23" max="23" width="2.33203125" style="203" bestFit="1"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61</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4000000</v>
      </c>
      <c r="G18" s="12" t="s">
        <v>6</v>
      </c>
    </row>
    <row r="19" spans="2:23" x14ac:dyDescent="0.25">
      <c r="B19" s="11"/>
      <c r="F19" s="13">
        <v>10000</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+'LU(7500)'!F23</f>
        <v>15231.32</v>
      </c>
      <c r="G23" s="25">
        <v>1</v>
      </c>
      <c r="H23" s="26">
        <f>G23*F23</f>
        <v>15231.32</v>
      </c>
      <c r="I23" s="27"/>
      <c r="J23" s="156">
        <f>+'LU(7500)'!J23</f>
        <v>15231.32</v>
      </c>
      <c r="K23" s="29">
        <v>1</v>
      </c>
      <c r="L23" s="26">
        <f>K23*J23</f>
        <v>15231.32</v>
      </c>
      <c r="M23" s="27"/>
      <c r="N23" s="30">
        <f>L23-H23</f>
        <v>0</v>
      </c>
      <c r="O23" s="31">
        <f>IF((H23)=0,"",(N23/H23))</f>
        <v>0</v>
      </c>
      <c r="Q23" s="107"/>
      <c r="S23" s="107"/>
      <c r="U23" s="107"/>
      <c r="W23" s="107"/>
    </row>
    <row r="24" spans="2:23" x14ac:dyDescent="0.25">
      <c r="B24" s="21" t="s">
        <v>18</v>
      </c>
      <c r="C24" s="21"/>
      <c r="D24" s="22"/>
      <c r="E24" s="23"/>
      <c r="F24" s="24"/>
      <c r="G24" s="25">
        <v>1</v>
      </c>
      <c r="H24" s="26">
        <f t="shared" ref="H24:H38" si="0">G24*F24</f>
        <v>0</v>
      </c>
      <c r="I24" s="27"/>
      <c r="J24" s="24"/>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4"/>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4"/>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4"/>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4"/>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+'LU(7500)'!F29</f>
        <v>3.7199</v>
      </c>
      <c r="G29" s="51">
        <f>+$F$19</f>
        <v>10000</v>
      </c>
      <c r="H29" s="26">
        <f t="shared" si="0"/>
        <v>37199</v>
      </c>
      <c r="I29" s="27"/>
      <c r="J29" s="24">
        <f>+'LU(7500)'!J29</f>
        <v>3.9710000000000001</v>
      </c>
      <c r="K29" s="51">
        <f>+$F$19</f>
        <v>10000</v>
      </c>
      <c r="L29" s="26">
        <f t="shared" si="1"/>
        <v>39710</v>
      </c>
      <c r="M29" s="27"/>
      <c r="N29" s="30">
        <f t="shared" si="2"/>
        <v>2511</v>
      </c>
      <c r="O29" s="31">
        <f t="shared" si="3"/>
        <v>6.7501814564907656E-2</v>
      </c>
      <c r="Q29" s="107"/>
      <c r="S29" s="107"/>
      <c r="U29" s="107"/>
      <c r="W29" s="107"/>
    </row>
    <row r="30" spans="2:23" x14ac:dyDescent="0.25">
      <c r="B30" s="21" t="s">
        <v>21</v>
      </c>
      <c r="C30" s="21"/>
      <c r="D30" s="22"/>
      <c r="E30" s="23"/>
      <c r="F30" s="24"/>
      <c r="G30" s="25">
        <f t="shared" ref="G30" si="4">$F$18</f>
        <v>4000000</v>
      </c>
      <c r="H30" s="26">
        <f t="shared" si="0"/>
        <v>0</v>
      </c>
      <c r="I30" s="27"/>
      <c r="J30" s="24"/>
      <c r="K30" s="25">
        <f t="shared" ref="K30:K38" si="5">$F$18</f>
        <v>4000000</v>
      </c>
      <c r="L30" s="26">
        <f t="shared" si="1"/>
        <v>0</v>
      </c>
      <c r="M30" s="27"/>
      <c r="N30" s="30">
        <f t="shared" si="2"/>
        <v>0</v>
      </c>
      <c r="O30" s="31" t="str">
        <f t="shared" si="3"/>
        <v/>
      </c>
      <c r="Q30" s="107"/>
      <c r="S30" s="107"/>
      <c r="U30" s="107"/>
      <c r="W30" s="107"/>
    </row>
    <row r="31" spans="2:23" x14ac:dyDescent="0.25">
      <c r="B31" s="21" t="s">
        <v>22</v>
      </c>
      <c r="C31" s="21"/>
      <c r="D31" s="22" t="s">
        <v>58</v>
      </c>
      <c r="E31" s="23"/>
      <c r="F31" s="24">
        <f>+'LU(7500)'!F31</f>
        <v>0</v>
      </c>
      <c r="G31" s="51">
        <f>+$F$19</f>
        <v>10000</v>
      </c>
      <c r="H31" s="26">
        <f t="shared" si="0"/>
        <v>0</v>
      </c>
      <c r="I31" s="27"/>
      <c r="J31" s="24">
        <f>+'LU(7500)'!J31</f>
        <v>0</v>
      </c>
      <c r="K31" s="51">
        <f>+$F$19</f>
        <v>10000</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4000000</v>
      </c>
      <c r="H32" s="26">
        <f t="shared" si="0"/>
        <v>0</v>
      </c>
      <c r="I32" s="27"/>
      <c r="J32" s="28"/>
      <c r="K32" s="25">
        <f t="shared" si="5"/>
        <v>4000000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4000000</v>
      </c>
      <c r="H33" s="26">
        <f t="shared" si="0"/>
        <v>0</v>
      </c>
      <c r="I33" s="27"/>
      <c r="J33" s="28"/>
      <c r="K33" s="25">
        <f t="shared" si="5"/>
        <v>4000000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4000000</v>
      </c>
      <c r="H34" s="26">
        <f t="shared" si="0"/>
        <v>0</v>
      </c>
      <c r="I34" s="27"/>
      <c r="J34" s="28"/>
      <c r="K34" s="25">
        <f t="shared" si="5"/>
        <v>4000000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4000000</v>
      </c>
      <c r="H35" s="26">
        <f t="shared" si="0"/>
        <v>0</v>
      </c>
      <c r="I35" s="27"/>
      <c r="J35" s="28"/>
      <c r="K35" s="25">
        <f t="shared" si="5"/>
        <v>4000000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4000000</v>
      </c>
      <c r="H36" s="26">
        <f t="shared" si="0"/>
        <v>0</v>
      </c>
      <c r="I36" s="27"/>
      <c r="J36" s="28"/>
      <c r="K36" s="25">
        <f t="shared" si="5"/>
        <v>4000000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4000000</v>
      </c>
      <c r="H37" s="26">
        <f t="shared" si="0"/>
        <v>0</v>
      </c>
      <c r="I37" s="27"/>
      <c r="J37" s="28"/>
      <c r="K37" s="25">
        <f t="shared" si="5"/>
        <v>4000000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4000000</v>
      </c>
      <c r="H38" s="26">
        <f t="shared" si="0"/>
        <v>0</v>
      </c>
      <c r="I38" s="27"/>
      <c r="J38" s="28"/>
      <c r="K38" s="25">
        <f t="shared" si="5"/>
        <v>4000000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52430.32</v>
      </c>
      <c r="I39" s="40"/>
      <c r="J39" s="41"/>
      <c r="K39" s="42"/>
      <c r="L39" s="39">
        <f>SUM(L23:L38)</f>
        <v>54941.32</v>
      </c>
      <c r="M39" s="40"/>
      <c r="N39" s="43">
        <f t="shared" si="2"/>
        <v>2511</v>
      </c>
      <c r="O39" s="44">
        <f t="shared" si="3"/>
        <v>4.7892135695528845E-2</v>
      </c>
      <c r="Q39" s="107"/>
      <c r="R39" s="203"/>
      <c r="S39" s="107"/>
      <c r="T39" s="203"/>
      <c r="U39" s="107"/>
      <c r="V39" s="203"/>
      <c r="W39" s="107"/>
    </row>
    <row r="40" spans="2:23" ht="26.4" x14ac:dyDescent="0.25">
      <c r="B40" s="46" t="str">
        <f>+'LU(7500)'!B40</f>
        <v>Deferral/Variance Account Disposition Rate Rider Class 1</v>
      </c>
      <c r="C40" s="21"/>
      <c r="D40" s="22" t="str">
        <f>+'LU(7500)'!D40</f>
        <v>per kW</v>
      </c>
      <c r="E40" s="23"/>
      <c r="F40" s="24">
        <f>'Proposed Rates'!D42</f>
        <v>1.54E-2</v>
      </c>
      <c r="G40" s="51">
        <f>+$F$19</f>
        <v>10000</v>
      </c>
      <c r="H40" s="26">
        <f>G40*F40</f>
        <v>154</v>
      </c>
      <c r="I40" s="27"/>
      <c r="J40" s="24">
        <f>+'LU(7500)'!J40</f>
        <v>-0.2185</v>
      </c>
      <c r="K40" s="51">
        <f>+$F$19</f>
        <v>10000</v>
      </c>
      <c r="L40" s="26">
        <f>K40*J40</f>
        <v>-2185</v>
      </c>
      <c r="M40" s="27"/>
      <c r="N40" s="30">
        <f>L40-H40</f>
        <v>-2339</v>
      </c>
      <c r="O40" s="31">
        <f>IF((H40)=0,"",(N40/H40))</f>
        <v>-15.188311688311689</v>
      </c>
      <c r="Q40" s="107"/>
      <c r="S40" s="107"/>
      <c r="U40" s="107"/>
      <c r="W40" s="107"/>
    </row>
    <row r="41" spans="2:23" ht="26.4" x14ac:dyDescent="0.25">
      <c r="B41" s="46" t="str">
        <f>+'LU(7500)'!B41</f>
        <v>Deferral/Variance Account Disposition Rate Rider Class 2</v>
      </c>
      <c r="C41" s="21"/>
      <c r="D41" s="22" t="str">
        <f>+'LU(7500)'!D41</f>
        <v>per kW</v>
      </c>
      <c r="E41" s="23"/>
      <c r="F41" s="24">
        <f>'Proposed Rates'!D56</f>
        <v>1.7000000000000001E-2</v>
      </c>
      <c r="G41" s="51">
        <f>+F19</f>
        <v>10000</v>
      </c>
      <c r="H41" s="26">
        <f t="shared" ref="H41:H46" si="7">G41*F41</f>
        <v>170</v>
      </c>
      <c r="I41" s="47"/>
      <c r="J41" s="24">
        <f>+'LU(7500)'!J41</f>
        <v>0</v>
      </c>
      <c r="K41" s="51">
        <f>$G$41</f>
        <v>10000</v>
      </c>
      <c r="L41" s="26">
        <f t="shared" ref="L41:L46" si="8">K41*J41</f>
        <v>0</v>
      </c>
      <c r="M41" s="48"/>
      <c r="N41" s="30">
        <f t="shared" ref="N41:N46" si="9">L41-H41</f>
        <v>-170</v>
      </c>
      <c r="O41" s="31">
        <f t="shared" ref="O41:O65" si="10">IF((H41)=0,"",(N41/H41))</f>
        <v>-1</v>
      </c>
      <c r="Q41" s="107"/>
      <c r="S41" s="107"/>
      <c r="U41" s="107"/>
      <c r="W41" s="107"/>
    </row>
    <row r="42" spans="2:23" ht="39.6" x14ac:dyDescent="0.25">
      <c r="B42" s="46" t="str">
        <f>+'LU(7500)'!B42</f>
        <v xml:space="preserve">Deferral/Variance Account Disposition Rate Rider -  Global Adjustment </v>
      </c>
      <c r="C42" s="21"/>
      <c r="D42" s="22" t="s">
        <v>58</v>
      </c>
      <c r="E42" s="23"/>
      <c r="F42" s="24">
        <f>'Proposed Rates'!D85</f>
        <v>-1.9E-3</v>
      </c>
      <c r="G42" s="25">
        <f t="shared" ref="G42" si="11">$F$18</f>
        <v>4000000</v>
      </c>
      <c r="H42" s="26">
        <f t="shared" si="7"/>
        <v>-7600</v>
      </c>
      <c r="I42" s="47"/>
      <c r="J42" s="24">
        <f>+'LU(7500)'!J42</f>
        <v>0</v>
      </c>
      <c r="K42" s="25">
        <f t="shared" ref="K42" si="12">$F$18</f>
        <v>4000000</v>
      </c>
      <c r="L42" s="26">
        <f t="shared" si="8"/>
        <v>0</v>
      </c>
      <c r="M42" s="48"/>
      <c r="N42" s="30">
        <f t="shared" si="9"/>
        <v>7600</v>
      </c>
      <c r="O42" s="31">
        <f t="shared" si="10"/>
        <v>-1</v>
      </c>
      <c r="Q42" s="107"/>
      <c r="S42" s="107"/>
      <c r="U42" s="107"/>
      <c r="W42" s="107"/>
    </row>
    <row r="43" spans="2:23" ht="39.6" x14ac:dyDescent="0.25">
      <c r="B43" s="46" t="str">
        <f>+'LU(7500)'!B43</f>
        <v>Deferral / Variance Accounts Balances (excluding Global Adj.) - NON-WMP</v>
      </c>
      <c r="C43" s="21"/>
      <c r="D43" s="22" t="s">
        <v>58</v>
      </c>
      <c r="E43" s="23"/>
      <c r="F43" s="24">
        <f>'Proposed Rates'!D101</f>
        <v>-1.2968999999999999</v>
      </c>
      <c r="G43" s="51">
        <f>$F$19</f>
        <v>10000</v>
      </c>
      <c r="H43" s="26">
        <f t="shared" si="7"/>
        <v>-12969</v>
      </c>
      <c r="I43" s="47"/>
      <c r="J43" s="28">
        <f>+'LU(7500)'!J43</f>
        <v>-0.4451</v>
      </c>
      <c r="K43" s="51">
        <f>$G$41</f>
        <v>10000</v>
      </c>
      <c r="L43" s="26">
        <f t="shared" si="8"/>
        <v>-4451</v>
      </c>
      <c r="M43" s="48"/>
      <c r="N43" s="30">
        <f t="shared" si="9"/>
        <v>8518</v>
      </c>
      <c r="O43" s="31">
        <f t="shared" si="10"/>
        <v>-0.65679697740766441</v>
      </c>
      <c r="Q43" s="107"/>
      <c r="S43" s="107"/>
      <c r="U43" s="107"/>
      <c r="W43" s="107"/>
    </row>
    <row r="44" spans="2:23" ht="39.6" x14ac:dyDescent="0.25">
      <c r="B44" s="46" t="s">
        <v>125</v>
      </c>
      <c r="C44" s="21"/>
      <c r="D44" s="22" t="s">
        <v>20</v>
      </c>
      <c r="E44" s="23"/>
      <c r="F44" s="24">
        <f>+'LU(7500)'!F44</f>
        <v>2.7E-4</v>
      </c>
      <c r="G44" s="25">
        <f t="shared" ref="G44" si="13">$F$18</f>
        <v>4000000</v>
      </c>
      <c r="H44" s="26">
        <f t="shared" si="7"/>
        <v>1080</v>
      </c>
      <c r="I44" s="226"/>
      <c r="J44" s="223">
        <f>+'LU(7500)'!J44</f>
        <v>0</v>
      </c>
      <c r="K44" s="25">
        <f t="shared" ref="K44" si="14">$F$18</f>
        <v>4000000</v>
      </c>
      <c r="L44" s="26">
        <f t="shared" si="8"/>
        <v>0</v>
      </c>
      <c r="M44" s="226"/>
      <c r="N44" s="30">
        <f t="shared" si="9"/>
        <v>-1080</v>
      </c>
      <c r="O44" s="31">
        <f t="shared" si="10"/>
        <v>-1</v>
      </c>
      <c r="Q44" s="107"/>
      <c r="S44" s="107"/>
      <c r="U44" s="107"/>
      <c r="W44" s="107"/>
    </row>
    <row r="45" spans="2:23" x14ac:dyDescent="0.25">
      <c r="B45" s="49" t="s">
        <v>25</v>
      </c>
      <c r="C45" s="21"/>
      <c r="D45" s="22" t="s">
        <v>58</v>
      </c>
      <c r="E45" s="23"/>
      <c r="F45" s="50">
        <f>'LU(7500)'!F45</f>
        <v>3.168E-2</v>
      </c>
      <c r="G45" s="51">
        <f>+$F$19</f>
        <v>10000</v>
      </c>
      <c r="H45" s="26">
        <f>G45*F45</f>
        <v>316.8</v>
      </c>
      <c r="I45" s="27"/>
      <c r="J45" s="52">
        <f>'LU(7500)'!J45</f>
        <v>2.8670000000000001E-2</v>
      </c>
      <c r="K45" s="51">
        <f>+$F$19</f>
        <v>10000</v>
      </c>
      <c r="L45" s="26">
        <f>K45*J45</f>
        <v>286.7</v>
      </c>
      <c r="M45" s="27"/>
      <c r="N45" s="30">
        <f>L45-H45</f>
        <v>-30.100000000000023</v>
      </c>
      <c r="O45" s="31">
        <f>IF((H45)=0,"",(N45/H45))</f>
        <v>-9.5012626262626326E-2</v>
      </c>
      <c r="Q45" s="107"/>
      <c r="S45" s="107"/>
      <c r="U45" s="107"/>
      <c r="W45" s="107"/>
    </row>
    <row r="46" spans="2:23" x14ac:dyDescent="0.25">
      <c r="B46" s="49" t="s">
        <v>26</v>
      </c>
      <c r="C46" s="21"/>
      <c r="D46" s="22"/>
      <c r="E46" s="23"/>
      <c r="F46" s="53">
        <f>IF(ISBLANK(D16)=TRUE, 0, IF(D16="TOU", 0.65*$F$57+0.17*$F$58+0.18*$F$59, IF(AND(D16="non-TOU", G61&gt;0), F61,F60)))</f>
        <v>8.2160000000000011E-2</v>
      </c>
      <c r="G46" s="54">
        <f>$F$18*(1+$F$72)-$F$18</f>
        <v>24800</v>
      </c>
      <c r="H46" s="26">
        <f t="shared" si="7"/>
        <v>2037.5680000000002</v>
      </c>
      <c r="I46" s="27"/>
      <c r="J46" s="55">
        <f>0.65*$J$57+0.17*$J$58+0.18*$J$59</f>
        <v>8.2160000000000011E-2</v>
      </c>
      <c r="K46" s="54">
        <f>$F$18*(1+$J$72)-$F$18</f>
        <v>24800</v>
      </c>
      <c r="L46" s="26">
        <f t="shared" si="8"/>
        <v>2037.5680000000002</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35619.687999999995</v>
      </c>
      <c r="I48" s="40"/>
      <c r="J48" s="59"/>
      <c r="K48" s="61"/>
      <c r="L48" s="60">
        <f>SUM(L40:L47)+L39</f>
        <v>50629.588000000003</v>
      </c>
      <c r="M48" s="40"/>
      <c r="N48" s="43">
        <f t="shared" ref="N48:N65" si="15">L48-H48</f>
        <v>15009.900000000009</v>
      </c>
      <c r="O48" s="44">
        <f t="shared" si="10"/>
        <v>0.4213933597621633</v>
      </c>
      <c r="Q48" s="107"/>
      <c r="S48" s="107"/>
      <c r="U48" s="107"/>
      <c r="W48" s="107"/>
    </row>
    <row r="49" spans="2:23" x14ac:dyDescent="0.25">
      <c r="B49" s="27" t="s">
        <v>29</v>
      </c>
      <c r="C49" s="27"/>
      <c r="D49" s="62" t="s">
        <v>58</v>
      </c>
      <c r="E49" s="63"/>
      <c r="F49" s="28">
        <f>'LU(7500)'!F49</f>
        <v>3.2246000000000001</v>
      </c>
      <c r="G49" s="64">
        <f>+$F$19</f>
        <v>10000</v>
      </c>
      <c r="H49" s="26">
        <f>G49*F49</f>
        <v>32246</v>
      </c>
      <c r="I49" s="27"/>
      <c r="J49" s="28">
        <f>'LU(7500)'!J49</f>
        <v>3.2772000000000001</v>
      </c>
      <c r="K49" s="64">
        <f>+$F$19</f>
        <v>10000</v>
      </c>
      <c r="L49" s="26">
        <f>K49*J49</f>
        <v>32772</v>
      </c>
      <c r="M49" s="27"/>
      <c r="N49" s="30">
        <f t="shared" si="15"/>
        <v>526</v>
      </c>
      <c r="O49" s="31">
        <f t="shared" si="10"/>
        <v>1.6312100725671401E-2</v>
      </c>
      <c r="Q49" s="107"/>
      <c r="S49" s="107"/>
      <c r="U49" s="107"/>
      <c r="W49" s="107"/>
    </row>
    <row r="50" spans="2:23" ht="26.4" x14ac:dyDescent="0.25">
      <c r="B50" s="66" t="s">
        <v>30</v>
      </c>
      <c r="C50" s="27"/>
      <c r="D50" s="62" t="s">
        <v>58</v>
      </c>
      <c r="E50" s="63"/>
      <c r="F50" s="28">
        <f>'LU(7500)'!F50</f>
        <v>2.1873</v>
      </c>
      <c r="G50" s="64">
        <f>G49</f>
        <v>10000</v>
      </c>
      <c r="H50" s="26">
        <f>G50*F50</f>
        <v>21873</v>
      </c>
      <c r="I50" s="27"/>
      <c r="J50" s="28">
        <f>'LU(7500)'!J50</f>
        <v>2.2153</v>
      </c>
      <c r="K50" s="64">
        <f>K49</f>
        <v>10000</v>
      </c>
      <c r="L50" s="26">
        <f>K50*J50</f>
        <v>22153</v>
      </c>
      <c r="M50" s="27"/>
      <c r="N50" s="30">
        <f t="shared" si="15"/>
        <v>280</v>
      </c>
      <c r="O50" s="31">
        <f t="shared" si="10"/>
        <v>1.280117039272162E-2</v>
      </c>
      <c r="Q50" s="107"/>
      <c r="S50" s="107"/>
      <c r="U50" s="107"/>
      <c r="W50" s="107"/>
    </row>
    <row r="51" spans="2:23" ht="26.4" x14ac:dyDescent="0.25">
      <c r="B51" s="56" t="s">
        <v>31</v>
      </c>
      <c r="C51" s="35"/>
      <c r="D51" s="35"/>
      <c r="E51" s="35"/>
      <c r="F51" s="67"/>
      <c r="G51" s="59"/>
      <c r="H51" s="60">
        <f>SUM(H48:H50)</f>
        <v>89738.687999999995</v>
      </c>
      <c r="I51" s="68"/>
      <c r="J51" s="69"/>
      <c r="K51" s="59"/>
      <c r="L51" s="60">
        <f>SUM(L48:L50)</f>
        <v>105554.588</v>
      </c>
      <c r="M51" s="68"/>
      <c r="N51" s="43">
        <f t="shared" si="15"/>
        <v>15815.900000000009</v>
      </c>
      <c r="O51" s="44">
        <f t="shared" si="10"/>
        <v>0.17624394062904072</v>
      </c>
      <c r="Q51" s="102"/>
      <c r="S51" s="102"/>
      <c r="U51" s="102"/>
      <c r="W51" s="102"/>
    </row>
    <row r="52" spans="2:23" ht="26.4" x14ac:dyDescent="0.25">
      <c r="B52" s="71" t="s">
        <v>32</v>
      </c>
      <c r="C52" s="21"/>
      <c r="D52" s="22" t="s">
        <v>20</v>
      </c>
      <c r="E52" s="23"/>
      <c r="F52" s="72">
        <f>'LU(7500)'!F52</f>
        <v>3.5999999999999999E-3</v>
      </c>
      <c r="G52" s="64">
        <f>+$F$18+G46</f>
        <v>4024800</v>
      </c>
      <c r="H52" s="73">
        <f t="shared" ref="H52:H59" si="16">G52*F52</f>
        <v>14489.279999999999</v>
      </c>
      <c r="I52" s="27"/>
      <c r="J52" s="72">
        <f>F52</f>
        <v>3.5999999999999999E-3</v>
      </c>
      <c r="K52" s="64">
        <f>+$F$18+K46</f>
        <v>4024800</v>
      </c>
      <c r="L52" s="73">
        <f t="shared" ref="L52:L59" si="17">K52*J52</f>
        <v>14489.279999999999</v>
      </c>
      <c r="M52" s="27"/>
      <c r="N52" s="30">
        <f t="shared" si="15"/>
        <v>0</v>
      </c>
      <c r="O52" s="74">
        <f t="shared" si="10"/>
        <v>0</v>
      </c>
      <c r="Q52" s="107"/>
      <c r="S52" s="107"/>
      <c r="U52" s="107"/>
      <c r="W52" s="107"/>
    </row>
    <row r="53" spans="2:23" ht="26.4" x14ac:dyDescent="0.25">
      <c r="B53" s="71" t="s">
        <v>33</v>
      </c>
      <c r="C53" s="21"/>
      <c r="D53" s="22" t="s">
        <v>20</v>
      </c>
      <c r="E53" s="23"/>
      <c r="F53" s="72">
        <f>'LU(7500)'!F53</f>
        <v>2.9999999999999997E-4</v>
      </c>
      <c r="G53" s="64">
        <f>G52</f>
        <v>4024800</v>
      </c>
      <c r="H53" s="73">
        <f t="shared" si="16"/>
        <v>1207.4399999999998</v>
      </c>
      <c r="I53" s="27"/>
      <c r="J53" s="72">
        <f>F53</f>
        <v>2.9999999999999997E-4</v>
      </c>
      <c r="K53" s="64">
        <f>K52</f>
        <v>4024800</v>
      </c>
      <c r="L53" s="73">
        <f t="shared" si="17"/>
        <v>1207.4399999999998</v>
      </c>
      <c r="M53" s="27"/>
      <c r="N53" s="30">
        <f t="shared" si="15"/>
        <v>0</v>
      </c>
      <c r="O53" s="74">
        <f t="shared" si="10"/>
        <v>0</v>
      </c>
      <c r="Q53" s="107"/>
      <c r="S53" s="107"/>
      <c r="U53" s="107"/>
      <c r="W53" s="107"/>
    </row>
    <row r="54" spans="2:23" x14ac:dyDescent="0.25">
      <c r="B54" s="21" t="s">
        <v>34</v>
      </c>
      <c r="C54" s="21"/>
      <c r="D54" s="22" t="s">
        <v>17</v>
      </c>
      <c r="E54" s="23"/>
      <c r="F54" s="72">
        <f>'LU(7500)'!F54</f>
        <v>0.25</v>
      </c>
      <c r="G54" s="25">
        <v>1</v>
      </c>
      <c r="H54" s="73">
        <f t="shared" si="16"/>
        <v>0.25</v>
      </c>
      <c r="I54" s="27"/>
      <c r="J54" s="72">
        <f>'LU(7500)'!J54</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G53</f>
        <v>4024800</v>
      </c>
      <c r="H55" s="73">
        <f>G55*F55</f>
        <v>0</v>
      </c>
      <c r="I55" s="27"/>
      <c r="J55" s="72">
        <f>F55</f>
        <v>0</v>
      </c>
      <c r="K55" s="64">
        <f>K53</f>
        <v>4024800</v>
      </c>
      <c r="L55" s="73">
        <f>K55*J55</f>
        <v>0</v>
      </c>
      <c r="M55" s="27"/>
      <c r="N55" s="30"/>
      <c r="O55" s="74"/>
      <c r="Q55" s="107"/>
      <c r="S55" s="107"/>
      <c r="U55" s="107"/>
      <c r="W55" s="107"/>
    </row>
    <row r="56" spans="2:23" x14ac:dyDescent="0.25">
      <c r="B56" s="21" t="s">
        <v>35</v>
      </c>
      <c r="C56" s="21"/>
      <c r="D56" s="22"/>
      <c r="E56" s="23"/>
      <c r="F56" s="72">
        <f>'LU(7500)'!F56</f>
        <v>6.94E-3</v>
      </c>
      <c r="G56" s="75">
        <f>$F$18</f>
        <v>4000000</v>
      </c>
      <c r="H56" s="73">
        <f t="shared" si="16"/>
        <v>27760</v>
      </c>
      <c r="I56" s="27"/>
      <c r="J56" s="72">
        <f>+F56</f>
        <v>6.94E-3</v>
      </c>
      <c r="K56" s="76">
        <f>$F$18</f>
        <v>4000000</v>
      </c>
      <c r="L56" s="73">
        <f t="shared" si="17"/>
        <v>27760</v>
      </c>
      <c r="M56" s="27"/>
      <c r="N56" s="30">
        <f t="shared" si="15"/>
        <v>0</v>
      </c>
      <c r="O56" s="74">
        <f t="shared" si="10"/>
        <v>0</v>
      </c>
      <c r="Q56" s="107"/>
      <c r="S56" s="107"/>
      <c r="U56" s="107"/>
      <c r="W56" s="107"/>
    </row>
    <row r="57" spans="2:23" x14ac:dyDescent="0.25">
      <c r="B57" s="49" t="s">
        <v>36</v>
      </c>
      <c r="C57" s="21"/>
      <c r="D57" s="22"/>
      <c r="E57" s="23"/>
      <c r="F57" s="72">
        <f>'LU(7500)'!F57</f>
        <v>6.5000000000000002E-2</v>
      </c>
      <c r="G57" s="77">
        <f>0.65*$F$18</f>
        <v>2600000</v>
      </c>
      <c r="H57" s="73">
        <f t="shared" si="16"/>
        <v>169000</v>
      </c>
      <c r="I57" s="27"/>
      <c r="J57" s="72">
        <f>F57</f>
        <v>6.5000000000000002E-2</v>
      </c>
      <c r="K57" s="77">
        <f>$G$57</f>
        <v>2600000</v>
      </c>
      <c r="L57" s="73">
        <f t="shared" si="17"/>
        <v>169000</v>
      </c>
      <c r="M57" s="27"/>
      <c r="N57" s="30">
        <f t="shared" si="15"/>
        <v>0</v>
      </c>
      <c r="O57" s="74">
        <f t="shared" si="10"/>
        <v>0</v>
      </c>
      <c r="Q57" s="107"/>
      <c r="S57" s="107"/>
      <c r="U57" s="107"/>
      <c r="W57" s="107"/>
    </row>
    <row r="58" spans="2:23" x14ac:dyDescent="0.25">
      <c r="B58" s="49" t="s">
        <v>37</v>
      </c>
      <c r="C58" s="21"/>
      <c r="D58" s="22"/>
      <c r="E58" s="23"/>
      <c r="F58" s="72">
        <f>'LU(7500)'!F58</f>
        <v>9.5000000000000001E-2</v>
      </c>
      <c r="G58" s="77">
        <f>0.17*$F$18</f>
        <v>680000</v>
      </c>
      <c r="H58" s="73">
        <f t="shared" si="16"/>
        <v>64600</v>
      </c>
      <c r="I58" s="27"/>
      <c r="J58" s="72">
        <f>F58</f>
        <v>9.5000000000000001E-2</v>
      </c>
      <c r="K58" s="77">
        <f>$G$58</f>
        <v>680000</v>
      </c>
      <c r="L58" s="73">
        <f t="shared" si="17"/>
        <v>64600</v>
      </c>
      <c r="M58" s="27"/>
      <c r="N58" s="30">
        <f t="shared" si="15"/>
        <v>0</v>
      </c>
      <c r="O58" s="74">
        <f t="shared" si="10"/>
        <v>0</v>
      </c>
      <c r="Q58" s="107"/>
      <c r="S58" s="107"/>
      <c r="U58" s="107"/>
      <c r="W58" s="107"/>
    </row>
    <row r="59" spans="2:23" x14ac:dyDescent="0.25">
      <c r="B59" s="11" t="s">
        <v>38</v>
      </c>
      <c r="C59" s="21"/>
      <c r="D59" s="22"/>
      <c r="E59" s="23"/>
      <c r="F59" s="72">
        <f>'LU(7500)'!F59</f>
        <v>0.13200000000000001</v>
      </c>
      <c r="G59" s="77">
        <f>0.18*$F$18</f>
        <v>720000</v>
      </c>
      <c r="H59" s="73">
        <f t="shared" si="16"/>
        <v>95040</v>
      </c>
      <c r="I59" s="27"/>
      <c r="J59" s="72">
        <f>F59</f>
        <v>0.13200000000000001</v>
      </c>
      <c r="K59" s="77">
        <f>$G$59</f>
        <v>720000</v>
      </c>
      <c r="L59" s="73">
        <f t="shared" si="17"/>
        <v>95040</v>
      </c>
      <c r="M59" s="27"/>
      <c r="N59" s="30">
        <f t="shared" si="15"/>
        <v>0</v>
      </c>
      <c r="O59" s="74">
        <f t="shared" si="10"/>
        <v>0</v>
      </c>
      <c r="Q59" s="107"/>
      <c r="S59" s="107"/>
      <c r="U59" s="107"/>
      <c r="W59" s="107"/>
    </row>
    <row r="60" spans="2:23" s="85" customFormat="1" x14ac:dyDescent="0.25">
      <c r="B60" s="78" t="s">
        <v>39</v>
      </c>
      <c r="C60" s="79"/>
      <c r="D60" s="80"/>
      <c r="E60" s="81"/>
      <c r="F60" s="72">
        <f>'LU(7500)'!F60</f>
        <v>7.6999999999999999E-2</v>
      </c>
      <c r="G60" s="82">
        <v>750</v>
      </c>
      <c r="H60" s="73">
        <f>G60*F60</f>
        <v>57.75</v>
      </c>
      <c r="I60" s="83"/>
      <c r="J60" s="72">
        <f>F60</f>
        <v>7.6999999999999999E-2</v>
      </c>
      <c r="K60" s="82">
        <f>$G$60</f>
        <v>750</v>
      </c>
      <c r="L60" s="73">
        <f>K60*J60</f>
        <v>57.75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'LU(7500)'!F61</f>
        <v>0.09</v>
      </c>
      <c r="G61" s="82">
        <f>F18-G60</f>
        <v>3999250</v>
      </c>
      <c r="H61" s="73">
        <f>G61*F61</f>
        <v>359932.5</v>
      </c>
      <c r="I61" s="83"/>
      <c r="J61" s="72">
        <f>F61</f>
        <v>0.09</v>
      </c>
      <c r="K61" s="82">
        <f>$G$61</f>
        <v>3999250</v>
      </c>
      <c r="L61" s="73">
        <f>K61*J61</f>
        <v>359932.5</v>
      </c>
      <c r="M61" s="83"/>
      <c r="N61" s="84">
        <f t="shared" si="15"/>
        <v>0</v>
      </c>
      <c r="O61" s="74">
        <f t="shared" si="10"/>
        <v>0</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96" t="s">
        <v>41</v>
      </c>
      <c r="C63" s="21"/>
      <c r="D63" s="21"/>
      <c r="E63" s="21"/>
      <c r="F63" s="97"/>
      <c r="G63" s="98"/>
      <c r="H63" s="99">
        <f>SUM(H52:H59,H51)</f>
        <v>461835.65799999994</v>
      </c>
      <c r="I63" s="100"/>
      <c r="J63" s="101"/>
      <c r="K63" s="101"/>
      <c r="L63" s="99">
        <f>SUM(L52:L59,L51)</f>
        <v>477651.55799999996</v>
      </c>
      <c r="M63" s="102"/>
      <c r="N63" s="103">
        <f t="shared" ref="N63" si="18">L63-H63</f>
        <v>15815.900000000023</v>
      </c>
      <c r="O63" s="104">
        <f t="shared" ref="O63" si="19">IF((H63)=0,"",(N63/H63))</f>
        <v>3.4245731627764495E-2</v>
      </c>
      <c r="Q63" s="102"/>
      <c r="S63" s="102"/>
      <c r="U63" s="102"/>
      <c r="W63" s="102"/>
    </row>
    <row r="64" spans="2:23" x14ac:dyDescent="0.25">
      <c r="B64" s="105" t="s">
        <v>42</v>
      </c>
      <c r="C64" s="21"/>
      <c r="D64" s="21"/>
      <c r="E64" s="21"/>
      <c r="F64" s="106">
        <v>0.13</v>
      </c>
      <c r="G64" s="107"/>
      <c r="H64" s="108">
        <f>H63*F64</f>
        <v>60038.635539999996</v>
      </c>
      <c r="I64" s="109"/>
      <c r="J64" s="110">
        <v>0.13</v>
      </c>
      <c r="K64" s="109"/>
      <c r="L64" s="111">
        <f>L63*J64</f>
        <v>62094.702539999998</v>
      </c>
      <c r="M64" s="112"/>
      <c r="N64" s="113">
        <f t="shared" si="15"/>
        <v>2056.0670000000027</v>
      </c>
      <c r="O64" s="114">
        <f t="shared" si="10"/>
        <v>3.4245731627764488E-2</v>
      </c>
      <c r="Q64" s="112"/>
      <c r="S64" s="112"/>
      <c r="U64" s="112"/>
      <c r="W64" s="112"/>
    </row>
    <row r="65" spans="1:23" ht="13.8" thickBot="1" x14ac:dyDescent="0.3">
      <c r="B65" s="115" t="s">
        <v>43</v>
      </c>
      <c r="C65" s="21"/>
      <c r="D65" s="21"/>
      <c r="E65" s="21"/>
      <c r="F65" s="116"/>
      <c r="G65" s="107"/>
      <c r="H65" s="99">
        <f>H63+H64</f>
        <v>521874.29353999993</v>
      </c>
      <c r="I65" s="109"/>
      <c r="J65" s="109"/>
      <c r="K65" s="109"/>
      <c r="L65" s="212">
        <f>L63+L64</f>
        <v>539746.26053999993</v>
      </c>
      <c r="M65" s="112"/>
      <c r="N65" s="103">
        <f t="shared" si="15"/>
        <v>17871.967000000004</v>
      </c>
      <c r="O65" s="104">
        <f t="shared" si="10"/>
        <v>3.4245731627764453E-2</v>
      </c>
      <c r="Q65" s="112"/>
      <c r="S65" s="112"/>
      <c r="U65" s="112"/>
      <c r="W65" s="112"/>
    </row>
    <row r="66" spans="1:23" s="85" customFormat="1" ht="8.25" customHeight="1" thickBot="1" x14ac:dyDescent="0.3">
      <c r="B66" s="117"/>
      <c r="C66" s="118"/>
      <c r="D66" s="119"/>
      <c r="E66" s="118"/>
      <c r="F66" s="89"/>
      <c r="G66" s="120"/>
      <c r="H66" s="91"/>
      <c r="I66" s="121"/>
      <c r="J66" s="89"/>
      <c r="K66" s="122"/>
      <c r="L66" s="91"/>
      <c r="M66" s="121"/>
      <c r="N66" s="123"/>
      <c r="O66" s="95"/>
      <c r="Q66" s="143"/>
      <c r="R66" s="204"/>
      <c r="S66" s="143"/>
      <c r="T66" s="204"/>
      <c r="U66" s="143"/>
      <c r="V66" s="204"/>
      <c r="W66" s="143"/>
    </row>
    <row r="67" spans="1:23" s="85" customFormat="1" x14ac:dyDescent="0.25">
      <c r="B67" s="124" t="s">
        <v>44</v>
      </c>
      <c r="C67" s="79"/>
      <c r="D67" s="79"/>
      <c r="E67" s="79"/>
      <c r="F67" s="125"/>
      <c r="G67" s="126"/>
      <c r="H67" s="127">
        <f>SUM(H60:H61,H51,H52:H56)</f>
        <v>493185.908</v>
      </c>
      <c r="I67" s="128"/>
      <c r="J67" s="129"/>
      <c r="K67" s="129"/>
      <c r="L67" s="127">
        <f>SUM(L60:L61,L51,L52:L56)</f>
        <v>509001.80800000002</v>
      </c>
      <c r="M67" s="130"/>
      <c r="N67" s="131">
        <f t="shared" ref="N67:N69" si="20">L67-H67</f>
        <v>15815.900000000023</v>
      </c>
      <c r="O67" s="104">
        <f t="shared" ref="O67:O69" si="21">IF((H67)=0,"",(N67/H67))</f>
        <v>3.2068840052907645E-2</v>
      </c>
      <c r="Q67" s="130"/>
      <c r="R67" s="204"/>
      <c r="S67" s="130"/>
      <c r="T67" s="204"/>
      <c r="U67" s="130"/>
      <c r="V67" s="204"/>
      <c r="W67" s="130"/>
    </row>
    <row r="68" spans="1:23" s="85" customFormat="1" x14ac:dyDescent="0.25">
      <c r="B68" s="132" t="s">
        <v>42</v>
      </c>
      <c r="C68" s="79"/>
      <c r="D68" s="79"/>
      <c r="E68" s="79"/>
      <c r="F68" s="133">
        <v>0.13</v>
      </c>
      <c r="G68" s="126"/>
      <c r="H68" s="134">
        <f>H67*F68</f>
        <v>64114.168040000004</v>
      </c>
      <c r="I68" s="135"/>
      <c r="J68" s="136">
        <v>0.13</v>
      </c>
      <c r="K68" s="137"/>
      <c r="L68" s="138">
        <f>L67*J68</f>
        <v>66170.23504</v>
      </c>
      <c r="M68" s="139"/>
      <c r="N68" s="140">
        <f t="shared" si="20"/>
        <v>2056.0669999999955</v>
      </c>
      <c r="O68" s="114">
        <f t="shared" si="21"/>
        <v>3.206884005290752E-2</v>
      </c>
      <c r="Q68" s="139"/>
      <c r="R68" s="204"/>
      <c r="S68" s="139"/>
      <c r="T68" s="204"/>
      <c r="U68" s="139"/>
      <c r="V68" s="204"/>
      <c r="W68" s="139"/>
    </row>
    <row r="69" spans="1:23" s="85" customFormat="1" ht="13.8" thickBot="1" x14ac:dyDescent="0.3">
      <c r="B69" s="141" t="s">
        <v>43</v>
      </c>
      <c r="C69" s="79"/>
      <c r="D69" s="79"/>
      <c r="E69" s="79"/>
      <c r="F69" s="142"/>
      <c r="G69" s="143"/>
      <c r="H69" s="127">
        <f>H67+H68</f>
        <v>557300.07603999996</v>
      </c>
      <c r="I69" s="135"/>
      <c r="J69" s="135"/>
      <c r="K69" s="135"/>
      <c r="L69" s="211">
        <f>L67+L68</f>
        <v>575172.04304000002</v>
      </c>
      <c r="M69" s="139"/>
      <c r="N69" s="131">
        <f t="shared" si="20"/>
        <v>17871.967000000062</v>
      </c>
      <c r="O69" s="104">
        <f t="shared" si="21"/>
        <v>3.2068840052907707E-2</v>
      </c>
      <c r="Q69" s="139"/>
      <c r="R69" s="204"/>
      <c r="S69" s="139"/>
      <c r="T69" s="204"/>
      <c r="U69" s="139"/>
      <c r="V69" s="204"/>
      <c r="W69" s="139"/>
    </row>
    <row r="70" spans="1:23" s="85" customFormat="1" ht="8.25" customHeight="1" thickBot="1" x14ac:dyDescent="0.3">
      <c r="B70" s="117"/>
      <c r="C70" s="118"/>
      <c r="D70" s="119"/>
      <c r="E70" s="118"/>
      <c r="F70" s="144"/>
      <c r="G70" s="145"/>
      <c r="H70" s="146"/>
      <c r="I70" s="147"/>
      <c r="J70" s="144"/>
      <c r="K70" s="120"/>
      <c r="L70" s="148"/>
      <c r="M70" s="121"/>
      <c r="N70" s="149"/>
      <c r="O70" s="95"/>
      <c r="Q70" s="143"/>
      <c r="R70" s="204"/>
      <c r="S70" s="143"/>
      <c r="T70" s="204"/>
      <c r="U70" s="143"/>
      <c r="V70" s="204"/>
      <c r="W70" s="143"/>
    </row>
    <row r="71" spans="1:23" x14ac:dyDescent="0.25">
      <c r="L71" s="150"/>
    </row>
    <row r="72" spans="1:23" x14ac:dyDescent="0.25">
      <c r="B72" s="12" t="s">
        <v>45</v>
      </c>
      <c r="F72" s="151">
        <f>'LU(7500)'!F72</f>
        <v>6.1999999999999998E-3</v>
      </c>
      <c r="J72" s="151">
        <v>6.1999999999999998E-3</v>
      </c>
    </row>
    <row r="74" spans="1:23" ht="13.5" customHeight="1" x14ac:dyDescent="0.25">
      <c r="Q74" s="202"/>
      <c r="R74" s="202"/>
      <c r="S74" s="6"/>
      <c r="T74" s="6"/>
      <c r="U74" s="6"/>
      <c r="V74" s="6"/>
      <c r="W74" s="6"/>
    </row>
    <row r="75" spans="1:23" ht="12" customHeight="1" x14ac:dyDescent="0.25">
      <c r="A75" s="6" t="s">
        <v>46</v>
      </c>
      <c r="Q75" s="202"/>
      <c r="R75" s="202"/>
      <c r="S75" s="6"/>
      <c r="T75" s="6"/>
      <c r="U75" s="6"/>
      <c r="V75" s="6"/>
      <c r="W75" s="6"/>
    </row>
    <row r="76" spans="1:23" x14ac:dyDescent="0.25">
      <c r="A76" s="6" t="s">
        <v>47</v>
      </c>
      <c r="Q76" s="202"/>
      <c r="R76" s="202"/>
      <c r="S76" s="6"/>
      <c r="T76" s="6"/>
      <c r="U76" s="6"/>
      <c r="V76" s="6"/>
      <c r="W76" s="6"/>
    </row>
    <row r="77" spans="1:23" x14ac:dyDescent="0.25">
      <c r="Q77" s="202"/>
      <c r="R77" s="202"/>
      <c r="S77" s="6"/>
      <c r="T77" s="6"/>
      <c r="U77" s="6"/>
      <c r="V77" s="6"/>
      <c r="W77" s="6"/>
    </row>
    <row r="78" spans="1:23" x14ac:dyDescent="0.25">
      <c r="A78" s="153" t="s">
        <v>133</v>
      </c>
      <c r="Q78" s="202"/>
      <c r="R78" s="202"/>
      <c r="S78" s="6"/>
      <c r="T78" s="6"/>
      <c r="U78" s="6"/>
      <c r="V78" s="6"/>
      <c r="W78" s="6"/>
    </row>
    <row r="79" spans="1:23" x14ac:dyDescent="0.25">
      <c r="A79" s="11" t="s">
        <v>48</v>
      </c>
      <c r="Q79" s="202"/>
      <c r="R79" s="202"/>
      <c r="S79" s="6"/>
      <c r="T79" s="6"/>
      <c r="U79" s="6"/>
      <c r="V79" s="6"/>
      <c r="W79" s="6"/>
    </row>
    <row r="80" spans="1:23" x14ac:dyDescent="0.25">
      <c r="Q80" s="202"/>
      <c r="R80" s="202"/>
      <c r="S80" s="6"/>
      <c r="T80" s="6"/>
      <c r="U80" s="6"/>
      <c r="V80" s="6"/>
      <c r="W80" s="6"/>
    </row>
    <row r="81" spans="1:23" x14ac:dyDescent="0.25">
      <c r="A81" s="6" t="s">
        <v>132</v>
      </c>
      <c r="Q81" s="202"/>
      <c r="R81" s="202"/>
      <c r="S81" s="6"/>
      <c r="T81" s="6"/>
      <c r="U81" s="6"/>
      <c r="V81" s="6"/>
      <c r="W81" s="6"/>
    </row>
    <row r="82" spans="1:23" x14ac:dyDescent="0.25">
      <c r="A82" s="6" t="s">
        <v>49</v>
      </c>
      <c r="Q82" s="202"/>
      <c r="R82" s="202"/>
      <c r="S82" s="6"/>
      <c r="T82" s="6"/>
      <c r="U82" s="6"/>
      <c r="V82" s="6"/>
      <c r="W82" s="6"/>
    </row>
    <row r="83" spans="1:23" x14ac:dyDescent="0.25">
      <c r="A83" s="6" t="s">
        <v>50</v>
      </c>
      <c r="Q83" s="202"/>
      <c r="R83" s="202"/>
      <c r="S83" s="6"/>
      <c r="T83" s="6"/>
      <c r="U83" s="6"/>
      <c r="V83" s="6"/>
      <c r="W83" s="6"/>
    </row>
    <row r="84" spans="1:23" x14ac:dyDescent="0.25">
      <c r="A84" s="6" t="s">
        <v>51</v>
      </c>
      <c r="Q84" s="202"/>
      <c r="R84" s="202"/>
      <c r="S84" s="6"/>
      <c r="T84" s="6"/>
      <c r="U84" s="6"/>
      <c r="V84" s="6"/>
      <c r="W84" s="6"/>
    </row>
    <row r="85" spans="1:23" x14ac:dyDescent="0.25">
      <c r="A85" s="6" t="s">
        <v>52</v>
      </c>
      <c r="Q85" s="202"/>
      <c r="R85" s="202"/>
      <c r="S85" s="6"/>
      <c r="T85" s="6"/>
      <c r="U85" s="6"/>
      <c r="V85" s="6"/>
      <c r="W85" s="6"/>
    </row>
    <row r="86" spans="1:23" x14ac:dyDescent="0.25">
      <c r="Q86" s="202"/>
      <c r="R86" s="202"/>
      <c r="S86" s="6"/>
      <c r="T86" s="6"/>
      <c r="U86" s="6"/>
      <c r="V86" s="6"/>
      <c r="W86" s="6"/>
    </row>
    <row r="87" spans="1:23" x14ac:dyDescent="0.25">
      <c r="A87" s="152"/>
      <c r="B87" s="6" t="s">
        <v>53</v>
      </c>
      <c r="Q87" s="202"/>
      <c r="R87" s="202"/>
      <c r="S87" s="6"/>
      <c r="T87" s="6"/>
      <c r="U87" s="6"/>
      <c r="V87" s="6"/>
      <c r="W87" s="6"/>
    </row>
    <row r="88" spans="1:23" x14ac:dyDescent="0.25">
      <c r="Q88" s="202"/>
      <c r="R88" s="202"/>
      <c r="S88" s="6"/>
      <c r="T88" s="6"/>
      <c r="U88" s="6"/>
      <c r="V88" s="6"/>
      <c r="W88" s="6"/>
    </row>
    <row r="89" spans="1:23" x14ac:dyDescent="0.25">
      <c r="B89" s="153" t="s">
        <v>54</v>
      </c>
      <c r="Q89" s="202"/>
      <c r="R89" s="202"/>
      <c r="S89" s="6"/>
      <c r="T89" s="6"/>
      <c r="U89" s="6"/>
      <c r="V89" s="6"/>
      <c r="W89" s="6"/>
    </row>
  </sheetData>
  <sheetProtection selectLockedCells="1"/>
  <mergeCells count="8">
    <mergeCell ref="N21:N22"/>
    <mergeCell ref="O21:O22"/>
    <mergeCell ref="A3:K3"/>
    <mergeCell ref="D14:O14"/>
    <mergeCell ref="F20:H20"/>
    <mergeCell ref="J20:L20"/>
    <mergeCell ref="N20:O20"/>
    <mergeCell ref="D21:D22"/>
  </mergeCells>
  <dataValidations count="3">
    <dataValidation type="list" allowBlank="1" showInputMessage="1" showErrorMessage="1" sqref="E49:E50 E70 E66 E52:E62 E23:E38 E40:E47">
      <formula1>#REF!</formula1>
    </dataValidation>
    <dataValidation type="list" allowBlank="1" showInputMessage="1" showErrorMessage="1" prompt="Select Charge Unit - monthly, per kWh, per kW" sqref="D70 D66 D23:D38 D52:D62 D49:D50 D40:D47">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3</xdr:col>
                    <xdr:colOff>175260</xdr:colOff>
                    <xdr:row>8</xdr:row>
                    <xdr:rowOff>15240</xdr:rowOff>
                  </from>
                  <to>
                    <xdr:col>5</xdr:col>
                    <xdr:colOff>175260</xdr:colOff>
                    <xdr:row>9</xdr:row>
                    <xdr:rowOff>30480</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5</xdr:col>
                    <xdr:colOff>53340</xdr:colOff>
                    <xdr:row>7</xdr:row>
                    <xdr:rowOff>175260</xdr:rowOff>
                  </from>
                  <to>
                    <xdr:col>7</xdr:col>
                    <xdr:colOff>441960</xdr:colOff>
                    <xdr:row>9</xdr:row>
                    <xdr:rowOff>83820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W97"/>
  <sheetViews>
    <sheetView showGridLines="0" tabSelected="1" view="pageBreakPreview" topLeftCell="A49"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62</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470</v>
      </c>
      <c r="G18" s="12" t="s">
        <v>6</v>
      </c>
    </row>
    <row r="19" spans="2:23" x14ac:dyDescent="0.25">
      <c r="B19" s="11"/>
      <c r="F19" s="13"/>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'Proposed Rates'!D14</f>
        <v>4.5999999999999996</v>
      </c>
      <c r="G23" s="25">
        <v>1</v>
      </c>
      <c r="H23" s="26">
        <f>G23*F23</f>
        <v>4.5999999999999996</v>
      </c>
      <c r="I23" s="27"/>
      <c r="J23" s="157">
        <f>+'Proposed Rates'!E14</f>
        <v>4.83</v>
      </c>
      <c r="K23" s="29">
        <v>1</v>
      </c>
      <c r="L23" s="26">
        <f>K23*J23</f>
        <v>4.83</v>
      </c>
      <c r="M23" s="27"/>
      <c r="N23" s="30">
        <f>L23-H23</f>
        <v>0.23000000000000043</v>
      </c>
      <c r="O23" s="31">
        <f>IF((H23)=0,"",(N23/H23))</f>
        <v>5.00000000000001E-2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20</v>
      </c>
      <c r="E29" s="23"/>
      <c r="F29" s="24">
        <f>'Proposed Rates'!D27</f>
        <v>2.2599999999999999E-2</v>
      </c>
      <c r="G29" s="25">
        <f>+$F$18</f>
        <v>470</v>
      </c>
      <c r="H29" s="26">
        <f t="shared" si="0"/>
        <v>10.622</v>
      </c>
      <c r="I29" s="27"/>
      <c r="J29" s="28">
        <f>+'Proposed Rates'!E27</f>
        <v>2.35E-2</v>
      </c>
      <c r="K29" s="25">
        <f>+$F$18</f>
        <v>470</v>
      </c>
      <c r="L29" s="26">
        <f t="shared" si="1"/>
        <v>11.045</v>
      </c>
      <c r="M29" s="27"/>
      <c r="N29" s="30">
        <f t="shared" si="2"/>
        <v>0.42300000000000004</v>
      </c>
      <c r="O29" s="31">
        <f t="shared" si="3"/>
        <v>3.9823008849557529E-2</v>
      </c>
      <c r="Q29" s="107"/>
      <c r="S29" s="107"/>
      <c r="U29" s="107"/>
      <c r="W29" s="107"/>
    </row>
    <row r="30" spans="2:23" x14ac:dyDescent="0.25">
      <c r="B30" s="21" t="s">
        <v>21</v>
      </c>
      <c r="C30" s="21"/>
      <c r="D30" s="22"/>
      <c r="E30" s="23"/>
      <c r="F30" s="24"/>
      <c r="G30" s="25">
        <f t="shared" ref="G30:G38" si="4">$F$18</f>
        <v>470</v>
      </c>
      <c r="H30" s="26">
        <f t="shared" si="0"/>
        <v>0</v>
      </c>
      <c r="I30" s="27"/>
      <c r="J30" s="28"/>
      <c r="K30" s="25">
        <f t="shared" ref="K30:K38" si="5">$F$18</f>
        <v>470</v>
      </c>
      <c r="L30" s="26">
        <f t="shared" si="1"/>
        <v>0</v>
      </c>
      <c r="M30" s="27"/>
      <c r="N30" s="30">
        <f t="shared" si="2"/>
        <v>0</v>
      </c>
      <c r="O30" s="31" t="str">
        <f t="shared" si="3"/>
        <v/>
      </c>
      <c r="Q30" s="107"/>
      <c r="S30" s="107"/>
      <c r="U30" s="107"/>
      <c r="W30" s="107"/>
    </row>
    <row r="31" spans="2:23" x14ac:dyDescent="0.25">
      <c r="B31" s="21" t="s">
        <v>22</v>
      </c>
      <c r="C31" s="21"/>
      <c r="D31" s="22" t="s">
        <v>20</v>
      </c>
      <c r="E31" s="23"/>
      <c r="F31" s="24">
        <f>'Proposed Rates'!D74</f>
        <v>0</v>
      </c>
      <c r="G31" s="25">
        <f t="shared" si="4"/>
        <v>470</v>
      </c>
      <c r="H31" s="26">
        <f t="shared" si="0"/>
        <v>0</v>
      </c>
      <c r="I31" s="27"/>
      <c r="J31" s="28">
        <f>+'Proposed Rates'!E74</f>
        <v>0</v>
      </c>
      <c r="K31" s="25">
        <f t="shared" si="5"/>
        <v>470</v>
      </c>
      <c r="L31" s="26">
        <f t="shared" si="1"/>
        <v>0</v>
      </c>
      <c r="M31" s="27"/>
      <c r="N31" s="30">
        <f t="shared" si="2"/>
        <v>0</v>
      </c>
      <c r="O31" s="31" t="str">
        <f t="shared" si="3"/>
        <v/>
      </c>
      <c r="Q31" s="107"/>
      <c r="S31" s="107"/>
      <c r="U31" s="107"/>
      <c r="W31" s="107"/>
    </row>
    <row r="32" spans="2:23" x14ac:dyDescent="0.25">
      <c r="B32" s="33"/>
      <c r="C32" s="21"/>
      <c r="D32" s="22"/>
      <c r="E32" s="23"/>
      <c r="F32" s="24"/>
      <c r="G32" s="25">
        <f t="shared" si="4"/>
        <v>470</v>
      </c>
      <c r="H32" s="26">
        <f t="shared" si="0"/>
        <v>0</v>
      </c>
      <c r="I32" s="27"/>
      <c r="J32" s="28"/>
      <c r="K32" s="25">
        <f t="shared" si="5"/>
        <v>470</v>
      </c>
      <c r="L32" s="26">
        <f t="shared" si="1"/>
        <v>0</v>
      </c>
      <c r="M32" s="27"/>
      <c r="N32" s="30">
        <f t="shared" si="2"/>
        <v>0</v>
      </c>
      <c r="O32" s="31" t="str">
        <f t="shared" si="3"/>
        <v/>
      </c>
      <c r="Q32" s="107"/>
      <c r="S32" s="107"/>
      <c r="U32" s="107"/>
      <c r="W32" s="107"/>
    </row>
    <row r="33" spans="2:23" x14ac:dyDescent="0.25">
      <c r="B33" s="33"/>
      <c r="C33" s="21"/>
      <c r="D33" s="22"/>
      <c r="E33" s="23"/>
      <c r="F33" s="24"/>
      <c r="G33" s="25">
        <f t="shared" si="4"/>
        <v>470</v>
      </c>
      <c r="H33" s="26">
        <f t="shared" si="0"/>
        <v>0</v>
      </c>
      <c r="I33" s="27"/>
      <c r="J33" s="28"/>
      <c r="K33" s="25">
        <f t="shared" si="5"/>
        <v>470</v>
      </c>
      <c r="L33" s="26">
        <f t="shared" si="1"/>
        <v>0</v>
      </c>
      <c r="M33" s="27"/>
      <c r="N33" s="30">
        <f t="shared" si="2"/>
        <v>0</v>
      </c>
      <c r="O33" s="31" t="str">
        <f t="shared" si="3"/>
        <v/>
      </c>
      <c r="Q33" s="107"/>
      <c r="S33" s="107"/>
      <c r="U33" s="107"/>
      <c r="W33" s="107"/>
    </row>
    <row r="34" spans="2:23" x14ac:dyDescent="0.25">
      <c r="B34" s="33"/>
      <c r="C34" s="21"/>
      <c r="D34" s="22"/>
      <c r="E34" s="23"/>
      <c r="F34" s="24"/>
      <c r="G34" s="25">
        <f t="shared" si="4"/>
        <v>470</v>
      </c>
      <c r="H34" s="26">
        <f t="shared" si="0"/>
        <v>0</v>
      </c>
      <c r="I34" s="27"/>
      <c r="J34" s="28"/>
      <c r="K34" s="25">
        <f t="shared" si="5"/>
        <v>470</v>
      </c>
      <c r="L34" s="26">
        <f t="shared" si="1"/>
        <v>0</v>
      </c>
      <c r="M34" s="27"/>
      <c r="N34" s="30">
        <f t="shared" si="2"/>
        <v>0</v>
      </c>
      <c r="O34" s="31" t="str">
        <f t="shared" si="3"/>
        <v/>
      </c>
      <c r="Q34" s="107"/>
      <c r="S34" s="107"/>
      <c r="U34" s="107"/>
      <c r="W34" s="107"/>
    </row>
    <row r="35" spans="2:23" x14ac:dyDescent="0.25">
      <c r="B35" s="33"/>
      <c r="C35" s="21"/>
      <c r="D35" s="22"/>
      <c r="E35" s="23"/>
      <c r="F35" s="24"/>
      <c r="G35" s="25">
        <f t="shared" si="4"/>
        <v>470</v>
      </c>
      <c r="H35" s="26">
        <f t="shared" si="0"/>
        <v>0</v>
      </c>
      <c r="I35" s="27"/>
      <c r="J35" s="28"/>
      <c r="K35" s="25">
        <f t="shared" si="5"/>
        <v>470</v>
      </c>
      <c r="L35" s="26">
        <f t="shared" si="1"/>
        <v>0</v>
      </c>
      <c r="M35" s="27"/>
      <c r="N35" s="30">
        <f t="shared" si="2"/>
        <v>0</v>
      </c>
      <c r="O35" s="31" t="str">
        <f t="shared" si="3"/>
        <v/>
      </c>
      <c r="Q35" s="107"/>
      <c r="S35" s="107"/>
      <c r="U35" s="107"/>
      <c r="W35" s="107"/>
    </row>
    <row r="36" spans="2:23" x14ac:dyDescent="0.25">
      <c r="B36" s="33"/>
      <c r="C36" s="21"/>
      <c r="D36" s="22"/>
      <c r="E36" s="23"/>
      <c r="F36" s="24"/>
      <c r="G36" s="25">
        <f t="shared" si="4"/>
        <v>470</v>
      </c>
      <c r="H36" s="26">
        <f t="shared" si="0"/>
        <v>0</v>
      </c>
      <c r="I36" s="27"/>
      <c r="J36" s="28"/>
      <c r="K36" s="25">
        <f t="shared" si="5"/>
        <v>470</v>
      </c>
      <c r="L36" s="26">
        <f t="shared" si="1"/>
        <v>0</v>
      </c>
      <c r="M36" s="27"/>
      <c r="N36" s="30">
        <f t="shared" si="2"/>
        <v>0</v>
      </c>
      <c r="O36" s="31" t="str">
        <f t="shared" si="3"/>
        <v/>
      </c>
      <c r="Q36" s="107"/>
      <c r="S36" s="107"/>
      <c r="U36" s="107"/>
      <c r="W36" s="107"/>
    </row>
    <row r="37" spans="2:23" x14ac:dyDescent="0.25">
      <c r="B37" s="33"/>
      <c r="C37" s="21"/>
      <c r="D37" s="22"/>
      <c r="E37" s="23"/>
      <c r="F37" s="24"/>
      <c r="G37" s="25">
        <f t="shared" si="4"/>
        <v>470</v>
      </c>
      <c r="H37" s="26">
        <f t="shared" si="0"/>
        <v>0</v>
      </c>
      <c r="I37" s="27"/>
      <c r="J37" s="28"/>
      <c r="K37" s="25">
        <f t="shared" si="5"/>
        <v>470</v>
      </c>
      <c r="L37" s="26">
        <f t="shared" si="1"/>
        <v>0</v>
      </c>
      <c r="M37" s="27"/>
      <c r="N37" s="30">
        <f t="shared" si="2"/>
        <v>0</v>
      </c>
      <c r="O37" s="31" t="str">
        <f t="shared" si="3"/>
        <v/>
      </c>
      <c r="Q37" s="107"/>
      <c r="S37" s="107"/>
      <c r="U37" s="107"/>
      <c r="W37" s="107"/>
    </row>
    <row r="38" spans="2:23" x14ac:dyDescent="0.25">
      <c r="B38" s="33"/>
      <c r="C38" s="21"/>
      <c r="D38" s="22"/>
      <c r="E38" s="23"/>
      <c r="F38" s="24"/>
      <c r="G38" s="25">
        <f t="shared" si="4"/>
        <v>470</v>
      </c>
      <c r="H38" s="26">
        <f t="shared" si="0"/>
        <v>0</v>
      </c>
      <c r="I38" s="27"/>
      <c r="J38" s="28"/>
      <c r="K38" s="25">
        <f t="shared" si="5"/>
        <v>470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15.222</v>
      </c>
      <c r="I39" s="40"/>
      <c r="J39" s="41"/>
      <c r="K39" s="42"/>
      <c r="L39" s="39">
        <f>SUM(L23:L38)</f>
        <v>15.875</v>
      </c>
      <c r="M39" s="40"/>
      <c r="N39" s="43">
        <f t="shared" si="2"/>
        <v>0.65300000000000047</v>
      </c>
      <c r="O39" s="44">
        <f t="shared" si="3"/>
        <v>4.2898436473525196E-2</v>
      </c>
      <c r="Q39" s="107"/>
      <c r="R39" s="203"/>
      <c r="S39" s="107"/>
      <c r="T39" s="203"/>
      <c r="U39" s="107"/>
      <c r="V39" s="203"/>
      <c r="W39" s="107"/>
    </row>
    <row r="40" spans="2:23" ht="26.4" x14ac:dyDescent="0.25">
      <c r="B40" s="46" t="str">
        <f>+'&gt;50 (100)'!B40</f>
        <v>Deferral/Variance Account Disposition Rate Rider Class 1</v>
      </c>
      <c r="C40" s="21"/>
      <c r="D40" s="22" t="s">
        <v>20</v>
      </c>
      <c r="E40" s="23"/>
      <c r="F40" s="24">
        <f>'Proposed Rates'!D45</f>
        <v>0</v>
      </c>
      <c r="G40" s="25">
        <f t="shared" ref="G40:G44" si="6">$F$18</f>
        <v>470</v>
      </c>
      <c r="H40" s="26">
        <f>G40*F40</f>
        <v>0</v>
      </c>
      <c r="I40" s="27"/>
      <c r="J40" s="28">
        <f>+'Proposed Rates'!E45</f>
        <v>-4.0000000000000002E-4</v>
      </c>
      <c r="K40" s="25">
        <f t="shared" ref="K40:K44" si="7">$F$18</f>
        <v>470</v>
      </c>
      <c r="L40" s="26">
        <f>K40*J40</f>
        <v>-0.188</v>
      </c>
      <c r="M40" s="27"/>
      <c r="N40" s="30">
        <f>L40-H40</f>
        <v>-0.188</v>
      </c>
      <c r="O40" s="31" t="str">
        <f>IF((H40)=0,"",(N40/H40))</f>
        <v/>
      </c>
      <c r="Q40" s="107"/>
      <c r="S40" s="107"/>
      <c r="U40" s="107"/>
      <c r="W40" s="107"/>
    </row>
    <row r="41" spans="2:23" ht="26.4" x14ac:dyDescent="0.25">
      <c r="B41" s="46" t="str">
        <f>+'&gt;50 (100)'!B41</f>
        <v>Deferral/Variance Account Disposition Rate Rider Class 2</v>
      </c>
      <c r="C41" s="21"/>
      <c r="D41" s="22" t="s">
        <v>20</v>
      </c>
      <c r="E41" s="23"/>
      <c r="F41" s="24">
        <f>'Proposed Rates'!D59</f>
        <v>0</v>
      </c>
      <c r="G41" s="25">
        <f t="shared" si="6"/>
        <v>470</v>
      </c>
      <c r="H41" s="26">
        <f t="shared" ref="H41:H46" si="8">G41*F41</f>
        <v>0</v>
      </c>
      <c r="I41" s="47"/>
      <c r="J41" s="28">
        <f>+'Proposed Rates'!E59</f>
        <v>0</v>
      </c>
      <c r="K41" s="25">
        <f t="shared" si="7"/>
        <v>470</v>
      </c>
      <c r="L41" s="26">
        <f t="shared" ref="L41:L46" si="9">K41*J41</f>
        <v>0</v>
      </c>
      <c r="M41" s="48"/>
      <c r="N41" s="30">
        <f t="shared" ref="N41:N46" si="10">L41-H41</f>
        <v>0</v>
      </c>
      <c r="O41" s="31" t="str">
        <f t="shared" ref="O41:O65" si="11">IF((H41)=0,"",(N41/H41))</f>
        <v/>
      </c>
      <c r="Q41" s="107"/>
      <c r="S41" s="107"/>
      <c r="U41" s="107"/>
      <c r="W41" s="107"/>
    </row>
    <row r="42" spans="2:23" ht="39.6" x14ac:dyDescent="0.25">
      <c r="B42" s="46" t="str">
        <f>+'&gt;50 (100)'!B42</f>
        <v xml:space="preserve">Deferral/Variance Account Disposition Rate Rider -  Global Adjustment </v>
      </c>
      <c r="C42" s="21"/>
      <c r="D42" s="22" t="s">
        <v>20</v>
      </c>
      <c r="E42" s="23"/>
      <c r="F42" s="24">
        <f>'Proposed Rates'!D88</f>
        <v>0</v>
      </c>
      <c r="G42" s="25">
        <f t="shared" si="6"/>
        <v>470</v>
      </c>
      <c r="H42" s="26">
        <f t="shared" si="8"/>
        <v>0</v>
      </c>
      <c r="I42" s="47"/>
      <c r="J42" s="28"/>
      <c r="K42" s="25">
        <f t="shared" si="7"/>
        <v>470</v>
      </c>
      <c r="L42" s="26">
        <f t="shared" si="9"/>
        <v>0</v>
      </c>
      <c r="M42" s="48"/>
      <c r="N42" s="30">
        <f t="shared" si="10"/>
        <v>0</v>
      </c>
      <c r="O42" s="31" t="str">
        <f t="shared" si="11"/>
        <v/>
      </c>
      <c r="Q42" s="107"/>
      <c r="S42" s="107"/>
      <c r="U42" s="107"/>
      <c r="W42" s="107"/>
    </row>
    <row r="43" spans="2:23" ht="39.6" x14ac:dyDescent="0.25">
      <c r="B43" s="46" t="str">
        <f>+'&gt;50 (100)'!B43</f>
        <v>Deferral / Variance Accounts Balances (excluding Global Adj.) - NON-WMP</v>
      </c>
      <c r="C43" s="21"/>
      <c r="D43" s="22" t="s">
        <v>20</v>
      </c>
      <c r="E43" s="23"/>
      <c r="F43" s="24">
        <f>'Proposed Rates'!D104</f>
        <v>-2.3E-3</v>
      </c>
      <c r="G43" s="25">
        <f t="shared" si="6"/>
        <v>470</v>
      </c>
      <c r="H43" s="26">
        <f t="shared" si="8"/>
        <v>-1.081</v>
      </c>
      <c r="I43" s="47"/>
      <c r="J43" s="28">
        <f>+'Proposed Rates'!E104</f>
        <v>-8.0000000000000004E-4</v>
      </c>
      <c r="K43" s="25">
        <f t="shared" si="7"/>
        <v>470</v>
      </c>
      <c r="L43" s="26">
        <f t="shared" si="9"/>
        <v>-0.376</v>
      </c>
      <c r="M43" s="48"/>
      <c r="N43" s="30">
        <f t="shared" si="10"/>
        <v>0.70499999999999996</v>
      </c>
      <c r="O43" s="31">
        <f t="shared" si="11"/>
        <v>-0.65217391304347827</v>
      </c>
      <c r="Q43" s="107"/>
      <c r="S43" s="107"/>
      <c r="U43" s="107"/>
      <c r="W43" s="107"/>
    </row>
    <row r="44" spans="2:23" ht="39.6" x14ac:dyDescent="0.25">
      <c r="B44" s="46" t="s">
        <v>125</v>
      </c>
      <c r="C44" s="21"/>
      <c r="D44" s="22" t="s">
        <v>20</v>
      </c>
      <c r="E44" s="23"/>
      <c r="F44" s="24">
        <f>+'Proposed Rates'!D118</f>
        <v>2.7E-4</v>
      </c>
      <c r="G44" s="25">
        <f t="shared" si="6"/>
        <v>470</v>
      </c>
      <c r="H44" s="26">
        <f t="shared" si="8"/>
        <v>0.12690000000000001</v>
      </c>
      <c r="I44" s="226"/>
      <c r="J44" s="223">
        <f>+'Proposed Rates'!E118</f>
        <v>0</v>
      </c>
      <c r="K44" s="25">
        <f t="shared" si="7"/>
        <v>470</v>
      </c>
      <c r="L44" s="26">
        <f t="shared" si="9"/>
        <v>0</v>
      </c>
      <c r="M44" s="226"/>
      <c r="N44" s="30">
        <f t="shared" si="10"/>
        <v>-0.12690000000000001</v>
      </c>
      <c r="O44" s="31">
        <f t="shared" si="11"/>
        <v>-1</v>
      </c>
      <c r="Q44" s="107"/>
      <c r="S44" s="107"/>
      <c r="U44" s="107"/>
      <c r="W44" s="107"/>
    </row>
    <row r="45" spans="2:23" x14ac:dyDescent="0.25">
      <c r="B45" s="49" t="s">
        <v>25</v>
      </c>
      <c r="C45" s="21"/>
      <c r="D45" s="22" t="s">
        <v>20</v>
      </c>
      <c r="E45" s="23"/>
      <c r="F45" s="50">
        <f>'Proposed Rates'!D133</f>
        <v>6.9999999999999994E-5</v>
      </c>
      <c r="G45" s="51">
        <f>$F$18+G46</f>
        <v>485.74500000000006</v>
      </c>
      <c r="H45" s="26">
        <f>G45*F45</f>
        <v>3.4002150000000002E-2</v>
      </c>
      <c r="I45" s="27"/>
      <c r="J45" s="50">
        <f>'Proposed Rates'!E133</f>
        <v>6.0000000000000002E-5</v>
      </c>
      <c r="K45" s="51">
        <f>+$G$45</f>
        <v>485.74500000000006</v>
      </c>
      <c r="L45" s="26">
        <f>K45*J45</f>
        <v>2.9144700000000006E-2</v>
      </c>
      <c r="M45" s="27"/>
      <c r="N45" s="30">
        <f>L45-H45</f>
        <v>-4.8574499999999958E-3</v>
      </c>
      <c r="O45" s="31">
        <f>IF((H45)=0,"",(N45/H45))</f>
        <v>-0.14285714285714274</v>
      </c>
      <c r="Q45" s="107"/>
      <c r="S45" s="107"/>
      <c r="U45" s="107"/>
      <c r="W45" s="107"/>
    </row>
    <row r="46" spans="2:23" x14ac:dyDescent="0.25">
      <c r="B46" s="49" t="s">
        <v>26</v>
      </c>
      <c r="C46" s="21"/>
      <c r="D46" s="22"/>
      <c r="E46" s="23"/>
      <c r="F46" s="53">
        <f>IF(ISBLANK(D16)=TRUE, 0, IF(D16="TOU", 0.65*$F$57+0.17*$F$58+0.18*$F$59, IF(AND(D16="non-TOU", G61&gt;0), F61,F60)))</f>
        <v>8.2160000000000011E-2</v>
      </c>
      <c r="G46" s="54">
        <f>$F$18*(1+$F$76)-$F$18</f>
        <v>15.745000000000061</v>
      </c>
      <c r="H46" s="26">
        <f t="shared" si="8"/>
        <v>1.2936092000000052</v>
      </c>
      <c r="I46" s="27"/>
      <c r="J46" s="55">
        <f>0.65*$J$57+0.17*$J$58+0.18*$J$59</f>
        <v>8.2160000000000011E-2</v>
      </c>
      <c r="K46" s="54">
        <f>$F$18*(1+$J$76)-$F$18</f>
        <v>15.745000000000061</v>
      </c>
      <c r="L46" s="26">
        <f t="shared" si="9"/>
        <v>1.2936092000000052</v>
      </c>
      <c r="M46" s="27"/>
      <c r="N46" s="30">
        <f t="shared" si="10"/>
        <v>0</v>
      </c>
      <c r="O46" s="31">
        <f t="shared" si="11"/>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1"/>
        <v/>
      </c>
      <c r="Q47" s="107"/>
      <c r="S47" s="107"/>
      <c r="U47" s="107"/>
      <c r="W47" s="107"/>
    </row>
    <row r="48" spans="2:23" ht="26.4" x14ac:dyDescent="0.25">
      <c r="B48" s="56" t="s">
        <v>28</v>
      </c>
      <c r="C48" s="57"/>
      <c r="D48" s="57"/>
      <c r="E48" s="57"/>
      <c r="F48" s="58"/>
      <c r="G48" s="59"/>
      <c r="H48" s="60">
        <f>SUM(H40:H47)+H39</f>
        <v>15.595511350000004</v>
      </c>
      <c r="I48" s="40"/>
      <c r="J48" s="59"/>
      <c r="K48" s="61"/>
      <c r="L48" s="60">
        <f>SUM(L40:L47)+L39</f>
        <v>16.633753900000006</v>
      </c>
      <c r="M48" s="40"/>
      <c r="N48" s="43">
        <f t="shared" ref="N48:N65" si="12">L48-H48</f>
        <v>1.0382425500000014</v>
      </c>
      <c r="O48" s="44">
        <f t="shared" si="11"/>
        <v>6.6573164976729104E-2</v>
      </c>
      <c r="Q48" s="107"/>
      <c r="S48" s="107"/>
      <c r="U48" s="107"/>
      <c r="W48" s="107"/>
    </row>
    <row r="49" spans="2:23" x14ac:dyDescent="0.25">
      <c r="B49" s="27" t="s">
        <v>29</v>
      </c>
      <c r="C49" s="27"/>
      <c r="D49" s="22" t="s">
        <v>20</v>
      </c>
      <c r="E49" s="63"/>
      <c r="F49" s="28">
        <f>'Proposed Rates'!D163</f>
        <v>6.7999999999999996E-3</v>
      </c>
      <c r="G49" s="64">
        <f>F18*(1+F76)</f>
        <v>485.74500000000006</v>
      </c>
      <c r="H49" s="26">
        <f>G49*F49</f>
        <v>3.3030660000000003</v>
      </c>
      <c r="I49" s="27"/>
      <c r="J49" s="28">
        <f>'Proposed Rates'!E163</f>
        <v>6.8999999999999999E-3</v>
      </c>
      <c r="K49" s="64">
        <f>$F$18*(1+J76)</f>
        <v>485.74500000000006</v>
      </c>
      <c r="L49" s="26">
        <f>K49*J49</f>
        <v>3.3516405000000002</v>
      </c>
      <c r="M49" s="27"/>
      <c r="N49" s="30">
        <f t="shared" si="12"/>
        <v>4.8574499999999965E-2</v>
      </c>
      <c r="O49" s="31">
        <f t="shared" si="11"/>
        <v>1.4705882352941164E-2</v>
      </c>
      <c r="Q49" s="107"/>
      <c r="S49" s="107"/>
      <c r="U49" s="107"/>
      <c r="W49" s="107"/>
    </row>
    <row r="50" spans="2:23" ht="26.4" x14ac:dyDescent="0.25">
      <c r="B50" s="66" t="s">
        <v>30</v>
      </c>
      <c r="C50" s="27"/>
      <c r="D50" s="22" t="s">
        <v>20</v>
      </c>
      <c r="E50" s="63"/>
      <c r="F50" s="28">
        <f>'Proposed Rates'!D178</f>
        <v>4.4999999999999997E-3</v>
      </c>
      <c r="G50" s="64">
        <f>+G49</f>
        <v>485.74500000000006</v>
      </c>
      <c r="H50" s="26">
        <f>G50*F50</f>
        <v>2.1858525000000002</v>
      </c>
      <c r="I50" s="27"/>
      <c r="J50" s="28">
        <f>'Proposed Rates'!E178</f>
        <v>4.5999999999999999E-3</v>
      </c>
      <c r="K50" s="64">
        <f>+K49</f>
        <v>485.74500000000006</v>
      </c>
      <c r="L50" s="26">
        <f>K50*J50</f>
        <v>2.2344270000000002</v>
      </c>
      <c r="M50" s="27"/>
      <c r="N50" s="30">
        <f t="shared" si="12"/>
        <v>4.8574499999999965E-2</v>
      </c>
      <c r="O50" s="31">
        <f t="shared" si="11"/>
        <v>2.2222222222222206E-2</v>
      </c>
      <c r="Q50" s="107"/>
      <c r="S50" s="107"/>
      <c r="U50" s="107"/>
      <c r="W50" s="107"/>
    </row>
    <row r="51" spans="2:23" ht="26.4" x14ac:dyDescent="0.25">
      <c r="B51" s="56" t="s">
        <v>31</v>
      </c>
      <c r="C51" s="35"/>
      <c r="D51" s="35"/>
      <c r="E51" s="35"/>
      <c r="F51" s="67"/>
      <c r="G51" s="59"/>
      <c r="H51" s="60">
        <f>SUM(H48:H50)</f>
        <v>21.084429850000003</v>
      </c>
      <c r="I51" s="68"/>
      <c r="J51" s="69"/>
      <c r="K51" s="59"/>
      <c r="L51" s="60">
        <f>SUM(L48:L50)</f>
        <v>22.219821400000004</v>
      </c>
      <c r="M51" s="68"/>
      <c r="N51" s="43">
        <f t="shared" si="12"/>
        <v>1.1353915500000014</v>
      </c>
      <c r="O51" s="44">
        <f t="shared" si="11"/>
        <v>5.3849762980429899E-2</v>
      </c>
      <c r="Q51" s="102"/>
      <c r="S51" s="102"/>
      <c r="U51" s="102"/>
      <c r="W51" s="102"/>
    </row>
    <row r="52" spans="2:23" ht="26.4" x14ac:dyDescent="0.25">
      <c r="B52" s="71" t="s">
        <v>32</v>
      </c>
      <c r="C52" s="21"/>
      <c r="D52" s="22" t="s">
        <v>20</v>
      </c>
      <c r="E52" s="23"/>
      <c r="F52" s="72">
        <f>'Proposed Rates'!D186</f>
        <v>3.5999999999999999E-3</v>
      </c>
      <c r="G52" s="64">
        <f>+G49</f>
        <v>485.74500000000006</v>
      </c>
      <c r="H52" s="73">
        <f t="shared" ref="H52:H59" si="13">G52*F52</f>
        <v>1.7486820000000001</v>
      </c>
      <c r="I52" s="27"/>
      <c r="J52" s="72">
        <f>F52</f>
        <v>3.5999999999999999E-3</v>
      </c>
      <c r="K52" s="64">
        <f>+K49</f>
        <v>485.74500000000006</v>
      </c>
      <c r="L52" s="73">
        <f t="shared" ref="L52:L59" si="14">K52*J52</f>
        <v>1.7486820000000001</v>
      </c>
      <c r="M52" s="27"/>
      <c r="N52" s="30">
        <f t="shared" si="12"/>
        <v>0</v>
      </c>
      <c r="O52" s="74">
        <f t="shared" si="11"/>
        <v>0</v>
      </c>
      <c r="Q52" s="107"/>
      <c r="S52" s="107"/>
      <c r="U52" s="107"/>
      <c r="W52" s="107"/>
    </row>
    <row r="53" spans="2:23" ht="26.4" x14ac:dyDescent="0.25">
      <c r="B53" s="71" t="s">
        <v>33</v>
      </c>
      <c r="C53" s="21"/>
      <c r="D53" s="22" t="s">
        <v>20</v>
      </c>
      <c r="E53" s="23"/>
      <c r="F53" s="72">
        <f>'Proposed Rates'!D191</f>
        <v>2.9999999999999997E-4</v>
      </c>
      <c r="G53" s="64">
        <f>+G49</f>
        <v>485.74500000000006</v>
      </c>
      <c r="H53" s="73">
        <f t="shared" si="13"/>
        <v>0.14572350000000001</v>
      </c>
      <c r="I53" s="27"/>
      <c r="J53" s="72">
        <f>F53</f>
        <v>2.9999999999999997E-4</v>
      </c>
      <c r="K53" s="64">
        <f>+K49</f>
        <v>485.74500000000006</v>
      </c>
      <c r="L53" s="73">
        <f t="shared" si="14"/>
        <v>0.14572350000000001</v>
      </c>
      <c r="M53" s="27"/>
      <c r="N53" s="30">
        <f t="shared" si="12"/>
        <v>0</v>
      </c>
      <c r="O53" s="74">
        <f t="shared" si="11"/>
        <v>0</v>
      </c>
      <c r="Q53" s="107"/>
      <c r="S53" s="107"/>
      <c r="U53" s="107"/>
      <c r="W53" s="107"/>
    </row>
    <row r="54" spans="2:23" x14ac:dyDescent="0.25">
      <c r="B54" s="21" t="s">
        <v>34</v>
      </c>
      <c r="C54" s="21"/>
      <c r="D54" s="22" t="s">
        <v>17</v>
      </c>
      <c r="E54" s="23"/>
      <c r="F54" s="72">
        <f>'Proposed Rates'!D196</f>
        <v>0.25</v>
      </c>
      <c r="G54" s="25">
        <v>1</v>
      </c>
      <c r="H54" s="73">
        <f t="shared" si="13"/>
        <v>0.25</v>
      </c>
      <c r="I54" s="27"/>
      <c r="J54" s="72">
        <f>'Proposed Rates'!E196</f>
        <v>0.25</v>
      </c>
      <c r="K54" s="29">
        <v>1</v>
      </c>
      <c r="L54" s="73">
        <f t="shared" si="14"/>
        <v>0.25</v>
      </c>
      <c r="M54" s="27"/>
      <c r="N54" s="30">
        <f t="shared" si="12"/>
        <v>0</v>
      </c>
      <c r="O54" s="74">
        <f t="shared" si="11"/>
        <v>0</v>
      </c>
      <c r="Q54" s="107"/>
      <c r="S54" s="107"/>
      <c r="U54" s="107"/>
      <c r="W54" s="107"/>
    </row>
    <row r="55" spans="2:23" x14ac:dyDescent="0.25">
      <c r="B55" s="21" t="s">
        <v>120</v>
      </c>
      <c r="C55" s="21"/>
      <c r="D55" s="22"/>
      <c r="E55" s="23"/>
      <c r="F55" s="72">
        <f>'Proposed Rates'!D221</f>
        <v>0</v>
      </c>
      <c r="G55" s="64">
        <f>G53</f>
        <v>485.74500000000006</v>
      </c>
      <c r="H55" s="73">
        <f>G55*F55</f>
        <v>0</v>
      </c>
      <c r="I55" s="27"/>
      <c r="J55" s="72">
        <f>F55</f>
        <v>0</v>
      </c>
      <c r="K55" s="64">
        <f>K53</f>
        <v>485.74500000000006</v>
      </c>
      <c r="L55" s="73">
        <f>K55*J55</f>
        <v>0</v>
      </c>
      <c r="M55" s="27"/>
      <c r="N55" s="30"/>
      <c r="O55" s="74"/>
      <c r="Q55" s="107"/>
      <c r="S55" s="107"/>
      <c r="U55" s="107"/>
      <c r="W55" s="107"/>
    </row>
    <row r="56" spans="2:23" x14ac:dyDescent="0.25">
      <c r="B56" s="21" t="s">
        <v>35</v>
      </c>
      <c r="C56" s="21"/>
      <c r="D56" s="22"/>
      <c r="E56" s="23"/>
      <c r="F56" s="72">
        <f>'Proposed Rates'!D216</f>
        <v>6.94E-3</v>
      </c>
      <c r="G56" s="75">
        <f>$F$18</f>
        <v>470</v>
      </c>
      <c r="H56" s="73">
        <f t="shared" si="13"/>
        <v>3.2618</v>
      </c>
      <c r="I56" s="27"/>
      <c r="J56" s="72">
        <f>+F56</f>
        <v>6.94E-3</v>
      </c>
      <c r="K56" s="76">
        <f>$F$18</f>
        <v>470</v>
      </c>
      <c r="L56" s="73">
        <f t="shared" si="14"/>
        <v>3.2618</v>
      </c>
      <c r="M56" s="27"/>
      <c r="N56" s="30">
        <f t="shared" si="12"/>
        <v>0</v>
      </c>
      <c r="O56" s="74">
        <f t="shared" si="11"/>
        <v>0</v>
      </c>
      <c r="Q56" s="107"/>
      <c r="S56" s="107"/>
      <c r="U56" s="107"/>
      <c r="W56" s="107"/>
    </row>
    <row r="57" spans="2:23" x14ac:dyDescent="0.25">
      <c r="B57" s="49" t="s">
        <v>36</v>
      </c>
      <c r="C57" s="21"/>
      <c r="D57" s="22"/>
      <c r="E57" s="23"/>
      <c r="F57" s="72">
        <f>'Proposed Rates'!D226</f>
        <v>6.5000000000000002E-2</v>
      </c>
      <c r="G57" s="77">
        <f>0.65*$F$18</f>
        <v>305.5</v>
      </c>
      <c r="H57" s="73">
        <f t="shared" si="13"/>
        <v>19.857500000000002</v>
      </c>
      <c r="I57" s="27"/>
      <c r="J57" s="72">
        <f>F57</f>
        <v>6.5000000000000002E-2</v>
      </c>
      <c r="K57" s="77">
        <f>$G$57</f>
        <v>305.5</v>
      </c>
      <c r="L57" s="73">
        <f t="shared" si="14"/>
        <v>19.857500000000002</v>
      </c>
      <c r="M57" s="27"/>
      <c r="N57" s="30">
        <f t="shared" si="12"/>
        <v>0</v>
      </c>
      <c r="O57" s="74">
        <f t="shared" si="11"/>
        <v>0</v>
      </c>
      <c r="Q57" s="107"/>
      <c r="S57" s="107"/>
      <c r="U57" s="107"/>
      <c r="W57" s="107"/>
    </row>
    <row r="58" spans="2:23" x14ac:dyDescent="0.25">
      <c r="B58" s="49" t="s">
        <v>37</v>
      </c>
      <c r="C58" s="21"/>
      <c r="D58" s="22"/>
      <c r="E58" s="23"/>
      <c r="F58" s="72">
        <f>'Proposed Rates'!D227</f>
        <v>9.5000000000000001E-2</v>
      </c>
      <c r="G58" s="77">
        <f>0.17*$F$18</f>
        <v>79.900000000000006</v>
      </c>
      <c r="H58" s="73">
        <f t="shared" si="13"/>
        <v>7.5905000000000005</v>
      </c>
      <c r="I58" s="27"/>
      <c r="J58" s="72">
        <f>F58</f>
        <v>9.5000000000000001E-2</v>
      </c>
      <c r="K58" s="77">
        <f>$G$58</f>
        <v>79.900000000000006</v>
      </c>
      <c r="L58" s="73">
        <f t="shared" si="14"/>
        <v>7.5905000000000005</v>
      </c>
      <c r="M58" s="27"/>
      <c r="N58" s="30">
        <f t="shared" si="12"/>
        <v>0</v>
      </c>
      <c r="O58" s="74">
        <f t="shared" si="11"/>
        <v>0</v>
      </c>
      <c r="Q58" s="107"/>
      <c r="S58" s="107"/>
      <c r="U58" s="107"/>
      <c r="W58" s="107"/>
    </row>
    <row r="59" spans="2:23" x14ac:dyDescent="0.25">
      <c r="B59" s="11" t="s">
        <v>38</v>
      </c>
      <c r="C59" s="21"/>
      <c r="D59" s="22"/>
      <c r="E59" s="23"/>
      <c r="F59" s="72">
        <f>'Proposed Rates'!D228</f>
        <v>0.13200000000000001</v>
      </c>
      <c r="G59" s="77">
        <f>0.18*$F$18</f>
        <v>84.6</v>
      </c>
      <c r="H59" s="73">
        <f t="shared" si="13"/>
        <v>11.167199999999999</v>
      </c>
      <c r="I59" s="27"/>
      <c r="J59" s="72">
        <f>F59</f>
        <v>0.13200000000000001</v>
      </c>
      <c r="K59" s="77">
        <f>$G$59</f>
        <v>84.6</v>
      </c>
      <c r="L59" s="73">
        <f t="shared" si="14"/>
        <v>11.167199999999999</v>
      </c>
      <c r="M59" s="27"/>
      <c r="N59" s="30">
        <f t="shared" si="12"/>
        <v>0</v>
      </c>
      <c r="O59" s="74">
        <f t="shared" si="11"/>
        <v>0</v>
      </c>
      <c r="Q59" s="107"/>
      <c r="S59" s="107"/>
      <c r="U59" s="107"/>
      <c r="W59" s="107"/>
    </row>
    <row r="60" spans="2:23" s="85" customFormat="1" x14ac:dyDescent="0.25">
      <c r="B60" s="78" t="s">
        <v>39</v>
      </c>
      <c r="C60" s="79"/>
      <c r="D60" s="80"/>
      <c r="E60" s="81"/>
      <c r="F60" s="72">
        <f>'Proposed Rates'!D229</f>
        <v>7.6999999999999999E-2</v>
      </c>
      <c r="G60" s="82">
        <f>IF(AND($Q$1=1, F18&gt;=600), 600, IF(AND($Q$1=1, AND(F18&lt;600, F18&gt;=0)), F18, IF(AND($Q$1=2, F18&gt;=1000), 1000, IF(AND($Q$1=2, AND(F18&lt;1000, F18&gt;=0)), F18))))</f>
        <v>470</v>
      </c>
      <c r="H60" s="73">
        <f>G60*F60</f>
        <v>36.19</v>
      </c>
      <c r="I60" s="83"/>
      <c r="J60" s="72">
        <f>F60</f>
        <v>7.6999999999999999E-2</v>
      </c>
      <c r="K60" s="82">
        <f>$G$60</f>
        <v>470</v>
      </c>
      <c r="L60" s="73">
        <f>K60*J60</f>
        <v>36.19</v>
      </c>
      <c r="M60" s="83"/>
      <c r="N60" s="84">
        <f t="shared" si="12"/>
        <v>0</v>
      </c>
      <c r="O60" s="74">
        <f t="shared" si="11"/>
        <v>0</v>
      </c>
      <c r="Q60" s="143"/>
      <c r="R60" s="204"/>
      <c r="S60" s="143"/>
      <c r="T60" s="204"/>
      <c r="U60" s="143"/>
      <c r="V60" s="204"/>
      <c r="W60" s="143"/>
    </row>
    <row r="61" spans="2:23" s="85" customFormat="1" ht="13.8" thickBot="1" x14ac:dyDescent="0.3">
      <c r="B61" s="78" t="s">
        <v>40</v>
      </c>
      <c r="C61" s="79"/>
      <c r="D61" s="80"/>
      <c r="E61" s="81"/>
      <c r="F61" s="72">
        <f>'Proposed Rates'!D230</f>
        <v>0.09</v>
      </c>
      <c r="G61" s="82">
        <f>IF(AND($Q$1=1, F18&gt;=600), F18-600, IF(AND($Q$1=1, AND(F18&lt;600, F18&gt;=0)), 0, IF(AND($Q$1=2, F18&gt;=1000), F18-1000, IF(AND($Q$1=2, AND(F18&lt;1000, F18&gt;=0)), 0))))</f>
        <v>0</v>
      </c>
      <c r="H61" s="73">
        <f>G61*F61</f>
        <v>0</v>
      </c>
      <c r="I61" s="83"/>
      <c r="J61" s="72">
        <f>F61</f>
        <v>0.09</v>
      </c>
      <c r="K61" s="82">
        <f>$G$61</f>
        <v>0</v>
      </c>
      <c r="L61" s="73">
        <f>K61*J61</f>
        <v>0</v>
      </c>
      <c r="M61" s="83"/>
      <c r="N61" s="84">
        <f t="shared" si="12"/>
        <v>0</v>
      </c>
      <c r="O61" s="74" t="str">
        <f t="shared" si="11"/>
        <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124" t="s">
        <v>44</v>
      </c>
      <c r="C63" s="79"/>
      <c r="D63" s="79"/>
      <c r="E63" s="21"/>
      <c r="F63" s="265"/>
      <c r="G63" s="98"/>
      <c r="H63" s="99">
        <f>SUM(H52:H59,H51)</f>
        <v>65.105835350000007</v>
      </c>
      <c r="I63" s="267"/>
      <c r="J63" s="268"/>
      <c r="K63" s="101"/>
      <c r="L63" s="254">
        <f>SUM(L52:L59,L51)</f>
        <v>66.241226900000001</v>
      </c>
      <c r="M63" s="102"/>
      <c r="N63" s="103">
        <f t="shared" ref="N63" si="15">L63-H63</f>
        <v>1.1353915499999943</v>
      </c>
      <c r="O63" s="104">
        <f t="shared" ref="O63" si="16">IF((H63)=0,"",(N63/H63))</f>
        <v>1.7439167225123304E-2</v>
      </c>
      <c r="Q63" s="102"/>
      <c r="S63" s="102"/>
      <c r="U63" s="102"/>
      <c r="W63" s="102"/>
    </row>
    <row r="64" spans="2:23" x14ac:dyDescent="0.25">
      <c r="B64" s="132" t="s">
        <v>42</v>
      </c>
      <c r="C64" s="79"/>
      <c r="D64" s="79"/>
      <c r="E64" s="21"/>
      <c r="F64" s="106">
        <v>0.13</v>
      </c>
      <c r="G64" s="25"/>
      <c r="H64" s="270">
        <f>H63*F64</f>
        <v>8.4637585955000016</v>
      </c>
      <c r="I64" s="252"/>
      <c r="J64" s="110">
        <v>0.13</v>
      </c>
      <c r="K64" s="109"/>
      <c r="L64" s="113">
        <f>L63*J64</f>
        <v>8.6113594970000005</v>
      </c>
      <c r="M64" s="112"/>
      <c r="N64" s="113">
        <f t="shared" si="12"/>
        <v>0.14760090149999883</v>
      </c>
      <c r="O64" s="114">
        <f t="shared" si="11"/>
        <v>1.7439167225123252E-2</v>
      </c>
      <c r="Q64" s="112"/>
      <c r="S64" s="112"/>
      <c r="U64" s="112"/>
      <c r="W64" s="112"/>
    </row>
    <row r="65" spans="2:23" x14ac:dyDescent="0.25">
      <c r="B65" s="258" t="s">
        <v>43</v>
      </c>
      <c r="C65" s="79"/>
      <c r="D65" s="79"/>
      <c r="E65" s="21"/>
      <c r="F65" s="116"/>
      <c r="G65" s="25"/>
      <c r="H65" s="212">
        <f>H63+H64</f>
        <v>73.569593945500003</v>
      </c>
      <c r="I65" s="112"/>
      <c r="J65" s="109"/>
      <c r="K65" s="109"/>
      <c r="L65" s="103">
        <f>L63+L64</f>
        <v>74.852586396999996</v>
      </c>
      <c r="M65" s="112"/>
      <c r="N65" s="103">
        <f t="shared" si="12"/>
        <v>1.2829924514999931</v>
      </c>
      <c r="O65" s="104">
        <f t="shared" si="11"/>
        <v>1.7439167225123297E-2</v>
      </c>
      <c r="Q65" s="112"/>
      <c r="S65" s="112"/>
      <c r="U65" s="112"/>
      <c r="W65" s="112"/>
    </row>
    <row r="66" spans="2:23" x14ac:dyDescent="0.25">
      <c r="B66" s="249" t="s">
        <v>137</v>
      </c>
      <c r="C66" s="21"/>
      <c r="D66" s="21"/>
      <c r="E66" s="21"/>
      <c r="F66" s="266">
        <v>-0.08</v>
      </c>
      <c r="G66" s="25"/>
      <c r="H66" s="272">
        <f>H63*F66</f>
        <v>-5.2084668280000006</v>
      </c>
      <c r="I66" s="112"/>
      <c r="J66" s="266">
        <v>-0.08</v>
      </c>
      <c r="K66" s="248"/>
      <c r="L66" s="272">
        <f>L63*J66</f>
        <v>-5.2992981520000004</v>
      </c>
      <c r="M66" s="109"/>
      <c r="N66" s="257">
        <f t="shared" ref="N66:N67" si="17">L66-H66</f>
        <v>-9.0831323999999825E-2</v>
      </c>
      <c r="O66" s="114">
        <f t="shared" ref="O66:O67" si="18">IF((H66)=0,"",(N66/H66))</f>
        <v>1.7439167225123356E-2</v>
      </c>
      <c r="Q66" s="112"/>
      <c r="S66" s="112"/>
      <c r="U66" s="112"/>
      <c r="W66" s="112"/>
    </row>
    <row r="67" spans="2:23" ht="13.5" customHeight="1" thickBot="1" x14ac:dyDescent="0.3">
      <c r="B67" s="294" t="s">
        <v>138</v>
      </c>
      <c r="C67" s="294"/>
      <c r="D67" s="294"/>
      <c r="E67" s="21"/>
      <c r="F67" s="256"/>
      <c r="G67" s="271"/>
      <c r="H67" s="269">
        <f>SUM(H65:H66)</f>
        <v>68.361127117500004</v>
      </c>
      <c r="I67" s="112"/>
      <c r="J67" s="109"/>
      <c r="K67" s="248"/>
      <c r="L67" s="269">
        <f>SUM(L65:L66)</f>
        <v>69.55328824499999</v>
      </c>
      <c r="M67" s="253"/>
      <c r="N67" s="103">
        <f t="shared" si="17"/>
        <v>1.1921611274999862</v>
      </c>
      <c r="O67" s="104">
        <f t="shared" si="18"/>
        <v>1.7439167225123189E-2</v>
      </c>
      <c r="Q67" s="112"/>
      <c r="S67" s="112"/>
      <c r="U67" s="112"/>
      <c r="W67" s="112"/>
    </row>
    <row r="68" spans="2:23" s="85" customFormat="1" ht="8.25" customHeight="1" thickBot="1" x14ac:dyDescent="0.3">
      <c r="B68" s="117"/>
      <c r="C68" s="118"/>
      <c r="D68" s="119"/>
      <c r="E68" s="118"/>
      <c r="F68" s="89"/>
      <c r="G68" s="120"/>
      <c r="H68" s="91"/>
      <c r="I68" s="121"/>
      <c r="J68" s="144"/>
      <c r="K68" s="122"/>
      <c r="L68" s="91"/>
      <c r="M68" s="121"/>
      <c r="N68" s="123"/>
      <c r="O68" s="95"/>
      <c r="Q68" s="143"/>
      <c r="R68" s="204"/>
      <c r="S68" s="143"/>
      <c r="T68" s="204"/>
      <c r="U68" s="143"/>
      <c r="V68" s="204"/>
      <c r="W68" s="143"/>
    </row>
    <row r="69" spans="2:23" s="85" customFormat="1" x14ac:dyDescent="0.25">
      <c r="B69" s="124" t="s">
        <v>44</v>
      </c>
      <c r="C69" s="79"/>
      <c r="D69" s="79"/>
      <c r="E69" s="79"/>
      <c r="F69" s="125"/>
      <c r="G69" s="126"/>
      <c r="H69" s="127">
        <f>SUM(H60:H61,H51,H52:H56)</f>
        <v>62.68063535000001</v>
      </c>
      <c r="I69" s="128"/>
      <c r="J69" s="129"/>
      <c r="K69" s="129"/>
      <c r="L69" s="259">
        <f>SUM(L60:L61,L51,L52:L56)</f>
        <v>63.816026900000004</v>
      </c>
      <c r="M69" s="130"/>
      <c r="N69" s="131">
        <f t="shared" ref="N69:N71" si="19">L69-H69</f>
        <v>1.1353915499999943</v>
      </c>
      <c r="O69" s="104">
        <f t="shared" ref="O69:O71" si="20">IF((H69)=0,"",(N69/H69))</f>
        <v>1.8113912592942375E-2</v>
      </c>
      <c r="Q69" s="130"/>
      <c r="R69" s="204"/>
      <c r="S69" s="130"/>
      <c r="T69" s="204"/>
      <c r="U69" s="130"/>
      <c r="V69" s="204"/>
      <c r="W69" s="130"/>
    </row>
    <row r="70" spans="2:23" s="85" customFormat="1" x14ac:dyDescent="0.25">
      <c r="B70" s="132" t="s">
        <v>42</v>
      </c>
      <c r="C70" s="79"/>
      <c r="D70" s="79"/>
      <c r="E70" s="79"/>
      <c r="F70" s="133">
        <v>0.13</v>
      </c>
      <c r="G70" s="126"/>
      <c r="H70" s="134">
        <f>H69*F70</f>
        <v>8.1484825955000009</v>
      </c>
      <c r="I70" s="135"/>
      <c r="J70" s="136">
        <v>0.13</v>
      </c>
      <c r="K70" s="137"/>
      <c r="L70" s="138">
        <f>L69*J70</f>
        <v>8.2960834970000015</v>
      </c>
      <c r="M70" s="139"/>
      <c r="N70" s="140">
        <f t="shared" si="19"/>
        <v>0.1476009015000006</v>
      </c>
      <c r="O70" s="114">
        <f t="shared" si="20"/>
        <v>1.8113912592942542E-2</v>
      </c>
      <c r="Q70" s="139"/>
      <c r="R70" s="204"/>
      <c r="S70" s="139"/>
      <c r="T70" s="204"/>
      <c r="U70" s="139"/>
      <c r="V70" s="204"/>
      <c r="W70" s="139"/>
    </row>
    <row r="71" spans="2:23" s="85" customFormat="1" x14ac:dyDescent="0.25">
      <c r="B71" s="258" t="s">
        <v>43</v>
      </c>
      <c r="C71" s="79"/>
      <c r="D71" s="79"/>
      <c r="E71" s="79"/>
      <c r="F71" s="142"/>
      <c r="G71" s="143"/>
      <c r="H71" s="127">
        <f>H69+H70</f>
        <v>70.829117945500016</v>
      </c>
      <c r="I71" s="135"/>
      <c r="J71" s="135"/>
      <c r="K71" s="135"/>
      <c r="L71" s="211">
        <f>L69+L70</f>
        <v>72.112110397000009</v>
      </c>
      <c r="M71" s="139"/>
      <c r="N71" s="131">
        <f t="shared" si="19"/>
        <v>1.2829924514999931</v>
      </c>
      <c r="O71" s="104">
        <f t="shared" si="20"/>
        <v>1.8113912592942368E-2</v>
      </c>
      <c r="Q71" s="139"/>
      <c r="R71" s="204"/>
      <c r="S71" s="139"/>
      <c r="T71" s="204"/>
      <c r="U71" s="139"/>
      <c r="V71" s="204"/>
      <c r="W71" s="139"/>
    </row>
    <row r="72" spans="2:23" s="85" customFormat="1" x14ac:dyDescent="0.25">
      <c r="B72" s="249" t="s">
        <v>137</v>
      </c>
      <c r="C72" s="21"/>
      <c r="D72" s="21"/>
      <c r="E72" s="79"/>
      <c r="F72" s="266">
        <v>-0.08</v>
      </c>
      <c r="G72" s="143"/>
      <c r="H72" s="134">
        <f>H69*F72</f>
        <v>-5.0144508280000011</v>
      </c>
      <c r="I72" s="135"/>
      <c r="J72" s="264">
        <v>-0.08</v>
      </c>
      <c r="K72" s="135"/>
      <c r="L72" s="140">
        <f>L69*J72</f>
        <v>-5.105282152</v>
      </c>
      <c r="M72" s="139"/>
      <c r="N72" s="140">
        <f t="shared" ref="N72:N73" si="21">L72-H72</f>
        <v>-9.0831323999998936E-2</v>
      </c>
      <c r="O72" s="114">
        <f t="shared" ref="O72:O73" si="22">IF((H72)=0,"",(N72/H72))</f>
        <v>1.8113912592942254E-2</v>
      </c>
      <c r="Q72" s="139"/>
      <c r="R72" s="204"/>
      <c r="S72" s="139"/>
      <c r="T72" s="204"/>
      <c r="U72" s="139"/>
      <c r="V72" s="204"/>
      <c r="W72" s="139"/>
    </row>
    <row r="73" spans="2:23" s="85" customFormat="1" ht="13.8" thickBot="1" x14ac:dyDescent="0.3">
      <c r="B73" s="294" t="s">
        <v>138</v>
      </c>
      <c r="C73" s="294"/>
      <c r="D73" s="294"/>
      <c r="E73" s="79"/>
      <c r="F73" s="142"/>
      <c r="G73" s="143"/>
      <c r="H73" s="127">
        <f>SUM(H71:H72)</f>
        <v>65.814667117500022</v>
      </c>
      <c r="I73" s="135"/>
      <c r="J73" s="135"/>
      <c r="K73" s="135"/>
      <c r="L73" s="262">
        <f>SUM(L71:L72)</f>
        <v>67.006828245000008</v>
      </c>
      <c r="M73" s="139"/>
      <c r="N73" s="131">
        <f t="shared" si="21"/>
        <v>1.1921611274999862</v>
      </c>
      <c r="O73" s="104">
        <f t="shared" si="22"/>
        <v>1.8113912592942254E-2</v>
      </c>
      <c r="Q73" s="139"/>
      <c r="R73" s="204"/>
      <c r="S73" s="139"/>
      <c r="T73" s="204"/>
      <c r="U73" s="139"/>
      <c r="V73" s="204"/>
      <c r="W73" s="139"/>
    </row>
    <row r="74" spans="2:23" s="85" customFormat="1" ht="8.25" customHeight="1" thickBot="1" x14ac:dyDescent="0.3">
      <c r="B74" s="117"/>
      <c r="C74" s="118"/>
      <c r="D74" s="119"/>
      <c r="E74" s="118"/>
      <c r="F74" s="144"/>
      <c r="G74" s="145"/>
      <c r="H74" s="146"/>
      <c r="I74" s="147"/>
      <c r="J74" s="144"/>
      <c r="K74" s="120"/>
      <c r="L74" s="148"/>
      <c r="M74" s="121"/>
      <c r="N74" s="149"/>
      <c r="O74" s="95"/>
      <c r="Q74" s="143"/>
      <c r="R74" s="204"/>
      <c r="S74" s="143"/>
      <c r="T74" s="204"/>
      <c r="U74" s="143"/>
      <c r="V74" s="204"/>
      <c r="W74" s="143"/>
    </row>
    <row r="75" spans="2:23" x14ac:dyDescent="0.25">
      <c r="L75" s="150"/>
    </row>
    <row r="76" spans="2:23" x14ac:dyDescent="0.25">
      <c r="B76" s="12" t="s">
        <v>45</v>
      </c>
      <c r="F76" s="151">
        <f>'Proposed Rates'!D208</f>
        <v>3.3500000000000002E-2</v>
      </c>
      <c r="J76" s="151">
        <f>+'Res (100)'!J74</f>
        <v>3.3500000000000002E-2</v>
      </c>
    </row>
    <row r="77" spans="2:23" ht="13.8" thickBot="1" x14ac:dyDescent="0.3"/>
    <row r="78" spans="2:23" ht="8.25" customHeight="1" thickBot="1" x14ac:dyDescent="0.3">
      <c r="B78" s="86"/>
      <c r="C78" s="87"/>
      <c r="D78" s="88"/>
      <c r="E78" s="87"/>
      <c r="F78" s="89"/>
      <c r="G78" s="90"/>
      <c r="H78" s="91"/>
      <c r="I78" s="92"/>
      <c r="J78" s="89"/>
      <c r="K78" s="93"/>
      <c r="L78" s="91"/>
      <c r="M78" s="92"/>
      <c r="N78" s="94"/>
      <c r="O78" s="95"/>
      <c r="Q78" s="107"/>
      <c r="S78" s="107"/>
      <c r="U78" s="107"/>
      <c r="W78" s="107"/>
    </row>
    <row r="79" spans="2:23" x14ac:dyDescent="0.25">
      <c r="B79" s="96" t="s">
        <v>41</v>
      </c>
      <c r="C79" s="21"/>
      <c r="D79" s="21"/>
      <c r="E79" s="21"/>
      <c r="F79" s="97"/>
      <c r="G79" s="98"/>
      <c r="H79" s="99">
        <f>+H63-H31-H40-H41-H43</f>
        <v>66.18683535000001</v>
      </c>
      <c r="I79" s="100"/>
      <c r="J79" s="101"/>
      <c r="K79" s="101"/>
      <c r="L79" s="99">
        <f>+L63-L31-L40-L41-L43</f>
        <v>66.805226900000008</v>
      </c>
      <c r="M79" s="102"/>
      <c r="N79" s="103">
        <f t="shared" ref="N79:N81" si="23">L79-H79</f>
        <v>0.61839154999999835</v>
      </c>
      <c r="O79" s="104">
        <f t="shared" ref="O79:O81" si="24">IF((H79)=0,"",(N79/H79))</f>
        <v>9.3431200741039555E-3</v>
      </c>
      <c r="Q79" s="102"/>
      <c r="S79" s="102"/>
      <c r="U79" s="102"/>
      <c r="W79" s="102"/>
    </row>
    <row r="80" spans="2:23" x14ac:dyDescent="0.25">
      <c r="B80" s="105" t="s">
        <v>42</v>
      </c>
      <c r="C80" s="21"/>
      <c r="D80" s="21"/>
      <c r="E80" s="21"/>
      <c r="F80" s="106">
        <v>0.13</v>
      </c>
      <c r="G80" s="107"/>
      <c r="H80" s="108">
        <f>H79*F80</f>
        <v>8.6042885955000017</v>
      </c>
      <c r="I80" s="109"/>
      <c r="J80" s="110">
        <v>0.13</v>
      </c>
      <c r="K80" s="109"/>
      <c r="L80" s="111">
        <f>L79*J80</f>
        <v>8.6846794970000012</v>
      </c>
      <c r="M80" s="112"/>
      <c r="N80" s="113">
        <f t="shared" si="23"/>
        <v>8.0390901499999501E-2</v>
      </c>
      <c r="O80" s="114">
        <f t="shared" si="24"/>
        <v>9.3431200741039208E-3</v>
      </c>
      <c r="Q80" s="112"/>
      <c r="S80" s="112"/>
      <c r="U80" s="112"/>
      <c r="W80" s="112"/>
    </row>
    <row r="81" spans="1:23" x14ac:dyDescent="0.25">
      <c r="B81" s="115" t="s">
        <v>43</v>
      </c>
      <c r="C81" s="21"/>
      <c r="D81" s="21"/>
      <c r="E81" s="21"/>
      <c r="F81" s="205"/>
      <c r="G81" s="206"/>
      <c r="H81" s="216">
        <f>H79+H80</f>
        <v>74.791123945500004</v>
      </c>
      <c r="I81" s="207"/>
      <c r="J81" s="207"/>
      <c r="K81" s="207"/>
      <c r="L81" s="215">
        <f>L79+L80</f>
        <v>75.489906397000013</v>
      </c>
      <c r="M81" s="208"/>
      <c r="N81" s="214">
        <f t="shared" si="23"/>
        <v>0.69878245150000851</v>
      </c>
      <c r="O81" s="213">
        <f t="shared" si="24"/>
        <v>9.3431200741040943E-3</v>
      </c>
      <c r="Q81" s="112"/>
      <c r="S81" s="112"/>
      <c r="U81" s="112"/>
      <c r="W81" s="112"/>
    </row>
    <row r="82" spans="1:23" ht="13.5" customHeight="1" x14ac:dyDescent="0.25">
      <c r="Q82" s="202"/>
      <c r="R82" s="202"/>
      <c r="S82" s="6"/>
      <c r="T82" s="6"/>
      <c r="U82" s="6"/>
      <c r="V82" s="6"/>
      <c r="W82" s="6"/>
    </row>
    <row r="83" spans="1:23" ht="12" customHeight="1" x14ac:dyDescent="0.25">
      <c r="A83" s="6" t="s">
        <v>46</v>
      </c>
      <c r="Q83" s="202"/>
      <c r="R83" s="202"/>
      <c r="S83" s="6"/>
      <c r="T83" s="6"/>
      <c r="U83" s="6"/>
      <c r="V83" s="6"/>
      <c r="W83" s="6"/>
    </row>
    <row r="84" spans="1:23" x14ac:dyDescent="0.25">
      <c r="A84" s="6" t="s">
        <v>47</v>
      </c>
      <c r="Q84" s="202"/>
      <c r="R84" s="202"/>
      <c r="S84" s="6"/>
      <c r="T84" s="6"/>
      <c r="U84" s="6"/>
      <c r="V84" s="6"/>
      <c r="W84" s="6"/>
    </row>
    <row r="85" spans="1:23" x14ac:dyDescent="0.25">
      <c r="Q85" s="202"/>
      <c r="R85" s="202"/>
      <c r="S85" s="6"/>
      <c r="T85" s="6"/>
      <c r="U85" s="6"/>
      <c r="V85" s="6"/>
      <c r="W85" s="6"/>
    </row>
    <row r="86" spans="1:23" x14ac:dyDescent="0.25">
      <c r="A86" s="153" t="s">
        <v>133</v>
      </c>
      <c r="Q86" s="202"/>
      <c r="R86" s="202"/>
      <c r="S86" s="6"/>
      <c r="T86" s="6"/>
      <c r="U86" s="6"/>
      <c r="V86" s="6"/>
      <c r="W86" s="6"/>
    </row>
    <row r="87" spans="1:23" x14ac:dyDescent="0.25">
      <c r="A87" s="11" t="s">
        <v>48</v>
      </c>
      <c r="Q87" s="202"/>
      <c r="R87" s="202"/>
      <c r="S87" s="6"/>
      <c r="T87" s="6"/>
      <c r="U87" s="6"/>
      <c r="V87" s="6"/>
      <c r="W87" s="6"/>
    </row>
    <row r="88" spans="1:23" x14ac:dyDescent="0.25">
      <c r="Q88" s="202"/>
      <c r="R88" s="202"/>
      <c r="S88" s="6"/>
      <c r="T88" s="6"/>
      <c r="U88" s="6"/>
      <c r="V88" s="6"/>
      <c r="W88" s="6"/>
    </row>
    <row r="89" spans="1:23" x14ac:dyDescent="0.25">
      <c r="A89" s="6" t="s">
        <v>132</v>
      </c>
      <c r="Q89" s="202"/>
      <c r="R89" s="202"/>
      <c r="S89" s="6"/>
      <c r="T89" s="6"/>
      <c r="U89" s="6"/>
      <c r="V89" s="6"/>
      <c r="W89" s="6"/>
    </row>
    <row r="90" spans="1:23" x14ac:dyDescent="0.25">
      <c r="A90" s="6" t="s">
        <v>49</v>
      </c>
      <c r="Q90" s="202"/>
      <c r="R90" s="202"/>
      <c r="S90" s="6"/>
      <c r="T90" s="6"/>
      <c r="U90" s="6"/>
      <c r="V90" s="6"/>
      <c r="W90" s="6"/>
    </row>
    <row r="91" spans="1:23" x14ac:dyDescent="0.25">
      <c r="A91" s="6" t="s">
        <v>50</v>
      </c>
      <c r="Q91" s="202"/>
      <c r="R91" s="202"/>
      <c r="S91" s="6"/>
      <c r="T91" s="6"/>
      <c r="U91" s="6"/>
      <c r="V91" s="6"/>
      <c r="W91" s="6"/>
    </row>
    <row r="92" spans="1:23" x14ac:dyDescent="0.25">
      <c r="A92" s="6" t="s">
        <v>51</v>
      </c>
      <c r="Q92" s="202"/>
      <c r="R92" s="202"/>
      <c r="S92" s="6"/>
      <c r="T92" s="6"/>
      <c r="U92" s="6"/>
      <c r="V92" s="6"/>
      <c r="W92" s="6"/>
    </row>
    <row r="93" spans="1:23" x14ac:dyDescent="0.25">
      <c r="A93" s="6" t="s">
        <v>52</v>
      </c>
      <c r="Q93" s="202"/>
      <c r="R93" s="202"/>
      <c r="S93" s="6"/>
      <c r="T93" s="6"/>
      <c r="U93" s="6"/>
      <c r="V93" s="6"/>
      <c r="W93" s="6"/>
    </row>
    <row r="94" spans="1:23" x14ac:dyDescent="0.25">
      <c r="Q94" s="202"/>
      <c r="R94" s="202"/>
      <c r="S94" s="6"/>
      <c r="T94" s="6"/>
      <c r="U94" s="6"/>
      <c r="V94" s="6"/>
      <c r="W94" s="6"/>
    </row>
    <row r="95" spans="1:23" x14ac:dyDescent="0.25">
      <c r="A95" s="152"/>
      <c r="B95" s="6" t="s">
        <v>53</v>
      </c>
      <c r="Q95" s="202"/>
      <c r="R95" s="202"/>
      <c r="S95" s="6"/>
      <c r="T95" s="6"/>
      <c r="U95" s="6"/>
      <c r="V95" s="6"/>
      <c r="W95" s="6"/>
    </row>
    <row r="96" spans="1:23" x14ac:dyDescent="0.25">
      <c r="Q96" s="202"/>
      <c r="R96" s="202"/>
      <c r="S96" s="6"/>
      <c r="T96" s="6"/>
      <c r="U96" s="6"/>
      <c r="V96" s="6"/>
      <c r="W96" s="6"/>
    </row>
    <row r="97" spans="2:23" x14ac:dyDescent="0.25">
      <c r="B97" s="153" t="s">
        <v>54</v>
      </c>
      <c r="Q97" s="202"/>
      <c r="R97" s="202"/>
      <c r="S97" s="6"/>
      <c r="T97" s="6"/>
      <c r="U97" s="6"/>
      <c r="V97" s="6"/>
      <c r="W97" s="6"/>
    </row>
  </sheetData>
  <sheetProtection selectLockedCells="1"/>
  <mergeCells count="10">
    <mergeCell ref="B67:D67"/>
    <mergeCell ref="B73:D73"/>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4 D68 D23:D38 D52:D62 D40:D47 D49:D50 D78">
      <formula1>"Monthly, per kWh, per kW"</formula1>
    </dataValidation>
    <dataValidation type="list" allowBlank="1" showInputMessage="1" showErrorMessage="1" sqref="E49:E50 E74 E68 E52:E62 E23:E38 E40:E47 E78">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3</xdr:col>
                    <xdr:colOff>487680</xdr:colOff>
                    <xdr:row>9</xdr:row>
                    <xdr:rowOff>198120</xdr:rowOff>
                  </from>
                  <to>
                    <xdr:col>5</xdr:col>
                    <xdr:colOff>655320</xdr:colOff>
                    <xdr:row>10</xdr:row>
                    <xdr:rowOff>91440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5</xdr:col>
                    <xdr:colOff>297180</xdr:colOff>
                    <xdr:row>9</xdr:row>
                    <xdr:rowOff>167640</xdr:rowOff>
                  </from>
                  <to>
                    <xdr:col>9</xdr:col>
                    <xdr:colOff>647700</xdr:colOff>
                    <xdr:row>10</xdr:row>
                    <xdr:rowOff>160020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W97"/>
  <sheetViews>
    <sheetView showGridLines="0" tabSelected="1" view="pageBreakPreview" topLeftCell="A61"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63</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94</v>
      </c>
      <c r="G18" s="12" t="s">
        <v>6</v>
      </c>
    </row>
    <row r="19" spans="2:23" x14ac:dyDescent="0.25">
      <c r="B19" s="11"/>
      <c r="F19" s="159">
        <v>0.4</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'Proposed Rates'!D13</f>
        <v>3.04</v>
      </c>
      <c r="G23" s="25">
        <v>1</v>
      </c>
      <c r="H23" s="26">
        <f>G23*F23</f>
        <v>3.04</v>
      </c>
      <c r="I23" s="27"/>
      <c r="J23" s="157">
        <f>+'Proposed Rates'!E13</f>
        <v>3.25</v>
      </c>
      <c r="K23" s="29">
        <v>1</v>
      </c>
      <c r="L23" s="26">
        <f>K23*J23</f>
        <v>3.25</v>
      </c>
      <c r="M23" s="27"/>
      <c r="N23" s="30">
        <f>L23-H23</f>
        <v>0.20999999999999996</v>
      </c>
      <c r="O23" s="31">
        <f>IF((H23)=0,"",(N23/H23))</f>
        <v>6.9078947368421045E-2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'Proposed Rates'!D26</f>
        <v>12.279400000000001</v>
      </c>
      <c r="G29" s="51">
        <f>+$F$19</f>
        <v>0.4</v>
      </c>
      <c r="H29" s="26">
        <f t="shared" si="0"/>
        <v>4.911760000000001</v>
      </c>
      <c r="I29" s="27"/>
      <c r="J29" s="28">
        <f>+'Proposed Rates'!E26</f>
        <v>13.8285</v>
      </c>
      <c r="K29" s="51">
        <f>+$F$19</f>
        <v>0.4</v>
      </c>
      <c r="L29" s="26">
        <f t="shared" si="1"/>
        <v>5.5314000000000005</v>
      </c>
      <c r="M29" s="27"/>
      <c r="N29" s="30">
        <f t="shared" si="2"/>
        <v>0.61963999999999952</v>
      </c>
      <c r="O29" s="31">
        <f t="shared" si="3"/>
        <v>0.12615437236347041</v>
      </c>
      <c r="Q29" s="107"/>
      <c r="S29" s="107"/>
      <c r="U29" s="107"/>
      <c r="W29" s="107"/>
    </row>
    <row r="30" spans="2:23" x14ac:dyDescent="0.25">
      <c r="B30" s="21" t="s">
        <v>21</v>
      </c>
      <c r="C30" s="21"/>
      <c r="D30" s="22"/>
      <c r="E30" s="23"/>
      <c r="F30" s="24"/>
      <c r="G30" s="25">
        <f t="shared" ref="G30" si="4">$F$18</f>
        <v>94</v>
      </c>
      <c r="H30" s="26">
        <f t="shared" si="0"/>
        <v>0</v>
      </c>
      <c r="I30" s="27"/>
      <c r="J30" s="28"/>
      <c r="K30" s="25">
        <f t="shared" ref="K30:K38" si="5">$F$18</f>
        <v>94</v>
      </c>
      <c r="L30" s="26">
        <f t="shared" si="1"/>
        <v>0</v>
      </c>
      <c r="M30" s="27"/>
      <c r="N30" s="30">
        <f t="shared" si="2"/>
        <v>0</v>
      </c>
      <c r="O30" s="31" t="str">
        <f t="shared" si="3"/>
        <v/>
      </c>
      <c r="Q30" s="107"/>
      <c r="S30" s="107"/>
      <c r="U30" s="107"/>
      <c r="W30" s="107"/>
    </row>
    <row r="31" spans="2:23" x14ac:dyDescent="0.25">
      <c r="B31" s="21" t="s">
        <v>22</v>
      </c>
      <c r="C31" s="21"/>
      <c r="D31" s="22" t="s">
        <v>58</v>
      </c>
      <c r="E31" s="23"/>
      <c r="F31" s="24">
        <f>'Proposed Rates'!D73</f>
        <v>0</v>
      </c>
      <c r="G31" s="51">
        <f>+$F$19</f>
        <v>0.4</v>
      </c>
      <c r="H31" s="26">
        <f t="shared" si="0"/>
        <v>0</v>
      </c>
      <c r="I31" s="27"/>
      <c r="J31" s="28"/>
      <c r="K31" s="51">
        <f>+$F$19</f>
        <v>0.4</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94</v>
      </c>
      <c r="H32" s="26">
        <f t="shared" si="0"/>
        <v>0</v>
      </c>
      <c r="I32" s="27"/>
      <c r="J32" s="28"/>
      <c r="K32" s="25">
        <f t="shared" si="5"/>
        <v>94</v>
      </c>
      <c r="L32" s="26">
        <f t="shared" si="1"/>
        <v>0</v>
      </c>
      <c r="M32" s="27"/>
      <c r="N32" s="30">
        <f t="shared" si="2"/>
        <v>0</v>
      </c>
      <c r="O32" s="31" t="str">
        <f t="shared" si="3"/>
        <v/>
      </c>
      <c r="Q32" s="107"/>
      <c r="S32" s="107"/>
      <c r="U32" s="107"/>
      <c r="W32" s="107"/>
    </row>
    <row r="33" spans="2:23" x14ac:dyDescent="0.25">
      <c r="B33" s="33"/>
      <c r="C33" s="21"/>
      <c r="D33" s="22"/>
      <c r="E33" s="23"/>
      <c r="F33" s="24"/>
      <c r="G33" s="25">
        <f t="shared" si="6"/>
        <v>94</v>
      </c>
      <c r="H33" s="26">
        <f t="shared" si="0"/>
        <v>0</v>
      </c>
      <c r="I33" s="27"/>
      <c r="J33" s="28"/>
      <c r="K33" s="25">
        <f t="shared" si="5"/>
        <v>94</v>
      </c>
      <c r="L33" s="26">
        <f t="shared" si="1"/>
        <v>0</v>
      </c>
      <c r="M33" s="27"/>
      <c r="N33" s="30">
        <f t="shared" si="2"/>
        <v>0</v>
      </c>
      <c r="O33" s="31" t="str">
        <f t="shared" si="3"/>
        <v/>
      </c>
      <c r="Q33" s="107"/>
      <c r="S33" s="107"/>
      <c r="U33" s="107"/>
      <c r="W33" s="107"/>
    </row>
    <row r="34" spans="2:23" x14ac:dyDescent="0.25">
      <c r="B34" s="33"/>
      <c r="C34" s="21"/>
      <c r="D34" s="22"/>
      <c r="E34" s="23"/>
      <c r="F34" s="24"/>
      <c r="G34" s="25">
        <f t="shared" si="6"/>
        <v>94</v>
      </c>
      <c r="H34" s="26">
        <f t="shared" si="0"/>
        <v>0</v>
      </c>
      <c r="I34" s="27"/>
      <c r="J34" s="28"/>
      <c r="K34" s="25">
        <f t="shared" si="5"/>
        <v>94</v>
      </c>
      <c r="L34" s="26">
        <f t="shared" si="1"/>
        <v>0</v>
      </c>
      <c r="M34" s="27"/>
      <c r="N34" s="30">
        <f t="shared" si="2"/>
        <v>0</v>
      </c>
      <c r="O34" s="31" t="str">
        <f t="shared" si="3"/>
        <v/>
      </c>
      <c r="Q34" s="107"/>
      <c r="S34" s="107"/>
      <c r="U34" s="107"/>
      <c r="W34" s="107"/>
    </row>
    <row r="35" spans="2:23" x14ac:dyDescent="0.25">
      <c r="B35" s="33"/>
      <c r="C35" s="21"/>
      <c r="D35" s="22"/>
      <c r="E35" s="23"/>
      <c r="F35" s="24"/>
      <c r="G35" s="25">
        <f t="shared" si="6"/>
        <v>94</v>
      </c>
      <c r="H35" s="26">
        <f t="shared" si="0"/>
        <v>0</v>
      </c>
      <c r="I35" s="27"/>
      <c r="J35" s="28"/>
      <c r="K35" s="25">
        <f t="shared" si="5"/>
        <v>94</v>
      </c>
      <c r="L35" s="26">
        <f t="shared" si="1"/>
        <v>0</v>
      </c>
      <c r="M35" s="27"/>
      <c r="N35" s="30">
        <f t="shared" si="2"/>
        <v>0</v>
      </c>
      <c r="O35" s="31" t="str">
        <f t="shared" si="3"/>
        <v/>
      </c>
      <c r="Q35" s="107"/>
      <c r="S35" s="107"/>
      <c r="U35" s="107"/>
      <c r="W35" s="107"/>
    </row>
    <row r="36" spans="2:23" x14ac:dyDescent="0.25">
      <c r="B36" s="33"/>
      <c r="C36" s="21"/>
      <c r="D36" s="22"/>
      <c r="E36" s="23"/>
      <c r="F36" s="24"/>
      <c r="G36" s="25">
        <f t="shared" si="6"/>
        <v>94</v>
      </c>
      <c r="H36" s="26">
        <f t="shared" si="0"/>
        <v>0</v>
      </c>
      <c r="I36" s="27"/>
      <c r="J36" s="28"/>
      <c r="K36" s="25">
        <f t="shared" si="5"/>
        <v>94</v>
      </c>
      <c r="L36" s="26">
        <f t="shared" si="1"/>
        <v>0</v>
      </c>
      <c r="M36" s="27"/>
      <c r="N36" s="30">
        <f t="shared" si="2"/>
        <v>0</v>
      </c>
      <c r="O36" s="31" t="str">
        <f t="shared" si="3"/>
        <v/>
      </c>
      <c r="Q36" s="107"/>
      <c r="S36" s="107"/>
      <c r="U36" s="107"/>
      <c r="W36" s="107"/>
    </row>
    <row r="37" spans="2:23" x14ac:dyDescent="0.25">
      <c r="B37" s="33"/>
      <c r="C37" s="21"/>
      <c r="D37" s="22"/>
      <c r="E37" s="23"/>
      <c r="F37" s="24"/>
      <c r="G37" s="25">
        <f t="shared" si="6"/>
        <v>94</v>
      </c>
      <c r="H37" s="26">
        <f t="shared" si="0"/>
        <v>0</v>
      </c>
      <c r="I37" s="27"/>
      <c r="J37" s="28"/>
      <c r="K37" s="25">
        <f t="shared" si="5"/>
        <v>94</v>
      </c>
      <c r="L37" s="26">
        <f t="shared" si="1"/>
        <v>0</v>
      </c>
      <c r="M37" s="27"/>
      <c r="N37" s="30">
        <f t="shared" si="2"/>
        <v>0</v>
      </c>
      <c r="O37" s="31" t="str">
        <f t="shared" si="3"/>
        <v/>
      </c>
      <c r="Q37" s="107"/>
      <c r="S37" s="107"/>
      <c r="U37" s="107"/>
      <c r="W37" s="107"/>
    </row>
    <row r="38" spans="2:23" x14ac:dyDescent="0.25">
      <c r="B38" s="33"/>
      <c r="C38" s="21"/>
      <c r="D38" s="22"/>
      <c r="E38" s="23"/>
      <c r="F38" s="24"/>
      <c r="G38" s="25">
        <f t="shared" si="6"/>
        <v>94</v>
      </c>
      <c r="H38" s="26">
        <f t="shared" si="0"/>
        <v>0</v>
      </c>
      <c r="I38" s="27"/>
      <c r="J38" s="28"/>
      <c r="K38" s="25">
        <f t="shared" si="5"/>
        <v>94</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7.951760000000001</v>
      </c>
      <c r="I39" s="40"/>
      <c r="J39" s="41"/>
      <c r="K39" s="42"/>
      <c r="L39" s="39">
        <f>SUM(L23:L38)</f>
        <v>8.7814000000000014</v>
      </c>
      <c r="M39" s="40"/>
      <c r="N39" s="43">
        <f t="shared" si="2"/>
        <v>0.82964000000000038</v>
      </c>
      <c r="O39" s="44">
        <f t="shared" si="3"/>
        <v>0.10433413483304328</v>
      </c>
      <c r="Q39" s="107"/>
      <c r="R39" s="203"/>
      <c r="S39" s="107"/>
      <c r="T39" s="203"/>
      <c r="U39" s="107"/>
      <c r="V39" s="203"/>
      <c r="W39" s="107"/>
    </row>
    <row r="40" spans="2:23" ht="26.4" x14ac:dyDescent="0.25">
      <c r="B40" s="46" t="str">
        <f>+'USL (470)'!B40</f>
        <v>Deferral/Variance Account Disposition Rate Rider Class 1</v>
      </c>
      <c r="C40" s="21"/>
      <c r="D40" s="22" t="s">
        <v>58</v>
      </c>
      <c r="E40" s="23"/>
      <c r="F40" s="24">
        <f>'Proposed Rates'!D44</f>
        <v>6.1999999999999998E-3</v>
      </c>
      <c r="G40" s="186">
        <f>+$F$19</f>
        <v>0.4</v>
      </c>
      <c r="H40" s="26">
        <f>G40*F40</f>
        <v>2.48E-3</v>
      </c>
      <c r="I40" s="27"/>
      <c r="J40" s="28">
        <f>+'Proposed Rates'!E44</f>
        <v>-8.7800000000000003E-2</v>
      </c>
      <c r="K40" s="186">
        <f>+$F$19</f>
        <v>0.4</v>
      </c>
      <c r="L40" s="26">
        <f>K40*J40</f>
        <v>-3.5120000000000005E-2</v>
      </c>
      <c r="M40" s="27"/>
      <c r="N40" s="30">
        <f>L40-H40</f>
        <v>-3.7600000000000008E-2</v>
      </c>
      <c r="O40" s="31">
        <f>IF((H40)=0,"",(N40/H40))</f>
        <v>-15.161290322580648</v>
      </c>
      <c r="Q40" s="107"/>
      <c r="S40" s="107"/>
      <c r="U40" s="107"/>
      <c r="W40" s="107"/>
    </row>
    <row r="41" spans="2:23" ht="26.4" x14ac:dyDescent="0.25">
      <c r="B41" s="46" t="str">
        <f>+'USL (470)'!B41</f>
        <v>Deferral/Variance Account Disposition Rate Rider Class 2</v>
      </c>
      <c r="C41" s="21"/>
      <c r="D41" s="22" t="s">
        <v>58</v>
      </c>
      <c r="E41" s="23"/>
      <c r="F41" s="24">
        <f>'Proposed Rates'!D58</f>
        <v>6.7999999999999996E-3</v>
      </c>
      <c r="G41" s="186">
        <f>$F$19</f>
        <v>0.4</v>
      </c>
      <c r="H41" s="26">
        <f t="shared" ref="H41:H46" si="7">G41*F41</f>
        <v>2.7200000000000002E-3</v>
      </c>
      <c r="I41" s="47"/>
      <c r="J41" s="28">
        <f>+'Proposed Rates'!E58</f>
        <v>0</v>
      </c>
      <c r="K41" s="186">
        <f>$F$19</f>
        <v>0.4</v>
      </c>
      <c r="L41" s="26">
        <f t="shared" ref="L41:L46" si="8">K41*J41</f>
        <v>0</v>
      </c>
      <c r="M41" s="48"/>
      <c r="N41" s="30">
        <f t="shared" ref="N41:N46" si="9">L41-H41</f>
        <v>-2.7200000000000002E-3</v>
      </c>
      <c r="O41" s="31">
        <f t="shared" ref="O41:O65" si="10">IF((H41)=0,"",(N41/H41))</f>
        <v>-1</v>
      </c>
      <c r="Q41" s="107"/>
      <c r="S41" s="107"/>
      <c r="U41" s="107"/>
      <c r="W41" s="107"/>
    </row>
    <row r="42" spans="2:23" ht="39.6" x14ac:dyDescent="0.25">
      <c r="B42" s="46" t="str">
        <f>+'USL (470)'!B42</f>
        <v xml:space="preserve">Deferral/Variance Account Disposition Rate Rider -  Global Adjustment </v>
      </c>
      <c r="C42" s="21"/>
      <c r="D42" s="22" t="s">
        <v>20</v>
      </c>
      <c r="E42" s="23"/>
      <c r="F42" s="24">
        <f>'Proposed Rates'!D87</f>
        <v>0</v>
      </c>
      <c r="G42" s="25">
        <f t="shared" ref="G42:G44" si="11">$F$18</f>
        <v>94</v>
      </c>
      <c r="H42" s="26">
        <f t="shared" si="7"/>
        <v>0</v>
      </c>
      <c r="I42" s="47"/>
      <c r="J42" s="28"/>
      <c r="K42" s="25">
        <f t="shared" ref="K42" si="12">$F$18</f>
        <v>94</v>
      </c>
      <c r="L42" s="26">
        <f t="shared" si="8"/>
        <v>0</v>
      </c>
      <c r="M42" s="48"/>
      <c r="N42" s="30">
        <f t="shared" si="9"/>
        <v>0</v>
      </c>
      <c r="O42" s="31" t="str">
        <f t="shared" si="10"/>
        <v/>
      </c>
      <c r="Q42" s="107"/>
      <c r="S42" s="107"/>
      <c r="U42" s="107"/>
      <c r="W42" s="107"/>
    </row>
    <row r="43" spans="2:23" ht="39.6" x14ac:dyDescent="0.25">
      <c r="B43" s="46" t="str">
        <f>+'USL (470)'!B43</f>
        <v>Deferral / Variance Accounts Balances (excluding Global Adj.) - NON-WMP</v>
      </c>
      <c r="C43" s="21"/>
      <c r="D43" s="22" t="s">
        <v>58</v>
      </c>
      <c r="E43" s="23"/>
      <c r="F43" s="24">
        <f>'Proposed Rates'!D103</f>
        <v>-0.52110000000000001</v>
      </c>
      <c r="G43" s="186">
        <f>$F$19</f>
        <v>0.4</v>
      </c>
      <c r="H43" s="26">
        <f t="shared" si="7"/>
        <v>-0.20844000000000001</v>
      </c>
      <c r="I43" s="47"/>
      <c r="J43" s="28">
        <f>+'Proposed Rates'!E103</f>
        <v>-0.1789</v>
      </c>
      <c r="K43" s="186">
        <f>$F$19</f>
        <v>0.4</v>
      </c>
      <c r="L43" s="26">
        <f t="shared" si="8"/>
        <v>-7.1559999999999999E-2</v>
      </c>
      <c r="M43" s="48"/>
      <c r="N43" s="30">
        <f t="shared" si="9"/>
        <v>0.13688</v>
      </c>
      <c r="O43" s="31">
        <f t="shared" si="10"/>
        <v>-0.65668777585876026</v>
      </c>
      <c r="Q43" s="107"/>
      <c r="S43" s="107"/>
      <c r="U43" s="107"/>
      <c r="W43" s="107"/>
    </row>
    <row r="44" spans="2:23" ht="39.6" x14ac:dyDescent="0.25">
      <c r="B44" s="46" t="s">
        <v>125</v>
      </c>
      <c r="C44" s="21"/>
      <c r="D44" s="22" t="s">
        <v>20</v>
      </c>
      <c r="E44" s="23"/>
      <c r="F44" s="24">
        <f>+'Proposed Rates'!D117</f>
        <v>2.7E-4</v>
      </c>
      <c r="G44" s="25">
        <f t="shared" si="11"/>
        <v>94</v>
      </c>
      <c r="H44" s="26">
        <f t="shared" si="7"/>
        <v>2.538E-2</v>
      </c>
      <c r="I44" s="226"/>
      <c r="J44" s="223">
        <f>+'Proposed Rates'!E117</f>
        <v>0</v>
      </c>
      <c r="K44" s="25">
        <f t="shared" ref="K44" si="13">$F$18</f>
        <v>94</v>
      </c>
      <c r="L44" s="26">
        <f t="shared" si="8"/>
        <v>0</v>
      </c>
      <c r="M44" s="226"/>
      <c r="N44" s="30">
        <f t="shared" si="9"/>
        <v>-2.538E-2</v>
      </c>
      <c r="O44" s="31">
        <f t="shared" si="10"/>
        <v>-1</v>
      </c>
      <c r="Q44" s="107"/>
      <c r="S44" s="107"/>
      <c r="U44" s="107"/>
      <c r="W44" s="107"/>
    </row>
    <row r="45" spans="2:23" x14ac:dyDescent="0.25">
      <c r="B45" s="49" t="s">
        <v>25</v>
      </c>
      <c r="C45" s="21"/>
      <c r="D45" s="22" t="s">
        <v>58</v>
      </c>
      <c r="E45" s="23"/>
      <c r="F45" s="50">
        <f>'Proposed Rates'!D132</f>
        <v>1.9550000000000001E-2</v>
      </c>
      <c r="G45" s="51">
        <f>+$F$19</f>
        <v>0.4</v>
      </c>
      <c r="H45" s="26">
        <f>G45*F45</f>
        <v>7.8200000000000006E-3</v>
      </c>
      <c r="I45" s="27"/>
      <c r="J45" s="52">
        <f>'Proposed Rates'!E132</f>
        <v>1.77E-2</v>
      </c>
      <c r="K45" s="51">
        <f>+$F$19</f>
        <v>0.4</v>
      </c>
      <c r="L45" s="26">
        <f>K45*J45</f>
        <v>7.0800000000000004E-3</v>
      </c>
      <c r="M45" s="27"/>
      <c r="N45" s="30">
        <f>L45-H45</f>
        <v>-7.4000000000000021E-4</v>
      </c>
      <c r="O45" s="31">
        <f>IF((H45)=0,"",(N45/H45))</f>
        <v>-9.4629156010230198E-2</v>
      </c>
      <c r="Q45" s="107"/>
      <c r="S45" s="107"/>
      <c r="U45" s="107"/>
      <c r="W45" s="107"/>
    </row>
    <row r="46" spans="2:23" x14ac:dyDescent="0.25">
      <c r="B46" s="49" t="s">
        <v>26</v>
      </c>
      <c r="C46" s="21"/>
      <c r="D46" s="22"/>
      <c r="E46" s="23"/>
      <c r="F46" s="53">
        <f>IF(ISBLANK(D16)=TRUE, 0, IF(D16="TOU", 0.65*$F$57+0.17*$F$58+0.18*$F$59, IF(AND(D16="non-TOU", G61&gt;0), F61,F60)))</f>
        <v>8.2160000000000011E-2</v>
      </c>
      <c r="G46" s="54">
        <f>$F$18*(1+$F$76)-$F$18</f>
        <v>3.1490000000000009</v>
      </c>
      <c r="H46" s="26">
        <f t="shared" si="7"/>
        <v>0.25872184000000009</v>
      </c>
      <c r="I46" s="27"/>
      <c r="J46" s="55">
        <f>0.65*$J$57+0.17*$J$58+0.18*$J$59</f>
        <v>8.2160000000000011E-2</v>
      </c>
      <c r="K46" s="54">
        <f>$F$18*(1+$J$76)-$F$18</f>
        <v>3.1490000000000009</v>
      </c>
      <c r="L46" s="26">
        <f t="shared" si="8"/>
        <v>0.25872184000000009</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8.0404418400000015</v>
      </c>
      <c r="I48" s="40"/>
      <c r="J48" s="59"/>
      <c r="K48" s="61"/>
      <c r="L48" s="60">
        <f>SUM(L40:L47)+L39</f>
        <v>8.9405218400000024</v>
      </c>
      <c r="M48" s="40"/>
      <c r="N48" s="43">
        <f t="shared" ref="N48:N65" si="14">L48-H48</f>
        <v>0.90008000000000088</v>
      </c>
      <c r="O48" s="44">
        <f t="shared" si="10"/>
        <v>0.11194409684331486</v>
      </c>
      <c r="Q48" s="107"/>
      <c r="S48" s="107"/>
      <c r="U48" s="107"/>
      <c r="W48" s="107"/>
    </row>
    <row r="49" spans="2:23" x14ac:dyDescent="0.25">
      <c r="B49" s="27" t="s">
        <v>29</v>
      </c>
      <c r="C49" s="27"/>
      <c r="D49" s="62" t="s">
        <v>58</v>
      </c>
      <c r="E49" s="63"/>
      <c r="F49" s="28">
        <f>'Proposed Rates'!D162</f>
        <v>2.0680999999999998</v>
      </c>
      <c r="G49" s="160">
        <f>+$F$19</f>
        <v>0.4</v>
      </c>
      <c r="H49" s="26">
        <f>G49*F49</f>
        <v>0.82723999999999998</v>
      </c>
      <c r="I49" s="27"/>
      <c r="J49" s="28">
        <f>'Proposed Rates'!E162</f>
        <v>2.1019000000000001</v>
      </c>
      <c r="K49" s="160">
        <f>+$F$19</f>
        <v>0.4</v>
      </c>
      <c r="L49" s="26">
        <f>K49*J49</f>
        <v>0.84076000000000006</v>
      </c>
      <c r="M49" s="27"/>
      <c r="N49" s="30">
        <f t="shared" si="14"/>
        <v>1.3520000000000088E-2</v>
      </c>
      <c r="O49" s="31">
        <f t="shared" si="10"/>
        <v>1.6343503699047541E-2</v>
      </c>
      <c r="Q49" s="107"/>
      <c r="S49" s="107"/>
      <c r="U49" s="107"/>
      <c r="W49" s="107"/>
    </row>
    <row r="50" spans="2:23" ht="26.4" x14ac:dyDescent="0.25">
      <c r="B50" s="66" t="s">
        <v>30</v>
      </c>
      <c r="C50" s="27"/>
      <c r="D50" s="62" t="s">
        <v>58</v>
      </c>
      <c r="E50" s="63"/>
      <c r="F50" s="28">
        <f>'Proposed Rates'!D177</f>
        <v>1.3501000000000001</v>
      </c>
      <c r="G50" s="160">
        <f>G49</f>
        <v>0.4</v>
      </c>
      <c r="H50" s="26">
        <f>G50*F50</f>
        <v>0.54004000000000008</v>
      </c>
      <c r="I50" s="27"/>
      <c r="J50" s="28">
        <f>'Proposed Rates'!E177</f>
        <v>1.3673999999999999</v>
      </c>
      <c r="K50" s="160">
        <f>K49</f>
        <v>0.4</v>
      </c>
      <c r="L50" s="26">
        <f>K50*J50</f>
        <v>0.54696</v>
      </c>
      <c r="M50" s="27"/>
      <c r="N50" s="30">
        <f t="shared" si="14"/>
        <v>6.9199999999999262E-3</v>
      </c>
      <c r="O50" s="31">
        <f t="shared" si="10"/>
        <v>1.2813865639582115E-2</v>
      </c>
      <c r="Q50" s="107"/>
      <c r="S50" s="107"/>
      <c r="U50" s="107"/>
      <c r="W50" s="107"/>
    </row>
    <row r="51" spans="2:23" ht="26.4" x14ac:dyDescent="0.25">
      <c r="B51" s="56" t="s">
        <v>31</v>
      </c>
      <c r="C51" s="35"/>
      <c r="D51" s="35"/>
      <c r="E51" s="35"/>
      <c r="F51" s="67"/>
      <c r="G51" s="59"/>
      <c r="H51" s="60">
        <f>SUM(H48:H50)</f>
        <v>9.4077218400000007</v>
      </c>
      <c r="I51" s="68"/>
      <c r="J51" s="69"/>
      <c r="K51" s="59"/>
      <c r="L51" s="60">
        <f>SUM(L48:L50)</f>
        <v>10.328241840000002</v>
      </c>
      <c r="M51" s="68"/>
      <c r="N51" s="43">
        <f t="shared" si="14"/>
        <v>0.92052000000000156</v>
      </c>
      <c r="O51" s="44">
        <f t="shared" si="10"/>
        <v>9.7847280739754683E-2</v>
      </c>
      <c r="Q51" s="102"/>
      <c r="S51" s="102"/>
      <c r="U51" s="102"/>
      <c r="W51" s="102"/>
    </row>
    <row r="52" spans="2:23" ht="26.4" x14ac:dyDescent="0.25">
      <c r="B52" s="71" t="s">
        <v>32</v>
      </c>
      <c r="C52" s="21"/>
      <c r="D52" s="22" t="s">
        <v>20</v>
      </c>
      <c r="E52" s="23"/>
      <c r="F52" s="72">
        <f>'Proposed Rates'!D186</f>
        <v>3.5999999999999999E-3</v>
      </c>
      <c r="G52" s="64">
        <f>+$F$18+G46</f>
        <v>97.149000000000001</v>
      </c>
      <c r="H52" s="73">
        <f t="shared" ref="H52:H59" si="15">G52*F52</f>
        <v>0.3497364</v>
      </c>
      <c r="I52" s="27"/>
      <c r="J52" s="72">
        <f>F52</f>
        <v>3.5999999999999999E-3</v>
      </c>
      <c r="K52" s="64">
        <f>+$F$18+K46</f>
        <v>97.149000000000001</v>
      </c>
      <c r="L52" s="73">
        <f t="shared" ref="L52:L59" si="16">K52*J52</f>
        <v>0.3497364</v>
      </c>
      <c r="M52" s="27"/>
      <c r="N52" s="30">
        <f t="shared" si="14"/>
        <v>0</v>
      </c>
      <c r="O52" s="74">
        <f t="shared" si="10"/>
        <v>0</v>
      </c>
      <c r="Q52" s="107"/>
      <c r="S52" s="107"/>
      <c r="U52" s="107"/>
      <c r="W52" s="107"/>
    </row>
    <row r="53" spans="2:23" ht="26.4" x14ac:dyDescent="0.25">
      <c r="B53" s="71" t="s">
        <v>33</v>
      </c>
      <c r="C53" s="21"/>
      <c r="D53" s="22" t="s">
        <v>20</v>
      </c>
      <c r="E53" s="23"/>
      <c r="F53" s="72">
        <f>'Proposed Rates'!D191</f>
        <v>2.9999999999999997E-4</v>
      </c>
      <c r="G53" s="64">
        <f>+G52</f>
        <v>97.149000000000001</v>
      </c>
      <c r="H53" s="73">
        <f t="shared" si="15"/>
        <v>2.9144699999999999E-2</v>
      </c>
      <c r="I53" s="27"/>
      <c r="J53" s="72">
        <f>F53</f>
        <v>2.9999999999999997E-4</v>
      </c>
      <c r="K53" s="64">
        <f>+K52</f>
        <v>97.149000000000001</v>
      </c>
      <c r="L53" s="73">
        <f t="shared" si="16"/>
        <v>2.9144699999999999E-2</v>
      </c>
      <c r="M53" s="27"/>
      <c r="N53" s="30">
        <f t="shared" si="14"/>
        <v>0</v>
      </c>
      <c r="O53" s="74">
        <f t="shared" si="10"/>
        <v>0</v>
      </c>
      <c r="Q53" s="107"/>
      <c r="S53" s="107"/>
      <c r="U53" s="107"/>
      <c r="W53" s="107"/>
    </row>
    <row r="54" spans="2:23" x14ac:dyDescent="0.25">
      <c r="B54" s="21" t="s">
        <v>34</v>
      </c>
      <c r="C54" s="21"/>
      <c r="D54" s="22" t="s">
        <v>17</v>
      </c>
      <c r="E54" s="23"/>
      <c r="F54" s="72">
        <f>'Proposed Rates'!D196</f>
        <v>0.25</v>
      </c>
      <c r="G54" s="25">
        <v>1</v>
      </c>
      <c r="H54" s="73">
        <f t="shared" si="15"/>
        <v>0.25</v>
      </c>
      <c r="I54" s="27"/>
      <c r="J54" s="72">
        <f>'Proposed Rates'!E196</f>
        <v>0.25</v>
      </c>
      <c r="K54" s="29">
        <v>1</v>
      </c>
      <c r="L54" s="73">
        <f t="shared" si="16"/>
        <v>0.25</v>
      </c>
      <c r="M54" s="27"/>
      <c r="N54" s="30">
        <f t="shared" si="14"/>
        <v>0</v>
      </c>
      <c r="O54" s="74">
        <f t="shared" si="10"/>
        <v>0</v>
      </c>
      <c r="Q54" s="107"/>
      <c r="S54" s="107"/>
      <c r="U54" s="107"/>
      <c r="W54" s="107"/>
    </row>
    <row r="55" spans="2:23" x14ac:dyDescent="0.25">
      <c r="B55" s="21" t="s">
        <v>120</v>
      </c>
      <c r="C55" s="21"/>
      <c r="D55" s="22"/>
      <c r="E55" s="23"/>
      <c r="F55" s="72">
        <f>'Proposed Rates'!D221</f>
        <v>0</v>
      </c>
      <c r="G55" s="64">
        <f>G53</f>
        <v>97.149000000000001</v>
      </c>
      <c r="H55" s="73">
        <f>G55*F55</f>
        <v>0</v>
      </c>
      <c r="I55" s="27"/>
      <c r="J55" s="72">
        <f>F55</f>
        <v>0</v>
      </c>
      <c r="K55" s="64">
        <f>K53</f>
        <v>97.149000000000001</v>
      </c>
      <c r="L55" s="73">
        <f>K55*J55</f>
        <v>0</v>
      </c>
      <c r="M55" s="27"/>
      <c r="N55" s="30"/>
      <c r="O55" s="74"/>
      <c r="Q55" s="107"/>
      <c r="S55" s="107"/>
      <c r="U55" s="107"/>
      <c r="W55" s="107"/>
    </row>
    <row r="56" spans="2:23" x14ac:dyDescent="0.25">
      <c r="B56" s="21" t="s">
        <v>35</v>
      </c>
      <c r="C56" s="21"/>
      <c r="D56" s="22"/>
      <c r="E56" s="23"/>
      <c r="F56" s="72">
        <f>'Proposed Rates'!D216</f>
        <v>6.94E-3</v>
      </c>
      <c r="G56" s="75">
        <f>$F$18</f>
        <v>94</v>
      </c>
      <c r="H56" s="73">
        <f t="shared" si="15"/>
        <v>0.65236000000000005</v>
      </c>
      <c r="I56" s="27"/>
      <c r="J56" s="72">
        <f>+F56</f>
        <v>6.94E-3</v>
      </c>
      <c r="K56" s="76">
        <f>$F$18</f>
        <v>94</v>
      </c>
      <c r="L56" s="73">
        <f t="shared" si="16"/>
        <v>0.65236000000000005</v>
      </c>
      <c r="M56" s="27"/>
      <c r="N56" s="30">
        <f t="shared" si="14"/>
        <v>0</v>
      </c>
      <c r="O56" s="74">
        <f t="shared" si="10"/>
        <v>0</v>
      </c>
      <c r="Q56" s="107"/>
      <c r="S56" s="107"/>
      <c r="U56" s="107"/>
      <c r="W56" s="107"/>
    </row>
    <row r="57" spans="2:23" x14ac:dyDescent="0.25">
      <c r="B57" s="49" t="s">
        <v>36</v>
      </c>
      <c r="C57" s="21"/>
      <c r="D57" s="22"/>
      <c r="E57" s="23"/>
      <c r="F57" s="72">
        <f>'Proposed Rates'!D226</f>
        <v>6.5000000000000002E-2</v>
      </c>
      <c r="G57" s="77">
        <f>0.65*$F$18</f>
        <v>61.1</v>
      </c>
      <c r="H57" s="73">
        <f t="shared" si="15"/>
        <v>3.9715000000000003</v>
      </c>
      <c r="I57" s="27"/>
      <c r="J57" s="72">
        <f>F57</f>
        <v>6.5000000000000002E-2</v>
      </c>
      <c r="K57" s="77">
        <f>$G$57</f>
        <v>61.1</v>
      </c>
      <c r="L57" s="73">
        <f t="shared" si="16"/>
        <v>3.9715000000000003</v>
      </c>
      <c r="M57" s="27"/>
      <c r="N57" s="30">
        <f t="shared" si="14"/>
        <v>0</v>
      </c>
      <c r="O57" s="74">
        <f t="shared" si="10"/>
        <v>0</v>
      </c>
      <c r="Q57" s="107"/>
      <c r="S57" s="107"/>
      <c r="U57" s="107"/>
      <c r="W57" s="107"/>
    </row>
    <row r="58" spans="2:23" x14ac:dyDescent="0.25">
      <c r="B58" s="49" t="s">
        <v>37</v>
      </c>
      <c r="C58" s="21"/>
      <c r="D58" s="22"/>
      <c r="E58" s="23"/>
      <c r="F58" s="72">
        <f>'Proposed Rates'!D227</f>
        <v>9.5000000000000001E-2</v>
      </c>
      <c r="G58" s="77">
        <f>0.17*$F$18</f>
        <v>15.98</v>
      </c>
      <c r="H58" s="73">
        <f t="shared" si="15"/>
        <v>1.5181</v>
      </c>
      <c r="I58" s="27"/>
      <c r="J58" s="72">
        <f>F58</f>
        <v>9.5000000000000001E-2</v>
      </c>
      <c r="K58" s="77">
        <f>$G$58</f>
        <v>15.98</v>
      </c>
      <c r="L58" s="73">
        <f t="shared" si="16"/>
        <v>1.5181</v>
      </c>
      <c r="M58" s="27"/>
      <c r="N58" s="30">
        <f t="shared" si="14"/>
        <v>0</v>
      </c>
      <c r="O58" s="74">
        <f t="shared" si="10"/>
        <v>0</v>
      </c>
      <c r="Q58" s="107"/>
      <c r="S58" s="107"/>
      <c r="U58" s="107"/>
      <c r="W58" s="107"/>
    </row>
    <row r="59" spans="2:23" x14ac:dyDescent="0.25">
      <c r="B59" s="11" t="s">
        <v>38</v>
      </c>
      <c r="C59" s="21"/>
      <c r="D59" s="22"/>
      <c r="E59" s="23"/>
      <c r="F59" s="72">
        <f>'Proposed Rates'!D228</f>
        <v>0.13200000000000001</v>
      </c>
      <c r="G59" s="77">
        <f>0.18*$F$18</f>
        <v>16.919999999999998</v>
      </c>
      <c r="H59" s="73">
        <f t="shared" si="15"/>
        <v>2.2334399999999999</v>
      </c>
      <c r="I59" s="27"/>
      <c r="J59" s="72">
        <f>F59</f>
        <v>0.13200000000000001</v>
      </c>
      <c r="K59" s="77">
        <f>$G$59</f>
        <v>16.919999999999998</v>
      </c>
      <c r="L59" s="73">
        <f t="shared" si="16"/>
        <v>2.2334399999999999</v>
      </c>
      <c r="M59" s="27"/>
      <c r="N59" s="30">
        <f t="shared" si="14"/>
        <v>0</v>
      </c>
      <c r="O59" s="74">
        <f t="shared" si="10"/>
        <v>0</v>
      </c>
      <c r="Q59" s="107"/>
      <c r="S59" s="107"/>
      <c r="U59" s="107"/>
      <c r="W59" s="107"/>
    </row>
    <row r="60" spans="2:23" s="85" customFormat="1" x14ac:dyDescent="0.25">
      <c r="B60" s="78" t="s">
        <v>39</v>
      </c>
      <c r="C60" s="79"/>
      <c r="D60" s="80"/>
      <c r="E60" s="81"/>
      <c r="F60" s="72">
        <f>'Proposed Rates'!D229</f>
        <v>7.6999999999999999E-2</v>
      </c>
      <c r="G60" s="82">
        <f>IF(AND($Q$1=1, F18&gt;=600), 600, IF(AND($Q$1=1, AND(F18&lt;600, F18&gt;=0)), F18, IF(AND($Q$1=2, F18&gt;=1000), 1000, IF(AND($Q$1=2, AND(F18&lt;1000, F18&gt;=0)), F18))))</f>
        <v>94</v>
      </c>
      <c r="H60" s="73">
        <f>G60*F60</f>
        <v>7.2379999999999995</v>
      </c>
      <c r="I60" s="83"/>
      <c r="J60" s="72">
        <f>F60</f>
        <v>7.6999999999999999E-2</v>
      </c>
      <c r="K60" s="82">
        <f>$G$60</f>
        <v>94</v>
      </c>
      <c r="L60" s="73">
        <f>K60*J60</f>
        <v>7.2379999999999995</v>
      </c>
      <c r="M60" s="83"/>
      <c r="N60" s="84">
        <f t="shared" si="14"/>
        <v>0</v>
      </c>
      <c r="O60" s="74">
        <f t="shared" si="10"/>
        <v>0</v>
      </c>
      <c r="Q60" s="143"/>
      <c r="R60" s="204"/>
      <c r="S60" s="143"/>
      <c r="T60" s="204"/>
      <c r="U60" s="143"/>
      <c r="V60" s="204"/>
      <c r="W60" s="143"/>
    </row>
    <row r="61" spans="2:23" s="85" customFormat="1" ht="13.8" thickBot="1" x14ac:dyDescent="0.3">
      <c r="B61" s="78" t="s">
        <v>40</v>
      </c>
      <c r="C61" s="79"/>
      <c r="D61" s="80"/>
      <c r="E61" s="81"/>
      <c r="F61" s="72">
        <f>'Proposed Rates'!D230</f>
        <v>0.09</v>
      </c>
      <c r="G61" s="82">
        <f>IF(AND($Q$1=1, F18&gt;=600), F18-600, IF(AND($Q$1=1, AND(F18&lt;600, F18&gt;=0)), 0, IF(AND($Q$1=2, F18&gt;=1000), F18-1000, IF(AND($Q$1=2, AND(F18&lt;1000, F18&gt;=0)), 0))))</f>
        <v>0</v>
      </c>
      <c r="H61" s="73">
        <f>G61*F61</f>
        <v>0</v>
      </c>
      <c r="I61" s="83"/>
      <c r="J61" s="72">
        <f>F61</f>
        <v>0.09</v>
      </c>
      <c r="K61" s="82">
        <f>$G$61</f>
        <v>0</v>
      </c>
      <c r="L61" s="73">
        <f>K61*J61</f>
        <v>0</v>
      </c>
      <c r="M61" s="83"/>
      <c r="N61" s="84">
        <f t="shared" si="14"/>
        <v>0</v>
      </c>
      <c r="O61" s="74" t="str">
        <f t="shared" si="10"/>
        <v/>
      </c>
      <c r="Q61" s="143"/>
      <c r="R61" s="204"/>
      <c r="S61" s="143"/>
      <c r="T61" s="204"/>
      <c r="U61" s="143"/>
      <c r="V61" s="204"/>
      <c r="W61" s="143"/>
    </row>
    <row r="62" spans="2:23" ht="8.25" customHeight="1" thickBot="1" x14ac:dyDescent="0.3">
      <c r="B62" s="86"/>
      <c r="C62" s="87"/>
      <c r="D62" s="88"/>
      <c r="E62" s="87"/>
      <c r="F62" s="144"/>
      <c r="G62" s="90"/>
      <c r="H62" s="91"/>
      <c r="I62" s="92"/>
      <c r="J62" s="89"/>
      <c r="K62" s="93"/>
      <c r="L62" s="91"/>
      <c r="M62" s="92"/>
      <c r="N62" s="94"/>
      <c r="O62" s="95"/>
      <c r="Q62" s="107"/>
      <c r="S62" s="107"/>
      <c r="U62" s="107"/>
      <c r="W62" s="107"/>
    </row>
    <row r="63" spans="2:23" x14ac:dyDescent="0.25">
      <c r="B63" s="124" t="s">
        <v>44</v>
      </c>
      <c r="C63" s="79"/>
      <c r="D63" s="79"/>
      <c r="E63" s="21"/>
      <c r="F63" s="97"/>
      <c r="G63" s="98"/>
      <c r="H63" s="274">
        <f>SUM(H52:H59,H51)</f>
        <v>18.412002940000001</v>
      </c>
      <c r="I63" s="277"/>
      <c r="J63" s="268"/>
      <c r="K63" s="101"/>
      <c r="L63" s="99">
        <f>SUM(L52:L59,L51)</f>
        <v>19.332522940000004</v>
      </c>
      <c r="M63" s="277"/>
      <c r="N63" s="254">
        <f t="shared" ref="N63" si="17">L63-H63</f>
        <v>0.92052000000000334</v>
      </c>
      <c r="O63" s="104">
        <f t="shared" ref="O63" si="18">IF((H63)=0,"",(N63/H63))</f>
        <v>4.9995647024375464E-2</v>
      </c>
      <c r="Q63" s="102"/>
      <c r="S63" s="102"/>
      <c r="U63" s="102"/>
      <c r="W63" s="102"/>
    </row>
    <row r="64" spans="2:23" x14ac:dyDescent="0.25">
      <c r="B64" s="132" t="s">
        <v>42</v>
      </c>
      <c r="C64" s="79"/>
      <c r="D64" s="79"/>
      <c r="E64" s="21"/>
      <c r="F64" s="106">
        <v>0.13</v>
      </c>
      <c r="G64" s="107"/>
      <c r="H64" s="108">
        <f>H63*F64</f>
        <v>2.3935603822</v>
      </c>
      <c r="I64" s="252"/>
      <c r="J64" s="110">
        <v>0.13</v>
      </c>
      <c r="K64" s="109"/>
      <c r="L64" s="270">
        <f>L63*J64</f>
        <v>2.5132279822000005</v>
      </c>
      <c r="M64" s="252"/>
      <c r="N64" s="113">
        <f t="shared" si="14"/>
        <v>0.11966760000000054</v>
      </c>
      <c r="O64" s="114">
        <f t="shared" si="10"/>
        <v>4.9995647024375513E-2</v>
      </c>
      <c r="Q64" s="112"/>
      <c r="S64" s="112"/>
      <c r="U64" s="112"/>
      <c r="W64" s="112"/>
    </row>
    <row r="65" spans="2:23" x14ac:dyDescent="0.25">
      <c r="B65" s="258" t="s">
        <v>43</v>
      </c>
      <c r="C65" s="79"/>
      <c r="D65" s="79"/>
      <c r="E65" s="21"/>
      <c r="F65" s="116"/>
      <c r="G65" s="107"/>
      <c r="H65" s="99">
        <f>H63+H64</f>
        <v>20.805563322200001</v>
      </c>
      <c r="I65" s="252"/>
      <c r="J65" s="109"/>
      <c r="K65" s="109"/>
      <c r="L65" s="263">
        <f>L63+L64</f>
        <v>21.845750922200004</v>
      </c>
      <c r="M65" s="252"/>
      <c r="N65" s="103">
        <f t="shared" si="14"/>
        <v>1.040187600000003</v>
      </c>
      <c r="O65" s="104">
        <f t="shared" si="10"/>
        <v>4.9995647024375423E-2</v>
      </c>
      <c r="Q65" s="112"/>
      <c r="S65" s="112"/>
      <c r="U65" s="112"/>
      <c r="W65" s="112"/>
    </row>
    <row r="66" spans="2:23" x14ac:dyDescent="0.25">
      <c r="B66" s="249" t="s">
        <v>137</v>
      </c>
      <c r="C66" s="21"/>
      <c r="D66" s="21"/>
      <c r="E66" s="21"/>
      <c r="F66" s="266">
        <v>-0.08</v>
      </c>
      <c r="G66" s="107"/>
      <c r="H66" s="217">
        <f>F66*H63</f>
        <v>-1.4729602352000002</v>
      </c>
      <c r="I66" s="252"/>
      <c r="J66" s="266">
        <v>-0.08</v>
      </c>
      <c r="K66" s="248"/>
      <c r="L66" s="217">
        <f>J66*L63</f>
        <v>-1.5466018352000004</v>
      </c>
      <c r="M66" s="252"/>
      <c r="N66" s="257">
        <f t="shared" ref="N66:N67" si="19">L66-H66</f>
        <v>-7.3641600000000196E-2</v>
      </c>
      <c r="O66" s="114">
        <f t="shared" ref="O66:O67" si="20">IF((H66)=0,"",(N66/H66))</f>
        <v>4.9995647024375409E-2</v>
      </c>
      <c r="Q66" s="112"/>
      <c r="S66" s="112"/>
      <c r="U66" s="112"/>
      <c r="W66" s="112"/>
    </row>
    <row r="67" spans="2:23" ht="13.8" thickBot="1" x14ac:dyDescent="0.3">
      <c r="B67" s="308" t="s">
        <v>138</v>
      </c>
      <c r="C67" s="308"/>
      <c r="D67" s="308"/>
      <c r="E67" s="21"/>
      <c r="F67" s="256"/>
      <c r="G67" s="107"/>
      <c r="H67" s="275">
        <f>SUM(H65:H66)</f>
        <v>19.332603087000003</v>
      </c>
      <c r="I67" s="276"/>
      <c r="J67" s="253"/>
      <c r="K67" s="248"/>
      <c r="L67" s="275">
        <f>SUM(L65:L66)</f>
        <v>20.299149087000004</v>
      </c>
      <c r="M67" s="276"/>
      <c r="N67" s="103">
        <f t="shared" si="19"/>
        <v>0.96654600000000102</v>
      </c>
      <c r="O67" s="104">
        <f t="shared" si="20"/>
        <v>4.9995647024375332E-2</v>
      </c>
      <c r="Q67" s="112"/>
      <c r="S67" s="112"/>
      <c r="U67" s="112"/>
      <c r="W67" s="112"/>
    </row>
    <row r="68" spans="2:23" s="85" customFormat="1" ht="8.25" customHeight="1" thickBot="1" x14ac:dyDescent="0.3">
      <c r="B68" s="117"/>
      <c r="C68" s="118"/>
      <c r="D68" s="119"/>
      <c r="E68" s="118"/>
      <c r="F68" s="89"/>
      <c r="G68" s="120"/>
      <c r="H68" s="91"/>
      <c r="I68" s="121"/>
      <c r="J68" s="89"/>
      <c r="K68" s="122"/>
      <c r="L68" s="91"/>
      <c r="M68" s="121"/>
      <c r="N68" s="123"/>
      <c r="O68" s="95"/>
      <c r="Q68" s="143"/>
      <c r="R68" s="204"/>
      <c r="S68" s="143"/>
      <c r="T68" s="204"/>
      <c r="U68" s="143"/>
      <c r="V68" s="204"/>
      <c r="W68" s="143"/>
    </row>
    <row r="69" spans="2:23" s="85" customFormat="1" x14ac:dyDescent="0.25">
      <c r="B69" s="124" t="s">
        <v>44</v>
      </c>
      <c r="C69" s="79"/>
      <c r="D69" s="79"/>
      <c r="E69" s="79"/>
      <c r="F69" s="273"/>
      <c r="G69" s="126"/>
      <c r="H69" s="127">
        <f>SUM(H60:H61,H51,H52:H56)</f>
        <v>17.926962940000003</v>
      </c>
      <c r="I69" s="128"/>
      <c r="J69" s="129"/>
      <c r="K69" s="129"/>
      <c r="L69" s="127">
        <f>SUM(L60:L61,L51,L52:L56)</f>
        <v>18.847482940000006</v>
      </c>
      <c r="M69" s="278"/>
      <c r="N69" s="131">
        <f t="shared" ref="N69:N71" si="21">L69-H69</f>
        <v>0.92052000000000334</v>
      </c>
      <c r="O69" s="104">
        <f t="shared" ref="O69:O71" si="22">IF((H69)=0,"",(N69/H69))</f>
        <v>5.1348351814019158E-2</v>
      </c>
      <c r="Q69" s="130"/>
      <c r="R69" s="204"/>
      <c r="S69" s="130"/>
      <c r="T69" s="204"/>
      <c r="U69" s="130"/>
      <c r="V69" s="204"/>
      <c r="W69" s="130"/>
    </row>
    <row r="70" spans="2:23" s="85" customFormat="1" x14ac:dyDescent="0.25">
      <c r="B70" s="132" t="s">
        <v>42</v>
      </c>
      <c r="C70" s="79"/>
      <c r="D70" s="79"/>
      <c r="E70" s="79"/>
      <c r="F70" s="133">
        <v>0.13</v>
      </c>
      <c r="G70" s="126"/>
      <c r="H70" s="134">
        <f>H69*F70</f>
        <v>2.3305051822000005</v>
      </c>
      <c r="I70" s="135"/>
      <c r="J70" s="136">
        <v>0.13</v>
      </c>
      <c r="K70" s="137"/>
      <c r="L70" s="138">
        <f>L69*J70</f>
        <v>2.450172782200001</v>
      </c>
      <c r="M70" s="139"/>
      <c r="N70" s="140">
        <f t="shared" si="21"/>
        <v>0.11966760000000054</v>
      </c>
      <c r="O70" s="114">
        <f t="shared" si="22"/>
        <v>5.13483518140192E-2</v>
      </c>
      <c r="Q70" s="139"/>
      <c r="R70" s="204"/>
      <c r="S70" s="139"/>
      <c r="T70" s="204"/>
      <c r="U70" s="139"/>
      <c r="V70" s="204"/>
      <c r="W70" s="139"/>
    </row>
    <row r="71" spans="2:23" s="85" customFormat="1" x14ac:dyDescent="0.25">
      <c r="B71" s="258" t="s">
        <v>43</v>
      </c>
      <c r="C71" s="79"/>
      <c r="D71" s="79"/>
      <c r="E71" s="79"/>
      <c r="F71" s="142"/>
      <c r="G71" s="143"/>
      <c r="H71" s="127">
        <f>H69+H70</f>
        <v>20.257468122200002</v>
      </c>
      <c r="I71" s="135"/>
      <c r="J71" s="135"/>
      <c r="K71" s="135"/>
      <c r="L71" s="211">
        <f>L69+L70</f>
        <v>21.297655722200005</v>
      </c>
      <c r="M71" s="139"/>
      <c r="N71" s="131">
        <f t="shared" si="21"/>
        <v>1.040187600000003</v>
      </c>
      <c r="O71" s="104">
        <f t="shared" si="22"/>
        <v>5.1348351814019123E-2</v>
      </c>
      <c r="Q71" s="139"/>
      <c r="R71" s="204"/>
      <c r="S71" s="139"/>
      <c r="T71" s="204"/>
      <c r="U71" s="139"/>
      <c r="V71" s="204"/>
      <c r="W71" s="139"/>
    </row>
    <row r="72" spans="2:23" s="85" customFormat="1" x14ac:dyDescent="0.25">
      <c r="B72" s="249" t="s">
        <v>137</v>
      </c>
      <c r="C72" s="21"/>
      <c r="D72" s="21"/>
      <c r="E72" s="79"/>
      <c r="F72" s="266">
        <v>-0.08</v>
      </c>
      <c r="G72" s="143"/>
      <c r="H72" s="134">
        <f>F72*H69</f>
        <v>-1.4341570352000002</v>
      </c>
      <c r="I72" s="135"/>
      <c r="J72" s="264">
        <v>-0.08</v>
      </c>
      <c r="K72" s="135"/>
      <c r="L72" s="138">
        <f>J72*L69</f>
        <v>-1.5077986352000006</v>
      </c>
      <c r="M72" s="139"/>
      <c r="N72" s="140">
        <f t="shared" ref="N72:N73" si="23">L72-H72</f>
        <v>-7.3641600000000418E-2</v>
      </c>
      <c r="O72" s="114">
        <f t="shared" ref="O72:O73" si="24">IF((H72)=0,"",(N72/H72))</f>
        <v>5.1348351814019262E-2</v>
      </c>
      <c r="Q72" s="139"/>
      <c r="R72" s="204"/>
      <c r="S72" s="139"/>
      <c r="T72" s="204"/>
      <c r="U72" s="139"/>
      <c r="V72" s="204"/>
      <c r="W72" s="139"/>
    </row>
    <row r="73" spans="2:23" s="85" customFormat="1" ht="13.5" customHeight="1" thickBot="1" x14ac:dyDescent="0.3">
      <c r="B73" s="308" t="s">
        <v>138</v>
      </c>
      <c r="C73" s="308"/>
      <c r="D73" s="308"/>
      <c r="E73" s="79"/>
      <c r="F73" s="142"/>
      <c r="G73" s="143"/>
      <c r="H73" s="127">
        <f>SUM(H71:H72)</f>
        <v>18.823311087</v>
      </c>
      <c r="I73" s="135"/>
      <c r="J73" s="135"/>
      <c r="K73" s="135"/>
      <c r="L73" s="127">
        <f>SUM(L71:L72)</f>
        <v>19.789857087000005</v>
      </c>
      <c r="M73" s="139"/>
      <c r="N73" s="131">
        <f t="shared" si="23"/>
        <v>0.96654600000000457</v>
      </c>
      <c r="O73" s="104">
        <f t="shared" si="24"/>
        <v>5.134835181401922E-2</v>
      </c>
      <c r="Q73" s="139"/>
      <c r="R73" s="204"/>
      <c r="S73" s="139"/>
      <c r="T73" s="204"/>
      <c r="U73" s="139"/>
      <c r="V73" s="204"/>
      <c r="W73" s="139"/>
    </row>
    <row r="74" spans="2:23" s="85" customFormat="1" ht="8.25" customHeight="1" thickBot="1" x14ac:dyDescent="0.3">
      <c r="B74" s="117"/>
      <c r="C74" s="118"/>
      <c r="D74" s="119"/>
      <c r="E74" s="118"/>
      <c r="F74" s="144"/>
      <c r="G74" s="145"/>
      <c r="H74" s="146"/>
      <c r="I74" s="147"/>
      <c r="J74" s="144"/>
      <c r="K74" s="120"/>
      <c r="L74" s="148"/>
      <c r="M74" s="121"/>
      <c r="N74" s="149"/>
      <c r="O74" s="95"/>
      <c r="Q74" s="143"/>
      <c r="R74" s="204"/>
      <c r="S74" s="143"/>
      <c r="T74" s="204"/>
      <c r="U74" s="143"/>
      <c r="V74" s="204"/>
      <c r="W74" s="143"/>
    </row>
    <row r="75" spans="2:23" x14ac:dyDescent="0.25">
      <c r="L75" s="150"/>
    </row>
    <row r="76" spans="2:23" x14ac:dyDescent="0.25">
      <c r="B76" s="12" t="s">
        <v>45</v>
      </c>
      <c r="F76" s="151">
        <f>'Proposed Rates'!D207</f>
        <v>3.3500000000000002E-2</v>
      </c>
      <c r="J76" s="151">
        <f>+'Res (100)'!J74</f>
        <v>3.3500000000000002E-2</v>
      </c>
    </row>
    <row r="77" spans="2:23" ht="13.8" thickBot="1" x14ac:dyDescent="0.3"/>
    <row r="78" spans="2:23" ht="8.25" customHeight="1" thickBot="1" x14ac:dyDescent="0.3">
      <c r="B78" s="86"/>
      <c r="C78" s="87"/>
      <c r="D78" s="88"/>
      <c r="E78" s="87"/>
      <c r="F78" s="89"/>
      <c r="G78" s="90"/>
      <c r="H78" s="91"/>
      <c r="I78" s="92"/>
      <c r="J78" s="89"/>
      <c r="K78" s="93"/>
      <c r="L78" s="91"/>
      <c r="M78" s="92"/>
      <c r="N78" s="94"/>
      <c r="O78" s="95"/>
      <c r="Q78" s="107"/>
      <c r="S78" s="107"/>
      <c r="U78" s="107"/>
      <c r="W78" s="107"/>
    </row>
    <row r="79" spans="2:23" x14ac:dyDescent="0.25">
      <c r="B79" s="96" t="s">
        <v>41</v>
      </c>
      <c r="C79" s="21"/>
      <c r="D79" s="21"/>
      <c r="E79" s="21"/>
      <c r="F79" s="97"/>
      <c r="G79" s="98"/>
      <c r="H79" s="99">
        <f>+H63-H31-H40-H41-H42-H43</f>
        <v>18.615242940000002</v>
      </c>
      <c r="I79" s="100"/>
      <c r="J79" s="101"/>
      <c r="K79" s="101"/>
      <c r="L79" s="99">
        <f>+L63-L31-L40-L41-L42-L43</f>
        <v>19.439202940000005</v>
      </c>
      <c r="M79" s="102"/>
      <c r="N79" s="103">
        <f t="shared" ref="N79:N81" si="25">L79-H79</f>
        <v>0.82396000000000313</v>
      </c>
      <c r="O79" s="104">
        <f t="shared" ref="O79:O81" si="26">IF((H79)=0,"",(N79/H79))</f>
        <v>4.4262650917624984E-2</v>
      </c>
      <c r="Q79" s="102"/>
      <c r="S79" s="102"/>
      <c r="U79" s="102"/>
      <c r="W79" s="102"/>
    </row>
    <row r="80" spans="2:23" x14ac:dyDescent="0.25">
      <c r="B80" s="105" t="s">
        <v>42</v>
      </c>
      <c r="C80" s="21"/>
      <c r="D80" s="21"/>
      <c r="E80" s="21"/>
      <c r="F80" s="106">
        <v>0.13</v>
      </c>
      <c r="G80" s="107"/>
      <c r="H80" s="108">
        <f>H79*F80</f>
        <v>2.4199815822000001</v>
      </c>
      <c r="I80" s="109"/>
      <c r="J80" s="110">
        <v>0.13</v>
      </c>
      <c r="K80" s="109"/>
      <c r="L80" s="111">
        <f>L79*J80</f>
        <v>2.5270963822000008</v>
      </c>
      <c r="M80" s="112"/>
      <c r="N80" s="113">
        <f t="shared" si="25"/>
        <v>0.10711480000000062</v>
      </c>
      <c r="O80" s="114">
        <f t="shared" si="26"/>
        <v>4.4262650917625074E-2</v>
      </c>
      <c r="Q80" s="112"/>
      <c r="S80" s="112"/>
      <c r="U80" s="112"/>
      <c r="W80" s="112"/>
    </row>
    <row r="81" spans="1:23" x14ac:dyDescent="0.25">
      <c r="B81" s="115" t="s">
        <v>43</v>
      </c>
      <c r="C81" s="21"/>
      <c r="D81" s="21"/>
      <c r="E81" s="21"/>
      <c r="F81" s="205"/>
      <c r="G81" s="206"/>
      <c r="H81" s="216">
        <f>H79+H80</f>
        <v>21.035224522200004</v>
      </c>
      <c r="I81" s="207"/>
      <c r="J81" s="207"/>
      <c r="K81" s="207"/>
      <c r="L81" s="215">
        <f>L79+L80</f>
        <v>21.966299322200005</v>
      </c>
      <c r="M81" s="208"/>
      <c r="N81" s="214">
        <f t="shared" si="25"/>
        <v>0.93107480000000109</v>
      </c>
      <c r="O81" s="213">
        <f t="shared" si="26"/>
        <v>4.4262650917624866E-2</v>
      </c>
      <c r="Q81" s="112"/>
      <c r="S81" s="112"/>
      <c r="U81" s="112"/>
      <c r="W81" s="112"/>
    </row>
    <row r="82" spans="1:23" ht="13.5" customHeight="1" x14ac:dyDescent="0.25">
      <c r="Q82" s="202"/>
      <c r="R82" s="202"/>
      <c r="S82" s="6"/>
      <c r="T82" s="6"/>
      <c r="U82" s="6"/>
      <c r="V82" s="6"/>
      <c r="W82" s="6"/>
    </row>
    <row r="83" spans="1:23" ht="12" customHeight="1" x14ac:dyDescent="0.25">
      <c r="A83" s="6" t="s">
        <v>46</v>
      </c>
      <c r="Q83" s="202"/>
      <c r="R83" s="202"/>
      <c r="S83" s="6"/>
      <c r="T83" s="6"/>
      <c r="U83" s="6"/>
      <c r="V83" s="6"/>
      <c r="W83" s="6"/>
    </row>
    <row r="84" spans="1:23" x14ac:dyDescent="0.25">
      <c r="A84" s="6" t="s">
        <v>47</v>
      </c>
      <c r="Q84" s="202"/>
      <c r="R84" s="202"/>
      <c r="S84" s="6"/>
      <c r="T84" s="6"/>
      <c r="U84" s="6"/>
      <c r="V84" s="6"/>
      <c r="W84" s="6"/>
    </row>
    <row r="85" spans="1:23" x14ac:dyDescent="0.25">
      <c r="Q85" s="202"/>
      <c r="R85" s="202"/>
      <c r="S85" s="6"/>
      <c r="T85" s="6"/>
      <c r="U85" s="6"/>
      <c r="V85" s="6"/>
      <c r="W85" s="6"/>
    </row>
    <row r="86" spans="1:23" x14ac:dyDescent="0.25">
      <c r="A86" s="153" t="s">
        <v>133</v>
      </c>
      <c r="Q86" s="202"/>
      <c r="R86" s="202"/>
      <c r="S86" s="6"/>
      <c r="T86" s="6"/>
      <c r="U86" s="6"/>
      <c r="V86" s="6"/>
      <c r="W86" s="6"/>
    </row>
    <row r="87" spans="1:23" x14ac:dyDescent="0.25">
      <c r="A87" s="11" t="s">
        <v>48</v>
      </c>
      <c r="Q87" s="202"/>
      <c r="R87" s="202"/>
      <c r="S87" s="6"/>
      <c r="T87" s="6"/>
      <c r="U87" s="6"/>
      <c r="V87" s="6"/>
      <c r="W87" s="6"/>
    </row>
    <row r="88" spans="1:23" x14ac:dyDescent="0.25">
      <c r="Q88" s="202"/>
      <c r="R88" s="202"/>
      <c r="S88" s="6"/>
      <c r="T88" s="6"/>
      <c r="U88" s="6"/>
      <c r="V88" s="6"/>
      <c r="W88" s="6"/>
    </row>
    <row r="89" spans="1:23" x14ac:dyDescent="0.25">
      <c r="A89" s="6" t="s">
        <v>132</v>
      </c>
      <c r="Q89" s="202"/>
      <c r="R89" s="202"/>
      <c r="S89" s="6"/>
      <c r="T89" s="6"/>
      <c r="U89" s="6"/>
      <c r="V89" s="6"/>
      <c r="W89" s="6"/>
    </row>
    <row r="90" spans="1:23" x14ac:dyDescent="0.25">
      <c r="A90" s="6" t="s">
        <v>49</v>
      </c>
      <c r="Q90" s="202"/>
      <c r="R90" s="202"/>
      <c r="S90" s="6"/>
      <c r="T90" s="6"/>
      <c r="U90" s="6"/>
      <c r="V90" s="6"/>
      <c r="W90" s="6"/>
    </row>
    <row r="91" spans="1:23" x14ac:dyDescent="0.25">
      <c r="A91" s="6" t="s">
        <v>50</v>
      </c>
      <c r="Q91" s="202"/>
      <c r="R91" s="202"/>
      <c r="S91" s="6"/>
      <c r="T91" s="6"/>
      <c r="U91" s="6"/>
      <c r="V91" s="6"/>
      <c r="W91" s="6"/>
    </row>
    <row r="92" spans="1:23" x14ac:dyDescent="0.25">
      <c r="A92" s="6" t="s">
        <v>51</v>
      </c>
      <c r="Q92" s="202"/>
      <c r="R92" s="202"/>
      <c r="S92" s="6"/>
      <c r="T92" s="6"/>
      <c r="U92" s="6"/>
      <c r="V92" s="6"/>
      <c r="W92" s="6"/>
    </row>
    <row r="93" spans="1:23" x14ac:dyDescent="0.25">
      <c r="A93" s="6" t="s">
        <v>52</v>
      </c>
      <c r="Q93" s="202"/>
      <c r="R93" s="202"/>
      <c r="S93" s="6"/>
      <c r="T93" s="6"/>
      <c r="U93" s="6"/>
      <c r="V93" s="6"/>
      <c r="W93" s="6"/>
    </row>
    <row r="94" spans="1:23" x14ac:dyDescent="0.25">
      <c r="Q94" s="202"/>
      <c r="R94" s="202"/>
      <c r="S94" s="6"/>
      <c r="T94" s="6"/>
      <c r="U94" s="6"/>
      <c r="V94" s="6"/>
      <c r="W94" s="6"/>
    </row>
    <row r="95" spans="1:23" x14ac:dyDescent="0.25">
      <c r="A95" s="152"/>
      <c r="B95" s="6" t="s">
        <v>53</v>
      </c>
      <c r="Q95" s="202"/>
      <c r="R95" s="202"/>
      <c r="S95" s="6"/>
      <c r="T95" s="6"/>
      <c r="U95" s="6"/>
      <c r="V95" s="6"/>
      <c r="W95" s="6"/>
    </row>
    <row r="96" spans="1:23" x14ac:dyDescent="0.25">
      <c r="Q96" s="202"/>
      <c r="R96" s="202"/>
      <c r="S96" s="6"/>
      <c r="T96" s="6"/>
      <c r="U96" s="6"/>
      <c r="V96" s="6"/>
      <c r="W96" s="6"/>
    </row>
    <row r="97" spans="2:23" x14ac:dyDescent="0.25">
      <c r="B97" s="153" t="s">
        <v>54</v>
      </c>
      <c r="Q97" s="202"/>
      <c r="R97" s="202"/>
      <c r="S97" s="6"/>
      <c r="T97" s="6"/>
      <c r="U97" s="6"/>
      <c r="V97" s="6"/>
      <c r="W97" s="6"/>
    </row>
  </sheetData>
  <sheetProtection selectLockedCells="1"/>
  <mergeCells count="10">
    <mergeCell ref="B67:D67"/>
    <mergeCell ref="B73:D73"/>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4 D68 D23:D38 D52:D62 D40:D47 D49:D50 D78">
      <formula1>"Monthly, per kWh, per kW"</formula1>
    </dataValidation>
    <dataValidation type="list" allowBlank="1" showInputMessage="1" showErrorMessage="1" sqref="E49:E50 E74 E68 E52:E62 E23:E38 E40:E47 E78">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colBreaks count="1" manualBreakCount="1">
    <brk id="19"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3</xdr:col>
                    <xdr:colOff>495300</xdr:colOff>
                    <xdr:row>9</xdr:row>
                    <xdr:rowOff>190500</xdr:rowOff>
                  </from>
                  <to>
                    <xdr:col>5</xdr:col>
                    <xdr:colOff>662940</xdr:colOff>
                    <xdr:row>10</xdr:row>
                    <xdr:rowOff>83820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5</xdr:col>
                    <xdr:colOff>304800</xdr:colOff>
                    <xdr:row>9</xdr:row>
                    <xdr:rowOff>152400</xdr:rowOff>
                  </from>
                  <to>
                    <xdr:col>9</xdr:col>
                    <xdr:colOff>640080</xdr:colOff>
                    <xdr:row>10</xdr:row>
                    <xdr:rowOff>144780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W97"/>
  <sheetViews>
    <sheetView showGridLines="0" tabSelected="1" view="pageBreakPreview" topLeftCell="A64" zoomScale="90" zoomScaleNormal="85" zoomScaleSheetLayoutView="90" workbookViewId="0">
      <selection activeCell="K76" sqref="K76"/>
    </sheetView>
  </sheetViews>
  <sheetFormatPr defaultColWidth="9.109375" defaultRowHeight="13.2" x14ac:dyDescent="0.25"/>
  <cols>
    <col min="1" max="1" width="2.109375" style="6" customWidth="1"/>
    <col min="2" max="2" width="26.5546875" style="6" customWidth="1"/>
    <col min="3" max="3" width="1.33203125" style="6" customWidth="1"/>
    <col min="4" max="4" width="11.33203125" style="6" customWidth="1"/>
    <col min="5" max="5" width="1.33203125" style="6" customWidth="1"/>
    <col min="6" max="6" width="12.33203125" style="6" customWidth="1"/>
    <col min="7" max="7" width="7.44140625" style="6" bestFit="1" customWidth="1"/>
    <col min="8" max="8" width="7.88671875" style="6" bestFit="1" customWidth="1"/>
    <col min="9" max="9" width="2.88671875" style="6" customWidth="1"/>
    <col min="10" max="10" width="9.88671875" style="6" bestFit="1" customWidth="1"/>
    <col min="11" max="11" width="7.44140625" style="6" bestFit="1" customWidth="1"/>
    <col min="12" max="12" width="7.88671875" style="6" bestFit="1" customWidth="1"/>
    <col min="13" max="13" width="2.88671875" style="6" customWidth="1"/>
    <col min="14" max="14" width="9.21875" style="6" bestFit="1" customWidth="1"/>
    <col min="15" max="15" width="10" style="6" bestFit="1" customWidth="1"/>
    <col min="16" max="16" width="3.88671875" style="6" customWidth="1"/>
    <col min="17" max="17" width="2.88671875" style="203" customWidth="1"/>
    <col min="18" max="18" width="4.5546875" style="203" customWidth="1"/>
    <col min="19" max="19" width="2.88671875" style="203" customWidth="1"/>
    <col min="20" max="20" width="4.5546875" style="203" customWidth="1"/>
    <col min="21" max="21" width="2.88671875" style="203" customWidth="1"/>
    <col min="22" max="22" width="4.5546875" style="203" customWidth="1"/>
    <col min="23" max="23" width="2.88671875" style="203" customWidth="1"/>
    <col min="24" max="16384" width="9.109375" style="6"/>
  </cols>
  <sheetData>
    <row r="1" spans="1:23" s="2" customFormat="1" ht="15" customHeight="1" x14ac:dyDescent="0.25">
      <c r="A1" s="1"/>
      <c r="B1" s="1"/>
      <c r="C1" s="1"/>
      <c r="D1" s="1"/>
      <c r="E1" s="1"/>
      <c r="F1" s="1"/>
      <c r="G1" s="1"/>
      <c r="H1" s="1"/>
      <c r="I1" s="1"/>
      <c r="J1" s="1"/>
      <c r="K1" s="1"/>
      <c r="N1" s="163"/>
      <c r="O1" s="164"/>
      <c r="P1"/>
      <c r="Q1" s="203">
        <v>1</v>
      </c>
      <c r="R1" s="203"/>
      <c r="S1" s="203">
        <v>1</v>
      </c>
      <c r="T1" s="203"/>
      <c r="U1" s="203">
        <v>1</v>
      </c>
      <c r="V1" s="203"/>
      <c r="W1" s="203">
        <v>1</v>
      </c>
    </row>
    <row r="2" spans="1:23" s="2" customFormat="1" ht="15" customHeight="1" x14ac:dyDescent="0.3">
      <c r="A2" s="3"/>
      <c r="B2" s="3"/>
      <c r="C2" s="3"/>
      <c r="D2" s="3"/>
      <c r="E2" s="3"/>
      <c r="F2" s="3"/>
      <c r="G2" s="3"/>
      <c r="H2" s="3"/>
      <c r="I2" s="3"/>
      <c r="J2" s="3"/>
      <c r="K2" s="3"/>
      <c r="N2" s="163"/>
      <c r="O2" s="165"/>
      <c r="P2"/>
      <c r="Q2" s="203"/>
      <c r="R2" s="203"/>
      <c r="S2" s="203"/>
      <c r="T2" s="203"/>
      <c r="U2" s="203"/>
      <c r="V2" s="203"/>
      <c r="W2" s="203"/>
    </row>
    <row r="3" spans="1:23" s="2" customFormat="1" ht="15" customHeight="1" x14ac:dyDescent="0.3">
      <c r="A3" s="301"/>
      <c r="B3" s="301"/>
      <c r="C3" s="301"/>
      <c r="D3" s="301"/>
      <c r="E3" s="301"/>
      <c r="F3" s="301"/>
      <c r="G3" s="301"/>
      <c r="H3" s="301"/>
      <c r="I3" s="301"/>
      <c r="J3" s="301"/>
      <c r="K3" s="301"/>
      <c r="N3" s="163"/>
      <c r="O3" s="165"/>
      <c r="P3"/>
      <c r="Q3" s="203"/>
      <c r="R3" s="203"/>
      <c r="S3" s="203"/>
      <c r="T3" s="203"/>
      <c r="U3" s="203"/>
      <c r="V3" s="203"/>
      <c r="W3" s="203"/>
    </row>
    <row r="4" spans="1:23" s="2" customFormat="1" ht="15" customHeight="1" x14ac:dyDescent="0.3">
      <c r="A4" s="3"/>
      <c r="B4" s="3"/>
      <c r="C4" s="3"/>
      <c r="D4" s="3"/>
      <c r="E4" s="3"/>
      <c r="F4" s="3"/>
      <c r="G4" s="3"/>
      <c r="H4" s="3"/>
      <c r="I4" s="4"/>
      <c r="J4" s="4"/>
      <c r="K4" s="4"/>
      <c r="N4" s="163"/>
      <c r="O4" s="165"/>
      <c r="P4"/>
      <c r="Q4" s="203"/>
      <c r="R4" s="203"/>
      <c r="S4" s="203"/>
      <c r="T4" s="203"/>
      <c r="U4" s="203"/>
      <c r="V4" s="203"/>
      <c r="W4" s="203"/>
    </row>
    <row r="5" spans="1:23" s="2" customFormat="1" ht="15" customHeight="1" x14ac:dyDescent="0.3">
      <c r="C5" s="5"/>
      <c r="D5" s="5"/>
      <c r="E5" s="5"/>
      <c r="N5" s="163"/>
      <c r="O5" s="164"/>
      <c r="P5"/>
      <c r="Q5" s="203"/>
      <c r="R5" s="203"/>
      <c r="S5" s="203"/>
      <c r="T5" s="203"/>
      <c r="U5" s="203"/>
      <c r="V5" s="203"/>
      <c r="W5" s="203"/>
    </row>
    <row r="6" spans="1:23" s="2" customFormat="1" ht="9" customHeight="1" x14ac:dyDescent="0.25">
      <c r="N6" s="163"/>
      <c r="O6" s="164"/>
      <c r="P6"/>
      <c r="Q6" s="203"/>
      <c r="R6" s="203"/>
      <c r="S6" s="203"/>
      <c r="T6" s="203"/>
      <c r="U6" s="203"/>
      <c r="V6" s="203"/>
      <c r="W6" s="203"/>
    </row>
    <row r="7" spans="1:23" s="2" customFormat="1" x14ac:dyDescent="0.25">
      <c r="N7" s="163"/>
      <c r="O7" s="164"/>
      <c r="P7"/>
      <c r="Q7" s="203"/>
      <c r="R7" s="203"/>
      <c r="S7" s="203"/>
      <c r="T7" s="203"/>
      <c r="U7" s="203"/>
      <c r="V7" s="203"/>
      <c r="W7" s="203"/>
    </row>
    <row r="8" spans="1:23" s="2" customFormat="1" ht="15" customHeight="1" x14ac:dyDescent="0.25">
      <c r="N8" s="6"/>
      <c r="O8"/>
      <c r="P8"/>
      <c r="Q8" s="203"/>
      <c r="R8" s="203"/>
      <c r="S8" s="203"/>
      <c r="T8" s="203"/>
      <c r="U8" s="203"/>
      <c r="V8" s="203"/>
      <c r="W8" s="203"/>
    </row>
    <row r="9" spans="1:23" ht="7.5" customHeight="1" x14ac:dyDescent="0.25">
      <c r="L9"/>
      <c r="M9"/>
      <c r="N9"/>
      <c r="O9"/>
      <c r="P9"/>
    </row>
    <row r="10" spans="1:23" ht="18.75" customHeight="1" x14ac:dyDescent="0.3">
      <c r="C10" s="166"/>
      <c r="D10" s="166"/>
      <c r="E10" s="166"/>
      <c r="F10" s="166" t="s">
        <v>134</v>
      </c>
      <c r="G10" s="166"/>
      <c r="H10" s="166"/>
      <c r="I10" s="166"/>
      <c r="J10" s="166"/>
      <c r="K10" s="166"/>
      <c r="L10" s="166"/>
      <c r="M10" s="166"/>
      <c r="N10" s="166"/>
      <c r="O10" s="166"/>
      <c r="P10"/>
    </row>
    <row r="11" spans="1:23" ht="18.75" customHeight="1" x14ac:dyDescent="0.3">
      <c r="C11" s="166"/>
      <c r="D11" s="166"/>
      <c r="E11" s="166"/>
      <c r="F11" s="166" t="s">
        <v>0</v>
      </c>
      <c r="G11" s="166"/>
      <c r="H11" s="166"/>
      <c r="I11" s="166"/>
      <c r="J11" s="166"/>
      <c r="K11" s="166"/>
      <c r="L11" s="166"/>
      <c r="M11" s="166"/>
      <c r="N11" s="166"/>
      <c r="O11" s="166"/>
      <c r="P11"/>
    </row>
    <row r="12" spans="1:23" ht="7.5" customHeight="1" x14ac:dyDescent="0.25">
      <c r="L12"/>
      <c r="M12"/>
      <c r="N12"/>
      <c r="O12"/>
      <c r="P12"/>
    </row>
    <row r="13" spans="1:23" ht="7.5" customHeight="1" x14ac:dyDescent="0.25">
      <c r="L13"/>
      <c r="M13"/>
      <c r="N13"/>
      <c r="O13"/>
      <c r="P13"/>
    </row>
    <row r="14" spans="1:23" ht="15.6" x14ac:dyDescent="0.25">
      <c r="B14" s="7" t="s">
        <v>1</v>
      </c>
      <c r="D14" s="302" t="s">
        <v>64</v>
      </c>
      <c r="E14" s="302"/>
      <c r="F14" s="302"/>
      <c r="G14" s="302"/>
      <c r="H14" s="302"/>
      <c r="I14" s="302"/>
      <c r="J14" s="302"/>
      <c r="K14" s="302"/>
      <c r="L14" s="302"/>
      <c r="M14" s="302"/>
      <c r="N14" s="302"/>
      <c r="O14" s="302"/>
      <c r="P14" s="169"/>
    </row>
    <row r="15" spans="1:23" ht="7.5" customHeight="1" x14ac:dyDescent="0.3">
      <c r="B15" s="8"/>
      <c r="D15" s="9"/>
      <c r="E15" s="9"/>
      <c r="F15" s="9"/>
      <c r="G15" s="9"/>
      <c r="H15" s="9"/>
      <c r="I15" s="9"/>
      <c r="J15" s="9"/>
      <c r="K15" s="9"/>
      <c r="L15" s="9"/>
      <c r="M15" s="9"/>
      <c r="N15" s="9"/>
      <c r="O15" s="9"/>
    </row>
    <row r="16" spans="1:23" ht="15.6" x14ac:dyDescent="0.3">
      <c r="B16" s="7" t="s">
        <v>3</v>
      </c>
      <c r="D16" s="10" t="s">
        <v>4</v>
      </c>
      <c r="E16" s="9"/>
      <c r="F16" s="9"/>
      <c r="G16" s="9"/>
      <c r="H16" s="9"/>
      <c r="I16" s="9"/>
      <c r="J16" s="9"/>
      <c r="K16" s="9"/>
      <c r="L16" s="9"/>
      <c r="M16" s="9"/>
      <c r="N16" s="9"/>
      <c r="O16" s="9"/>
    </row>
    <row r="17" spans="2:23" ht="15.6" x14ac:dyDescent="0.3">
      <c r="B17" s="8"/>
      <c r="D17" s="9"/>
      <c r="E17" s="9"/>
      <c r="F17" s="9"/>
      <c r="G17" s="9"/>
      <c r="H17" s="9"/>
      <c r="I17" s="9"/>
      <c r="J17" s="9"/>
      <c r="K17" s="9"/>
      <c r="L17" s="9"/>
      <c r="M17" s="9"/>
      <c r="N17" s="9"/>
      <c r="O17" s="9"/>
    </row>
    <row r="18" spans="2:23" x14ac:dyDescent="0.25">
      <c r="B18" s="11"/>
      <c r="D18" s="12" t="s">
        <v>5</v>
      </c>
      <c r="E18" s="12"/>
      <c r="F18" s="13">
        <v>150</v>
      </c>
      <c r="G18" s="12" t="s">
        <v>6</v>
      </c>
    </row>
    <row r="19" spans="2:23" x14ac:dyDescent="0.25">
      <c r="B19" s="11"/>
      <c r="F19" s="161">
        <v>1</v>
      </c>
      <c r="G19" s="6" t="s">
        <v>57</v>
      </c>
    </row>
    <row r="20" spans="2:23" x14ac:dyDescent="0.25">
      <c r="B20" s="11"/>
      <c r="D20" s="14"/>
      <c r="E20" s="14"/>
      <c r="F20" s="303" t="s">
        <v>7</v>
      </c>
      <c r="G20" s="304"/>
      <c r="H20" s="305"/>
      <c r="J20" s="303" t="s">
        <v>135</v>
      </c>
      <c r="K20" s="304"/>
      <c r="L20" s="305"/>
      <c r="N20" s="303" t="s">
        <v>8</v>
      </c>
      <c r="O20" s="305"/>
    </row>
    <row r="21" spans="2:23" x14ac:dyDescent="0.25">
      <c r="B21" s="11"/>
      <c r="D21" s="295" t="s">
        <v>9</v>
      </c>
      <c r="E21" s="15"/>
      <c r="F21" s="16" t="s">
        <v>10</v>
      </c>
      <c r="G21" s="16" t="s">
        <v>11</v>
      </c>
      <c r="H21" s="17" t="s">
        <v>12</v>
      </c>
      <c r="J21" s="16" t="s">
        <v>10</v>
      </c>
      <c r="K21" s="18" t="s">
        <v>11</v>
      </c>
      <c r="L21" s="17" t="s">
        <v>12</v>
      </c>
      <c r="N21" s="297" t="s">
        <v>13</v>
      </c>
      <c r="O21" s="299" t="s">
        <v>14</v>
      </c>
    </row>
    <row r="22" spans="2:23" x14ac:dyDescent="0.25">
      <c r="B22" s="11"/>
      <c r="D22" s="296"/>
      <c r="E22" s="15"/>
      <c r="F22" s="19" t="s">
        <v>15</v>
      </c>
      <c r="G22" s="19"/>
      <c r="H22" s="20" t="s">
        <v>15</v>
      </c>
      <c r="J22" s="19" t="s">
        <v>15</v>
      </c>
      <c r="K22" s="20"/>
      <c r="L22" s="20" t="s">
        <v>15</v>
      </c>
      <c r="N22" s="298"/>
      <c r="O22" s="300"/>
    </row>
    <row r="23" spans="2:23" x14ac:dyDescent="0.25">
      <c r="B23" s="21" t="s">
        <v>16</v>
      </c>
      <c r="C23" s="21"/>
      <c r="D23" s="22" t="s">
        <v>17</v>
      </c>
      <c r="E23" s="23"/>
      <c r="F23" s="156">
        <f>'Proposed Rates'!D12</f>
        <v>0.8</v>
      </c>
      <c r="G23" s="25">
        <v>1</v>
      </c>
      <c r="H23" s="26">
        <f>G23*F23</f>
        <v>0.8</v>
      </c>
      <c r="I23" s="27"/>
      <c r="J23" s="157">
        <f>+'Proposed Rates'!E12</f>
        <v>0.85</v>
      </c>
      <c r="K23" s="29">
        <v>1</v>
      </c>
      <c r="L23" s="26">
        <f>K23*J23</f>
        <v>0.85</v>
      </c>
      <c r="M23" s="27"/>
      <c r="N23" s="30">
        <f>L23-H23</f>
        <v>4.9999999999999933E-2</v>
      </c>
      <c r="O23" s="31">
        <f>IF((H23)=0,"",(N23/H23))</f>
        <v>6.2499999999999917E-2</v>
      </c>
      <c r="Q23" s="107"/>
      <c r="S23" s="107"/>
      <c r="U23" s="107"/>
      <c r="W23" s="107"/>
    </row>
    <row r="24" spans="2:23" x14ac:dyDescent="0.25">
      <c r="B24" s="21" t="s">
        <v>18</v>
      </c>
      <c r="C24" s="21"/>
      <c r="D24" s="22"/>
      <c r="E24" s="23"/>
      <c r="F24" s="24"/>
      <c r="G24" s="25">
        <v>1</v>
      </c>
      <c r="H24" s="26">
        <f t="shared" ref="H24:H38" si="0">G24*F24</f>
        <v>0</v>
      </c>
      <c r="I24" s="27"/>
      <c r="J24" s="28"/>
      <c r="K24" s="29">
        <v>1</v>
      </c>
      <c r="L24" s="26">
        <f>K24*J24</f>
        <v>0</v>
      </c>
      <c r="M24" s="27"/>
      <c r="N24" s="30">
        <f>L24-H24</f>
        <v>0</v>
      </c>
      <c r="O24" s="31" t="str">
        <f>IF((H24)=0,"",(N24/H24))</f>
        <v/>
      </c>
      <c r="Q24" s="107"/>
      <c r="S24" s="107"/>
      <c r="U24" s="107"/>
      <c r="W24" s="107"/>
    </row>
    <row r="25" spans="2:23" x14ac:dyDescent="0.25">
      <c r="B25" s="32"/>
      <c r="C25" s="21"/>
      <c r="D25" s="22"/>
      <c r="E25" s="23"/>
      <c r="F25" s="24"/>
      <c r="G25" s="25">
        <v>1</v>
      </c>
      <c r="H25" s="26">
        <f t="shared" si="0"/>
        <v>0</v>
      </c>
      <c r="I25" s="27"/>
      <c r="J25" s="28"/>
      <c r="K25" s="29">
        <v>1</v>
      </c>
      <c r="L25" s="26">
        <f t="shared" ref="L25:L38" si="1">K25*J25</f>
        <v>0</v>
      </c>
      <c r="M25" s="27"/>
      <c r="N25" s="30">
        <f t="shared" ref="N25:N39" si="2">L25-H25</f>
        <v>0</v>
      </c>
      <c r="O25" s="31" t="str">
        <f t="shared" ref="O25:O39" si="3">IF((H25)=0,"",(N25/H25))</f>
        <v/>
      </c>
      <c r="Q25" s="107"/>
      <c r="S25" s="107"/>
      <c r="U25" s="107"/>
      <c r="W25" s="107"/>
    </row>
    <row r="26" spans="2:23" x14ac:dyDescent="0.25">
      <c r="B26" s="32"/>
      <c r="C26" s="21"/>
      <c r="D26" s="22"/>
      <c r="E26" s="23"/>
      <c r="F26" s="24"/>
      <c r="G26" s="25">
        <v>1</v>
      </c>
      <c r="H26" s="26">
        <f t="shared" si="0"/>
        <v>0</v>
      </c>
      <c r="I26" s="27"/>
      <c r="J26" s="28"/>
      <c r="K26" s="29">
        <v>1</v>
      </c>
      <c r="L26" s="26">
        <f t="shared" si="1"/>
        <v>0</v>
      </c>
      <c r="M26" s="27"/>
      <c r="N26" s="30">
        <f t="shared" si="2"/>
        <v>0</v>
      </c>
      <c r="O26" s="31" t="str">
        <f t="shared" si="3"/>
        <v/>
      </c>
      <c r="Q26" s="107"/>
      <c r="S26" s="107"/>
      <c r="U26" s="107"/>
      <c r="W26" s="107"/>
    </row>
    <row r="27" spans="2:23" x14ac:dyDescent="0.25">
      <c r="B27" s="32"/>
      <c r="C27" s="21"/>
      <c r="D27" s="22"/>
      <c r="E27" s="23"/>
      <c r="F27" s="24"/>
      <c r="G27" s="25">
        <v>1</v>
      </c>
      <c r="H27" s="26">
        <f t="shared" si="0"/>
        <v>0</v>
      </c>
      <c r="I27" s="27"/>
      <c r="J27" s="28"/>
      <c r="K27" s="29">
        <v>1</v>
      </c>
      <c r="L27" s="26">
        <f t="shared" si="1"/>
        <v>0</v>
      </c>
      <c r="M27" s="27"/>
      <c r="N27" s="30">
        <f t="shared" si="2"/>
        <v>0</v>
      </c>
      <c r="O27" s="31" t="str">
        <f t="shared" si="3"/>
        <v/>
      </c>
      <c r="Q27" s="107"/>
      <c r="S27" s="107"/>
      <c r="U27" s="107"/>
      <c r="W27" s="107"/>
    </row>
    <row r="28" spans="2:23" x14ac:dyDescent="0.25">
      <c r="B28" s="32"/>
      <c r="C28" s="21"/>
      <c r="D28" s="22"/>
      <c r="E28" s="23"/>
      <c r="F28" s="24"/>
      <c r="G28" s="25">
        <v>1</v>
      </c>
      <c r="H28" s="26">
        <f t="shared" si="0"/>
        <v>0</v>
      </c>
      <c r="I28" s="27"/>
      <c r="J28" s="28"/>
      <c r="K28" s="29">
        <v>1</v>
      </c>
      <c r="L28" s="26">
        <f t="shared" si="1"/>
        <v>0</v>
      </c>
      <c r="M28" s="27"/>
      <c r="N28" s="30">
        <f t="shared" si="2"/>
        <v>0</v>
      </c>
      <c r="O28" s="31" t="str">
        <f t="shared" si="3"/>
        <v/>
      </c>
      <c r="Q28" s="107"/>
      <c r="S28" s="107"/>
      <c r="U28" s="107"/>
      <c r="W28" s="107"/>
    </row>
    <row r="29" spans="2:23" x14ac:dyDescent="0.25">
      <c r="B29" s="21" t="s">
        <v>19</v>
      </c>
      <c r="C29" s="21"/>
      <c r="D29" s="22" t="s">
        <v>58</v>
      </c>
      <c r="E29" s="23"/>
      <c r="F29" s="24">
        <f>'Proposed Rates'!D25</f>
        <v>5.6501000000000001</v>
      </c>
      <c r="G29" s="51">
        <f>+$F$19</f>
        <v>1</v>
      </c>
      <c r="H29" s="26">
        <f t="shared" si="0"/>
        <v>5.6501000000000001</v>
      </c>
      <c r="I29" s="27"/>
      <c r="J29" s="28">
        <f>+'Proposed Rates'!E25</f>
        <v>5.9757999999999996</v>
      </c>
      <c r="K29" s="51">
        <f>+$F$19</f>
        <v>1</v>
      </c>
      <c r="L29" s="26">
        <f t="shared" si="1"/>
        <v>5.9757999999999996</v>
      </c>
      <c r="M29" s="27"/>
      <c r="N29" s="30">
        <f t="shared" si="2"/>
        <v>0.32569999999999943</v>
      </c>
      <c r="O29" s="31">
        <f t="shared" si="3"/>
        <v>5.7644997433673642E-2</v>
      </c>
      <c r="Q29" s="107"/>
      <c r="S29" s="107"/>
      <c r="U29" s="107"/>
      <c r="W29" s="107"/>
    </row>
    <row r="30" spans="2:23" x14ac:dyDescent="0.25">
      <c r="B30" s="21" t="s">
        <v>21</v>
      </c>
      <c r="C30" s="21"/>
      <c r="D30" s="22"/>
      <c r="E30" s="23"/>
      <c r="F30" s="24"/>
      <c r="G30" s="25">
        <f t="shared" ref="G30" si="4">$F$18</f>
        <v>150</v>
      </c>
      <c r="H30" s="26">
        <f t="shared" si="0"/>
        <v>0</v>
      </c>
      <c r="I30" s="27"/>
      <c r="J30" s="28"/>
      <c r="K30" s="25">
        <f t="shared" ref="K30:K38" si="5">$F$18</f>
        <v>150</v>
      </c>
      <c r="L30" s="26">
        <f t="shared" si="1"/>
        <v>0</v>
      </c>
      <c r="M30" s="27"/>
      <c r="N30" s="30">
        <f t="shared" si="2"/>
        <v>0</v>
      </c>
      <c r="O30" s="31" t="str">
        <f t="shared" si="3"/>
        <v/>
      </c>
      <c r="Q30" s="107"/>
      <c r="S30" s="107"/>
      <c r="U30" s="107"/>
      <c r="W30" s="107"/>
    </row>
    <row r="31" spans="2:23" x14ac:dyDescent="0.25">
      <c r="B31" s="21" t="s">
        <v>22</v>
      </c>
      <c r="C31" s="21"/>
      <c r="D31" s="22" t="s">
        <v>58</v>
      </c>
      <c r="E31" s="23"/>
      <c r="F31" s="24">
        <f>'Proposed Rates'!D72</f>
        <v>0</v>
      </c>
      <c r="G31" s="51">
        <f>+$F$19</f>
        <v>1</v>
      </c>
      <c r="H31" s="26">
        <f t="shared" si="0"/>
        <v>0</v>
      </c>
      <c r="I31" s="27"/>
      <c r="J31" s="162">
        <f>+'Proposed Rates'!E72</f>
        <v>0</v>
      </c>
      <c r="K31" s="51">
        <f>+$F$19</f>
        <v>1</v>
      </c>
      <c r="L31" s="26">
        <f t="shared" si="1"/>
        <v>0</v>
      </c>
      <c r="M31" s="27"/>
      <c r="N31" s="30">
        <f t="shared" si="2"/>
        <v>0</v>
      </c>
      <c r="O31" s="31" t="str">
        <f t="shared" si="3"/>
        <v/>
      </c>
      <c r="Q31" s="107"/>
      <c r="S31" s="107"/>
      <c r="U31" s="107"/>
      <c r="W31" s="107"/>
    </row>
    <row r="32" spans="2:23" x14ac:dyDescent="0.25">
      <c r="B32" s="33"/>
      <c r="C32" s="21"/>
      <c r="D32" s="22"/>
      <c r="E32" s="23"/>
      <c r="F32" s="24"/>
      <c r="G32" s="25">
        <f t="shared" ref="G32:G38" si="6">$F$18</f>
        <v>150</v>
      </c>
      <c r="H32" s="26">
        <f t="shared" si="0"/>
        <v>0</v>
      </c>
      <c r="I32" s="27"/>
      <c r="J32" s="28"/>
      <c r="K32" s="25">
        <f t="shared" si="5"/>
        <v>150</v>
      </c>
      <c r="L32" s="26">
        <f t="shared" si="1"/>
        <v>0</v>
      </c>
      <c r="M32" s="27"/>
      <c r="N32" s="30">
        <f t="shared" si="2"/>
        <v>0</v>
      </c>
      <c r="O32" s="31" t="str">
        <f t="shared" si="3"/>
        <v/>
      </c>
      <c r="Q32" s="107"/>
      <c r="S32" s="107"/>
      <c r="U32" s="107"/>
      <c r="W32" s="107"/>
    </row>
    <row r="33" spans="2:23" x14ac:dyDescent="0.25">
      <c r="B33" s="33"/>
      <c r="C33" s="21"/>
      <c r="D33" s="22"/>
      <c r="E33" s="23"/>
      <c r="F33" s="24"/>
      <c r="G33" s="25">
        <f t="shared" si="6"/>
        <v>150</v>
      </c>
      <c r="H33" s="26">
        <f t="shared" si="0"/>
        <v>0</v>
      </c>
      <c r="I33" s="27"/>
      <c r="J33" s="28"/>
      <c r="K33" s="25">
        <f t="shared" si="5"/>
        <v>150</v>
      </c>
      <c r="L33" s="26">
        <f t="shared" si="1"/>
        <v>0</v>
      </c>
      <c r="M33" s="27"/>
      <c r="N33" s="30">
        <f t="shared" si="2"/>
        <v>0</v>
      </c>
      <c r="O33" s="31" t="str">
        <f t="shared" si="3"/>
        <v/>
      </c>
      <c r="Q33" s="107"/>
      <c r="S33" s="107"/>
      <c r="U33" s="107"/>
      <c r="W33" s="107"/>
    </row>
    <row r="34" spans="2:23" x14ac:dyDescent="0.25">
      <c r="B34" s="33"/>
      <c r="C34" s="21"/>
      <c r="D34" s="22"/>
      <c r="E34" s="23"/>
      <c r="F34" s="24"/>
      <c r="G34" s="25">
        <f t="shared" si="6"/>
        <v>150</v>
      </c>
      <c r="H34" s="26">
        <f t="shared" si="0"/>
        <v>0</v>
      </c>
      <c r="I34" s="27"/>
      <c r="J34" s="28"/>
      <c r="K34" s="25">
        <f t="shared" si="5"/>
        <v>150</v>
      </c>
      <c r="L34" s="26">
        <f t="shared" si="1"/>
        <v>0</v>
      </c>
      <c r="M34" s="27"/>
      <c r="N34" s="30">
        <f t="shared" si="2"/>
        <v>0</v>
      </c>
      <c r="O34" s="31" t="str">
        <f t="shared" si="3"/>
        <v/>
      </c>
      <c r="Q34" s="107"/>
      <c r="S34" s="107"/>
      <c r="U34" s="107"/>
      <c r="W34" s="107"/>
    </row>
    <row r="35" spans="2:23" x14ac:dyDescent="0.25">
      <c r="B35" s="33"/>
      <c r="C35" s="21"/>
      <c r="D35" s="22"/>
      <c r="E35" s="23"/>
      <c r="F35" s="24"/>
      <c r="G35" s="25">
        <f t="shared" si="6"/>
        <v>150</v>
      </c>
      <c r="H35" s="26">
        <f t="shared" si="0"/>
        <v>0</v>
      </c>
      <c r="I35" s="27"/>
      <c r="J35" s="28"/>
      <c r="K35" s="25">
        <f t="shared" si="5"/>
        <v>150</v>
      </c>
      <c r="L35" s="26">
        <f t="shared" si="1"/>
        <v>0</v>
      </c>
      <c r="M35" s="27"/>
      <c r="N35" s="30">
        <f t="shared" si="2"/>
        <v>0</v>
      </c>
      <c r="O35" s="31" t="str">
        <f t="shared" si="3"/>
        <v/>
      </c>
      <c r="Q35" s="107"/>
      <c r="S35" s="107"/>
      <c r="U35" s="107"/>
      <c r="W35" s="107"/>
    </row>
    <row r="36" spans="2:23" x14ac:dyDescent="0.25">
      <c r="B36" s="33"/>
      <c r="C36" s="21"/>
      <c r="D36" s="22"/>
      <c r="E36" s="23"/>
      <c r="F36" s="24"/>
      <c r="G36" s="25">
        <f t="shared" si="6"/>
        <v>150</v>
      </c>
      <c r="H36" s="26">
        <f t="shared" si="0"/>
        <v>0</v>
      </c>
      <c r="I36" s="27"/>
      <c r="J36" s="28"/>
      <c r="K36" s="25">
        <f t="shared" si="5"/>
        <v>150</v>
      </c>
      <c r="L36" s="26">
        <f t="shared" si="1"/>
        <v>0</v>
      </c>
      <c r="M36" s="27"/>
      <c r="N36" s="30">
        <f t="shared" si="2"/>
        <v>0</v>
      </c>
      <c r="O36" s="31" t="str">
        <f t="shared" si="3"/>
        <v/>
      </c>
      <c r="Q36" s="107"/>
      <c r="S36" s="107"/>
      <c r="U36" s="107"/>
      <c r="W36" s="107"/>
    </row>
    <row r="37" spans="2:23" x14ac:dyDescent="0.25">
      <c r="B37" s="33"/>
      <c r="C37" s="21"/>
      <c r="D37" s="22"/>
      <c r="E37" s="23"/>
      <c r="F37" s="24"/>
      <c r="G37" s="25">
        <f t="shared" si="6"/>
        <v>150</v>
      </c>
      <c r="H37" s="26">
        <f t="shared" si="0"/>
        <v>0</v>
      </c>
      <c r="I37" s="27"/>
      <c r="J37" s="28"/>
      <c r="K37" s="25">
        <f t="shared" si="5"/>
        <v>150</v>
      </c>
      <c r="L37" s="26">
        <f t="shared" si="1"/>
        <v>0</v>
      </c>
      <c r="M37" s="27"/>
      <c r="N37" s="30">
        <f t="shared" si="2"/>
        <v>0</v>
      </c>
      <c r="O37" s="31" t="str">
        <f t="shared" si="3"/>
        <v/>
      </c>
      <c r="Q37" s="107"/>
      <c r="S37" s="107"/>
      <c r="U37" s="107"/>
      <c r="W37" s="107"/>
    </row>
    <row r="38" spans="2:23" x14ac:dyDescent="0.25">
      <c r="B38" s="33"/>
      <c r="C38" s="21"/>
      <c r="D38" s="22"/>
      <c r="E38" s="23"/>
      <c r="F38" s="24"/>
      <c r="G38" s="25">
        <f t="shared" si="6"/>
        <v>150</v>
      </c>
      <c r="H38" s="26">
        <f t="shared" si="0"/>
        <v>0</v>
      </c>
      <c r="I38" s="27"/>
      <c r="J38" s="28"/>
      <c r="K38" s="25">
        <f t="shared" si="5"/>
        <v>150</v>
      </c>
      <c r="L38" s="26">
        <f t="shared" si="1"/>
        <v>0</v>
      </c>
      <c r="M38" s="27"/>
      <c r="N38" s="30">
        <f t="shared" si="2"/>
        <v>0</v>
      </c>
      <c r="O38" s="31" t="str">
        <f t="shared" si="3"/>
        <v/>
      </c>
      <c r="Q38" s="107"/>
      <c r="S38" s="107"/>
      <c r="U38" s="107"/>
      <c r="W38" s="107"/>
    </row>
    <row r="39" spans="2:23" s="45" customFormat="1" x14ac:dyDescent="0.25">
      <c r="B39" s="34" t="s">
        <v>23</v>
      </c>
      <c r="C39" s="35"/>
      <c r="D39" s="36"/>
      <c r="E39" s="35"/>
      <c r="F39" s="37"/>
      <c r="G39" s="38"/>
      <c r="H39" s="39">
        <f>SUM(H23:H38)</f>
        <v>6.4500999999999999</v>
      </c>
      <c r="I39" s="40"/>
      <c r="J39" s="41"/>
      <c r="K39" s="42"/>
      <c r="L39" s="39">
        <f>SUM(L23:L38)</f>
        <v>6.8257999999999992</v>
      </c>
      <c r="M39" s="40"/>
      <c r="N39" s="43">
        <f t="shared" si="2"/>
        <v>0.37569999999999926</v>
      </c>
      <c r="O39" s="44">
        <f t="shared" si="3"/>
        <v>5.8247158958775719E-2</v>
      </c>
      <c r="Q39" s="107"/>
      <c r="R39" s="203"/>
      <c r="S39" s="107"/>
      <c r="T39" s="203"/>
      <c r="U39" s="107"/>
      <c r="V39" s="203"/>
      <c r="W39" s="107"/>
    </row>
    <row r="40" spans="2:23" ht="26.4" x14ac:dyDescent="0.25">
      <c r="B40" s="46" t="str">
        <f>+'SN (.4)'!B40</f>
        <v>Deferral/Variance Account Disposition Rate Rider Class 1</v>
      </c>
      <c r="C40" s="21"/>
      <c r="D40" s="22" t="s">
        <v>58</v>
      </c>
      <c r="E40" s="23"/>
      <c r="F40" s="24">
        <f>'Proposed Rates'!D43</f>
        <v>9.9000000000000008E-3</v>
      </c>
      <c r="G40" s="51">
        <f>+$F$19</f>
        <v>1</v>
      </c>
      <c r="H40" s="26">
        <f>G40*F40</f>
        <v>9.9000000000000008E-3</v>
      </c>
      <c r="I40" s="27"/>
      <c r="J40" s="162">
        <f>+'Proposed Rates'!E43</f>
        <v>-0.1404</v>
      </c>
      <c r="K40" s="51">
        <f>+$F$19</f>
        <v>1</v>
      </c>
      <c r="L40" s="26">
        <f>K40*J40</f>
        <v>-0.1404</v>
      </c>
      <c r="M40" s="27"/>
      <c r="N40" s="30">
        <f>L40-H40</f>
        <v>-0.15029999999999999</v>
      </c>
      <c r="O40" s="31">
        <f>IF((H40)=0,"",(N40/H40))</f>
        <v>-15.18181818181818</v>
      </c>
      <c r="Q40" s="107"/>
      <c r="S40" s="107"/>
      <c r="U40" s="107"/>
      <c r="W40" s="107"/>
    </row>
    <row r="41" spans="2:23" ht="26.4" x14ac:dyDescent="0.25">
      <c r="B41" s="46" t="str">
        <f>+'SN (.4)'!B41</f>
        <v>Deferral/Variance Account Disposition Rate Rider Class 2</v>
      </c>
      <c r="C41" s="21"/>
      <c r="D41" s="22" t="s">
        <v>58</v>
      </c>
      <c r="E41" s="23"/>
      <c r="F41" s="24">
        <f>'Proposed Rates'!D57</f>
        <v>1.09E-2</v>
      </c>
      <c r="G41" s="186">
        <f>$F$19</f>
        <v>1</v>
      </c>
      <c r="H41" s="26">
        <f t="shared" ref="H41:H46" si="7">G41*F41</f>
        <v>1.09E-2</v>
      </c>
      <c r="I41" s="47"/>
      <c r="J41" s="28">
        <f>+'Proposed Rates'!E57</f>
        <v>0</v>
      </c>
      <c r="K41" s="224">
        <f>$F$19</f>
        <v>1</v>
      </c>
      <c r="L41" s="26">
        <f t="shared" ref="L41:L46" si="8">K41*J41</f>
        <v>0</v>
      </c>
      <c r="M41" s="48"/>
      <c r="N41" s="30">
        <f t="shared" ref="N41:N46" si="9">L41-H41</f>
        <v>-1.09E-2</v>
      </c>
      <c r="O41" s="31">
        <f t="shared" ref="O41:O65" si="10">IF((H41)=0,"",(N41/H41))</f>
        <v>-1</v>
      </c>
      <c r="Q41" s="107"/>
      <c r="S41" s="107"/>
      <c r="U41" s="107"/>
      <c r="W41" s="107"/>
    </row>
    <row r="42" spans="2:23" ht="39.6" x14ac:dyDescent="0.25">
      <c r="B42" s="46" t="str">
        <f>+'SN (.4)'!B42</f>
        <v xml:space="preserve">Deferral/Variance Account Disposition Rate Rider -  Global Adjustment </v>
      </c>
      <c r="C42" s="21"/>
      <c r="D42" s="22" t="s">
        <v>20</v>
      </c>
      <c r="E42" s="23"/>
      <c r="F42" s="24">
        <f>'Proposed Rates'!D86</f>
        <v>-1.9E-3</v>
      </c>
      <c r="G42" s="25">
        <f t="shared" ref="G42" si="11">$F$18</f>
        <v>150</v>
      </c>
      <c r="H42" s="26">
        <f t="shared" si="7"/>
        <v>-0.28499999999999998</v>
      </c>
      <c r="I42" s="47"/>
      <c r="J42" s="28">
        <f>+'Proposed Rates'!E86</f>
        <v>0</v>
      </c>
      <c r="K42" s="25">
        <f t="shared" ref="K42" si="12">$F$18</f>
        <v>150</v>
      </c>
      <c r="L42" s="26">
        <f t="shared" si="8"/>
        <v>0</v>
      </c>
      <c r="M42" s="48"/>
      <c r="N42" s="30">
        <f t="shared" si="9"/>
        <v>0.28499999999999998</v>
      </c>
      <c r="O42" s="31">
        <f t="shared" si="10"/>
        <v>-1</v>
      </c>
      <c r="Q42" s="107"/>
      <c r="S42" s="107"/>
      <c r="U42" s="107"/>
      <c r="W42" s="107"/>
    </row>
    <row r="43" spans="2:23" ht="39.6" x14ac:dyDescent="0.25">
      <c r="B43" s="46" t="str">
        <f>+'SN (.4)'!B43</f>
        <v>Deferral / Variance Accounts Balances (excluding Global Adj.) - NON-WMP</v>
      </c>
      <c r="C43" s="21"/>
      <c r="D43" s="22" t="s">
        <v>58</v>
      </c>
      <c r="E43" s="23"/>
      <c r="F43" s="24">
        <f>'Proposed Rates'!D102</f>
        <v>-0.83130000000000004</v>
      </c>
      <c r="G43" s="186">
        <f>$F$19</f>
        <v>1</v>
      </c>
      <c r="H43" s="26">
        <f t="shared" si="7"/>
        <v>-0.83130000000000004</v>
      </c>
      <c r="I43" s="47"/>
      <c r="J43" s="28">
        <f>+'Proposed Rates'!E102</f>
        <v>-0.28610000000000002</v>
      </c>
      <c r="K43" s="224">
        <f>$F$19</f>
        <v>1</v>
      </c>
      <c r="L43" s="26">
        <f t="shared" si="8"/>
        <v>-0.28610000000000002</v>
      </c>
      <c r="M43" s="48"/>
      <c r="N43" s="30">
        <f t="shared" si="9"/>
        <v>0.54520000000000002</v>
      </c>
      <c r="O43" s="31">
        <f t="shared" si="10"/>
        <v>-0.65584025021051362</v>
      </c>
      <c r="Q43" s="107"/>
      <c r="S43" s="107"/>
      <c r="U43" s="107"/>
      <c r="W43" s="107"/>
    </row>
    <row r="44" spans="2:23" ht="39.6" x14ac:dyDescent="0.25">
      <c r="B44" s="46" t="s">
        <v>125</v>
      </c>
      <c r="C44" s="21"/>
      <c r="D44" s="22" t="s">
        <v>20</v>
      </c>
      <c r="E44" s="23"/>
      <c r="F44" s="24">
        <f>+'Proposed Rates'!D116</f>
        <v>2.7E-4</v>
      </c>
      <c r="G44" s="25">
        <f t="shared" ref="G44" si="13">$F$18</f>
        <v>150</v>
      </c>
      <c r="H44" s="26">
        <f t="shared" si="7"/>
        <v>4.0500000000000001E-2</v>
      </c>
      <c r="I44" s="226"/>
      <c r="J44" s="223">
        <f>+'Proposed Rates'!E116</f>
        <v>0</v>
      </c>
      <c r="K44" s="25">
        <f t="shared" ref="K44" si="14">$F$18</f>
        <v>150</v>
      </c>
      <c r="L44" s="26">
        <f t="shared" si="8"/>
        <v>0</v>
      </c>
      <c r="M44" s="226"/>
      <c r="N44" s="30">
        <f t="shared" si="9"/>
        <v>-4.0500000000000001E-2</v>
      </c>
      <c r="O44" s="31"/>
      <c r="Q44" s="107"/>
      <c r="S44" s="107"/>
      <c r="U44" s="107"/>
      <c r="W44" s="107"/>
    </row>
    <row r="45" spans="2:23" x14ac:dyDescent="0.25">
      <c r="B45" s="49" t="s">
        <v>25</v>
      </c>
      <c r="C45" s="21"/>
      <c r="D45" s="22" t="s">
        <v>58</v>
      </c>
      <c r="E45" s="23"/>
      <c r="F45" s="50">
        <f>'Proposed Rates'!D131</f>
        <v>1.9959999999999999E-2</v>
      </c>
      <c r="G45" s="51">
        <f>+$F$19</f>
        <v>1</v>
      </c>
      <c r="H45" s="26">
        <f>G45*F45</f>
        <v>1.9959999999999999E-2</v>
      </c>
      <c r="I45" s="27"/>
      <c r="J45" s="52">
        <f>'Proposed Rates'!E131</f>
        <v>1.8069999999999999E-2</v>
      </c>
      <c r="K45" s="51">
        <f>+$F$19</f>
        <v>1</v>
      </c>
      <c r="L45" s="26">
        <f>K45*J45</f>
        <v>1.8069999999999999E-2</v>
      </c>
      <c r="M45" s="27"/>
      <c r="N45" s="30">
        <f>L45-H45</f>
        <v>-1.8899999999999993E-3</v>
      </c>
      <c r="O45" s="31">
        <f>IF((H45)=0,"",(N45/H45))</f>
        <v>-9.4689378757515E-2</v>
      </c>
      <c r="Q45" s="107"/>
      <c r="S45" s="107"/>
      <c r="U45" s="107"/>
      <c r="W45" s="107"/>
    </row>
    <row r="46" spans="2:23" x14ac:dyDescent="0.25">
      <c r="B46" s="49" t="s">
        <v>26</v>
      </c>
      <c r="C46" s="21"/>
      <c r="D46" s="22"/>
      <c r="E46" s="23"/>
      <c r="F46" s="53">
        <f>IF(ISBLANK(D16)=TRUE, 0, IF(D16="TOU", 0.65*$F$57+0.17*$F$58+0.18*$F$59, IF(AND(D16="non-TOU", G61&gt;0), F61,F60)))</f>
        <v>8.2160000000000011E-2</v>
      </c>
      <c r="G46" s="54">
        <f>$F$18*(1+$F$76)-$F$18</f>
        <v>5.0250000000000057</v>
      </c>
      <c r="H46" s="26">
        <f t="shared" si="7"/>
        <v>0.4128540000000005</v>
      </c>
      <c r="I46" s="27"/>
      <c r="J46" s="55">
        <f>0.65*$J$57+0.17*$J$58+0.18*$J$59</f>
        <v>8.2160000000000011E-2</v>
      </c>
      <c r="K46" s="54">
        <f>$F$18*(1+$J$76)-$F$18</f>
        <v>5.0250000000000057</v>
      </c>
      <c r="L46" s="26">
        <f t="shared" si="8"/>
        <v>0.4128540000000005</v>
      </c>
      <c r="M46" s="27"/>
      <c r="N46" s="30">
        <f t="shared" si="9"/>
        <v>0</v>
      </c>
      <c r="O46" s="31">
        <f t="shared" si="10"/>
        <v>0</v>
      </c>
      <c r="Q46" s="107"/>
      <c r="S46" s="107"/>
      <c r="U46" s="107"/>
      <c r="W46" s="107"/>
    </row>
    <row r="47" spans="2:23" x14ac:dyDescent="0.25">
      <c r="B47" s="49" t="s">
        <v>27</v>
      </c>
      <c r="C47" s="21"/>
      <c r="D47" s="22" t="s">
        <v>17</v>
      </c>
      <c r="E47" s="23"/>
      <c r="F47" s="155">
        <v>0</v>
      </c>
      <c r="G47" s="25">
        <v>1</v>
      </c>
      <c r="H47" s="26">
        <f>G47*F47</f>
        <v>0</v>
      </c>
      <c r="I47" s="27"/>
      <c r="J47" s="53">
        <f>+F47</f>
        <v>0</v>
      </c>
      <c r="K47" s="25">
        <v>1</v>
      </c>
      <c r="L47" s="26">
        <f>K47*J47</f>
        <v>0</v>
      </c>
      <c r="M47" s="27"/>
      <c r="N47" s="30">
        <f>L47-H47</f>
        <v>0</v>
      </c>
      <c r="O47" s="31" t="str">
        <f t="shared" si="10"/>
        <v/>
      </c>
      <c r="Q47" s="107"/>
      <c r="S47" s="107"/>
      <c r="U47" s="107"/>
      <c r="W47" s="107"/>
    </row>
    <row r="48" spans="2:23" ht="26.4" x14ac:dyDescent="0.25">
      <c r="B48" s="56" t="s">
        <v>28</v>
      </c>
      <c r="C48" s="57"/>
      <c r="D48" s="57"/>
      <c r="E48" s="57"/>
      <c r="F48" s="58"/>
      <c r="G48" s="59"/>
      <c r="H48" s="60">
        <f>SUM(H40:H47)+H39</f>
        <v>5.8279140000000007</v>
      </c>
      <c r="I48" s="40"/>
      <c r="J48" s="59"/>
      <c r="K48" s="61"/>
      <c r="L48" s="60">
        <f>SUM(L40:L47)+L39</f>
        <v>6.8302239999999994</v>
      </c>
      <c r="M48" s="40"/>
      <c r="N48" s="43">
        <f t="shared" ref="N48:N65" si="15">L48-H48</f>
        <v>1.0023099999999987</v>
      </c>
      <c r="O48" s="44">
        <f t="shared" si="10"/>
        <v>0.1719843498033771</v>
      </c>
      <c r="Q48" s="107"/>
      <c r="S48" s="107"/>
      <c r="U48" s="107"/>
      <c r="W48" s="107"/>
    </row>
    <row r="49" spans="2:23" x14ac:dyDescent="0.25">
      <c r="B49" s="27" t="s">
        <v>29</v>
      </c>
      <c r="C49" s="27"/>
      <c r="D49" s="62" t="s">
        <v>58</v>
      </c>
      <c r="E49" s="63"/>
      <c r="F49" s="28">
        <f>'Proposed Rates'!D161</f>
        <v>2.0785999999999998</v>
      </c>
      <c r="G49" s="64">
        <f>+$F$19</f>
        <v>1</v>
      </c>
      <c r="H49" s="26">
        <f>G49*F49</f>
        <v>2.0785999999999998</v>
      </c>
      <c r="I49" s="27"/>
      <c r="J49" s="28">
        <f>'Proposed Rates'!E161</f>
        <v>2.1124999999999998</v>
      </c>
      <c r="K49" s="64">
        <f>+$F$19</f>
        <v>1</v>
      </c>
      <c r="L49" s="26">
        <f>K49*J49</f>
        <v>2.1124999999999998</v>
      </c>
      <c r="M49" s="27"/>
      <c r="N49" s="30">
        <f t="shared" si="15"/>
        <v>3.3900000000000041E-2</v>
      </c>
      <c r="O49" s="31">
        <f t="shared" si="10"/>
        <v>1.6309054171076708E-2</v>
      </c>
      <c r="Q49" s="107"/>
      <c r="S49" s="107"/>
      <c r="U49" s="107"/>
      <c r="W49" s="107"/>
    </row>
    <row r="50" spans="2:23" ht="26.4" x14ac:dyDescent="0.25">
      <c r="B50" s="66" t="s">
        <v>30</v>
      </c>
      <c r="C50" s="27"/>
      <c r="D50" s="62" t="s">
        <v>58</v>
      </c>
      <c r="E50" s="63"/>
      <c r="F50" s="28">
        <f>'Proposed Rates'!D176</f>
        <v>1.3783000000000001</v>
      </c>
      <c r="G50" s="64">
        <f>G49</f>
        <v>1</v>
      </c>
      <c r="H50" s="26">
        <f>G50*F50</f>
        <v>1.3783000000000001</v>
      </c>
      <c r="I50" s="27"/>
      <c r="J50" s="28">
        <f>'Proposed Rates'!E176</f>
        <v>1.3959999999999999</v>
      </c>
      <c r="K50" s="64">
        <f>K49</f>
        <v>1</v>
      </c>
      <c r="L50" s="26">
        <f>K50*J50</f>
        <v>1.3959999999999999</v>
      </c>
      <c r="M50" s="27"/>
      <c r="N50" s="30">
        <f t="shared" si="15"/>
        <v>1.7699999999999827E-2</v>
      </c>
      <c r="O50" s="31">
        <f t="shared" si="10"/>
        <v>1.2841906696655173E-2</v>
      </c>
      <c r="Q50" s="107"/>
      <c r="S50" s="107"/>
      <c r="U50" s="107"/>
      <c r="W50" s="107"/>
    </row>
    <row r="51" spans="2:23" ht="26.4" x14ac:dyDescent="0.25">
      <c r="B51" s="56" t="s">
        <v>31</v>
      </c>
      <c r="C51" s="35"/>
      <c r="D51" s="35"/>
      <c r="E51" s="35"/>
      <c r="F51" s="67"/>
      <c r="G51" s="59"/>
      <c r="H51" s="60">
        <f>SUM(H48:H50)</f>
        <v>9.2848140000000008</v>
      </c>
      <c r="I51" s="68"/>
      <c r="J51" s="69"/>
      <c r="K51" s="59"/>
      <c r="L51" s="60">
        <f>SUM(L48:L50)</f>
        <v>10.338723999999999</v>
      </c>
      <c r="M51" s="68"/>
      <c r="N51" s="43">
        <f t="shared" si="15"/>
        <v>1.0539099999999983</v>
      </c>
      <c r="O51" s="44">
        <f t="shared" si="10"/>
        <v>0.11350900513462071</v>
      </c>
      <c r="Q51" s="102"/>
      <c r="S51" s="102"/>
      <c r="U51" s="102"/>
      <c r="W51" s="102"/>
    </row>
    <row r="52" spans="2:23" ht="26.4" x14ac:dyDescent="0.25">
      <c r="B52" s="71" t="s">
        <v>32</v>
      </c>
      <c r="C52" s="21"/>
      <c r="D52" s="22" t="s">
        <v>20</v>
      </c>
      <c r="E52" s="23"/>
      <c r="F52" s="72">
        <f>'Proposed Rates'!D186</f>
        <v>3.5999999999999999E-3</v>
      </c>
      <c r="G52" s="64">
        <f>+$F$18+G46</f>
        <v>155.02500000000001</v>
      </c>
      <c r="H52" s="73">
        <f t="shared" ref="H52:H59" si="16">G52*F52</f>
        <v>0.55808999999999997</v>
      </c>
      <c r="I52" s="27"/>
      <c r="J52" s="72">
        <f>F52</f>
        <v>3.5999999999999999E-3</v>
      </c>
      <c r="K52" s="64">
        <f>+$F$18+K46</f>
        <v>155.02500000000001</v>
      </c>
      <c r="L52" s="73">
        <f t="shared" ref="L52:L59" si="17">K52*J52</f>
        <v>0.55808999999999997</v>
      </c>
      <c r="M52" s="27"/>
      <c r="N52" s="30">
        <f t="shared" si="15"/>
        <v>0</v>
      </c>
      <c r="O52" s="74">
        <f t="shared" si="10"/>
        <v>0</v>
      </c>
      <c r="Q52" s="107"/>
      <c r="S52" s="107"/>
      <c r="U52" s="107"/>
      <c r="W52" s="107"/>
    </row>
    <row r="53" spans="2:23" ht="26.4" x14ac:dyDescent="0.25">
      <c r="B53" s="71" t="s">
        <v>33</v>
      </c>
      <c r="C53" s="21"/>
      <c r="D53" s="22" t="s">
        <v>20</v>
      </c>
      <c r="E53" s="23"/>
      <c r="F53" s="72">
        <f>'Proposed Rates'!D191</f>
        <v>2.9999999999999997E-4</v>
      </c>
      <c r="G53" s="64">
        <f>+G52</f>
        <v>155.02500000000001</v>
      </c>
      <c r="H53" s="73">
        <f t="shared" si="16"/>
        <v>4.65075E-2</v>
      </c>
      <c r="I53" s="27"/>
      <c r="J53" s="72">
        <f>F53</f>
        <v>2.9999999999999997E-4</v>
      </c>
      <c r="K53" s="64">
        <f>+K52</f>
        <v>155.02500000000001</v>
      </c>
      <c r="L53" s="73">
        <f t="shared" si="17"/>
        <v>4.65075E-2</v>
      </c>
      <c r="M53" s="27"/>
      <c r="N53" s="30">
        <f t="shared" si="15"/>
        <v>0</v>
      </c>
      <c r="O53" s="74">
        <f t="shared" si="10"/>
        <v>0</v>
      </c>
      <c r="Q53" s="107"/>
      <c r="S53" s="107"/>
      <c r="U53" s="107"/>
      <c r="W53" s="107"/>
    </row>
    <row r="54" spans="2:23" x14ac:dyDescent="0.25">
      <c r="B54" s="21" t="s">
        <v>34</v>
      </c>
      <c r="C54" s="21"/>
      <c r="D54" s="22" t="s">
        <v>17</v>
      </c>
      <c r="E54" s="23"/>
      <c r="F54" s="72">
        <f>'Proposed Rates'!D196</f>
        <v>0.25</v>
      </c>
      <c r="G54" s="25">
        <v>1</v>
      </c>
      <c r="H54" s="73">
        <f t="shared" si="16"/>
        <v>0.25</v>
      </c>
      <c r="I54" s="27"/>
      <c r="J54" s="72">
        <f>'Proposed Rates'!E196</f>
        <v>0.25</v>
      </c>
      <c r="K54" s="29">
        <v>1</v>
      </c>
      <c r="L54" s="73">
        <f t="shared" si="17"/>
        <v>0.25</v>
      </c>
      <c r="M54" s="27"/>
      <c r="N54" s="30">
        <f t="shared" si="15"/>
        <v>0</v>
      </c>
      <c r="O54" s="74">
        <f t="shared" si="10"/>
        <v>0</v>
      </c>
      <c r="Q54" s="107"/>
      <c r="S54" s="107"/>
      <c r="U54" s="107"/>
      <c r="W54" s="107"/>
    </row>
    <row r="55" spans="2:23" x14ac:dyDescent="0.25">
      <c r="B55" s="21" t="s">
        <v>120</v>
      </c>
      <c r="C55" s="21"/>
      <c r="D55" s="22"/>
      <c r="E55" s="23"/>
      <c r="F55" s="72">
        <f>'Proposed Rates'!D221</f>
        <v>0</v>
      </c>
      <c r="G55" s="64">
        <f>G53</f>
        <v>155.02500000000001</v>
      </c>
      <c r="H55" s="73">
        <f>G55*F55</f>
        <v>0</v>
      </c>
      <c r="I55" s="27"/>
      <c r="J55" s="72">
        <f>F55</f>
        <v>0</v>
      </c>
      <c r="K55" s="64">
        <f>K53</f>
        <v>155.02500000000001</v>
      </c>
      <c r="L55" s="73">
        <f>K55*J55</f>
        <v>0</v>
      </c>
      <c r="M55" s="27"/>
      <c r="N55" s="30"/>
      <c r="O55" s="74"/>
      <c r="Q55" s="107"/>
      <c r="S55" s="107"/>
      <c r="U55" s="107"/>
      <c r="W55" s="107"/>
    </row>
    <row r="56" spans="2:23" x14ac:dyDescent="0.25">
      <c r="B56" s="21" t="s">
        <v>35</v>
      </c>
      <c r="C56" s="21"/>
      <c r="D56" s="22"/>
      <c r="E56" s="23"/>
      <c r="F56" s="72">
        <f>'Proposed Rates'!D216</f>
        <v>6.94E-3</v>
      </c>
      <c r="G56" s="75">
        <f>$F$18</f>
        <v>150</v>
      </c>
      <c r="H56" s="73">
        <f t="shared" si="16"/>
        <v>1.0409999999999999</v>
      </c>
      <c r="I56" s="27"/>
      <c r="J56" s="72">
        <f>+F56</f>
        <v>6.94E-3</v>
      </c>
      <c r="K56" s="76">
        <f>$F$18</f>
        <v>150</v>
      </c>
      <c r="L56" s="73">
        <f t="shared" si="17"/>
        <v>1.0409999999999999</v>
      </c>
      <c r="M56" s="27"/>
      <c r="N56" s="30">
        <f t="shared" si="15"/>
        <v>0</v>
      </c>
      <c r="O56" s="74">
        <f t="shared" si="10"/>
        <v>0</v>
      </c>
      <c r="Q56" s="107"/>
      <c r="S56" s="107"/>
      <c r="U56" s="107"/>
      <c r="W56" s="107"/>
    </row>
    <row r="57" spans="2:23" x14ac:dyDescent="0.25">
      <c r="B57" s="49" t="s">
        <v>36</v>
      </c>
      <c r="C57" s="21"/>
      <c r="D57" s="22"/>
      <c r="E57" s="23"/>
      <c r="F57" s="72">
        <f>'Proposed Rates'!D226</f>
        <v>6.5000000000000002E-2</v>
      </c>
      <c r="G57" s="77">
        <f>0.65*$F$18</f>
        <v>97.5</v>
      </c>
      <c r="H57" s="73">
        <f t="shared" si="16"/>
        <v>6.3375000000000004</v>
      </c>
      <c r="I57" s="27"/>
      <c r="J57" s="72">
        <f>F57</f>
        <v>6.5000000000000002E-2</v>
      </c>
      <c r="K57" s="77">
        <f>$G$57</f>
        <v>97.5</v>
      </c>
      <c r="L57" s="73">
        <f t="shared" si="17"/>
        <v>6.3375000000000004</v>
      </c>
      <c r="M57" s="27"/>
      <c r="N57" s="30">
        <f t="shared" si="15"/>
        <v>0</v>
      </c>
      <c r="O57" s="74">
        <f t="shared" si="10"/>
        <v>0</v>
      </c>
      <c r="Q57" s="107"/>
      <c r="S57" s="107"/>
      <c r="U57" s="107"/>
      <c r="W57" s="107"/>
    </row>
    <row r="58" spans="2:23" x14ac:dyDescent="0.25">
      <c r="B58" s="49" t="s">
        <v>37</v>
      </c>
      <c r="C58" s="21"/>
      <c r="D58" s="22"/>
      <c r="E58" s="23"/>
      <c r="F58" s="72">
        <f>'Proposed Rates'!D227</f>
        <v>9.5000000000000001E-2</v>
      </c>
      <c r="G58" s="77">
        <f>0.17*$F$18</f>
        <v>25.500000000000004</v>
      </c>
      <c r="H58" s="73">
        <f t="shared" si="16"/>
        <v>2.4225000000000003</v>
      </c>
      <c r="I58" s="27"/>
      <c r="J58" s="72">
        <f>F58</f>
        <v>9.5000000000000001E-2</v>
      </c>
      <c r="K58" s="77">
        <f>$G$58</f>
        <v>25.500000000000004</v>
      </c>
      <c r="L58" s="73">
        <f t="shared" si="17"/>
        <v>2.4225000000000003</v>
      </c>
      <c r="M58" s="27"/>
      <c r="N58" s="30">
        <f t="shared" si="15"/>
        <v>0</v>
      </c>
      <c r="O58" s="74">
        <f t="shared" si="10"/>
        <v>0</v>
      </c>
      <c r="Q58" s="107"/>
      <c r="S58" s="107"/>
      <c r="U58" s="107"/>
      <c r="W58" s="107"/>
    </row>
    <row r="59" spans="2:23" x14ac:dyDescent="0.25">
      <c r="B59" s="11" t="s">
        <v>38</v>
      </c>
      <c r="C59" s="21"/>
      <c r="D59" s="22"/>
      <c r="E59" s="23"/>
      <c r="F59" s="72">
        <f>'Proposed Rates'!D228</f>
        <v>0.13200000000000001</v>
      </c>
      <c r="G59" s="77">
        <f>0.18*$F$18</f>
        <v>27</v>
      </c>
      <c r="H59" s="73">
        <f t="shared" si="16"/>
        <v>3.5640000000000001</v>
      </c>
      <c r="I59" s="27"/>
      <c r="J59" s="72">
        <f>F59</f>
        <v>0.13200000000000001</v>
      </c>
      <c r="K59" s="77">
        <f>$G$59</f>
        <v>27</v>
      </c>
      <c r="L59" s="73">
        <f t="shared" si="17"/>
        <v>3.5640000000000001</v>
      </c>
      <c r="M59" s="27"/>
      <c r="N59" s="30">
        <f t="shared" si="15"/>
        <v>0</v>
      </c>
      <c r="O59" s="74">
        <f t="shared" si="10"/>
        <v>0</v>
      </c>
      <c r="Q59" s="107"/>
      <c r="S59" s="107"/>
      <c r="U59" s="107"/>
      <c r="W59" s="107"/>
    </row>
    <row r="60" spans="2:23" s="85" customFormat="1" x14ac:dyDescent="0.25">
      <c r="B60" s="78" t="s">
        <v>39</v>
      </c>
      <c r="C60" s="79"/>
      <c r="D60" s="80"/>
      <c r="E60" s="81"/>
      <c r="F60" s="72">
        <f>'Proposed Rates'!D229</f>
        <v>7.6999999999999999E-2</v>
      </c>
      <c r="G60" s="82">
        <f>IF(AND($Q$1=1, F18&gt;=600), 600, IF(AND($Q$1=1, AND(F18&lt;600, F18&gt;=0)), F18, IF(AND($Q$1=2, F18&gt;=1000), 1000, IF(AND($Q$1=2, AND(F18&lt;1000, F18&gt;=0)), F18))))</f>
        <v>150</v>
      </c>
      <c r="H60" s="73">
        <f>G60*F60</f>
        <v>11.55</v>
      </c>
      <c r="I60" s="83"/>
      <c r="J60" s="72">
        <f>F60</f>
        <v>7.6999999999999999E-2</v>
      </c>
      <c r="K60" s="82">
        <f>$G$60</f>
        <v>150</v>
      </c>
      <c r="L60" s="73">
        <f>K60*J60</f>
        <v>11.55</v>
      </c>
      <c r="M60" s="83"/>
      <c r="N60" s="84">
        <f t="shared" si="15"/>
        <v>0</v>
      </c>
      <c r="O60" s="74">
        <f t="shared" si="10"/>
        <v>0</v>
      </c>
      <c r="Q60" s="143"/>
      <c r="R60" s="204"/>
      <c r="S60" s="143"/>
      <c r="T60" s="204"/>
      <c r="U60" s="143"/>
      <c r="V60" s="204"/>
      <c r="W60" s="143"/>
    </row>
    <row r="61" spans="2:23" s="85" customFormat="1" ht="13.8" thickBot="1" x14ac:dyDescent="0.3">
      <c r="B61" s="78" t="s">
        <v>40</v>
      </c>
      <c r="C61" s="79"/>
      <c r="D61" s="80"/>
      <c r="E61" s="81"/>
      <c r="F61" s="72">
        <f>'Proposed Rates'!D230</f>
        <v>0.09</v>
      </c>
      <c r="G61" s="82">
        <f>IF(AND($Q$1=1, F18&gt;=600), F18-600, IF(AND($Q$1=1, AND(F18&lt;600, F18&gt;=0)), 0, IF(AND($Q$1=2, F18&gt;=1000), F18-1000, IF(AND($Q$1=2, AND(F18&lt;1000, F18&gt;=0)), 0))))</f>
        <v>0</v>
      </c>
      <c r="H61" s="73">
        <f>G61*F61</f>
        <v>0</v>
      </c>
      <c r="I61" s="83"/>
      <c r="J61" s="72">
        <f>F61</f>
        <v>0.09</v>
      </c>
      <c r="K61" s="82">
        <f>$G$61</f>
        <v>0</v>
      </c>
      <c r="L61" s="73">
        <f>K61*J61</f>
        <v>0</v>
      </c>
      <c r="M61" s="83"/>
      <c r="N61" s="84">
        <f t="shared" si="15"/>
        <v>0</v>
      </c>
      <c r="O61" s="74" t="str">
        <f t="shared" si="10"/>
        <v/>
      </c>
      <c r="Q61" s="143"/>
      <c r="R61" s="204"/>
      <c r="S61" s="143"/>
      <c r="T61" s="204"/>
      <c r="U61" s="143"/>
      <c r="V61" s="204"/>
      <c r="W61" s="143"/>
    </row>
    <row r="62" spans="2:23" ht="8.25" customHeight="1" thickBot="1" x14ac:dyDescent="0.3">
      <c r="B62" s="86"/>
      <c r="C62" s="87"/>
      <c r="D62" s="88"/>
      <c r="E62" s="87"/>
      <c r="F62" s="89"/>
      <c r="G62" s="90"/>
      <c r="H62" s="91"/>
      <c r="I62" s="92"/>
      <c r="J62" s="89"/>
      <c r="K62" s="93"/>
      <c r="L62" s="91"/>
      <c r="M62" s="92"/>
      <c r="N62" s="94"/>
      <c r="O62" s="95"/>
      <c r="Q62" s="107"/>
      <c r="S62" s="107"/>
      <c r="U62" s="107"/>
      <c r="W62" s="107"/>
    </row>
    <row r="63" spans="2:23" x14ac:dyDescent="0.25">
      <c r="B63" s="124" t="s">
        <v>44</v>
      </c>
      <c r="C63" s="79"/>
      <c r="D63" s="79"/>
      <c r="E63" s="21"/>
      <c r="F63" s="265"/>
      <c r="G63" s="98"/>
      <c r="H63" s="274">
        <f>SUM(H52:H59,H51)</f>
        <v>23.5044115</v>
      </c>
      <c r="I63" s="267"/>
      <c r="J63" s="268"/>
      <c r="K63" s="101"/>
      <c r="L63" s="99">
        <f>SUM(L52:L59,L51)</f>
        <v>24.558321499999998</v>
      </c>
      <c r="M63" s="277"/>
      <c r="N63" s="254">
        <f t="shared" ref="N63" si="18">L63-H63</f>
        <v>1.0539099999999983</v>
      </c>
      <c r="O63" s="104">
        <f t="shared" ref="O63" si="19">IF((H63)=0,"",(N63/H63))</f>
        <v>4.4838816747230552E-2</v>
      </c>
      <c r="Q63" s="102"/>
      <c r="S63" s="102"/>
      <c r="U63" s="102"/>
      <c r="W63" s="102"/>
    </row>
    <row r="64" spans="2:23" x14ac:dyDescent="0.25">
      <c r="B64" s="132" t="s">
        <v>42</v>
      </c>
      <c r="C64" s="79"/>
      <c r="D64" s="79"/>
      <c r="E64" s="21"/>
      <c r="F64" s="106">
        <v>0.13</v>
      </c>
      <c r="G64" s="107"/>
      <c r="H64" s="108">
        <f>H63*F64</f>
        <v>3.055573495</v>
      </c>
      <c r="I64" s="109"/>
      <c r="J64" s="110">
        <v>0.13</v>
      </c>
      <c r="K64" s="109"/>
      <c r="L64" s="270">
        <f>L63*J64</f>
        <v>3.1925817949999997</v>
      </c>
      <c r="M64" s="252"/>
      <c r="N64" s="113">
        <f t="shared" si="15"/>
        <v>0.13700829999999975</v>
      </c>
      <c r="O64" s="114">
        <f t="shared" si="10"/>
        <v>4.4838816747230538E-2</v>
      </c>
      <c r="Q64" s="112"/>
      <c r="S64" s="112"/>
      <c r="U64" s="112"/>
      <c r="W64" s="112"/>
    </row>
    <row r="65" spans="2:23" x14ac:dyDescent="0.25">
      <c r="B65" s="258" t="s">
        <v>43</v>
      </c>
      <c r="C65" s="79"/>
      <c r="D65" s="79"/>
      <c r="E65" s="21"/>
      <c r="F65" s="116"/>
      <c r="G65" s="107"/>
      <c r="H65" s="99">
        <f>H63+H64</f>
        <v>26.559984995000001</v>
      </c>
      <c r="I65" s="109"/>
      <c r="J65" s="109"/>
      <c r="K65" s="109"/>
      <c r="L65" s="263">
        <f>L63+L64</f>
        <v>27.750903294999997</v>
      </c>
      <c r="M65" s="252"/>
      <c r="N65" s="103">
        <f t="shared" si="15"/>
        <v>1.1909182999999963</v>
      </c>
      <c r="O65" s="104">
        <f t="shared" si="10"/>
        <v>4.4838816747230482E-2</v>
      </c>
      <c r="Q65" s="112"/>
      <c r="S65" s="112"/>
      <c r="U65" s="112"/>
      <c r="W65" s="112"/>
    </row>
    <row r="66" spans="2:23" x14ac:dyDescent="0.25">
      <c r="B66" s="249" t="s">
        <v>137</v>
      </c>
      <c r="C66" s="21"/>
      <c r="D66" s="21"/>
      <c r="E66" s="21"/>
      <c r="F66" s="266">
        <v>-0.08</v>
      </c>
      <c r="G66" s="107"/>
      <c r="H66" s="217">
        <f>F66*H63</f>
        <v>-1.88035292</v>
      </c>
      <c r="I66" s="109"/>
      <c r="J66" s="266">
        <v>-0.08</v>
      </c>
      <c r="K66" s="248"/>
      <c r="L66" s="217">
        <f>J66*L63</f>
        <v>-1.9646657199999999</v>
      </c>
      <c r="M66" s="252"/>
      <c r="N66" s="257">
        <f t="shared" ref="N66:N67" si="20">L66-H66</f>
        <v>-8.4312799999999966E-2</v>
      </c>
      <c r="O66" s="114">
        <f t="shared" ref="O66:O67" si="21">IF((H66)=0,"",(N66/H66))</f>
        <v>4.48388167472306E-2</v>
      </c>
      <c r="Q66" s="112"/>
      <c r="S66" s="112"/>
      <c r="U66" s="112"/>
      <c r="W66" s="112"/>
    </row>
    <row r="67" spans="2:23" ht="13.8" thickBot="1" x14ac:dyDescent="0.3">
      <c r="B67" s="308" t="s">
        <v>138</v>
      </c>
      <c r="C67" s="308"/>
      <c r="D67" s="308"/>
      <c r="E67" s="21"/>
      <c r="F67" s="256"/>
      <c r="G67" s="107"/>
      <c r="H67" s="275">
        <f>SUM(H65:H66)</f>
        <v>24.679632075000001</v>
      </c>
      <c r="I67" s="253"/>
      <c r="J67" s="253"/>
      <c r="K67" s="248"/>
      <c r="L67" s="275">
        <f>SUM(L65:L66)</f>
        <v>25.786237574999998</v>
      </c>
      <c r="M67" s="276"/>
      <c r="N67" s="103">
        <f t="shared" si="20"/>
        <v>1.106605499999997</v>
      </c>
      <c r="O67" s="104">
        <f t="shared" si="21"/>
        <v>4.4838816747230496E-2</v>
      </c>
      <c r="Q67" s="112"/>
      <c r="S67" s="112"/>
      <c r="U67" s="112"/>
      <c r="W67" s="112"/>
    </row>
    <row r="68" spans="2:23" s="85" customFormat="1" ht="8.25" customHeight="1" thickBot="1" x14ac:dyDescent="0.3">
      <c r="B68" s="117"/>
      <c r="C68" s="118"/>
      <c r="D68" s="119"/>
      <c r="E68" s="118"/>
      <c r="F68" s="89"/>
      <c r="G68" s="120"/>
      <c r="H68" s="91"/>
      <c r="I68" s="121"/>
      <c r="J68" s="89"/>
      <c r="K68" s="122"/>
      <c r="L68" s="91"/>
      <c r="M68" s="121"/>
      <c r="N68" s="123"/>
      <c r="O68" s="95"/>
      <c r="Q68" s="143"/>
      <c r="R68" s="204"/>
      <c r="S68" s="143"/>
      <c r="T68" s="204"/>
      <c r="U68" s="143"/>
      <c r="V68" s="204"/>
      <c r="W68" s="143"/>
    </row>
    <row r="69" spans="2:23" s="85" customFormat="1" x14ac:dyDescent="0.25">
      <c r="B69" s="124" t="s">
        <v>44</v>
      </c>
      <c r="C69" s="79"/>
      <c r="D69" s="79"/>
      <c r="E69" s="79"/>
      <c r="F69" s="125"/>
      <c r="G69" s="126"/>
      <c r="H69" s="127">
        <f>SUM(H60:H61,H51,H52:H56)</f>
        <v>22.730411500000002</v>
      </c>
      <c r="I69" s="128"/>
      <c r="J69" s="129"/>
      <c r="K69" s="129"/>
      <c r="L69" s="127">
        <f>SUM(L60:L61,L51,L52:L56)</f>
        <v>23.784321500000001</v>
      </c>
      <c r="M69" s="278"/>
      <c r="N69" s="131">
        <f t="shared" ref="N69:N71" si="22">L69-H69</f>
        <v>1.0539099999999983</v>
      </c>
      <c r="O69" s="104">
        <f t="shared" ref="O69:O71" si="23">IF((H69)=0,"",(N69/H69))</f>
        <v>4.6365636627387859E-2</v>
      </c>
      <c r="Q69" s="130"/>
      <c r="R69" s="204"/>
      <c r="S69" s="130"/>
      <c r="T69" s="204"/>
      <c r="U69" s="130"/>
      <c r="V69" s="204"/>
      <c r="W69" s="130"/>
    </row>
    <row r="70" spans="2:23" s="85" customFormat="1" x14ac:dyDescent="0.25">
      <c r="B70" s="132" t="s">
        <v>42</v>
      </c>
      <c r="C70" s="79"/>
      <c r="D70" s="79"/>
      <c r="E70" s="79"/>
      <c r="F70" s="133">
        <v>0.13</v>
      </c>
      <c r="G70" s="126"/>
      <c r="H70" s="134">
        <f>H69*F70</f>
        <v>2.9549534950000003</v>
      </c>
      <c r="I70" s="135"/>
      <c r="J70" s="136">
        <v>0.13</v>
      </c>
      <c r="K70" s="137"/>
      <c r="L70" s="138">
        <f>L69*J70</f>
        <v>3.091961795</v>
      </c>
      <c r="M70" s="139"/>
      <c r="N70" s="140">
        <f t="shared" si="22"/>
        <v>0.13700829999999975</v>
      </c>
      <c r="O70" s="114">
        <f t="shared" si="23"/>
        <v>4.6365636627387852E-2</v>
      </c>
      <c r="Q70" s="139"/>
      <c r="R70" s="204"/>
      <c r="S70" s="139"/>
      <c r="T70" s="204"/>
      <c r="U70" s="139"/>
      <c r="V70" s="204"/>
      <c r="W70" s="139"/>
    </row>
    <row r="71" spans="2:23" s="85" customFormat="1" x14ac:dyDescent="0.25">
      <c r="B71" s="258" t="s">
        <v>43</v>
      </c>
      <c r="C71" s="79"/>
      <c r="D71" s="79"/>
      <c r="E71" s="79"/>
      <c r="F71" s="142"/>
      <c r="G71" s="143"/>
      <c r="H71" s="127">
        <f>H69+H70</f>
        <v>25.685364995000004</v>
      </c>
      <c r="I71" s="135"/>
      <c r="J71" s="135"/>
      <c r="K71" s="135"/>
      <c r="L71" s="211">
        <f>L69+L70</f>
        <v>26.876283295</v>
      </c>
      <c r="M71" s="139"/>
      <c r="N71" s="131">
        <f t="shared" si="22"/>
        <v>1.1909182999999963</v>
      </c>
      <c r="O71" s="104">
        <f t="shared" si="23"/>
        <v>4.6365636627387789E-2</v>
      </c>
      <c r="Q71" s="139"/>
      <c r="R71" s="204"/>
      <c r="S71" s="139"/>
      <c r="T71" s="204"/>
      <c r="U71" s="139"/>
      <c r="V71" s="204"/>
      <c r="W71" s="139"/>
    </row>
    <row r="72" spans="2:23" s="85" customFormat="1" x14ac:dyDescent="0.25">
      <c r="B72" s="249" t="s">
        <v>137</v>
      </c>
      <c r="C72" s="21"/>
      <c r="D72" s="21"/>
      <c r="E72" s="79"/>
      <c r="F72" s="266">
        <v>-0.08</v>
      </c>
      <c r="G72" s="143"/>
      <c r="H72" s="134">
        <f>F72*H69</f>
        <v>-1.8184329200000002</v>
      </c>
      <c r="I72" s="135"/>
      <c r="J72" s="264">
        <v>-0.08</v>
      </c>
      <c r="K72" s="135"/>
      <c r="L72" s="134">
        <f>J72*L69</f>
        <v>-1.9027457200000002</v>
      </c>
      <c r="M72" s="135"/>
      <c r="N72" s="140">
        <f t="shared" ref="N72:N73" si="24">L72-H72</f>
        <v>-8.4312799999999966E-2</v>
      </c>
      <c r="O72" s="114">
        <f t="shared" ref="O72:O73" si="25">IF((H72)=0,"",(N72/H72))</f>
        <v>4.6365636627387914E-2</v>
      </c>
      <c r="Q72" s="139"/>
      <c r="R72" s="204"/>
      <c r="S72" s="139"/>
      <c r="T72" s="204"/>
      <c r="U72" s="139"/>
      <c r="V72" s="204"/>
      <c r="W72" s="139"/>
    </row>
    <row r="73" spans="2:23" s="85" customFormat="1" ht="13.8" thickBot="1" x14ac:dyDescent="0.3">
      <c r="B73" s="308" t="s">
        <v>138</v>
      </c>
      <c r="C73" s="308"/>
      <c r="D73" s="308"/>
      <c r="E73" s="79"/>
      <c r="F73" s="142"/>
      <c r="G73" s="143"/>
      <c r="H73" s="127">
        <f>SUM(H71:H72)</f>
        <v>23.866932075000005</v>
      </c>
      <c r="I73" s="135"/>
      <c r="J73" s="135"/>
      <c r="K73" s="135"/>
      <c r="L73" s="127">
        <f>SUM(L71:L72)</f>
        <v>24.973537575000002</v>
      </c>
      <c r="M73" s="279"/>
      <c r="N73" s="131">
        <f t="shared" si="24"/>
        <v>1.106605499999997</v>
      </c>
      <c r="O73" s="104">
        <f t="shared" si="25"/>
        <v>4.6365636627387803E-2</v>
      </c>
      <c r="Q73" s="139"/>
      <c r="R73" s="204"/>
      <c r="S73" s="139"/>
      <c r="T73" s="204"/>
      <c r="U73" s="139"/>
      <c r="V73" s="204"/>
      <c r="W73" s="139"/>
    </row>
    <row r="74" spans="2:23" s="85" customFormat="1" ht="8.25" customHeight="1" thickBot="1" x14ac:dyDescent="0.3">
      <c r="B74" s="117"/>
      <c r="C74" s="118"/>
      <c r="D74" s="119"/>
      <c r="E74" s="118"/>
      <c r="F74" s="144"/>
      <c r="G74" s="145"/>
      <c r="H74" s="146"/>
      <c r="I74" s="147"/>
      <c r="J74" s="144"/>
      <c r="K74" s="120"/>
      <c r="L74" s="148"/>
      <c r="M74" s="121"/>
      <c r="N74" s="149"/>
      <c r="O74" s="95"/>
      <c r="Q74" s="143"/>
      <c r="R74" s="204"/>
      <c r="S74" s="143"/>
      <c r="T74" s="204"/>
      <c r="U74" s="143"/>
      <c r="V74" s="204"/>
      <c r="W74" s="143"/>
    </row>
    <row r="75" spans="2:23" x14ac:dyDescent="0.25">
      <c r="L75" s="150"/>
    </row>
    <row r="76" spans="2:23" x14ac:dyDescent="0.25">
      <c r="B76" s="12" t="s">
        <v>45</v>
      </c>
      <c r="F76" s="151">
        <f>'Proposed Rates'!D206</f>
        <v>3.3500000000000002E-2</v>
      </c>
      <c r="J76" s="151">
        <f>+'Res (100)'!J74</f>
        <v>3.3500000000000002E-2</v>
      </c>
    </row>
    <row r="77" spans="2:23" ht="13.8" thickBot="1" x14ac:dyDescent="0.3"/>
    <row r="78" spans="2:23" ht="8.25" customHeight="1" thickBot="1" x14ac:dyDescent="0.3">
      <c r="B78" s="86"/>
      <c r="C78" s="87"/>
      <c r="D78" s="88"/>
      <c r="E78" s="87"/>
      <c r="F78" s="89"/>
      <c r="G78" s="90"/>
      <c r="H78" s="91"/>
      <c r="I78" s="92"/>
      <c r="J78" s="89"/>
      <c r="K78" s="93"/>
      <c r="L78" s="91"/>
      <c r="M78" s="92"/>
      <c r="N78" s="94"/>
      <c r="O78" s="95"/>
      <c r="Q78" s="107"/>
      <c r="S78" s="107"/>
      <c r="U78" s="107"/>
      <c r="W78" s="107"/>
    </row>
    <row r="79" spans="2:23" x14ac:dyDescent="0.25">
      <c r="B79" s="96" t="s">
        <v>41</v>
      </c>
      <c r="C79" s="21"/>
      <c r="D79" s="21"/>
      <c r="E79" s="21"/>
      <c r="F79" s="97"/>
      <c r="G79" s="98"/>
      <c r="H79" s="99">
        <f>+H63-H31-H40-H41-H42-H43</f>
        <v>24.599911500000001</v>
      </c>
      <c r="I79" s="100"/>
      <c r="J79" s="101"/>
      <c r="K79" s="101"/>
      <c r="L79" s="99">
        <f>+L63-L31-L40-L41-L42-L43</f>
        <v>24.984821499999999</v>
      </c>
      <c r="M79" s="102"/>
      <c r="N79" s="103">
        <f t="shared" ref="N79:N81" si="26">L79-H79</f>
        <v>0.38490999999999786</v>
      </c>
      <c r="O79" s="104">
        <f t="shared" ref="O79:O81" si="27">IF((H79)=0,"",(N79/H79))</f>
        <v>1.5646804257811977E-2</v>
      </c>
      <c r="Q79" s="102"/>
      <c r="S79" s="102"/>
      <c r="U79" s="102"/>
      <c r="W79" s="102"/>
    </row>
    <row r="80" spans="2:23" x14ac:dyDescent="0.25">
      <c r="B80" s="105" t="s">
        <v>42</v>
      </c>
      <c r="C80" s="21"/>
      <c r="D80" s="21"/>
      <c r="E80" s="21"/>
      <c r="F80" s="106">
        <v>0.13</v>
      </c>
      <c r="G80" s="107"/>
      <c r="H80" s="108">
        <f>H79*F80</f>
        <v>3.1979884950000002</v>
      </c>
      <c r="I80" s="109"/>
      <c r="J80" s="110">
        <v>0.13</v>
      </c>
      <c r="K80" s="109"/>
      <c r="L80" s="111">
        <f>L79*J80</f>
        <v>3.2480267949999999</v>
      </c>
      <c r="M80" s="112"/>
      <c r="N80" s="113">
        <f t="shared" si="26"/>
        <v>5.0038299999999758E-2</v>
      </c>
      <c r="O80" s="114">
        <f t="shared" si="27"/>
        <v>1.5646804257811991E-2</v>
      </c>
      <c r="Q80" s="112"/>
      <c r="S80" s="112"/>
      <c r="U80" s="112"/>
      <c r="W80" s="112"/>
    </row>
    <row r="81" spans="1:23" x14ac:dyDescent="0.25">
      <c r="B81" s="115" t="s">
        <v>43</v>
      </c>
      <c r="C81" s="21"/>
      <c r="D81" s="21"/>
      <c r="E81" s="21"/>
      <c r="F81" s="205"/>
      <c r="G81" s="206"/>
      <c r="H81" s="216">
        <f>H79+H80</f>
        <v>27.797899995000002</v>
      </c>
      <c r="I81" s="207"/>
      <c r="J81" s="207"/>
      <c r="K81" s="207"/>
      <c r="L81" s="215">
        <f>L79+L80</f>
        <v>28.232848295</v>
      </c>
      <c r="M81" s="208"/>
      <c r="N81" s="214">
        <f t="shared" si="26"/>
        <v>0.43494829999999851</v>
      </c>
      <c r="O81" s="213">
        <f t="shared" si="27"/>
        <v>1.5646804257812012E-2</v>
      </c>
      <c r="Q81" s="112"/>
      <c r="S81" s="112"/>
      <c r="U81" s="112"/>
      <c r="W81" s="112"/>
    </row>
    <row r="82" spans="1:23" ht="13.5" customHeight="1" x14ac:dyDescent="0.25">
      <c r="Q82" s="202"/>
      <c r="R82" s="202"/>
      <c r="S82" s="6"/>
      <c r="T82" s="6"/>
      <c r="U82" s="6"/>
      <c r="V82" s="6"/>
      <c r="W82" s="6"/>
    </row>
    <row r="83" spans="1:23" ht="12" customHeight="1" x14ac:dyDescent="0.25">
      <c r="A83" s="6" t="s">
        <v>46</v>
      </c>
      <c r="Q83" s="202"/>
      <c r="R83" s="202"/>
      <c r="S83" s="6"/>
      <c r="T83" s="6"/>
      <c r="U83" s="6"/>
      <c r="V83" s="6"/>
      <c r="W83" s="6"/>
    </row>
    <row r="84" spans="1:23" x14ac:dyDescent="0.25">
      <c r="A84" s="6" t="s">
        <v>47</v>
      </c>
      <c r="Q84" s="202"/>
      <c r="R84" s="202"/>
      <c r="S84" s="6"/>
      <c r="T84" s="6"/>
      <c r="U84" s="6"/>
      <c r="V84" s="6"/>
      <c r="W84" s="6"/>
    </row>
    <row r="85" spans="1:23" x14ac:dyDescent="0.25">
      <c r="Q85" s="202"/>
      <c r="R85" s="202"/>
      <c r="S85" s="6"/>
      <c r="T85" s="6"/>
      <c r="U85" s="6"/>
      <c r="V85" s="6"/>
      <c r="W85" s="6"/>
    </row>
    <row r="86" spans="1:23" x14ac:dyDescent="0.25">
      <c r="A86" s="153" t="s">
        <v>133</v>
      </c>
      <c r="Q86" s="202"/>
      <c r="R86" s="202"/>
      <c r="S86" s="6"/>
      <c r="T86" s="6"/>
      <c r="U86" s="6"/>
      <c r="V86" s="6"/>
      <c r="W86" s="6"/>
    </row>
    <row r="87" spans="1:23" x14ac:dyDescent="0.25">
      <c r="A87" s="11" t="s">
        <v>48</v>
      </c>
      <c r="Q87" s="202"/>
      <c r="R87" s="202"/>
      <c r="S87" s="6"/>
      <c r="T87" s="6"/>
      <c r="U87" s="6"/>
      <c r="V87" s="6"/>
      <c r="W87" s="6"/>
    </row>
    <row r="88" spans="1:23" x14ac:dyDescent="0.25">
      <c r="Q88" s="202"/>
      <c r="R88" s="202"/>
      <c r="S88" s="6"/>
      <c r="T88" s="6"/>
      <c r="U88" s="6"/>
      <c r="V88" s="6"/>
      <c r="W88" s="6"/>
    </row>
    <row r="89" spans="1:23" x14ac:dyDescent="0.25">
      <c r="A89" s="6" t="s">
        <v>132</v>
      </c>
      <c r="Q89" s="202"/>
      <c r="R89" s="202"/>
      <c r="S89" s="6"/>
      <c r="T89" s="6"/>
      <c r="U89" s="6"/>
      <c r="V89" s="6"/>
      <c r="W89" s="6"/>
    </row>
    <row r="90" spans="1:23" x14ac:dyDescent="0.25">
      <c r="A90" s="6" t="s">
        <v>49</v>
      </c>
      <c r="Q90" s="202"/>
      <c r="R90" s="202"/>
      <c r="S90" s="6"/>
      <c r="T90" s="6"/>
      <c r="U90" s="6"/>
      <c r="V90" s="6"/>
      <c r="W90" s="6"/>
    </row>
    <row r="91" spans="1:23" x14ac:dyDescent="0.25">
      <c r="A91" s="6" t="s">
        <v>50</v>
      </c>
      <c r="Q91" s="202"/>
      <c r="R91" s="202"/>
      <c r="S91" s="6"/>
      <c r="T91" s="6"/>
      <c r="U91" s="6"/>
      <c r="V91" s="6"/>
      <c r="W91" s="6"/>
    </row>
    <row r="92" spans="1:23" x14ac:dyDescent="0.25">
      <c r="A92" s="6" t="s">
        <v>51</v>
      </c>
      <c r="Q92" s="202"/>
      <c r="R92" s="202"/>
      <c r="S92" s="6"/>
      <c r="T92" s="6"/>
      <c r="U92" s="6"/>
      <c r="V92" s="6"/>
      <c r="W92" s="6"/>
    </row>
    <row r="93" spans="1:23" x14ac:dyDescent="0.25">
      <c r="A93" s="6" t="s">
        <v>52</v>
      </c>
      <c r="Q93" s="202"/>
      <c r="R93" s="202"/>
      <c r="S93" s="6"/>
      <c r="T93" s="6"/>
      <c r="U93" s="6"/>
      <c r="V93" s="6"/>
      <c r="W93" s="6"/>
    </row>
    <row r="94" spans="1:23" x14ac:dyDescent="0.25">
      <c r="Q94" s="202"/>
      <c r="R94" s="202"/>
      <c r="S94" s="6"/>
      <c r="T94" s="6"/>
      <c r="U94" s="6"/>
      <c r="V94" s="6"/>
      <c r="W94" s="6"/>
    </row>
    <row r="95" spans="1:23" x14ac:dyDescent="0.25">
      <c r="A95" s="152"/>
      <c r="B95" s="6" t="s">
        <v>53</v>
      </c>
      <c r="Q95" s="202"/>
      <c r="R95" s="202"/>
      <c r="S95" s="6"/>
      <c r="T95" s="6"/>
      <c r="U95" s="6"/>
      <c r="V95" s="6"/>
      <c r="W95" s="6"/>
    </row>
    <row r="96" spans="1:23" x14ac:dyDescent="0.25">
      <c r="Q96" s="202"/>
      <c r="R96" s="202"/>
      <c r="S96" s="6"/>
      <c r="T96" s="6"/>
      <c r="U96" s="6"/>
      <c r="V96" s="6"/>
      <c r="W96" s="6"/>
    </row>
    <row r="97" spans="2:23" x14ac:dyDescent="0.25">
      <c r="B97" s="153" t="s">
        <v>54</v>
      </c>
      <c r="Q97" s="202"/>
      <c r="R97" s="202"/>
      <c r="S97" s="6"/>
      <c r="T97" s="6"/>
      <c r="U97" s="6"/>
      <c r="V97" s="6"/>
      <c r="W97" s="6"/>
    </row>
  </sheetData>
  <sheetProtection selectLockedCells="1"/>
  <mergeCells count="10">
    <mergeCell ref="B67:D67"/>
    <mergeCell ref="B73:D73"/>
    <mergeCell ref="D21:D22"/>
    <mergeCell ref="N21:N22"/>
    <mergeCell ref="O21:O22"/>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4 D68 D23:D38 D52:D62 D40:D47 D49:D50 D78">
      <formula1>"Monthly, per kWh, per kW"</formula1>
    </dataValidation>
    <dataValidation type="list" allowBlank="1" showInputMessage="1" showErrorMessage="1" sqref="E49:E50 E74 E68 E52:E62 E23:E38 E40:E47 E78">
      <formula1>#REF!</formula1>
    </dataValidation>
  </dataValidations>
  <pageMargins left="0.74803149606299213" right="0.74803149606299213" top="0.98425196850393704" bottom="0.98425196850393704" header="0.51181102362204722" footer="0.51181102362204722"/>
  <pageSetup scale="5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3</xdr:col>
                    <xdr:colOff>487680</xdr:colOff>
                    <xdr:row>9</xdr:row>
                    <xdr:rowOff>198120</xdr:rowOff>
                  </from>
                  <to>
                    <xdr:col>5</xdr:col>
                    <xdr:colOff>655320</xdr:colOff>
                    <xdr:row>10</xdr:row>
                    <xdr:rowOff>91440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5</xdr:col>
                    <xdr:colOff>297180</xdr:colOff>
                    <xdr:row>9</xdr:row>
                    <xdr:rowOff>167640</xdr:rowOff>
                  </from>
                  <to>
                    <xdr:col>9</xdr:col>
                    <xdr:colOff>655320</xdr:colOff>
                    <xdr:row>10</xdr:row>
                    <xdr:rowOff>160020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HOLFIN-1018676329-201</_dlc_DocId>
    <_dlc_DocIdUrl xmlns="2b8bb3d4-4679-4201-bf4e-ecf5a190cbdc">
      <Url>http://spapp01/sites/FIN/REG/AnnualUpdates/_layouts/DocIdRedir.aspx?ID=HOLFIN-1018676329-201</Url>
      <Description>HOLFIN-1018676329-201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028D6AD195366F4297031B32EC3866AF" ma:contentTypeVersion="0" ma:contentTypeDescription="Create a new document." ma:contentTypeScope="" ma:versionID="90653db64c800f964ccfce0f412b8d15">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88244B-2585-4E13-9D47-BCD2CE651FAF}"/>
</file>

<file path=customXml/itemProps2.xml><?xml version="1.0" encoding="utf-8"?>
<ds:datastoreItem xmlns:ds="http://schemas.openxmlformats.org/officeDocument/2006/customXml" ds:itemID="{86E7423D-1CB9-4B5B-803B-8EA12FC0FBA5}"/>
</file>

<file path=customXml/itemProps3.xml><?xml version="1.0" encoding="utf-8"?>
<ds:datastoreItem xmlns:ds="http://schemas.openxmlformats.org/officeDocument/2006/customXml" ds:itemID="{342AE6A0-662F-4B05-AC53-18BFECCB4AD7}"/>
</file>

<file path=customXml/itemProps4.xml><?xml version="1.0" encoding="utf-8"?>
<ds:datastoreItem xmlns:ds="http://schemas.openxmlformats.org/officeDocument/2006/customXml" ds:itemID="{AA505EB2-C254-4595-B89B-FE2DDF10F6EF}"/>
</file>

<file path=customXml/itemProps5.xml><?xml version="1.0" encoding="utf-8"?>
<ds:datastoreItem xmlns:ds="http://schemas.openxmlformats.org/officeDocument/2006/customXml" ds:itemID="{BC76B2B1-A8E8-4103-A801-767B9FF96B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Summary</vt:lpstr>
      <vt:lpstr>Proposed Rates</vt:lpstr>
      <vt:lpstr>Res (100)</vt:lpstr>
      <vt:lpstr>Res (232)</vt:lpstr>
      <vt:lpstr>Res (250)</vt:lpstr>
      <vt:lpstr>Res (500)</vt:lpstr>
      <vt:lpstr>Res (640)</vt:lpstr>
      <vt:lpstr>Res (750)</vt:lpstr>
      <vt:lpstr>Res (800)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'LU(10000)'!Print_Area</vt:lpstr>
      <vt:lpstr>'LU(7500)'!Print_Area</vt:lpstr>
      <vt:lpstr>'Proposed Rates'!Print_Area</vt:lpstr>
      <vt:lpstr>'Res (100)'!Print_Area</vt:lpstr>
      <vt:lpstr>'Res (1000)'!Print_Area</vt:lpstr>
      <vt:lpstr>'Res (1500)'!Print_Area</vt:lpstr>
      <vt:lpstr>'Res (2000)'!Print_Area</vt:lpstr>
      <vt:lpstr>'Res (232)'!Print_Area</vt:lpstr>
      <vt:lpstr>'Res (250)'!Print_Area</vt:lpstr>
      <vt:lpstr>'Res (500)'!Print_Area</vt:lpstr>
      <vt:lpstr>'Res (640)'!Print_Area</vt:lpstr>
      <vt:lpstr>'Res (750)'!Print_Area</vt:lpstr>
      <vt:lpstr>'Res (800)'!Print_Area</vt:lpstr>
      <vt:lpstr>'SC (1000)'!Print_Area</vt:lpstr>
      <vt:lpstr>'SC (10000)'!Print_Area</vt:lpstr>
      <vt:lpstr>'SC (15000)'!Print_Area</vt:lpstr>
      <vt:lpstr>'SC (2000)'!Print_Area</vt:lpstr>
      <vt:lpstr>'SC (5000)'!Print_Area</vt:lpstr>
      <vt:lpstr>'SN (.4)'!Print_Area</vt:lpstr>
      <vt:lpstr>'StLght (1.5)'!Print_Area</vt:lpstr>
      <vt:lpstr>Summary!Print_Area</vt:lpstr>
      <vt:lpstr>'USL (470)'!Print_Area</vt:lpstr>
      <vt:lpstr>'&gt;1500(2500)'!Print_Titles</vt:lpstr>
      <vt:lpstr>'&gt;1500(4000)'!Print_Titles</vt:lpstr>
      <vt:lpstr>'&gt;50 (100)'!Print_Titles</vt:lpstr>
      <vt:lpstr>'&gt;50 (1000)'!Print_Titles</vt:lpstr>
      <vt:lpstr>'&gt;50 (250)'!Print_Titles</vt:lpstr>
      <vt:lpstr>'&gt;50 (500)'!Print_Titles</vt:lpstr>
      <vt:lpstr>'LU(10000)'!Print_Titles</vt:lpstr>
      <vt:lpstr>'LU(7500)'!Print_Titles</vt:lpstr>
      <vt:lpstr>'Res (100)'!Print_Titles</vt:lpstr>
      <vt:lpstr>'Res (1000)'!Print_Titles</vt:lpstr>
      <vt:lpstr>'Res (1500)'!Print_Titles</vt:lpstr>
      <vt:lpstr>'Res (2000)'!Print_Titles</vt:lpstr>
      <vt:lpstr>'Res (232)'!Print_Titles</vt:lpstr>
      <vt:lpstr>'Res (250)'!Print_Titles</vt:lpstr>
      <vt:lpstr>'Res (500)'!Print_Titles</vt:lpstr>
      <vt:lpstr>'Res (640)'!Print_Titles</vt:lpstr>
      <vt:lpstr>'Res (750)'!Print_Titles</vt:lpstr>
      <vt:lpstr>'Res (800)'!Print_Titles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8-12-A - Bill Impacts</dc:title>
  <dc:creator>aprilb</dc:creator>
  <cp:lastModifiedBy>aliciah</cp:lastModifiedBy>
  <cp:lastPrinted>2017-08-14T20:34:15Z</cp:lastPrinted>
  <dcterms:created xsi:type="dcterms:W3CDTF">2015-04-28T13:50:50Z</dcterms:created>
  <dcterms:modified xsi:type="dcterms:W3CDTF">2017-08-14T20:37:22Z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0x010100028D6AD195366F4297031B32EC3866AF</vt:lpwstr>
  </property>
  <property fmtid="{D5CDD505-2E9C-101B-9397-08002B2CF9AE}" pid="3" name="_dlc_DocIdItemGuid">
    <vt:lpwstr>dd7242ae-d89e-44aa-b309-7ddf103809bc</vt:lpwstr>
  </property>
  <property fmtid="{D5CDD505-2E9C-101B-9397-08002B2CF9AE}" pid="4" name="TaxKeyword">
    <vt:lpwstr/>
  </property>
</Properties>
</file>