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0" yWindow="0" windowWidth="28800" windowHeight="1191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_xlnm.Print_Area" localSheetId="2">Results!$B$1:$K$26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5" l="1"/>
  <c r="H29" i="4" l="1"/>
  <c r="J21" i="4" l="1"/>
  <c r="H27" i="4" l="1"/>
  <c r="I27" i="4"/>
  <c r="J27" i="4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H21" i="4" s="1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<sst xmlns="http://schemas.openxmlformats.org/spreadsheetml/2006/main" count="521" uniqueCount="278">
  <si>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</si>
  <si>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</si>
  <si>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</si>
  <si>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</si>
  <si>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</si>
  <si>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</si>
  <si>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</si>
  <si>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</si>
  <si>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</si>
  <si>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</si>
  <si>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</si>
  <si>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</si>
  <si>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</si>
  <si>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</si>
  <si>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</si>
  <si>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</si>
  <si>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</si>
  <si>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</si>
  <si>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</si>
  <si>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</si>
  <si>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</si>
  <si>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</si>
  <si>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</si>
  <si>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</si>
  <si>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</si>
  <si>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</si>
  <si>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</si>
  <si>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</si>
  <si>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</si>
  <si>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</si>
  <si>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</si>
  <si>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</si>
  <si>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</si>
  <si>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</si>
  <si>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</si>
  <si>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</si>
  <si>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</si>
  <si>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</si>
  <si>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</si>
  <si>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</si>
  <si>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</si>
  <si>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</si>
  <si>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</si>
  <si>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</si>
  <si>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</si>
  <si>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</si>
  <si>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</si>
  <si>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</si>
  <si>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</si>
  <si>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</si>
  <si>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</si>
  <si>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</si>
  <si>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</si>
  <si>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</si>
  <si>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</si>
  <si>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</si>
  <si>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</si>
  <si>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</si>
  <si>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</si>
  <si>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</si>
  <si>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</si>
  <si>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</si>
  <si>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</si>
  <si>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</si>
  <si>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</si>
  <si>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</si>
  <si>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</si>
  <si>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</si>
  <si>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</si>
  <si>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</si>
  <si>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</si>
  <si>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</si>
  <si>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</si>
  <si>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</si>
  <si>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</si>
  <si>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</si>
  <si>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</si>
  <si>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</si>
  <si>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</si>
  <si>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</si>
  <si>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</si>
  <si>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</si>
  <si>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</si>
  <si>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</si>
  <si>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</si>
  <si>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</si>
  <si>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</si>
  <si>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</si>
  <si>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</si>
  <si>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</si>
  <si>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</si>
  <si>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</si>
  <si>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</si>
  <si>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</si>
  <si>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</si>
  <si>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</si>
  <si>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</si>
  <si>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</si>
  <si>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</si>
  <si>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</si>
  <si>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</si>
  <si>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</si>
  <si>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</si>
  <si>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</si>
  <si>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</si>
  <si>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</si>
  <si>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</si>
  <si>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</si>
  <si>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</si>
  <si>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</si>
  <si>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</si>
  <si>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</si>
  <si>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</si>
  <si>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</si>
  <si>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</si>
  <si>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</si>
  <si>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</si>
  <si>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</si>
  <si>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</si>
  <si>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</si>
  <si>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</si>
  <si>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</si>
  <si>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</si>
  <si>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</si>
  <si>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</si>
  <si>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</si>
  <si>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</si>
  <si>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</si>
  <si>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</si>
  <si>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</si>
  <si>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</si>
  <si>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</si>
  <si>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</si>
  <si>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</si>
  <si>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</si>
  <si>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</si>
  <si>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</si>
  <si>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</si>
  <si>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</si>
  <si>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</si>
  <si>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</si>
  <si>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</si>
  <si>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</si>
  <si>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</si>
  <si>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</si>
  <si>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</si>
  <si>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</si>
  <si>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</si>
  <si>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</si>
  <si>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</si>
  <si>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</si>
  <si>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</si>
  <si>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</si>
  <si>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</si>
  <si>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</si>
  <si>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</si>
  <si>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</si>
  <si>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</si>
  <si>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</si>
  <si>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</si>
  <si>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</si>
  <si>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</si>
  <si>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</si>
  <si>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</si>
  <si>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</si>
  <si>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</si>
  <si>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</si>
  <si>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</si>
  <si>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</si>
  <si>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</si>
  <si>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</si>
  <si>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</si>
  <si>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</si>
  <si>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</si>
  <si>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</si>
  <si>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</si>
  <si>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</si>
  <si>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</si>
  <si>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</si>
  <si>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</si>
  <si>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</si>
  <si>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</si>
  <si>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</si>
  <si>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</si>
  <si>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</si>
  <si>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</si>
  <si>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</si>
  <si>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</si>
  <si>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</si>
  <si>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</si>
  <si>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</si>
  <si>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</si>
  <si>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</si>
  <si>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</si>
  <si>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</si>
  <si>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</si>
  <si>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</si>
  <si>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</si>
  <si>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</si>
  <si>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</si>
  <si>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</si>
  <si>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</si>
  <si>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</si>
  <si>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</si>
  <si>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</si>
  <si>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</si>
  <si>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</si>
  <si>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</si>
  <si>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</si>
  <si>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</si>
  <si>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</si>
  <si>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</si>
  <si>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</si>
  <si>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</si>
  <si>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</si>
  <si>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</si>
  <si>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</si>
  <si>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</si>
  <si>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</si>
  <si>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</si>
  <si>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</si>
  <si>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</si>
  <si>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</si>
  <si>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</si>
  <si>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</si>
  <si>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</si>
  <si>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</si>
  <si>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</si>
  <si>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</si>
  <si>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</si>
  <si>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</si>
  <si>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</si>
  <si>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</si>
  <si>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</si>
  <si>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</si>
  <si>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</si>
  <si>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</si>
  <si>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</si>
  <si>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</si>
  <si>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</si>
  <si>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</si>
  <si>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</si>
  <si>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</si>
  <si>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</si>
  <si>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</si>
  <si>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</si>
  <si>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</si>
  <si>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</si>
  <si>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</si>
  <si>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</si>
  <si>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</si>
  <si>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</si>
  <si>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</si>
  <si>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</si>
  <si>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</si>
  <si>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</si>
  <si>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</si>
  <si>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</si>
  <si>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</si>
  <si>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</si>
  <si>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</si>
  <si>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</si>
  <si>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</si>
  <si>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</si>
  <si>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</si>
  <si>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</si>
  <si>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</si>
  <si>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</si>
  <si>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</si>
  <si>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</si>
  <si>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</si>
  <si>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</si>
  <si>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</si>
  <si>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</si>
  <si>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</si>
  <si>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</si>
  <si>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</si>
  <si>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(Bridge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</si>
</sst>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opLeftCell="A94" zoomScaleNormal="100" workbookViewId="0">
      <selection activeCell="H5" sqref="H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3" t="s">
        <v>190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5" ht="19.5" customHeight="1" x14ac:dyDescent="0.25">
      <c r="C3" s="224" t="str">
        <f>IF(F5="Click to Choose an LDC","",F5)</f>
        <v>Sioux Lookout Hydro Inc.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188</v>
      </c>
      <c r="E5" s="78"/>
      <c r="F5" s="146" t="s">
        <v>260</v>
      </c>
      <c r="G5" s="14" t="s">
        <v>175</v>
      </c>
      <c r="H5" s="14" t="s">
        <v>176</v>
      </c>
      <c r="I5" s="14" t="s">
        <v>174</v>
      </c>
      <c r="J5" s="225" t="s">
        <v>177</v>
      </c>
      <c r="K5" s="225"/>
      <c r="L5" s="225"/>
      <c r="M5" s="225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1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6"/>
      <c r="I8" s="226"/>
      <c r="J8" s="226"/>
      <c r="K8" s="226"/>
      <c r="L8" s="226"/>
      <c r="M8" s="226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300614.28000000003</v>
      </c>
      <c r="H9" s="125">
        <v>330819</v>
      </c>
      <c r="I9" s="125">
        <v>595354</v>
      </c>
      <c r="J9" s="125">
        <v>563329</v>
      </c>
      <c r="K9" s="125">
        <v>401256</v>
      </c>
      <c r="L9" s="125">
        <v>557468</v>
      </c>
      <c r="M9" s="125">
        <v>290833</v>
      </c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5"/>
      <c r="I12" s="185"/>
      <c r="J12" s="185"/>
      <c r="K12" s="185"/>
      <c r="L12" s="185"/>
      <c r="M12" s="185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2780</v>
      </c>
      <c r="H13" s="125">
        <v>2795</v>
      </c>
      <c r="I13" s="125">
        <v>2802</v>
      </c>
      <c r="J13" s="125">
        <v>2809</v>
      </c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79023519.439999998</v>
      </c>
      <c r="H14" s="125">
        <v>70815698</v>
      </c>
      <c r="I14" s="125">
        <v>75074033</v>
      </c>
      <c r="J14" s="125">
        <v>74373533</v>
      </c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21167</v>
      </c>
      <c r="H15" s="125">
        <v>17931</v>
      </c>
      <c r="I15" s="125">
        <v>18633</v>
      </c>
      <c r="J15" s="125">
        <v>18633</v>
      </c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191</v>
      </c>
      <c r="F16" s="26"/>
      <c r="G16" s="86">
        <f>'Benchmarking Calculations'!G99</f>
        <v>275</v>
      </c>
      <c r="H16" s="125">
        <v>275</v>
      </c>
      <c r="I16" s="125">
        <v>275</v>
      </c>
      <c r="J16" s="125">
        <v>275</v>
      </c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7.246376811594203E-3</v>
      </c>
      <c r="H17" s="119">
        <v>7.1999999999999998E-3</v>
      </c>
      <c r="I17" s="119">
        <v>7.1999999999999998E-3</v>
      </c>
      <c r="J17" s="119">
        <v>7.1999999999999998E-3</v>
      </c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6"/>
      <c r="I19" s="226"/>
      <c r="J19" s="226"/>
      <c r="K19" s="226"/>
      <c r="L19" s="226"/>
      <c r="M19" s="226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>
        <v>2.5600000000000001E-2</v>
      </c>
      <c r="K20" s="124"/>
      <c r="L20" s="124"/>
      <c r="M20" s="124"/>
      <c r="N20" s="78" t="s">
        <v>187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f>G21</f>
        <v>1.574491305654421E-2</v>
      </c>
      <c r="I21" s="124">
        <f>H21</f>
        <v>1.574491305654421E-2</v>
      </c>
      <c r="J21" s="124">
        <f>I21</f>
        <v>1.574491305654421E-2</v>
      </c>
      <c r="K21" s="124"/>
      <c r="L21" s="124"/>
      <c r="M21" s="124"/>
      <c r="N21" s="78" t="s">
        <v>187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6.5100000000000005E-2</v>
      </c>
      <c r="I22" s="124">
        <v>6.5100000000000005E-2</v>
      </c>
      <c r="J22" s="124">
        <v>6.5100000000000005E-2</v>
      </c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192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4" t="s">
        <v>169</v>
      </c>
      <c r="F27" s="76" t="s">
        <v>197</v>
      </c>
      <c r="G27" s="51">
        <f>G35-G36+G37</f>
        <v>1399313.34</v>
      </c>
      <c r="H27" s="51">
        <f t="shared" ref="H27:M27" si="0">H35-H36+H37</f>
        <v>1509184</v>
      </c>
      <c r="I27" s="51">
        <f t="shared" si="0"/>
        <v>1594479</v>
      </c>
      <c r="J27" s="51">
        <f t="shared" si="0"/>
        <v>1522496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4" t="s">
        <v>170</v>
      </c>
      <c r="F29" s="76" t="s">
        <v>201</v>
      </c>
      <c r="G29" s="51">
        <f t="shared" ref="G29:M29" si="1">G115-G121+G122</f>
        <v>1399313.34</v>
      </c>
      <c r="H29" s="51">
        <f>H115-H121+H122</f>
        <v>1509183</v>
      </c>
      <c r="I29" s="51">
        <f t="shared" si="1"/>
        <v>1594479</v>
      </c>
      <c r="J29" s="51">
        <f t="shared" si="1"/>
        <v>1522496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1399313.34</v>
      </c>
      <c r="H31" s="51">
        <f t="shared" si="2"/>
        <v>1509184</v>
      </c>
      <c r="I31" s="51">
        <f t="shared" si="2"/>
        <v>1594479</v>
      </c>
      <c r="J31" s="51">
        <f t="shared" si="2"/>
        <v>1522496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3"/>
    </row>
    <row r="34" spans="2:14" x14ac:dyDescent="0.2">
      <c r="C34" s="154"/>
      <c r="D34" s="79" t="s">
        <v>179</v>
      </c>
      <c r="E34" s="26"/>
      <c r="F34" s="26"/>
      <c r="G34" s="86"/>
      <c r="H34" s="222" t="s">
        <v>183</v>
      </c>
      <c r="I34" s="222"/>
      <c r="J34" s="222"/>
      <c r="K34" s="222"/>
      <c r="L34" s="222"/>
      <c r="M34" s="222"/>
      <c r="N34" s="155"/>
    </row>
    <row r="35" spans="2:14" x14ac:dyDescent="0.2">
      <c r="C35" s="154"/>
      <c r="D35" s="171" t="s">
        <v>194</v>
      </c>
      <c r="E35" s="26" t="s">
        <v>202</v>
      </c>
      <c r="F35" s="26"/>
      <c r="G35" s="85">
        <f>G115</f>
        <v>1384910.86</v>
      </c>
      <c r="H35" s="125">
        <v>1494782</v>
      </c>
      <c r="I35" s="125">
        <v>1580077</v>
      </c>
      <c r="J35" s="120">
        <v>1508094</v>
      </c>
      <c r="K35" s="120"/>
      <c r="L35" s="120"/>
      <c r="M35" s="120"/>
      <c r="N35" s="155" t="s">
        <v>172</v>
      </c>
    </row>
    <row r="36" spans="2:14" x14ac:dyDescent="0.2">
      <c r="C36" s="154"/>
      <c r="D36" s="171" t="s">
        <v>195</v>
      </c>
      <c r="E36" s="26" t="s">
        <v>193</v>
      </c>
      <c r="F36" s="26"/>
      <c r="G36" s="51">
        <f>G121</f>
        <v>0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2" t="s">
        <v>196</v>
      </c>
      <c r="E37" s="26" t="s">
        <v>83</v>
      </c>
      <c r="F37" s="26"/>
      <c r="G37" s="51">
        <f>G122</f>
        <v>14402.479999999996</v>
      </c>
      <c r="H37" s="125">
        <v>14402</v>
      </c>
      <c r="I37" s="125">
        <v>14402</v>
      </c>
      <c r="J37" s="120">
        <v>14402</v>
      </c>
      <c r="K37" s="120"/>
      <c r="L37" s="120"/>
      <c r="M37" s="120"/>
      <c r="N37" s="155" t="s">
        <v>172</v>
      </c>
    </row>
    <row r="38" spans="2:14" s="92" customFormat="1" ht="13.5" thickBot="1" x14ac:dyDescent="0.25">
      <c r="B38" s="2"/>
      <c r="C38" s="156"/>
      <c r="D38" s="75"/>
      <c r="E38" s="75"/>
      <c r="F38" s="75"/>
      <c r="G38" s="157"/>
      <c r="H38" s="166"/>
      <c r="I38" s="166"/>
      <c r="J38" s="166"/>
      <c r="K38" s="166"/>
      <c r="L38" s="166"/>
      <c r="M38" s="166"/>
      <c r="N38" s="158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3"/>
    </row>
    <row r="41" spans="2:14" x14ac:dyDescent="0.2">
      <c r="C41" s="154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5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159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26"/>
      <c r="E44" s="78">
        <v>5005</v>
      </c>
      <c r="F44" s="151" t="s">
        <v>8</v>
      </c>
      <c r="G44" s="58">
        <f>'Benchmarking Calculations'!G10</f>
        <v>0</v>
      </c>
      <c r="H44" s="142"/>
      <c r="I44" s="142"/>
      <c r="J44" s="143"/>
      <c r="K44" s="143"/>
      <c r="L44" s="143"/>
      <c r="M44" s="143"/>
      <c r="N44" s="155" t="s">
        <v>172</v>
      </c>
    </row>
    <row r="45" spans="2:14" x14ac:dyDescent="0.2">
      <c r="C45" s="159"/>
      <c r="D45" s="26"/>
      <c r="E45" s="78">
        <v>5010</v>
      </c>
      <c r="F45" s="151" t="s">
        <v>9</v>
      </c>
      <c r="G45" s="58">
        <f>'Benchmarking Calculations'!G11</f>
        <v>0</v>
      </c>
      <c r="H45" s="142"/>
      <c r="I45" s="142"/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5012</v>
      </c>
      <c r="F46" s="151" t="s">
        <v>10</v>
      </c>
      <c r="G46" s="58">
        <f>'Benchmarking Calculations'!G12</f>
        <v>0</v>
      </c>
      <c r="H46" s="142"/>
      <c r="I46" s="142"/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5014</v>
      </c>
      <c r="F47" s="151" t="s">
        <v>11</v>
      </c>
      <c r="G47" s="58">
        <f>'Benchmarking Calculations'!G13</f>
        <v>0</v>
      </c>
      <c r="H47" s="142"/>
      <c r="I47" s="142"/>
      <c r="J47" s="143"/>
      <c r="K47" s="143"/>
      <c r="L47" s="143"/>
      <c r="M47" s="143"/>
      <c r="N47" s="155" t="s">
        <v>172</v>
      </c>
    </row>
    <row r="48" spans="2:14" ht="25.5" x14ac:dyDescent="0.2">
      <c r="C48" s="159"/>
      <c r="D48" s="26"/>
      <c r="E48" s="78">
        <v>5015</v>
      </c>
      <c r="F48" s="151" t="s">
        <v>12</v>
      </c>
      <c r="G48" s="58">
        <f>'Benchmarking Calculations'!G14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x14ac:dyDescent="0.2">
      <c r="C49" s="159"/>
      <c r="D49" s="26"/>
      <c r="E49" s="78">
        <v>5016</v>
      </c>
      <c r="F49" s="151" t="s">
        <v>13</v>
      </c>
      <c r="G49" s="58">
        <f>'Benchmarking Calculations'!G15</f>
        <v>0</v>
      </c>
      <c r="H49" s="142"/>
      <c r="I49" s="142"/>
      <c r="J49" s="143"/>
      <c r="K49" s="143"/>
      <c r="L49" s="143"/>
      <c r="M49" s="143"/>
      <c r="N49" s="155" t="s">
        <v>172</v>
      </c>
    </row>
    <row r="50" spans="3:14" ht="25.5" x14ac:dyDescent="0.2">
      <c r="C50" s="159"/>
      <c r="D50" s="26"/>
      <c r="E50" s="78">
        <v>5017</v>
      </c>
      <c r="F50" s="151" t="s">
        <v>14</v>
      </c>
      <c r="G50" s="58">
        <f>'Benchmarking Calculations'!G16</f>
        <v>0</v>
      </c>
      <c r="H50" s="142"/>
      <c r="I50" s="142"/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5020</v>
      </c>
      <c r="F51" s="151" t="s">
        <v>15</v>
      </c>
      <c r="G51" s="58">
        <f>'Benchmarking Calculations'!G17</f>
        <v>429182.79</v>
      </c>
      <c r="H51" s="142">
        <v>447765</v>
      </c>
      <c r="I51" s="142">
        <v>419149</v>
      </c>
      <c r="J51" s="143">
        <v>369335</v>
      </c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5025</v>
      </c>
      <c r="F52" s="151" t="s">
        <v>16</v>
      </c>
      <c r="G52" s="58">
        <f>'Benchmarking Calculations'!G18</f>
        <v>80485</v>
      </c>
      <c r="H52" s="142">
        <v>81680</v>
      </c>
      <c r="I52" s="142">
        <v>96937</v>
      </c>
      <c r="J52" s="143">
        <v>125444</v>
      </c>
      <c r="K52" s="143"/>
      <c r="L52" s="143"/>
      <c r="M52" s="143"/>
      <c r="N52" s="155" t="s">
        <v>172</v>
      </c>
    </row>
    <row r="53" spans="3:14" x14ac:dyDescent="0.2">
      <c r="C53" s="159"/>
      <c r="D53" s="26"/>
      <c r="E53" s="78">
        <v>5035</v>
      </c>
      <c r="F53" s="151" t="s">
        <v>17</v>
      </c>
      <c r="G53" s="58">
        <f>'Benchmarking Calculations'!G19</f>
        <v>0</v>
      </c>
      <c r="H53" s="142"/>
      <c r="I53" s="142"/>
      <c r="J53" s="143"/>
      <c r="K53" s="143"/>
      <c r="L53" s="143"/>
      <c r="M53" s="143"/>
      <c r="N53" s="155" t="s">
        <v>172</v>
      </c>
    </row>
    <row r="54" spans="3:14" ht="25.5" x14ac:dyDescent="0.2">
      <c r="C54" s="159"/>
      <c r="D54" s="26"/>
      <c r="E54" s="78">
        <v>5040</v>
      </c>
      <c r="F54" s="151" t="s">
        <v>18</v>
      </c>
      <c r="G54" s="58">
        <f>'Benchmarking Calculations'!G20</f>
        <v>0</v>
      </c>
      <c r="H54" s="142"/>
      <c r="I54" s="142"/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5045</v>
      </c>
      <c r="F55" s="151" t="s">
        <v>19</v>
      </c>
      <c r="G55" s="58">
        <f>'Benchmarking Calculations'!G21</f>
        <v>0</v>
      </c>
      <c r="H55" s="142"/>
      <c r="I55" s="142"/>
      <c r="J55" s="143"/>
      <c r="K55" s="143"/>
      <c r="L55" s="143"/>
      <c r="M55" s="143"/>
      <c r="N55" s="155" t="s">
        <v>172</v>
      </c>
    </row>
    <row r="56" spans="3:14" x14ac:dyDescent="0.2">
      <c r="C56" s="159"/>
      <c r="D56" s="26"/>
      <c r="E56" s="78">
        <v>5055</v>
      </c>
      <c r="F56" s="151" t="s">
        <v>20</v>
      </c>
      <c r="G56" s="58">
        <f>'Benchmarking Calculations'!G22</f>
        <v>0</v>
      </c>
      <c r="H56" s="142"/>
      <c r="I56" s="142"/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5065</v>
      </c>
      <c r="F57" s="151" t="s">
        <v>21</v>
      </c>
      <c r="G57" s="58">
        <f>'Benchmarking Calculations'!G23</f>
        <v>0</v>
      </c>
      <c r="H57" s="142"/>
      <c r="I57" s="142"/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5070</v>
      </c>
      <c r="F58" s="151" t="s">
        <v>22</v>
      </c>
      <c r="G58" s="58">
        <f>'Benchmarking Calculations'!G24</f>
        <v>0</v>
      </c>
      <c r="H58" s="142"/>
      <c r="I58" s="142"/>
      <c r="J58" s="143"/>
      <c r="K58" s="143"/>
      <c r="L58" s="143"/>
      <c r="M58" s="143"/>
      <c r="N58" s="155" t="s">
        <v>172</v>
      </c>
    </row>
    <row r="59" spans="3:14" ht="25.5" x14ac:dyDescent="0.2">
      <c r="C59" s="159"/>
      <c r="D59" s="26"/>
      <c r="E59" s="78">
        <v>5075</v>
      </c>
      <c r="F59" s="151" t="s">
        <v>23</v>
      </c>
      <c r="G59" s="58">
        <f>'Benchmarking Calculations'!G25</f>
        <v>0</v>
      </c>
      <c r="H59" s="142"/>
      <c r="I59" s="142"/>
      <c r="J59" s="143"/>
      <c r="K59" s="143"/>
      <c r="L59" s="143"/>
      <c r="M59" s="143"/>
      <c r="N59" s="155" t="s">
        <v>172</v>
      </c>
    </row>
    <row r="60" spans="3:14" x14ac:dyDescent="0.2">
      <c r="C60" s="159"/>
      <c r="D60" s="26"/>
      <c r="E60" s="78">
        <v>5085</v>
      </c>
      <c r="F60" s="151" t="s">
        <v>24</v>
      </c>
      <c r="G60" s="58">
        <f>'Benchmarking Calculations'!G26</f>
        <v>17062.57</v>
      </c>
      <c r="H60" s="142">
        <v>44709</v>
      </c>
      <c r="I60" s="142">
        <v>29070</v>
      </c>
      <c r="J60" s="143">
        <v>21055</v>
      </c>
      <c r="K60" s="143"/>
      <c r="L60" s="143"/>
      <c r="M60" s="143"/>
      <c r="N60" s="155" t="s">
        <v>172</v>
      </c>
    </row>
    <row r="61" spans="3:14" ht="25.5" x14ac:dyDescent="0.2">
      <c r="C61" s="159"/>
      <c r="D61" s="26"/>
      <c r="E61" s="78">
        <v>5090</v>
      </c>
      <c r="F61" s="151" t="s">
        <v>25</v>
      </c>
      <c r="G61" s="58">
        <f>'Benchmarking Calculations'!G27</f>
        <v>0</v>
      </c>
      <c r="H61" s="142"/>
      <c r="I61" s="142"/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5095</v>
      </c>
      <c r="F62" s="151" t="s">
        <v>26</v>
      </c>
      <c r="G62" s="58">
        <f>'Benchmarking Calculations'!G28</f>
        <v>0</v>
      </c>
      <c r="H62" s="142"/>
      <c r="I62" s="142"/>
      <c r="J62" s="143"/>
      <c r="K62" s="143"/>
      <c r="L62" s="143"/>
      <c r="M62" s="143"/>
      <c r="N62" s="155" t="s">
        <v>172</v>
      </c>
    </row>
    <row r="63" spans="3:14" x14ac:dyDescent="0.2">
      <c r="C63" s="159"/>
      <c r="D63" s="26"/>
      <c r="E63" s="111">
        <v>5096</v>
      </c>
      <c r="F63" s="170" t="s">
        <v>27</v>
      </c>
      <c r="G63" s="112">
        <f>'Benchmarking Calculations'!G29</f>
        <v>0</v>
      </c>
      <c r="H63" s="142"/>
      <c r="I63" s="142"/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6"/>
      <c r="F64" s="80" t="s">
        <v>28</v>
      </c>
      <c r="G64" s="110">
        <f>'Benchmarking Calculations'!G30</f>
        <v>526730.36</v>
      </c>
      <c r="H64" s="81">
        <f>SUM(H44:H63)</f>
        <v>574154</v>
      </c>
      <c r="I64" s="81">
        <f t="shared" ref="I64:M64" si="3">SUM(I44:I63)</f>
        <v>545156</v>
      </c>
      <c r="J64" s="81">
        <f t="shared" si="3"/>
        <v>515834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60" t="s">
        <v>29</v>
      </c>
    </row>
    <row r="65" spans="3:14" x14ac:dyDescent="0.2">
      <c r="C65" s="159"/>
      <c r="D65" s="26"/>
      <c r="E65" s="78">
        <v>5105</v>
      </c>
      <c r="F65" s="151" t="s">
        <v>30</v>
      </c>
      <c r="G65" s="58">
        <f>'Benchmarking Calculations'!G31</f>
        <v>0</v>
      </c>
      <c r="H65" s="142"/>
      <c r="I65" s="142"/>
      <c r="J65" s="143"/>
      <c r="K65" s="143"/>
      <c r="L65" s="143"/>
      <c r="M65" s="143"/>
      <c r="N65" s="155" t="s">
        <v>172</v>
      </c>
    </row>
    <row r="66" spans="3:14" x14ac:dyDescent="0.2">
      <c r="C66" s="159"/>
      <c r="D66" s="26"/>
      <c r="E66" s="78">
        <v>5110</v>
      </c>
      <c r="F66" s="151" t="s">
        <v>31</v>
      </c>
      <c r="G66" s="58">
        <f>'Benchmarking Calculations'!G32</f>
        <v>0</v>
      </c>
      <c r="H66" s="142"/>
      <c r="I66" s="142"/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5112</v>
      </c>
      <c r="F67" s="151" t="s">
        <v>32</v>
      </c>
      <c r="G67" s="58">
        <f>'Benchmarking Calculations'!G33</f>
        <v>0</v>
      </c>
      <c r="H67" s="142"/>
      <c r="I67" s="142"/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5114</v>
      </c>
      <c r="F68" s="151" t="s">
        <v>33</v>
      </c>
      <c r="G68" s="58">
        <f>'Benchmarking Calculations'!G34</f>
        <v>0</v>
      </c>
      <c r="H68" s="142"/>
      <c r="I68" s="142"/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5120</v>
      </c>
      <c r="F69" s="151" t="s">
        <v>34</v>
      </c>
      <c r="G69" s="58">
        <f>'Benchmarking Calculations'!G35</f>
        <v>35677.33</v>
      </c>
      <c r="H69" s="142">
        <v>45480</v>
      </c>
      <c r="I69" s="142">
        <v>55141</v>
      </c>
      <c r="J69" s="143">
        <v>49392</v>
      </c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5125</v>
      </c>
      <c r="F70" s="151" t="s">
        <v>35</v>
      </c>
      <c r="G70" s="58">
        <f>'Benchmarking Calculations'!G36</f>
        <v>0</v>
      </c>
      <c r="H70" s="142"/>
      <c r="I70" s="142"/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5130</v>
      </c>
      <c r="F71" s="151" t="s">
        <v>36</v>
      </c>
      <c r="G71" s="58">
        <f>'Benchmarking Calculations'!G37</f>
        <v>0</v>
      </c>
      <c r="H71" s="142"/>
      <c r="I71" s="142"/>
      <c r="J71" s="143"/>
      <c r="K71" s="143"/>
      <c r="L71" s="143"/>
      <c r="M71" s="143"/>
      <c r="N71" s="155" t="s">
        <v>172</v>
      </c>
    </row>
    <row r="72" spans="3:14" ht="25.5" x14ac:dyDescent="0.2">
      <c r="C72" s="159"/>
      <c r="D72" s="26"/>
      <c r="E72" s="78">
        <v>5135</v>
      </c>
      <c r="F72" s="151" t="s">
        <v>37</v>
      </c>
      <c r="G72" s="58">
        <f>'Benchmarking Calculations'!G38</f>
        <v>59774.95</v>
      </c>
      <c r="H72" s="142">
        <v>75683</v>
      </c>
      <c r="I72" s="142">
        <v>63829</v>
      </c>
      <c r="J72" s="143">
        <v>64978</v>
      </c>
      <c r="K72" s="143"/>
      <c r="L72" s="143"/>
      <c r="M72" s="143"/>
      <c r="N72" s="155" t="s">
        <v>172</v>
      </c>
    </row>
    <row r="73" spans="3:14" x14ac:dyDescent="0.2">
      <c r="C73" s="159"/>
      <c r="D73" s="26"/>
      <c r="E73" s="78">
        <v>5145</v>
      </c>
      <c r="F73" s="151" t="s">
        <v>38</v>
      </c>
      <c r="G73" s="58">
        <f>'Benchmarking Calculations'!G39</f>
        <v>0</v>
      </c>
      <c r="H73" s="142"/>
      <c r="I73" s="142"/>
      <c r="J73" s="143"/>
      <c r="K73" s="143"/>
      <c r="L73" s="143"/>
      <c r="M73" s="143"/>
      <c r="N73" s="155" t="s">
        <v>172</v>
      </c>
    </row>
    <row r="74" spans="3:14" ht="25.5" x14ac:dyDescent="0.2">
      <c r="C74" s="159"/>
      <c r="D74" s="26"/>
      <c r="E74" s="78">
        <v>5150</v>
      </c>
      <c r="F74" s="151" t="s">
        <v>39</v>
      </c>
      <c r="G74" s="58">
        <f>'Benchmarking Calculations'!G40</f>
        <v>0</v>
      </c>
      <c r="H74" s="142">
        <v>2212</v>
      </c>
      <c r="I74" s="142">
        <v>15000</v>
      </c>
      <c r="J74" s="143">
        <v>15000</v>
      </c>
      <c r="K74" s="143"/>
      <c r="L74" s="143"/>
      <c r="M74" s="143"/>
      <c r="N74" s="155" t="s">
        <v>172</v>
      </c>
    </row>
    <row r="75" spans="3:14" x14ac:dyDescent="0.2">
      <c r="C75" s="159"/>
      <c r="D75" s="26"/>
      <c r="E75" s="78">
        <v>5155</v>
      </c>
      <c r="F75" s="151" t="s">
        <v>40</v>
      </c>
      <c r="G75" s="58">
        <f>'Benchmarking Calculations'!G41</f>
        <v>0</v>
      </c>
      <c r="H75" s="142"/>
      <c r="I75" s="142"/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5160</v>
      </c>
      <c r="F76" s="151" t="s">
        <v>41</v>
      </c>
      <c r="G76" s="58">
        <f>'Benchmarking Calculations'!G42</f>
        <v>5527.71</v>
      </c>
      <c r="H76" s="142">
        <v>4553</v>
      </c>
      <c r="I76" s="142">
        <v>15189</v>
      </c>
      <c r="J76" s="143">
        <v>13777</v>
      </c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111">
        <v>5175</v>
      </c>
      <c r="F77" s="170" t="s">
        <v>42</v>
      </c>
      <c r="G77" s="112">
        <f>'Benchmarking Calculations'!G43</f>
        <v>54527.81</v>
      </c>
      <c r="H77" s="142">
        <v>60583</v>
      </c>
      <c r="I77" s="142">
        <v>83397</v>
      </c>
      <c r="J77" s="143">
        <v>83170</v>
      </c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6"/>
      <c r="F78" s="80" t="s">
        <v>43</v>
      </c>
      <c r="G78" s="110">
        <f>'Benchmarking Calculations'!G44</f>
        <v>155507.79999999999</v>
      </c>
      <c r="H78" s="81">
        <f>SUM(H65:H77)</f>
        <v>188511</v>
      </c>
      <c r="I78" s="81">
        <f t="shared" ref="I78:M78" si="4">SUM(I65:I77)</f>
        <v>232556</v>
      </c>
      <c r="J78" s="81">
        <f t="shared" si="4"/>
        <v>226317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60" t="s">
        <v>29</v>
      </c>
    </row>
    <row r="79" spans="3:14" x14ac:dyDescent="0.2">
      <c r="C79" s="159"/>
      <c r="D79" s="26"/>
      <c r="E79" s="78">
        <v>5305</v>
      </c>
      <c r="F79" s="78" t="s">
        <v>44</v>
      </c>
      <c r="G79" s="58">
        <f>'Benchmarking Calculations'!G45</f>
        <v>0</v>
      </c>
      <c r="H79" s="142"/>
      <c r="I79" s="142"/>
      <c r="J79" s="143"/>
      <c r="K79" s="143"/>
      <c r="L79" s="143"/>
      <c r="M79" s="143"/>
      <c r="N79" s="155" t="s">
        <v>172</v>
      </c>
    </row>
    <row r="80" spans="3:14" x14ac:dyDescent="0.2">
      <c r="C80" s="159"/>
      <c r="D80" s="26"/>
      <c r="E80" s="78">
        <v>5310</v>
      </c>
      <c r="F80" s="78" t="s">
        <v>45</v>
      </c>
      <c r="G80" s="58">
        <f>'Benchmarking Calculations'!G46</f>
        <v>4532.88</v>
      </c>
      <c r="H80" s="142">
        <v>2555</v>
      </c>
      <c r="I80" s="142">
        <v>5054</v>
      </c>
      <c r="J80" s="143">
        <v>5156</v>
      </c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5315</v>
      </c>
      <c r="F81" s="78" t="s">
        <v>46</v>
      </c>
      <c r="G81" s="58">
        <f>'Benchmarking Calculations'!G47</f>
        <v>206117.41</v>
      </c>
      <c r="H81" s="142">
        <v>231194</v>
      </c>
      <c r="I81" s="142">
        <v>235545</v>
      </c>
      <c r="J81" s="143">
        <v>239700</v>
      </c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5320</v>
      </c>
      <c r="F82" s="78" t="s">
        <v>47</v>
      </c>
      <c r="G82" s="58">
        <f>'Benchmarking Calculations'!G48</f>
        <v>95179.04</v>
      </c>
      <c r="H82" s="142">
        <v>92276</v>
      </c>
      <c r="I82" s="142">
        <v>79109</v>
      </c>
      <c r="J82" s="143">
        <v>80487</v>
      </c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5325</v>
      </c>
      <c r="F83" s="78" t="s">
        <v>48</v>
      </c>
      <c r="G83" s="58">
        <f>'Benchmarking Calculations'!G49</f>
        <v>-6.6</v>
      </c>
      <c r="H83" s="142">
        <v>105</v>
      </c>
      <c r="I83" s="142"/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5330</v>
      </c>
      <c r="F84" s="78" t="s">
        <v>49</v>
      </c>
      <c r="G84" s="58">
        <f>'Benchmarking Calculations'!G50</f>
        <v>0</v>
      </c>
      <c r="H84" s="142"/>
      <c r="I84" s="142"/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111">
        <v>5340</v>
      </c>
      <c r="F85" s="111" t="s">
        <v>50</v>
      </c>
      <c r="G85" s="112">
        <f>'Benchmarking Calculations'!G51</f>
        <v>0</v>
      </c>
      <c r="H85" s="142"/>
      <c r="I85" s="142"/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6"/>
      <c r="F86" s="80" t="s">
        <v>51</v>
      </c>
      <c r="G86" s="110">
        <f>'Benchmarking Calculations'!G52</f>
        <v>305822.73000000004</v>
      </c>
      <c r="H86" s="81">
        <f>SUM(H79:H85)</f>
        <v>326130</v>
      </c>
      <c r="I86" s="81">
        <f t="shared" ref="I86:M86" si="5">SUM(I79:I85)</f>
        <v>319708</v>
      </c>
      <c r="J86" s="81">
        <f t="shared" si="5"/>
        <v>325343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60" t="s">
        <v>29</v>
      </c>
    </row>
    <row r="87" spans="3:14" x14ac:dyDescent="0.2">
      <c r="C87" s="159"/>
      <c r="D87" s="26"/>
      <c r="E87" s="78">
        <v>5405</v>
      </c>
      <c r="F87" s="78" t="s">
        <v>52</v>
      </c>
      <c r="G87" s="58">
        <f>'Benchmarking Calculations'!G53</f>
        <v>0</v>
      </c>
      <c r="H87" s="142"/>
      <c r="I87" s="142"/>
      <c r="J87" s="143"/>
      <c r="K87" s="143"/>
      <c r="L87" s="143"/>
      <c r="M87" s="143"/>
      <c r="N87" s="155" t="s">
        <v>172</v>
      </c>
    </row>
    <row r="88" spans="3:14" x14ac:dyDescent="0.2">
      <c r="C88" s="159"/>
      <c r="D88" s="26"/>
      <c r="E88" s="78">
        <v>5410</v>
      </c>
      <c r="F88" s="78" t="s">
        <v>53</v>
      </c>
      <c r="G88" s="58">
        <f>'Benchmarking Calculations'!G54</f>
        <v>0</v>
      </c>
      <c r="H88" s="142"/>
      <c r="I88" s="142"/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5420</v>
      </c>
      <c r="F89" s="78" t="s">
        <v>54</v>
      </c>
      <c r="G89" s="58">
        <f>'Benchmarking Calculations'!G55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111">
        <v>5425</v>
      </c>
      <c r="F90" s="111" t="s">
        <v>55</v>
      </c>
      <c r="G90" s="112">
        <f>'Benchmarking Calculations'!G56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6"/>
      <c r="F91" s="80" t="s">
        <v>56</v>
      </c>
      <c r="G91" s="110">
        <f>'Benchmarking Calculations'!G57</f>
        <v>0</v>
      </c>
      <c r="H91" s="81">
        <f>SUM(H87:H90)</f>
        <v>0</v>
      </c>
      <c r="I91" s="81">
        <f t="shared" ref="I91:M91" si="6">SUM(I87:I90)</f>
        <v>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60" t="s">
        <v>29</v>
      </c>
    </row>
    <row r="92" spans="3:14" x14ac:dyDescent="0.2">
      <c r="C92" s="159"/>
      <c r="D92" s="26"/>
      <c r="E92" s="78">
        <v>5605</v>
      </c>
      <c r="F92" s="78" t="s">
        <v>57</v>
      </c>
      <c r="G92" s="58">
        <f>'Benchmarking Calculations'!G58</f>
        <v>19624.48</v>
      </c>
      <c r="H92" s="142">
        <v>9845</v>
      </c>
      <c r="I92" s="142">
        <v>12930</v>
      </c>
      <c r="J92" s="143">
        <v>12930</v>
      </c>
      <c r="K92" s="143"/>
      <c r="L92" s="143"/>
      <c r="M92" s="143"/>
      <c r="N92" s="155" t="s">
        <v>172</v>
      </c>
    </row>
    <row r="93" spans="3:14" x14ac:dyDescent="0.2">
      <c r="C93" s="159"/>
      <c r="D93" s="26"/>
      <c r="E93" s="78">
        <v>5610</v>
      </c>
      <c r="F93" s="78" t="s">
        <v>58</v>
      </c>
      <c r="G93" s="58">
        <f>'Benchmarking Calculations'!G59</f>
        <v>130214.68</v>
      </c>
      <c r="H93" s="142">
        <v>140247</v>
      </c>
      <c r="I93" s="142">
        <v>151176</v>
      </c>
      <c r="J93" s="143">
        <v>153735</v>
      </c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5615</v>
      </c>
      <c r="F94" s="78" t="s">
        <v>59</v>
      </c>
      <c r="G94" s="58">
        <f>'Benchmarking Calculations'!G60</f>
        <v>80851.570000000007</v>
      </c>
      <c r="H94" s="142">
        <v>81374</v>
      </c>
      <c r="I94" s="142">
        <v>92821</v>
      </c>
      <c r="J94" s="143">
        <v>94579</v>
      </c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5620</v>
      </c>
      <c r="F95" s="78" t="s">
        <v>60</v>
      </c>
      <c r="G95" s="58">
        <f>'Benchmarking Calculations'!G61</f>
        <v>7470.13</v>
      </c>
      <c r="H95" s="142">
        <v>8968</v>
      </c>
      <c r="I95" s="142">
        <v>7457</v>
      </c>
      <c r="J95" s="143">
        <v>7549</v>
      </c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5625</v>
      </c>
      <c r="F96" s="78" t="s">
        <v>61</v>
      </c>
      <c r="G96" s="58">
        <f>'Benchmarking Calculations'!G62</f>
        <v>0</v>
      </c>
      <c r="H96" s="142"/>
      <c r="I96" s="142"/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5630</v>
      </c>
      <c r="F97" s="78" t="s">
        <v>62</v>
      </c>
      <c r="G97" s="58">
        <f>'Benchmarking Calculations'!G63</f>
        <v>32307.02</v>
      </c>
      <c r="H97" s="142">
        <v>36361</v>
      </c>
      <c r="I97" s="142">
        <v>31500</v>
      </c>
      <c r="J97" s="143">
        <v>45540</v>
      </c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5640</v>
      </c>
      <c r="F98" s="78" t="s">
        <v>63</v>
      </c>
      <c r="G98" s="58">
        <f>'Benchmarking Calculations'!G64</f>
        <v>0</v>
      </c>
      <c r="H98" s="142"/>
      <c r="I98" s="142"/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5645</v>
      </c>
      <c r="F99" s="78" t="s">
        <v>64</v>
      </c>
      <c r="G99" s="58">
        <f>'Benchmarking Calculations'!G65</f>
        <v>8443.02</v>
      </c>
      <c r="H99" s="142">
        <v>8685</v>
      </c>
      <c r="I99" s="142"/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5646</v>
      </c>
      <c r="F100" s="78" t="s">
        <v>65</v>
      </c>
      <c r="G100" s="58">
        <f>'Benchmarking Calculations'!G66</f>
        <v>0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5647</v>
      </c>
      <c r="F101" s="78" t="s">
        <v>66</v>
      </c>
      <c r="G101" s="58">
        <f>'Benchmarking Calculations'!G67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5650</v>
      </c>
      <c r="F102" s="78" t="s">
        <v>67</v>
      </c>
      <c r="G102" s="58">
        <f>'Benchmarking Calculations'!G68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5655</v>
      </c>
      <c r="F103" s="78" t="s">
        <v>68</v>
      </c>
      <c r="G103" s="58">
        <f>'Benchmarking Calculations'!G69</f>
        <v>26500.82</v>
      </c>
      <c r="H103" s="142">
        <v>15117</v>
      </c>
      <c r="I103" s="142">
        <v>15223</v>
      </c>
      <c r="J103" s="143">
        <v>28461</v>
      </c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5665</v>
      </c>
      <c r="F104" s="78" t="s">
        <v>69</v>
      </c>
      <c r="G104" s="58">
        <f>'Benchmarking Calculations'!G70</f>
        <v>46621.62</v>
      </c>
      <c r="H104" s="142">
        <v>55632</v>
      </c>
      <c r="I104" s="142">
        <v>123141</v>
      </c>
      <c r="J104" s="143">
        <v>48572</v>
      </c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5670</v>
      </c>
      <c r="F105" s="78" t="s">
        <v>70</v>
      </c>
      <c r="G105" s="58">
        <f>'Benchmarking Calculations'!G71</f>
        <v>20731.919999999998</v>
      </c>
      <c r="H105" s="142">
        <v>21001</v>
      </c>
      <c r="I105" s="142">
        <v>21103</v>
      </c>
      <c r="J105" s="143">
        <v>21483</v>
      </c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5672</v>
      </c>
      <c r="F106" s="78" t="s">
        <v>71</v>
      </c>
      <c r="G106" s="58">
        <f>'Benchmarking Calculations'!G72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5675</v>
      </c>
      <c r="F107" s="78" t="s">
        <v>72</v>
      </c>
      <c r="G107" s="58">
        <f>'Benchmarking Calculations'!G73</f>
        <v>0</v>
      </c>
      <c r="H107" s="142"/>
      <c r="I107" s="142"/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111">
        <v>5680</v>
      </c>
      <c r="F108" s="111" t="s">
        <v>73</v>
      </c>
      <c r="G108" s="112">
        <f>'Benchmarking Calculations'!G74</f>
        <v>2598.14</v>
      </c>
      <c r="H108" s="142">
        <v>2614</v>
      </c>
      <c r="I108" s="142">
        <v>2614</v>
      </c>
      <c r="J108" s="143">
        <v>2614</v>
      </c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3"/>
      <c r="F109" s="80" t="s">
        <v>74</v>
      </c>
      <c r="G109" s="110">
        <f>'Benchmarking Calculations'!G75</f>
        <v>375363.4</v>
      </c>
      <c r="H109" s="81">
        <f>SUM(H92:H108)</f>
        <v>379844</v>
      </c>
      <c r="I109" s="81">
        <f t="shared" ref="I109:M109" si="7">SUM(I92:I108)</f>
        <v>457965</v>
      </c>
      <c r="J109" s="81">
        <f t="shared" si="7"/>
        <v>415463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60" t="s">
        <v>29</v>
      </c>
    </row>
    <row r="110" spans="3:14" x14ac:dyDescent="0.2">
      <c r="C110" s="159"/>
      <c r="D110" s="26"/>
      <c r="E110" s="78">
        <v>5635</v>
      </c>
      <c r="F110" s="78" t="s">
        <v>75</v>
      </c>
      <c r="G110" s="58">
        <f>'Benchmarking Calculations'!G76</f>
        <v>21486.57</v>
      </c>
      <c r="H110" s="142">
        <v>24229</v>
      </c>
      <c r="I110" s="142">
        <v>23552</v>
      </c>
      <c r="J110" s="143">
        <v>23977</v>
      </c>
      <c r="K110" s="143"/>
      <c r="L110" s="143"/>
      <c r="M110" s="143"/>
      <c r="N110" s="155" t="s">
        <v>172</v>
      </c>
    </row>
    <row r="111" spans="3:14" x14ac:dyDescent="0.2">
      <c r="C111" s="159"/>
      <c r="D111" s="26"/>
      <c r="E111" s="111">
        <v>6210</v>
      </c>
      <c r="F111" s="111" t="s">
        <v>76</v>
      </c>
      <c r="G111" s="112">
        <f>'Benchmarking Calculations'!G77</f>
        <v>0</v>
      </c>
      <c r="H111" s="142"/>
      <c r="I111" s="142"/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26"/>
      <c r="F112" s="80" t="s">
        <v>77</v>
      </c>
      <c r="G112" s="110">
        <f>'Benchmarking Calculations'!G78</f>
        <v>21486.57</v>
      </c>
      <c r="H112" s="81">
        <f>H110+H111</f>
        <v>24229</v>
      </c>
      <c r="I112" s="81">
        <f t="shared" ref="I112:M112" si="8">I110+I111</f>
        <v>23552</v>
      </c>
      <c r="J112" s="81">
        <f t="shared" si="8"/>
        <v>23977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60" t="s">
        <v>29</v>
      </c>
    </row>
    <row r="113" spans="3:14" x14ac:dyDescent="0.2">
      <c r="C113" s="159"/>
      <c r="D113" s="26"/>
      <c r="E113" s="113">
        <v>5515</v>
      </c>
      <c r="F113" s="111" t="s">
        <v>78</v>
      </c>
      <c r="G113" s="112">
        <f>'Benchmarking Calculations'!G79</f>
        <v>0</v>
      </c>
      <c r="H113" s="142">
        <v>1913</v>
      </c>
      <c r="I113" s="142">
        <v>1140</v>
      </c>
      <c r="J113" s="143">
        <v>1160</v>
      </c>
      <c r="K113" s="143"/>
      <c r="L113" s="143"/>
      <c r="M113" s="143"/>
      <c r="N113" s="155" t="s">
        <v>172</v>
      </c>
    </row>
    <row r="114" spans="3:14" x14ac:dyDescent="0.2">
      <c r="C114" s="159"/>
      <c r="D114" s="77"/>
      <c r="E114" s="16"/>
      <c r="F114" s="80" t="s">
        <v>79</v>
      </c>
      <c r="G114" s="110">
        <f>'Benchmarking Calculations'!G80</f>
        <v>0</v>
      </c>
      <c r="H114" s="81">
        <f>H113</f>
        <v>1913</v>
      </c>
      <c r="I114" s="81">
        <f t="shared" ref="I114:M114" si="9">I113</f>
        <v>1140</v>
      </c>
      <c r="J114" s="81">
        <f t="shared" si="9"/>
        <v>1160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60" t="s">
        <v>29</v>
      </c>
    </row>
    <row r="115" spans="3:14" x14ac:dyDescent="0.2">
      <c r="C115" s="159"/>
      <c r="D115" s="77"/>
      <c r="E115" s="173" t="s">
        <v>198</v>
      </c>
      <c r="F115" s="80" t="s">
        <v>80</v>
      </c>
      <c r="G115" s="58">
        <f>'Benchmarking Calculations'!G81</f>
        <v>1384910.86</v>
      </c>
      <c r="H115" s="81">
        <f>H114+H112+H109+H91+H86+H78+H64</f>
        <v>1494781</v>
      </c>
      <c r="I115" s="81">
        <f t="shared" ref="I115:M115" si="10">I114+I112+I109+I91+I86+I78+I64</f>
        <v>1580077</v>
      </c>
      <c r="J115" s="81">
        <f t="shared" si="10"/>
        <v>1508094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60" t="s">
        <v>29</v>
      </c>
    </row>
    <row r="116" spans="3:14" x14ac:dyDescent="0.2">
      <c r="C116" s="159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5"/>
    </row>
    <row r="117" spans="3:14" x14ac:dyDescent="0.2">
      <c r="C117" s="159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5"/>
    </row>
    <row r="118" spans="3:14" x14ac:dyDescent="0.2">
      <c r="C118" s="159"/>
      <c r="D118" s="84"/>
      <c r="E118" s="84"/>
      <c r="F118" s="59">
        <v>5014</v>
      </c>
      <c r="G118" s="58">
        <f>G47</f>
        <v>0</v>
      </c>
      <c r="H118" s="58">
        <f t="shared" ref="H118:L118" si="11">H47</f>
        <v>0</v>
      </c>
      <c r="I118" s="58">
        <f t="shared" si="11"/>
        <v>0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60" t="s">
        <v>29</v>
      </c>
    </row>
    <row r="119" spans="3:14" x14ac:dyDescent="0.2">
      <c r="C119" s="159"/>
      <c r="D119" s="84"/>
      <c r="F119" s="59">
        <v>5015</v>
      </c>
      <c r="G119" s="58">
        <f>G48</f>
        <v>0</v>
      </c>
      <c r="H119" s="58">
        <f t="shared" ref="H119:L119" si="13">H48</f>
        <v>0</v>
      </c>
      <c r="I119" s="58">
        <f t="shared" si="13"/>
        <v>0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60" t="s">
        <v>29</v>
      </c>
    </row>
    <row r="120" spans="3:14" x14ac:dyDescent="0.2">
      <c r="C120" s="159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60" t="s">
        <v>29</v>
      </c>
    </row>
    <row r="121" spans="3:14" x14ac:dyDescent="0.2">
      <c r="C121" s="159"/>
      <c r="D121" s="77"/>
      <c r="E121" s="173" t="s">
        <v>199</v>
      </c>
      <c r="F121" s="80" t="s">
        <v>82</v>
      </c>
      <c r="G121" s="110">
        <f>'Benchmarking Calculations'!G87</f>
        <v>0</v>
      </c>
      <c r="H121" s="110">
        <f>H47+H48+H67</f>
        <v>0</v>
      </c>
      <c r="I121" s="110">
        <f t="shared" ref="I121:L121" si="17">I47+I48+I67</f>
        <v>0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4" t="s">
        <v>29</v>
      </c>
    </row>
    <row r="122" spans="3:14" x14ac:dyDescent="0.2">
      <c r="C122" s="159"/>
      <c r="D122" s="77"/>
      <c r="E122" s="175" t="s">
        <v>200</v>
      </c>
      <c r="F122" s="80" t="s">
        <v>83</v>
      </c>
      <c r="G122" s="110">
        <f>'Benchmarking Calculations'!G88</f>
        <v>14402.479999999996</v>
      </c>
      <c r="H122" s="176">
        <v>14402</v>
      </c>
      <c r="I122" s="176">
        <v>14402</v>
      </c>
      <c r="J122" s="176">
        <v>14402</v>
      </c>
      <c r="K122" s="176"/>
      <c r="L122" s="176"/>
      <c r="M122" s="176"/>
      <c r="N122" s="177" t="s">
        <v>172</v>
      </c>
    </row>
    <row r="123" spans="3:14" ht="13.5" thickBot="1" x14ac:dyDescent="0.25">
      <c r="C123" s="161"/>
      <c r="D123" s="162"/>
      <c r="E123" s="162"/>
      <c r="F123" s="163"/>
      <c r="G123" s="157"/>
      <c r="H123" s="164"/>
      <c r="I123" s="165"/>
      <c r="J123" s="75"/>
      <c r="K123" s="75"/>
      <c r="L123" s="75"/>
      <c r="M123" s="75"/>
      <c r="N123" s="158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G30" sqref="G3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8" t="s">
        <v>1</v>
      </c>
      <c r="C3" s="228"/>
      <c r="D3" s="101"/>
      <c r="E3" s="102" t="str">
        <f>'Model Inputs'!F5</f>
        <v>Sioux Lookout Hydro Inc.</v>
      </c>
      <c r="F3" s="36"/>
      <c r="G3" s="36"/>
      <c r="H3" s="26"/>
      <c r="I3" s="26"/>
      <c r="J3" s="26"/>
      <c r="K3" s="26"/>
      <c r="O3" s="3">
        <v>1</v>
      </c>
      <c r="P3" s="3" t="s">
        <v>275</v>
      </c>
      <c r="Q3" s="184" t="s">
        <v>203</v>
      </c>
      <c r="R3" s="184" t="s">
        <v>205</v>
      </c>
      <c r="S3" s="184" t="s">
        <v>206</v>
      </c>
      <c r="T3" s="184" t="s">
        <v>207</v>
      </c>
      <c r="U3" s="184" t="s">
        <v>208</v>
      </c>
      <c r="V3" s="184" t="s">
        <v>209</v>
      </c>
      <c r="W3" s="184" t="s">
        <v>210</v>
      </c>
      <c r="X3" s="184" t="s">
        <v>211</v>
      </c>
      <c r="Y3" s="184" t="s">
        <v>212</v>
      </c>
      <c r="Z3" s="184" t="s">
        <v>213</v>
      </c>
      <c r="AA3" s="184" t="s">
        <v>214</v>
      </c>
      <c r="AB3" s="184" t="s">
        <v>215</v>
      </c>
      <c r="AC3" s="184" t="s">
        <v>216</v>
      </c>
      <c r="AD3" s="184" t="s">
        <v>217</v>
      </c>
      <c r="AE3" s="184" t="s">
        <v>218</v>
      </c>
      <c r="AF3" s="184" t="s">
        <v>219</v>
      </c>
      <c r="AG3" s="184" t="s">
        <v>220</v>
      </c>
      <c r="AH3" s="184" t="s">
        <v>221</v>
      </c>
      <c r="AI3" s="184" t="s">
        <v>222</v>
      </c>
      <c r="AJ3" s="184" t="s">
        <v>223</v>
      </c>
      <c r="AK3" s="184" t="s">
        <v>224</v>
      </c>
      <c r="AL3" s="184" t="s">
        <v>225</v>
      </c>
      <c r="AM3" s="184" t="s">
        <v>226</v>
      </c>
      <c r="AN3" s="184" t="s">
        <v>227</v>
      </c>
      <c r="AO3" s="184" t="s">
        <v>228</v>
      </c>
      <c r="AP3" s="184" t="s">
        <v>229</v>
      </c>
      <c r="AQ3" s="184" t="s">
        <v>230</v>
      </c>
      <c r="AR3" s="184" t="s">
        <v>231</v>
      </c>
      <c r="AS3" s="184" t="s">
        <v>232</v>
      </c>
      <c r="AT3" s="184" t="s">
        <v>233</v>
      </c>
      <c r="AU3" s="184" t="s">
        <v>234</v>
      </c>
      <c r="AV3" s="184" t="s">
        <v>235</v>
      </c>
      <c r="AW3" s="184" t="s">
        <v>236</v>
      </c>
      <c r="AX3" s="184" t="s">
        <v>273</v>
      </c>
      <c r="AY3" s="184" t="s">
        <v>237</v>
      </c>
      <c r="AZ3" s="184" t="s">
        <v>238</v>
      </c>
      <c r="BA3" s="184" t="s">
        <v>239</v>
      </c>
      <c r="BB3" s="184" t="s">
        <v>240</v>
      </c>
      <c r="BC3" s="184" t="s">
        <v>241</v>
      </c>
      <c r="BD3" s="184" t="s">
        <v>242</v>
      </c>
      <c r="BE3" s="184" t="s">
        <v>243</v>
      </c>
      <c r="BF3" s="184" t="s">
        <v>244</v>
      </c>
      <c r="BG3" s="184" t="s">
        <v>245</v>
      </c>
      <c r="BH3" s="184" t="s">
        <v>246</v>
      </c>
      <c r="BI3" s="184" t="s">
        <v>247</v>
      </c>
      <c r="BJ3" s="184" t="s">
        <v>248</v>
      </c>
      <c r="BK3" s="184" t="s">
        <v>249</v>
      </c>
      <c r="BL3" s="184" t="s">
        <v>250</v>
      </c>
      <c r="BM3" s="184" t="s">
        <v>251</v>
      </c>
      <c r="BN3" s="184" t="s">
        <v>252</v>
      </c>
      <c r="BO3" s="184" t="s">
        <v>253</v>
      </c>
      <c r="BP3" s="184" t="s">
        <v>254</v>
      </c>
      <c r="BQ3" s="184" t="s">
        <v>255</v>
      </c>
      <c r="BR3" s="184" t="s">
        <v>256</v>
      </c>
      <c r="BS3" s="184" t="s">
        <v>257</v>
      </c>
      <c r="BT3" s="184" t="s">
        <v>258</v>
      </c>
      <c r="BU3" s="184" t="s">
        <v>259</v>
      </c>
      <c r="BV3" s="184" t="s">
        <v>260</v>
      </c>
      <c r="BW3" s="184" t="s">
        <v>261</v>
      </c>
      <c r="BX3" s="184" t="s">
        <v>262</v>
      </c>
      <c r="BY3" s="184" t="s">
        <v>263</v>
      </c>
      <c r="BZ3" s="184" t="s">
        <v>264</v>
      </c>
      <c r="CA3" s="184" t="s">
        <v>265</v>
      </c>
      <c r="CB3" s="184" t="s">
        <v>266</v>
      </c>
      <c r="CC3" s="184" t="s">
        <v>267</v>
      </c>
      <c r="CD3" s="184" t="s">
        <v>268</v>
      </c>
      <c r="CE3" s="184" t="s">
        <v>269</v>
      </c>
      <c r="CF3" s="184" t="s">
        <v>270</v>
      </c>
      <c r="CG3" s="184" t="s">
        <v>271</v>
      </c>
      <c r="CH3" s="184" t="s">
        <v>272</v>
      </c>
      <c r="CI3" s="184" t="s">
        <v>204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274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0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429182.79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80485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0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0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0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0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0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17062.57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526730.36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0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35677.33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0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0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59774.95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0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0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0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5527.71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54527.81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155507.79999999999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0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4532.88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206117.41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95179.04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-6.6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0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305822.73000000004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19624.48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130214.68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80851.570000000007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7470.13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32307.02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8443.02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26500.82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46621.62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20731.919999999998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2598.14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375363.4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21486.57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21486.57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1384910.86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0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14402.479999999996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1399313.34</v>
      </c>
      <c r="H89" s="186">
        <f>'Model Inputs'!H31</f>
        <v>1509184</v>
      </c>
      <c r="I89" s="187">
        <f>'Model Inputs'!I31</f>
        <v>1594479</v>
      </c>
      <c r="J89" s="187">
        <f>'Model Inputs'!J31</f>
        <v>1522496</v>
      </c>
      <c r="K89" s="187">
        <f>'Model Inputs'!K31</f>
        <v>0</v>
      </c>
      <c r="L89" s="187">
        <f>'Model Inputs'!L31</f>
        <v>0</v>
      </c>
      <c r="M89" s="188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300614.28000000003</v>
      </c>
      <c r="H92" s="186">
        <f>'Model Inputs'!H9</f>
        <v>330819</v>
      </c>
      <c r="I92" s="187">
        <f>'Model Inputs'!I9</f>
        <v>595354</v>
      </c>
      <c r="J92" s="187">
        <f>'Model Inputs'!J9</f>
        <v>563329</v>
      </c>
      <c r="K92" s="187">
        <f>'Model Inputs'!K9</f>
        <v>401256</v>
      </c>
      <c r="L92" s="187">
        <f>'Model Inputs'!L9</f>
        <v>557468</v>
      </c>
      <c r="M92" s="188">
        <f>'Model Inputs'!M9</f>
        <v>290833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Inputs'!H10</f>
        <v>0</v>
      </c>
      <c r="I93" s="187">
        <f>'Model Inputs'!I10</f>
        <v>0</v>
      </c>
      <c r="J93" s="187">
        <f>'Model Inputs'!J10</f>
        <v>0</v>
      </c>
      <c r="K93" s="187">
        <f>'Model Inputs'!K10</f>
        <v>0</v>
      </c>
      <c r="L93" s="187">
        <f>'Model Inputs'!L10</f>
        <v>0</v>
      </c>
      <c r="M93" s="188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2780</v>
      </c>
      <c r="H96" s="186">
        <f>'Model Inputs'!H13</f>
        <v>2795</v>
      </c>
      <c r="I96" s="187">
        <f>'Model Inputs'!I13</f>
        <v>2802</v>
      </c>
      <c r="J96" s="187">
        <f>'Model Inputs'!J13</f>
        <v>2809</v>
      </c>
      <c r="K96" s="187">
        <f>'Model Inputs'!K13</f>
        <v>0</v>
      </c>
      <c r="L96" s="187">
        <f>'Model Inputs'!L13</f>
        <v>0</v>
      </c>
      <c r="M96" s="188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79023519.439999998</v>
      </c>
      <c r="H97" s="186">
        <f>'Model Inputs'!H14</f>
        <v>70815698</v>
      </c>
      <c r="I97" s="187">
        <f>'Model Inputs'!I14</f>
        <v>75074033</v>
      </c>
      <c r="J97" s="187">
        <f>'Model Inputs'!J14</f>
        <v>74373533</v>
      </c>
      <c r="K97" s="187">
        <f>'Model Inputs'!K14</f>
        <v>0</v>
      </c>
      <c r="L97" s="187">
        <f>'Model Inputs'!L14</f>
        <v>0</v>
      </c>
      <c r="M97" s="188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21167</v>
      </c>
      <c r="H98" s="186">
        <f>'Model Inputs'!H15</f>
        <v>17931</v>
      </c>
      <c r="I98" s="187">
        <f>'Model Inputs'!I15</f>
        <v>18633</v>
      </c>
      <c r="J98" s="187">
        <f>'Model Inputs'!J15</f>
        <v>18633</v>
      </c>
      <c r="K98" s="187">
        <f>'Model Inputs'!K15</f>
        <v>0</v>
      </c>
      <c r="L98" s="187">
        <f>'Model Inputs'!L15</f>
        <v>0</v>
      </c>
      <c r="M98" s="188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275</v>
      </c>
      <c r="H99" s="186">
        <f>'Model Inputs'!H16</f>
        <v>275</v>
      </c>
      <c r="I99" s="187">
        <f>'Model Inputs'!I16</f>
        <v>275</v>
      </c>
      <c r="J99" s="187">
        <f>'Model Inputs'!J16</f>
        <v>275</v>
      </c>
      <c r="K99" s="187">
        <f>'Model Inputs'!K16</f>
        <v>0</v>
      </c>
      <c r="L99" s="187">
        <f>'Model Inputs'!L16</f>
        <v>0</v>
      </c>
      <c r="M99" s="188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1399313.34</v>
      </c>
      <c r="H107" s="29">
        <f t="shared" ref="H107:K107" si="4">H89</f>
        <v>1509184</v>
      </c>
      <c r="I107" s="29">
        <f t="shared" si="4"/>
        <v>1594479</v>
      </c>
      <c r="J107" s="29">
        <f t="shared" si="4"/>
        <v>1522496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Inputs'!H22</f>
        <v>6.5100000000000005E-2</v>
      </c>
      <c r="I110" s="202">
        <f>'Model Inputs'!I22</f>
        <v>6.5100000000000005E-2</v>
      </c>
      <c r="J110" s="202">
        <f>'Model Inputs'!J22</f>
        <v>6.5100000000000005E-2</v>
      </c>
      <c r="K110" s="202">
        <f>'Model Inputs'!K22</f>
        <v>0</v>
      </c>
      <c r="L110" s="202">
        <f>'Model Inputs'!L22</f>
        <v>0</v>
      </c>
      <c r="M110" s="203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Inputs'!H21)</f>
        <v>165.70687961774755</v>
      </c>
      <c r="I112" s="205">
        <f>H112*EXP('Model Inputs'!I21)</f>
        <v>168.33656781093197</v>
      </c>
      <c r="J112" s="205">
        <f>I112*EXP('Model Inputs'!J21)</f>
        <v>171.00798788639747</v>
      </c>
      <c r="K112" s="205">
        <f>J112*EXP('Model Inputs'!K21)</f>
        <v>171.00798788639747</v>
      </c>
      <c r="L112" s="205">
        <f>K112*EXP('Model Inputs'!L21)</f>
        <v>171.00798788639747</v>
      </c>
      <c r="M112" s="206">
        <f>L112*EXP('Model Inputs'!M21)</f>
        <v>171.00798788639747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18.224945241791218</v>
      </c>
      <c r="I113" s="29">
        <f t="shared" si="7"/>
        <v>18.514166325637145</v>
      </c>
      <c r="J113" s="29">
        <f t="shared" si="7"/>
        <v>18.807977208477315</v>
      </c>
      <c r="K113" s="29">
        <f t="shared" si="7"/>
        <v>7.8492666439856444</v>
      </c>
      <c r="L113" s="29">
        <f t="shared" si="7"/>
        <v>7.8492666439856444</v>
      </c>
      <c r="M113" s="29">
        <f t="shared" si="7"/>
        <v>7.8492666439856444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300614.28000000003</v>
      </c>
      <c r="H114" s="207">
        <f>H92</f>
        <v>330819</v>
      </c>
      <c r="I114" s="208">
        <f t="shared" ref="I114:L114" si="8">I92</f>
        <v>595354</v>
      </c>
      <c r="J114" s="208">
        <f t="shared" si="8"/>
        <v>563329</v>
      </c>
      <c r="K114" s="208">
        <f t="shared" si="8"/>
        <v>401256</v>
      </c>
      <c r="L114" s="208">
        <f t="shared" si="8"/>
        <v>557468</v>
      </c>
      <c r="M114" s="209">
        <f t="shared" ref="M114" si="9">M92</f>
        <v>290833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1842.9221781389192</v>
      </c>
      <c r="H116" s="8">
        <f t="shared" ref="H116:K116" si="12">(H114-H115)/H112</f>
        <v>1996.4107752383782</v>
      </c>
      <c r="I116" s="8">
        <f t="shared" si="12"/>
        <v>3536.6884791703415</v>
      </c>
      <c r="J116" s="8">
        <f t="shared" si="12"/>
        <v>3294.1677576735524</v>
      </c>
      <c r="K116" s="8">
        <f t="shared" si="12"/>
        <v>2346.416708128037</v>
      </c>
      <c r="L116" s="8">
        <f t="shared" ref="L116:M116" si="13">(L114-L115)/L112</f>
        <v>3259.894504871505</v>
      </c>
      <c r="M116" s="8">
        <f t="shared" si="13"/>
        <v>1700.6983334205629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2261.5682422580767</v>
      </c>
      <c r="H117" s="25">
        <f t="shared" ref="H117:M117" si="14">H111*G118</f>
        <v>2242.3523879150075</v>
      </c>
      <c r="I117" s="25">
        <f t="shared" si="14"/>
        <v>2231.0636678931501</v>
      </c>
      <c r="J117" s="25">
        <f t="shared" si="14"/>
        <v>2290.9918467307734</v>
      </c>
      <c r="K117" s="25">
        <f t="shared" si="14"/>
        <v>2337.0376210430468</v>
      </c>
      <c r="L117" s="25">
        <f t="shared" si="14"/>
        <v>2337.4681211402481</v>
      </c>
      <c r="M117" s="25">
        <f t="shared" si="14"/>
        <v>2379.8074921535126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48852.993200762685</v>
      </c>
      <c r="H118" s="25">
        <f t="shared" ref="H118:M118" si="15">G118+H116-H117</f>
        <v>48607.051588086055</v>
      </c>
      <c r="I118" s="25">
        <f t="shared" si="15"/>
        <v>49912.676399363248</v>
      </c>
      <c r="J118" s="25">
        <f t="shared" si="15"/>
        <v>50915.852310306029</v>
      </c>
      <c r="K118" s="25">
        <f t="shared" si="15"/>
        <v>50925.23139739102</v>
      </c>
      <c r="L118" s="25">
        <f t="shared" si="15"/>
        <v>51847.657781122274</v>
      </c>
      <c r="M118" s="25">
        <f t="shared" si="15"/>
        <v>51168.548622389324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875853.96842748602</v>
      </c>
      <c r="H119" s="25">
        <f t="shared" ref="H119:K119" si="16">H113*H118</f>
        <v>885860.85355778923</v>
      </c>
      <c r="I119" s="25">
        <f t="shared" si="16"/>
        <v>924091.59261551488</v>
      </c>
      <c r="J119" s="25">
        <f t="shared" si="16"/>
        <v>957624.18980243278</v>
      </c>
      <c r="K119" s="25">
        <f t="shared" si="16"/>
        <v>399725.72014479176</v>
      </c>
      <c r="L119" s="25">
        <f t="shared" ref="L119:M119" si="17">L113*L118</f>
        <v>406966.0907901458</v>
      </c>
      <c r="M119" s="25">
        <f t="shared" si="17"/>
        <v>401635.5819228781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2275167.3084274861</v>
      </c>
      <c r="H121" s="25">
        <f t="shared" ref="H121:K121" si="18">H107+H119</f>
        <v>2395044.8535577892</v>
      </c>
      <c r="I121" s="25">
        <f t="shared" si="18"/>
        <v>2518570.592615515</v>
      </c>
      <c r="J121" s="25">
        <f t="shared" si="18"/>
        <v>2480120.1898024329</v>
      </c>
      <c r="K121" s="25">
        <f t="shared" si="18"/>
        <v>399725.72014479176</v>
      </c>
      <c r="L121" s="25">
        <f t="shared" ref="L121:M121" si="19">L107+L119</f>
        <v>406966.0907901458</v>
      </c>
      <c r="M121" s="25">
        <f t="shared" si="19"/>
        <v>401635.5819228781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2780</v>
      </c>
      <c r="H128" s="8">
        <f t="shared" ref="H128:K130" si="20">H96</f>
        <v>2795</v>
      </c>
      <c r="I128" s="8">
        <f t="shared" si="20"/>
        <v>2802</v>
      </c>
      <c r="J128" s="8">
        <f t="shared" si="20"/>
        <v>2809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79023519.439999998</v>
      </c>
      <c r="H129" s="39">
        <f t="shared" si="20"/>
        <v>70815698</v>
      </c>
      <c r="I129" s="39">
        <f t="shared" si="20"/>
        <v>75074033</v>
      </c>
      <c r="J129" s="39">
        <f t="shared" si="20"/>
        <v>74373533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21167</v>
      </c>
      <c r="H130" s="8">
        <f t="shared" si="20"/>
        <v>17931</v>
      </c>
      <c r="I130" s="8">
        <f t="shared" si="20"/>
        <v>18633</v>
      </c>
      <c r="J130" s="8">
        <f t="shared" si="20"/>
        <v>18633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22753</v>
      </c>
      <c r="H131" s="8">
        <f t="shared" ref="H131:M131" si="24">MAX(G131,H130)</f>
        <v>22753</v>
      </c>
      <c r="I131" s="8">
        <f t="shared" si="24"/>
        <v>22753</v>
      </c>
      <c r="J131" s="8">
        <f t="shared" si="24"/>
        <v>22753</v>
      </c>
      <c r="K131" s="8">
        <f t="shared" si="24"/>
        <v>22753</v>
      </c>
      <c r="L131" s="8">
        <f t="shared" si="24"/>
        <v>22753</v>
      </c>
      <c r="M131" s="8">
        <f t="shared" si="24"/>
        <v>22753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Inputs'!H21)</f>
        <v>117.0535651311439</v>
      </c>
      <c r="I134" s="214">
        <f>H134*EXP('Model Inputs'!I21)</f>
        <v>118.91114870827467</v>
      </c>
      <c r="J134" s="214">
        <f>I134*EXP('Model Inputs'!J21)</f>
        <v>120.79821124012295</v>
      </c>
      <c r="K134" s="214">
        <f>J134*EXP('Model Inputs'!K21)</f>
        <v>120.79821124012295</v>
      </c>
      <c r="L134" s="214">
        <f>K134*EXP('Model Inputs'!L21)</f>
        <v>120.79821124012295</v>
      </c>
      <c r="M134" s="215">
        <f>L134*EXP('Model Inputs'!M21)</f>
        <v>120.79821124012295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276</v>
      </c>
      <c r="F135" s="41">
        <v>938.36</v>
      </c>
      <c r="G135" s="41">
        <f>HLOOKUP($E$3,$P$3:$CI$269,O135,FALSE)</f>
        <v>962.73</v>
      </c>
      <c r="H135" s="216">
        <f>G135*EXP('Model Inputs'!H20)</f>
        <v>987.73290943774236</v>
      </c>
      <c r="I135" s="217">
        <f>H135*EXP('Model Inputs'!I20)</f>
        <v>1013.3851655047079</v>
      </c>
      <c r="J135" s="217">
        <f>I135*EXP('Model Inputs'!J20)</f>
        <v>1039.6627436514473</v>
      </c>
      <c r="K135" s="217">
        <f>J135*EXP('Model Inputs'!K20)</f>
        <v>1039.6627436514473</v>
      </c>
      <c r="L135" s="217">
        <f>K135*EXP('Model Inputs'!L20)</f>
        <v>1039.6627436514473</v>
      </c>
      <c r="M135" s="218">
        <f>L135*EXP('Model Inputs'!M20)</f>
        <v>1039.6627436514473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2.2643473916963336E-2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118.56183642569529</v>
      </c>
      <c r="H137" s="29">
        <f t="shared" ref="H137:M137" si="26">G137*EXP(H136)</f>
        <v>121.28045267236115</v>
      </c>
      <c r="I137" s="29">
        <f t="shared" si="26"/>
        <v>124.06140663679059</v>
      </c>
      <c r="J137" s="29">
        <f t="shared" si="26"/>
        <v>126.9026340952186</v>
      </c>
      <c r="K137" s="29">
        <f t="shared" si="26"/>
        <v>126.9026340952186</v>
      </c>
      <c r="L137" s="29">
        <f t="shared" si="26"/>
        <v>126.9026340952186</v>
      </c>
      <c r="M137" s="29">
        <f t="shared" si="26"/>
        <v>126.9026340952186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18.224945241791218</v>
      </c>
      <c r="I139" s="29">
        <f t="shared" si="27"/>
        <v>18.514166325637145</v>
      </c>
      <c r="J139" s="29">
        <f t="shared" si="27"/>
        <v>18.807977208477315</v>
      </c>
      <c r="K139" s="29">
        <f t="shared" si="27"/>
        <v>7.8492666439856444</v>
      </c>
      <c r="L139" s="29">
        <f t="shared" ref="L139:M139" si="28">L113</f>
        <v>7.8492666439856444</v>
      </c>
      <c r="M139" s="29">
        <f t="shared" si="28"/>
        <v>7.8492666439856444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275</v>
      </c>
      <c r="H142" s="42">
        <f>'Model Inputs'!H16</f>
        <v>275</v>
      </c>
      <c r="I142" s="42">
        <f>'Model Inputs'!I16</f>
        <v>275</v>
      </c>
      <c r="J142" s="42">
        <f>'Model Inputs'!J16</f>
        <v>275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235.8857142857143</v>
      </c>
      <c r="H143" s="41">
        <f>(G143*14+H142)/15</f>
        <v>238.49333333333334</v>
      </c>
      <c r="I143" s="41">
        <f>(H143*15+I142)/16</f>
        <v>240.77500000000001</v>
      </c>
      <c r="J143" s="41">
        <f>(I143*16+J142)/17</f>
        <v>242.78823529411761</v>
      </c>
      <c r="K143" s="41">
        <f>(J143*17+K142)/18</f>
        <v>229.29999999999998</v>
      </c>
      <c r="L143" s="41">
        <f>(K143*17+L142)/18</f>
        <v>216.5611111111111</v>
      </c>
      <c r="M143" s="41">
        <f>(L143*17+M142)/18</f>
        <v>204.52993827160492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2760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7.246376811594203E-3</v>
      </c>
      <c r="H145" s="30">
        <f>'Model Inputs'!H17</f>
        <v>7.1999999999999998E-3</v>
      </c>
      <c r="I145" s="30">
        <f>'Model Inputs'!I17</f>
        <v>7.1999999999999998E-3</v>
      </c>
      <c r="J145" s="30">
        <f>'Model Inputs'!J17</f>
        <v>7.1999999999999998E-3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0.15121525515716414</v>
      </c>
      <c r="H152" s="44">
        <f t="shared" ref="H152:K152" si="31">H113/H137</f>
        <v>0.15027108524261418</v>
      </c>
      <c r="I152" s="44">
        <f t="shared" si="31"/>
        <v>0.14923389011572549</v>
      </c>
      <c r="J152" s="44">
        <f t="shared" si="31"/>
        <v>0.14820793392172743</v>
      </c>
      <c r="K152" s="44">
        <f t="shared" si="31"/>
        <v>6.1852669173881131E-2</v>
      </c>
      <c r="L152" s="44">
        <f t="shared" ref="L152:M152" si="32">L113/L137</f>
        <v>6.1852669173881131E-2</v>
      </c>
      <c r="M152" s="44">
        <f t="shared" si="32"/>
        <v>6.1852669173881131E-2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2780</v>
      </c>
      <c r="H153" s="25">
        <f t="shared" ref="H153:K153" si="33">H96</f>
        <v>2795</v>
      </c>
      <c r="I153" s="25">
        <f t="shared" si="33"/>
        <v>2802</v>
      </c>
      <c r="J153" s="25">
        <f t="shared" si="33"/>
        <v>2809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22753</v>
      </c>
      <c r="H154" s="25">
        <f t="shared" ref="H154:K154" si="35">H131</f>
        <v>22753</v>
      </c>
      <c r="I154" s="25">
        <f t="shared" si="35"/>
        <v>22753</v>
      </c>
      <c r="J154" s="25">
        <f t="shared" si="35"/>
        <v>22753</v>
      </c>
      <c r="K154" s="25">
        <f t="shared" si="35"/>
        <v>22753</v>
      </c>
      <c r="L154" s="25">
        <f t="shared" ref="L154:M154" si="36">L131</f>
        <v>22753</v>
      </c>
      <c r="M154" s="25">
        <f t="shared" si="36"/>
        <v>22753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79023519.439999998</v>
      </c>
      <c r="H155" s="39">
        <f t="shared" ref="H155:K155" si="37">H97</f>
        <v>70815698</v>
      </c>
      <c r="I155" s="39">
        <f t="shared" si="37"/>
        <v>75074033</v>
      </c>
      <c r="J155" s="39">
        <f t="shared" si="37"/>
        <v>74373533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235.8857142857143</v>
      </c>
      <c r="H156" s="45">
        <f t="shared" ref="H156:K156" si="39">H143</f>
        <v>238.49333333333334</v>
      </c>
      <c r="I156" s="45">
        <f t="shared" si="39"/>
        <v>240.77500000000001</v>
      </c>
      <c r="J156" s="45">
        <f t="shared" si="39"/>
        <v>242.78823529411761</v>
      </c>
      <c r="K156" s="45">
        <f t="shared" si="39"/>
        <v>229.29999999999998</v>
      </c>
      <c r="L156" s="45">
        <f t="shared" ref="L156:M156" si="40">L143</f>
        <v>216.5611111111111</v>
      </c>
      <c r="M156" s="45">
        <f t="shared" si="40"/>
        <v>204.52993827160492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7.246376811594203E-3</v>
      </c>
      <c r="H157" s="31">
        <f t="shared" ref="H157:L157" si="41">H145</f>
        <v>7.1999999999999998E-3</v>
      </c>
      <c r="I157" s="31">
        <f t="shared" si="41"/>
        <v>7.1999999999999998E-3</v>
      </c>
      <c r="J157" s="31">
        <f t="shared" si="41"/>
        <v>7.1999999999999998E-3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12.814570121024731</v>
      </c>
      <c r="H162" s="49">
        <f t="shared" ref="H162:M179" si="45">G162</f>
        <v>12.814570121024731</v>
      </c>
      <c r="I162" s="49">
        <f t="shared" si="45"/>
        <v>12.814570121024731</v>
      </c>
      <c r="J162" s="49">
        <f t="shared" si="45"/>
        <v>12.814570121024731</v>
      </c>
      <c r="K162" s="49">
        <f t="shared" si="45"/>
        <v>12.814570121024731</v>
      </c>
      <c r="L162" s="49">
        <f t="shared" si="45"/>
        <v>12.814570121024731</v>
      </c>
      <c r="M162" s="49">
        <f t="shared" si="45"/>
        <v>12.814570121024731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0.62666654379396858</v>
      </c>
      <c r="H163" s="49">
        <f t="shared" si="45"/>
        <v>0.62666654379396858</v>
      </c>
      <c r="I163" s="49">
        <f t="shared" si="45"/>
        <v>0.62666654379396858</v>
      </c>
      <c r="J163" s="49">
        <f t="shared" si="45"/>
        <v>0.62666654379396858</v>
      </c>
      <c r="K163" s="49">
        <f t="shared" si="45"/>
        <v>0.62666654379396858</v>
      </c>
      <c r="L163" s="49">
        <f t="shared" si="45"/>
        <v>0.62666654379396858</v>
      </c>
      <c r="M163" s="49">
        <f t="shared" si="45"/>
        <v>0.62666654379396858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0.44556299156779983</v>
      </c>
      <c r="H164" s="49">
        <f t="shared" si="45"/>
        <v>0.44556299156779983</v>
      </c>
      <c r="I164" s="49">
        <f t="shared" si="45"/>
        <v>0.44556299156779983</v>
      </c>
      <c r="J164" s="49">
        <f t="shared" si="45"/>
        <v>0.44556299156779983</v>
      </c>
      <c r="K164" s="49">
        <f t="shared" si="45"/>
        <v>0.44556299156779983</v>
      </c>
      <c r="L164" s="49">
        <f t="shared" si="45"/>
        <v>0.44556299156779983</v>
      </c>
      <c r="M164" s="49">
        <f t="shared" si="45"/>
        <v>0.44556299156779983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0.15984140060233723</v>
      </c>
      <c r="H165" s="49">
        <f t="shared" si="45"/>
        <v>0.15984140060233723</v>
      </c>
      <c r="I165" s="49">
        <f t="shared" si="45"/>
        <v>0.15984140060233723</v>
      </c>
      <c r="J165" s="49">
        <f t="shared" si="45"/>
        <v>0.15984140060233723</v>
      </c>
      <c r="K165" s="49">
        <f t="shared" si="45"/>
        <v>0.15984140060233723</v>
      </c>
      <c r="L165" s="49">
        <f t="shared" si="45"/>
        <v>0.15984140060233723</v>
      </c>
      <c r="M165" s="49">
        <f t="shared" si="45"/>
        <v>0.15984140060233723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0.10708229676935903</v>
      </c>
      <c r="H166" s="49">
        <f t="shared" si="45"/>
        <v>0.10708229676935903</v>
      </c>
      <c r="I166" s="49">
        <f t="shared" si="45"/>
        <v>0.10708229676935903</v>
      </c>
      <c r="J166" s="49">
        <f t="shared" si="45"/>
        <v>0.10708229676935903</v>
      </c>
      <c r="K166" s="49">
        <f t="shared" si="45"/>
        <v>0.10708229676935903</v>
      </c>
      <c r="L166" s="49">
        <f t="shared" si="45"/>
        <v>0.10708229676935903</v>
      </c>
      <c r="M166" s="49">
        <f t="shared" si="45"/>
        <v>0.10708229676935903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0.12342821347674704</v>
      </c>
      <c r="H167" s="49">
        <f t="shared" si="45"/>
        <v>0.12342821347674704</v>
      </c>
      <c r="I167" s="49">
        <f t="shared" si="45"/>
        <v>0.12342821347674704</v>
      </c>
      <c r="J167" s="49">
        <f t="shared" si="45"/>
        <v>0.12342821347674704</v>
      </c>
      <c r="K167" s="49">
        <f t="shared" si="45"/>
        <v>0.12342821347674704</v>
      </c>
      <c r="L167" s="49">
        <f t="shared" si="45"/>
        <v>0.12342821347674704</v>
      </c>
      <c r="M167" s="49">
        <f t="shared" si="45"/>
        <v>0.12342821347674704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-0.33851096182861345</v>
      </c>
      <c r="H168" s="49">
        <f t="shared" si="45"/>
        <v>-0.33851096182861345</v>
      </c>
      <c r="I168" s="49">
        <f t="shared" si="45"/>
        <v>-0.33851096182861345</v>
      </c>
      <c r="J168" s="49">
        <f t="shared" si="45"/>
        <v>-0.33851096182861345</v>
      </c>
      <c r="K168" s="49">
        <f t="shared" si="45"/>
        <v>-0.33851096182861345</v>
      </c>
      <c r="L168" s="49">
        <f t="shared" si="45"/>
        <v>-0.33851096182861345</v>
      </c>
      <c r="M168" s="49">
        <f t="shared" si="45"/>
        <v>-0.33851096182861345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0.17481390584244072</v>
      </c>
      <c r="H169" s="49">
        <f t="shared" si="45"/>
        <v>0.17481390584244072</v>
      </c>
      <c r="I169" s="49">
        <f t="shared" si="45"/>
        <v>0.17481390584244072</v>
      </c>
      <c r="J169" s="49">
        <f t="shared" si="45"/>
        <v>0.17481390584244072</v>
      </c>
      <c r="K169" s="49">
        <f t="shared" si="45"/>
        <v>0.17481390584244072</v>
      </c>
      <c r="L169" s="49">
        <f t="shared" si="45"/>
        <v>0.17481390584244072</v>
      </c>
      <c r="M169" s="49">
        <f t="shared" si="45"/>
        <v>0.17481390584244072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0.17654307212838749</v>
      </c>
      <c r="H170" s="49">
        <f t="shared" si="45"/>
        <v>0.17654307212838749</v>
      </c>
      <c r="I170" s="49">
        <f t="shared" si="45"/>
        <v>0.17654307212838749</v>
      </c>
      <c r="J170" s="49">
        <f t="shared" si="45"/>
        <v>0.17654307212838749</v>
      </c>
      <c r="K170" s="49">
        <f t="shared" si="45"/>
        <v>0.17654307212838749</v>
      </c>
      <c r="L170" s="49">
        <f t="shared" si="45"/>
        <v>0.17654307212838749</v>
      </c>
      <c r="M170" s="49">
        <f t="shared" si="45"/>
        <v>0.17654307212838749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5.4131604166514968E-2</v>
      </c>
      <c r="H171" s="49">
        <f t="shared" si="45"/>
        <v>5.4131604166514968E-2</v>
      </c>
      <c r="I171" s="49">
        <f t="shared" si="45"/>
        <v>5.4131604166514968E-2</v>
      </c>
      <c r="J171" s="49">
        <f t="shared" si="45"/>
        <v>5.4131604166514968E-2</v>
      </c>
      <c r="K171" s="49">
        <f t="shared" si="45"/>
        <v>5.4131604166514968E-2</v>
      </c>
      <c r="L171" s="49">
        <f t="shared" si="45"/>
        <v>5.4131604166514968E-2</v>
      </c>
      <c r="M171" s="49">
        <f t="shared" si="45"/>
        <v>5.4131604166514968E-2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9.3352609250269558E-3</v>
      </c>
      <c r="H172" s="49">
        <f t="shared" si="45"/>
        <v>9.3352609250269558E-3</v>
      </c>
      <c r="I172" s="49">
        <f t="shared" si="45"/>
        <v>9.3352609250269558E-3</v>
      </c>
      <c r="J172" s="49">
        <f t="shared" si="45"/>
        <v>9.3352609250269558E-3</v>
      </c>
      <c r="K172" s="49">
        <f t="shared" si="45"/>
        <v>9.3352609250269558E-3</v>
      </c>
      <c r="L172" s="49">
        <f t="shared" si="45"/>
        <v>9.3352609250269558E-3</v>
      </c>
      <c r="M172" s="49">
        <f t="shared" si="45"/>
        <v>9.3352609250269558E-3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-4.2344457436627181E-4</v>
      </c>
      <c r="H173" s="49">
        <f t="shared" si="45"/>
        <v>-4.2344457436627181E-4</v>
      </c>
      <c r="I173" s="49">
        <f t="shared" si="45"/>
        <v>-4.2344457436627181E-4</v>
      </c>
      <c r="J173" s="49">
        <f t="shared" si="45"/>
        <v>-4.2344457436627181E-4</v>
      </c>
      <c r="K173" s="49">
        <f t="shared" si="45"/>
        <v>-4.2344457436627181E-4</v>
      </c>
      <c r="L173" s="49">
        <f t="shared" si="45"/>
        <v>-4.2344457436627181E-4</v>
      </c>
      <c r="M173" s="49">
        <f t="shared" si="45"/>
        <v>-4.2344457436627181E-4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0.13835080358585455</v>
      </c>
      <c r="H174" s="49">
        <f t="shared" si="45"/>
        <v>0.13835080358585455</v>
      </c>
      <c r="I174" s="49">
        <f t="shared" si="45"/>
        <v>0.13835080358585455</v>
      </c>
      <c r="J174" s="49">
        <f t="shared" si="45"/>
        <v>0.13835080358585455</v>
      </c>
      <c r="K174" s="49">
        <f t="shared" si="45"/>
        <v>0.13835080358585455</v>
      </c>
      <c r="L174" s="49">
        <f t="shared" si="45"/>
        <v>0.13835080358585455</v>
      </c>
      <c r="M174" s="49">
        <f t="shared" si="45"/>
        <v>0.13835080358585455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3.5810646123854012E-2</v>
      </c>
      <c r="H175" s="49">
        <f t="shared" si="45"/>
        <v>3.5810646123854012E-2</v>
      </c>
      <c r="I175" s="49">
        <f t="shared" si="45"/>
        <v>3.5810646123854012E-2</v>
      </c>
      <c r="J175" s="49">
        <f t="shared" si="45"/>
        <v>3.5810646123854012E-2</v>
      </c>
      <c r="K175" s="49">
        <f t="shared" si="45"/>
        <v>3.5810646123854012E-2</v>
      </c>
      <c r="L175" s="49">
        <f t="shared" si="45"/>
        <v>3.5810646123854012E-2</v>
      </c>
      <c r="M175" s="49">
        <f t="shared" si="45"/>
        <v>3.5810646123854012E-2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-0.18160352832288848</v>
      </c>
      <c r="H176" s="49">
        <f t="shared" si="45"/>
        <v>-0.18160352832288848</v>
      </c>
      <c r="I176" s="49">
        <f t="shared" si="45"/>
        <v>-0.18160352832288848</v>
      </c>
      <c r="J176" s="49">
        <f t="shared" si="45"/>
        <v>-0.18160352832288848</v>
      </c>
      <c r="K176" s="49">
        <f t="shared" si="45"/>
        <v>-0.18160352832288848</v>
      </c>
      <c r="L176" s="49">
        <f t="shared" si="45"/>
        <v>-0.18160352832288848</v>
      </c>
      <c r="M176" s="49">
        <f t="shared" si="45"/>
        <v>-0.18160352832288848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0.28413142627924287</v>
      </c>
      <c r="H177" s="49">
        <f t="shared" si="45"/>
        <v>0.28413142627924287</v>
      </c>
      <c r="I177" s="49">
        <f t="shared" si="45"/>
        <v>0.28413142627924287</v>
      </c>
      <c r="J177" s="49">
        <f t="shared" si="45"/>
        <v>0.28413142627924287</v>
      </c>
      <c r="K177" s="49">
        <f t="shared" si="45"/>
        <v>0.28413142627924287</v>
      </c>
      <c r="L177" s="49">
        <f t="shared" si="45"/>
        <v>0.28413142627924287</v>
      </c>
      <c r="M177" s="49">
        <f t="shared" si="45"/>
        <v>0.28413142627924287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1.5802795299602459E-2</v>
      </c>
      <c r="H178" s="49">
        <f t="shared" si="45"/>
        <v>1.5802795299602459E-2</v>
      </c>
      <c r="I178" s="49">
        <f t="shared" si="45"/>
        <v>1.5802795299602459E-2</v>
      </c>
      <c r="J178" s="49">
        <f t="shared" si="45"/>
        <v>1.5802795299602459E-2</v>
      </c>
      <c r="K178" s="49">
        <f t="shared" si="45"/>
        <v>1.5802795299602459E-2</v>
      </c>
      <c r="L178" s="49">
        <f t="shared" si="45"/>
        <v>1.5802795299602459E-2</v>
      </c>
      <c r="M178" s="49">
        <f t="shared" si="45"/>
        <v>1.5802795299602459E-2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1.6875012456433913E-2</v>
      </c>
      <c r="H179" s="49">
        <f t="shared" si="45"/>
        <v>1.6875012456433913E-2</v>
      </c>
      <c r="I179" s="49">
        <f t="shared" si="45"/>
        <v>1.6875012456433913E-2</v>
      </c>
      <c r="J179" s="49">
        <f t="shared" si="45"/>
        <v>1.6875012456433913E-2</v>
      </c>
      <c r="K179" s="49">
        <f t="shared" si="45"/>
        <v>1.6875012456433913E-2</v>
      </c>
      <c r="L179" s="49">
        <f t="shared" si="45"/>
        <v>1.6875012456433913E-2</v>
      </c>
      <c r="M179" s="49">
        <f t="shared" si="45"/>
        <v>1.6875012456433913E-2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-8.3598130069505519E-2</v>
      </c>
      <c r="H206" s="48">
        <f t="shared" ref="H206:K209" si="49">LN(H152/H184)</f>
        <v>-8.9861584659273644E-2</v>
      </c>
      <c r="I206" s="48">
        <f t="shared" si="49"/>
        <v>-9.6787675098305034E-2</v>
      </c>
      <c r="J206" s="48">
        <f t="shared" si="49"/>
        <v>-0.10368623595872435</v>
      </c>
      <c r="K206" s="48">
        <f t="shared" si="49"/>
        <v>-0.97754722911441705</v>
      </c>
      <c r="L206" s="48">
        <f t="shared" ref="L206:M206" si="50">LN(L152/L184)</f>
        <v>-0.97754722911441705</v>
      </c>
      <c r="M206" s="48">
        <f t="shared" si="50"/>
        <v>-0.97754722911441705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-3.1273647929665631</v>
      </c>
      <c r="H207" s="48">
        <f t="shared" si="49"/>
        <v>-3.1219836140620463</v>
      </c>
      <c r="I207" s="48">
        <f t="shared" si="49"/>
        <v>-3.1194822727542935</v>
      </c>
      <c r="J207" s="48">
        <f t="shared" si="49"/>
        <v>-3.116987172547002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-2.7192212976548094</v>
      </c>
      <c r="H208" s="48">
        <f t="shared" si="49"/>
        <v>-2.7192212976548094</v>
      </c>
      <c r="I208" s="48">
        <f t="shared" si="49"/>
        <v>-2.7192212976548094</v>
      </c>
      <c r="J208" s="48">
        <f t="shared" si="49"/>
        <v>-2.7192212976548094</v>
      </c>
      <c r="K208" s="48">
        <f t="shared" si="49"/>
        <v>-2.7192212976548094</v>
      </c>
      <c r="L208" s="48">
        <f t="shared" ref="L208:M208" si="52">LN(L154/L186)</f>
        <v>-2.7192212976548094</v>
      </c>
      <c r="M208" s="48">
        <f t="shared" si="52"/>
        <v>-2.7192212976548094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-3.0267909743205688</v>
      </c>
      <c r="H209" s="48">
        <f t="shared" si="49"/>
        <v>-3.1364557976232548</v>
      </c>
      <c r="I209" s="48">
        <f t="shared" si="49"/>
        <v>-3.0780617635762626</v>
      </c>
      <c r="J209" s="48">
        <f t="shared" si="49"/>
        <v>-3.0874363576083046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3.4943236755589813E-3</v>
      </c>
      <c r="H210" s="48">
        <f t="shared" ref="H210:K213" si="54">H206*H206/2</f>
        <v>4.0375521987379018E-3</v>
      </c>
      <c r="I210" s="48">
        <f t="shared" si="54"/>
        <v>4.6839270254675283E-3</v>
      </c>
      <c r="J210" s="48">
        <f t="shared" si="54"/>
        <v>5.375417763644131E-3</v>
      </c>
      <c r="K210" s="48">
        <f t="shared" si="54"/>
        <v>0.47779929257463727</v>
      </c>
      <c r="L210" s="48">
        <f t="shared" ref="L210:M210" si="55">L206*L206/2</f>
        <v>0.47779929257463727</v>
      </c>
      <c r="M210" s="48">
        <f t="shared" si="55"/>
        <v>0.47779929257463727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4.8902052741433968</v>
      </c>
      <c r="H211" s="48">
        <f t="shared" si="54"/>
        <v>4.8733908432359581</v>
      </c>
      <c r="I211" s="48">
        <f t="shared" si="54"/>
        <v>4.865584825014146</v>
      </c>
      <c r="J211" s="48">
        <f t="shared" si="54"/>
        <v>4.8578045169112771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3.6970822328097528</v>
      </c>
      <c r="H212" s="48">
        <f t="shared" si="54"/>
        <v>3.6970822328097528</v>
      </c>
      <c r="I212" s="48">
        <f t="shared" si="54"/>
        <v>3.6970822328097528</v>
      </c>
      <c r="J212" s="48">
        <f t="shared" si="54"/>
        <v>3.6970822328097528</v>
      </c>
      <c r="K212" s="48">
        <f t="shared" si="54"/>
        <v>3.6970822328097528</v>
      </c>
      <c r="L212" s="48">
        <f t="shared" ref="L212:M212" si="57">L208*L208/2</f>
        <v>3.6970822328097528</v>
      </c>
      <c r="M212" s="48">
        <f t="shared" si="57"/>
        <v>3.6970822328097528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4.5807318011142293</v>
      </c>
      <c r="H213" s="48">
        <f t="shared" si="54"/>
        <v>4.9186774852222639</v>
      </c>
      <c r="I213" s="48">
        <f t="shared" si="54"/>
        <v>4.737232110195106</v>
      </c>
      <c r="J213" s="48">
        <f t="shared" si="54"/>
        <v>4.7661316311408175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0.26144184873721094</v>
      </c>
      <c r="H214" s="48">
        <f t="shared" ref="H214:K214" si="59">H206*H207</f>
        <v>0.28054639483990168</v>
      </c>
      <c r="I214" s="48">
        <f t="shared" si="59"/>
        <v>0.30192743669026473</v>
      </c>
      <c r="J214" s="48">
        <f t="shared" si="59"/>
        <v>0.32318866745302549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0.22732181572911633</v>
      </c>
      <c r="H215" s="48">
        <f t="shared" ref="H215:K215" si="61">H206*H208</f>
        <v>0.2443535348465076</v>
      </c>
      <c r="I215" s="48">
        <f t="shared" si="61"/>
        <v>0.2631871074778051</v>
      </c>
      <c r="J215" s="48">
        <f t="shared" si="61"/>
        <v>0.28194582109262517</v>
      </c>
      <c r="K215" s="48">
        <f t="shared" si="61"/>
        <v>2.6581672448713682</v>
      </c>
      <c r="L215" s="48">
        <f t="shared" ref="L215:M215" si="62">L206*L208</f>
        <v>2.6581672448713682</v>
      </c>
      <c r="M215" s="48">
        <f t="shared" si="62"/>
        <v>2.6581672448713682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0.25303406556445623</v>
      </c>
      <c r="H216" s="48">
        <f t="shared" ref="H216:K216" si="63">H206*H209</f>
        <v>0.28184688818819176</v>
      </c>
      <c r="I216" s="48">
        <f t="shared" si="63"/>
        <v>0.29791844190553513</v>
      </c>
      <c r="J216" s="48">
        <f t="shared" si="63"/>
        <v>0.32012465468251911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8.5039969505705013</v>
      </c>
      <c r="H217" s="48">
        <f t="shared" ref="H217:K217" si="65">H207*H208</f>
        <v>8.489364334286849</v>
      </c>
      <c r="I217" s="48">
        <f t="shared" si="65"/>
        <v>8.4825626337301046</v>
      </c>
      <c r="J217" s="48">
        <f t="shared" si="65"/>
        <v>8.4757779041066534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9.4658795287591069</v>
      </c>
      <c r="H218" s="48">
        <f t="shared" ref="H218:K218" si="67">H207*H209</f>
        <v>9.7919636064097073</v>
      </c>
      <c r="I218" s="48">
        <f t="shared" si="67"/>
        <v>9.6019591059189686</v>
      </c>
      <c r="J218" s="48">
        <f t="shared" si="67"/>
        <v>9.6234995227203246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8.2305144809218422</v>
      </c>
      <c r="H219" s="48">
        <f t="shared" ref="H219:K219" si="69">H208*H209</f>
        <v>8.5287174040500577</v>
      </c>
      <c r="I219" s="48">
        <f t="shared" si="69"/>
        <v>8.3699311030134957</v>
      </c>
      <c r="J219" s="48">
        <f t="shared" si="69"/>
        <v>8.3954226987622924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-2.4460678808036205</v>
      </c>
      <c r="H220" s="48">
        <f t="shared" ref="H220:K220" si="71">LN(H156/H198)</f>
        <v>-2.4350739495786153</v>
      </c>
      <c r="I220" s="48">
        <f t="shared" si="71"/>
        <v>-2.4255524195886231</v>
      </c>
      <c r="J220" s="48">
        <f t="shared" si="71"/>
        <v>-2.4172257033317437</v>
      </c>
      <c r="K220" s="48">
        <f t="shared" si="71"/>
        <v>-2.474384117171692</v>
      </c>
      <c r="L220" s="48">
        <f t="shared" ref="L220:M220" si="72">LN(L156/L198)</f>
        <v>-2.5315425310116408</v>
      </c>
      <c r="M220" s="48">
        <f t="shared" si="72"/>
        <v>-2.5887009448515896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5.6348186715351502E-2</v>
      </c>
      <c r="H221" s="31">
        <f t="shared" ref="H221:K221" si="73">H157/H199</f>
        <v>5.5987558320373255E-2</v>
      </c>
      <c r="I221" s="31">
        <f t="shared" si="73"/>
        <v>5.5987558320373255E-2</v>
      </c>
      <c r="J221" s="31">
        <f t="shared" si="73"/>
        <v>5.5987558320373255E-2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12.814570121024731</v>
      </c>
      <c r="H226" s="50">
        <f t="shared" ref="H226:K241" si="78">H162*H205</f>
        <v>12.814570121024731</v>
      </c>
      <c r="I226" s="50">
        <f t="shared" si="78"/>
        <v>12.814570121024731</v>
      </c>
      <c r="J226" s="50">
        <f t="shared" si="78"/>
        <v>12.814570121024731</v>
      </c>
      <c r="K226" s="50">
        <f t="shared" si="78"/>
        <v>12.814570121024731</v>
      </c>
      <c r="L226" s="50">
        <f t="shared" ref="L226:M226" si="79">L162*L205</f>
        <v>12.814570121024731</v>
      </c>
      <c r="M226" s="50">
        <f t="shared" si="79"/>
        <v>12.814570121024731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-5.2388151238295662E-2</v>
      </c>
      <c r="H227" s="50">
        <f t="shared" si="78"/>
        <v>-5.6313248678276119E-2</v>
      </c>
      <c r="I227" s="50">
        <f t="shared" si="78"/>
        <v>-6.0653597835708374E-2</v>
      </c>
      <c r="J227" s="50">
        <f t="shared" si="78"/>
        <v>-6.497669512725969E-2</v>
      </c>
      <c r="K227" s="50">
        <f t="shared" si="78"/>
        <v>-0.61259614346450242</v>
      </c>
      <c r="L227" s="50">
        <f t="shared" ref="L227:M227" si="80">L163*L206</f>
        <v>-0.61259614346450242</v>
      </c>
      <c r="M227" s="50">
        <f t="shared" si="80"/>
        <v>-0.61259614346450242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-1.3934380128779948</v>
      </c>
      <c r="H228" s="50">
        <f t="shared" si="78"/>
        <v>-1.3910403587071367</v>
      </c>
      <c r="I228" s="50">
        <f t="shared" si="78"/>
        <v>-1.3899258535911223</v>
      </c>
      <c r="J228" s="50">
        <f t="shared" si="78"/>
        <v>-1.3888141292785001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-0.4346441407648497</v>
      </c>
      <c r="H229" s="50">
        <f t="shared" si="78"/>
        <v>-0.4346441407648497</v>
      </c>
      <c r="I229" s="50">
        <f t="shared" si="78"/>
        <v>-0.4346441407648497</v>
      </c>
      <c r="J229" s="50">
        <f t="shared" si="78"/>
        <v>-0.4346441407648497</v>
      </c>
      <c r="K229" s="50">
        <f t="shared" si="78"/>
        <v>-0.4346441407648497</v>
      </c>
      <c r="L229" s="50">
        <f t="shared" ref="L229:M229" si="82">L165*L208</f>
        <v>-0.4346441407648497</v>
      </c>
      <c r="M229" s="50">
        <f t="shared" si="82"/>
        <v>-0.4346441407648497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-0.32411572937101252</v>
      </c>
      <c r="H230" s="50">
        <f t="shared" si="78"/>
        <v>-0.33585889052507006</v>
      </c>
      <c r="I230" s="50">
        <f t="shared" si="78"/>
        <v>-0.32960592324168997</v>
      </c>
      <c r="J230" s="50">
        <f t="shared" si="78"/>
        <v>-0.33060977630192134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4.3129812858374531E-4</v>
      </c>
      <c r="H231" s="50">
        <f t="shared" si="78"/>
        <v>4.9834785470933109E-4</v>
      </c>
      <c r="I231" s="50">
        <f t="shared" si="78"/>
        <v>5.7812874480891085E-4</v>
      </c>
      <c r="J231" s="50">
        <f t="shared" si="78"/>
        <v>6.6347821125776595E-4</v>
      </c>
      <c r="K231" s="50">
        <f t="shared" si="78"/>
        <v>5.8973913082941046E-2</v>
      </c>
      <c r="L231" s="50">
        <f t="shared" ref="L231:M231" si="84">L167*L210</f>
        <v>5.8973913082941046E-2</v>
      </c>
      <c r="M231" s="50">
        <f t="shared" si="84"/>
        <v>5.8973913082941046E-2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-1.6553880908896397</v>
      </c>
      <c r="H232" s="50">
        <f t="shared" si="78"/>
        <v>-1.6496962217105617</v>
      </c>
      <c r="I232" s="50">
        <f t="shared" si="78"/>
        <v>-1.6470537989742444</v>
      </c>
      <c r="J232" s="50">
        <f t="shared" si="78"/>
        <v>-1.6444200793950194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0.64630138533816461</v>
      </c>
      <c r="H233" s="50">
        <f t="shared" si="78"/>
        <v>0.64630138533816461</v>
      </c>
      <c r="I233" s="50">
        <f t="shared" si="78"/>
        <v>0.64630138533816461</v>
      </c>
      <c r="J233" s="50">
        <f t="shared" si="78"/>
        <v>0.64630138533816461</v>
      </c>
      <c r="K233" s="50">
        <f t="shared" si="78"/>
        <v>0.64630138533816461</v>
      </c>
      <c r="L233" s="50">
        <f t="shared" ref="L233:M233" si="86">L169*L212</f>
        <v>0.64630138533816461</v>
      </c>
      <c r="M233" s="50">
        <f t="shared" si="86"/>
        <v>0.64630138533816461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0.80869646476490775</v>
      </c>
      <c r="H234" s="50">
        <f t="shared" si="78"/>
        <v>0.86835843404986968</v>
      </c>
      <c r="I234" s="50">
        <f t="shared" si="78"/>
        <v>0.83632551011908784</v>
      </c>
      <c r="J234" s="50">
        <f t="shared" si="78"/>
        <v>0.84142752032988244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1.4152266668404584E-2</v>
      </c>
      <c r="H235" s="50">
        <f t="shared" si="78"/>
        <v>1.5186426395816376E-2</v>
      </c>
      <c r="I235" s="50">
        <f t="shared" si="78"/>
        <v>1.6343816489927918E-2</v>
      </c>
      <c r="J235" s="50">
        <f t="shared" si="78"/>
        <v>1.7494721017670616E-2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2.1221084637821977E-3</v>
      </c>
      <c r="H236" s="50">
        <f t="shared" si="78"/>
        <v>2.2811040057448152E-3</v>
      </c>
      <c r="I236" s="50">
        <f t="shared" si="78"/>
        <v>2.4569203204084238E-3</v>
      </c>
      <c r="J236" s="50">
        <f t="shared" si="78"/>
        <v>2.6320378066206247E-3</v>
      </c>
      <c r="K236" s="50">
        <f t="shared" si="78"/>
        <v>2.4814684813234244E-2</v>
      </c>
      <c r="L236" s="50">
        <f t="shared" ref="L236:M236" si="89">L172*L215</f>
        <v>2.4814684813234244E-2</v>
      </c>
      <c r="M236" s="50">
        <f t="shared" si="89"/>
        <v>2.4814684813234244E-2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-1.0714590219310849E-4</v>
      </c>
      <c r="H237" s="50">
        <f t="shared" si="78"/>
        <v>-1.1934653560530706E-4</v>
      </c>
      <c r="I237" s="50">
        <f t="shared" si="78"/>
        <v>-1.2615194782855221E-4</v>
      </c>
      <c r="J237" s="50">
        <f t="shared" si="78"/>
        <v>-1.3555504814618903E-4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1.1765348118030856</v>
      </c>
      <c r="H238" s="50">
        <f t="shared" si="78"/>
        <v>1.1745103775816788</v>
      </c>
      <c r="I238" s="50">
        <f t="shared" si="78"/>
        <v>1.1735693568439027</v>
      </c>
      <c r="J238" s="50">
        <f t="shared" si="78"/>
        <v>1.1726306840483856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0.33897926205542633</v>
      </c>
      <c r="H239" s="50">
        <f t="shared" si="78"/>
        <v>0.35065654356679532</v>
      </c>
      <c r="I239" s="50">
        <f t="shared" si="78"/>
        <v>0.34385235963778182</v>
      </c>
      <c r="J239" s="50">
        <f t="shared" si="78"/>
        <v>0.34462373588121553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-1.4946904696480336</v>
      </c>
      <c r="H240" s="50">
        <f t="shared" si="78"/>
        <v>-1.5488451726443166</v>
      </c>
      <c r="I240" s="50">
        <f t="shared" si="78"/>
        <v>-1.5200090201267367</v>
      </c>
      <c r="J240" s="50">
        <f t="shared" si="78"/>
        <v>-1.5246383838572988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-0.69500475574857778</v>
      </c>
      <c r="H241" s="50">
        <f t="shared" si="78"/>
        <v>-0.69188103438920112</v>
      </c>
      <c r="I241" s="50">
        <f t="shared" si="78"/>
        <v>-0.689175668492784</v>
      </c>
      <c r="J241" s="50">
        <f t="shared" si="78"/>
        <v>-0.68680978672649429</v>
      </c>
      <c r="K241" s="50">
        <f t="shared" si="78"/>
        <v>-0.70305028837469807</v>
      </c>
      <c r="L241" s="50">
        <f t="shared" ref="L241:M241" si="94">L177*L220</f>
        <v>-0.71929079002290197</v>
      </c>
      <c r="M241" s="50">
        <f t="shared" si="94"/>
        <v>-0.73553129167110576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8.9045886016647841E-4</v>
      </c>
      <c r="H242" s="50">
        <f t="shared" ref="H242:K243" si="95">H178*H221</f>
        <v>8.8475992346141307E-4</v>
      </c>
      <c r="I242" s="50">
        <f t="shared" si="95"/>
        <v>8.8475992346141307E-4</v>
      </c>
      <c r="J242" s="50">
        <f t="shared" si="95"/>
        <v>8.8475992346141307E-4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0.15187511210790522</v>
      </c>
      <c r="H243" s="50">
        <f t="shared" si="95"/>
        <v>0.16875012456433913</v>
      </c>
      <c r="I243" s="50">
        <f t="shared" si="95"/>
        <v>0.18562513702077305</v>
      </c>
      <c r="J243" s="50">
        <f t="shared" si="95"/>
        <v>0.20250014947720696</v>
      </c>
      <c r="K243" s="50">
        <f t="shared" si="95"/>
        <v>0.21937516193364087</v>
      </c>
      <c r="L243" s="50">
        <f t="shared" ref="L243:M243" si="97">L179*L222</f>
        <v>0.23625017439007479</v>
      </c>
      <c r="M243" s="50">
        <f t="shared" si="97"/>
        <v>0.2531251868465087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9.9047767927745589</v>
      </c>
      <c r="H245" s="44">
        <f t="shared" ref="H245:K245" si="98">SUM(H226:H243)</f>
        <v>9.9335992103502946</v>
      </c>
      <c r="I245" s="44">
        <f t="shared" si="98"/>
        <v>9.949313340488084</v>
      </c>
      <c r="J245" s="44">
        <f t="shared" si="98"/>
        <v>9.9686800465591077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20025.80143331784</v>
      </c>
      <c r="H246" s="8">
        <f t="shared" ref="H246:K246" si="100">EXP(H245)</f>
        <v>20611.391973563888</v>
      </c>
      <c r="I246" s="8">
        <f t="shared" si="100"/>
        <v>20937.840277353927</v>
      </c>
      <c r="J246" s="8">
        <f t="shared" si="100"/>
        <v>21347.289317809038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118.56183642569529</v>
      </c>
      <c r="H247" s="21">
        <f t="shared" ref="H247:K247" si="102">H137</f>
        <v>121.28045267236115</v>
      </c>
      <c r="I247" s="21">
        <f t="shared" si="102"/>
        <v>124.06140663679059</v>
      </c>
      <c r="J247" s="21">
        <f t="shared" si="102"/>
        <v>126.9026340952186</v>
      </c>
      <c r="K247" s="21">
        <f t="shared" si="102"/>
        <v>126.9026340952186</v>
      </c>
      <c r="L247" s="21">
        <f t="shared" ref="L247:M247" si="103">L137</f>
        <v>126.9026340952186</v>
      </c>
      <c r="M247" s="21">
        <f t="shared" si="103"/>
        <v>126.9026340952186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2374295.7938304842</v>
      </c>
      <c r="H248" s="8">
        <f t="shared" ref="H248:K248" si="104">H246*H247</f>
        <v>2499758.9487612997</v>
      </c>
      <c r="I248" s="8">
        <f t="shared" si="104"/>
        <v>2597577.9167449777</v>
      </c>
      <c r="J248" s="8">
        <f t="shared" si="104"/>
        <v>2709027.2452226891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2275167.3084274861</v>
      </c>
      <c r="H256" s="60">
        <f t="shared" ref="H256:K256" si="107">H121</f>
        <v>2395044.8535577892</v>
      </c>
      <c r="I256" s="60">
        <f t="shared" si="107"/>
        <v>2518570.592615515</v>
      </c>
      <c r="J256" s="60">
        <f t="shared" si="107"/>
        <v>2480120.1898024329</v>
      </c>
      <c r="K256" s="60">
        <f t="shared" si="107"/>
        <v>399725.72014479176</v>
      </c>
      <c r="L256" s="60">
        <f t="shared" ref="L256:M256" si="108">L121</f>
        <v>406966.0907901458</v>
      </c>
      <c r="M256" s="60">
        <f t="shared" si="108"/>
        <v>401635.5819228781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2374295.7938304842</v>
      </c>
      <c r="H257" s="60">
        <f t="shared" ref="H257:K257" si="110">H248</f>
        <v>2499758.9487612997</v>
      </c>
      <c r="I257" s="60">
        <f t="shared" si="110"/>
        <v>2597577.9167449777</v>
      </c>
      <c r="J257" s="60">
        <f t="shared" si="110"/>
        <v>2709027.2452226891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-99128.485402998049</v>
      </c>
      <c r="H258" s="25">
        <f t="shared" ref="H258:K258" si="113">H256-H257</f>
        <v>-104714.09520351049</v>
      </c>
      <c r="I258" s="25">
        <f t="shared" si="113"/>
        <v>-79007.324129462708</v>
      </c>
      <c r="J258" s="25">
        <f t="shared" si="113"/>
        <v>-228907.05542025622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-4.1750689050867033E-2</v>
      </c>
      <c r="H259" s="61">
        <f t="shared" ref="H259:K259" si="116">H258/H257</f>
        <v>-4.1889677104826141E-2</v>
      </c>
      <c r="I259" s="61">
        <f t="shared" si="116"/>
        <v>-3.0415766788034104E-2</v>
      </c>
      <c r="J259" s="61">
        <f t="shared" si="116"/>
        <v>-8.4497878647742969E-2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-4.264729379385946E-2</v>
      </c>
      <c r="H261" s="64">
        <f t="shared" ref="H261:K261" si="118">LN(H256/H257)</f>
        <v>-4.2792348043331478E-2</v>
      </c>
      <c r="I261" s="64">
        <f t="shared" si="118"/>
        <v>-3.0887924925573438E-2</v>
      </c>
      <c r="J261" s="64">
        <f t="shared" si="118"/>
        <v>-8.8282597718691999E-2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B1" sqref="B1:K26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3" t="s">
        <v>168</v>
      </c>
      <c r="D2" s="223"/>
      <c r="E2" s="223"/>
      <c r="F2" s="223"/>
      <c r="G2" s="223"/>
      <c r="H2" s="223"/>
      <c r="I2" s="223"/>
      <c r="J2" s="223"/>
      <c r="K2" s="223"/>
    </row>
    <row r="3" spans="3:17" s="92" customFormat="1" ht="22.5" customHeight="1" x14ac:dyDescent="0.25">
      <c r="C3" s="233" t="str">
        <f>'Model Inputs'!F5</f>
        <v>Sioux Lookout Hydro Inc.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5" hidden="1" x14ac:dyDescent="0.35">
      <c r="C4" s="89"/>
      <c r="D4" s="89"/>
      <c r="E4" s="89"/>
      <c r="F4" s="89"/>
      <c r="G4" s="89"/>
      <c r="H4" s="89"/>
      <c r="I4" s="89"/>
      <c r="J4" s="89"/>
      <c r="K4" s="89"/>
    </row>
    <row r="5" spans="3:17" hidden="1" x14ac:dyDescent="0.2"/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221" t="s">
        <v>185</v>
      </c>
      <c r="H7" s="14" t="s">
        <v>277</v>
      </c>
      <c r="I7" s="26" t="s">
        <v>186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2275167.3084274861</v>
      </c>
      <c r="G10" s="86">
        <f>'Benchmarking Calculations'!H121</f>
        <v>2395044.8535577892</v>
      </c>
      <c r="H10" s="86">
        <f>'Benchmarking Calculations'!I121</f>
        <v>2518570.592615515</v>
      </c>
      <c r="I10" s="91">
        <f>IF(ISNUMBER(I12),'Benchmarking Calculations'!J121,"na")</f>
        <v>2480120.1898024329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2374295.7938304842</v>
      </c>
      <c r="G12" s="86">
        <f>'Benchmarking Calculations'!H257</f>
        <v>2499758.9487612997</v>
      </c>
      <c r="H12" s="86">
        <f>'Benchmarking Calculations'!I257</f>
        <v>2597577.9167449777</v>
      </c>
      <c r="I12" s="91">
        <f>IF(ISNUMBER('Benchmarking Calculations'!J257),'Benchmarking Calculations'!J257,"na")</f>
        <v>2709027.2452226891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-99128.485402998049</v>
      </c>
      <c r="G14" s="86">
        <f t="shared" si="0"/>
        <v>-104714.09520351049</v>
      </c>
      <c r="H14" s="86">
        <f t="shared" si="0"/>
        <v>-79007.324129462708</v>
      </c>
      <c r="I14" s="91">
        <f>IF(ISNUMBER(I12),I10-I12,"na")</f>
        <v>-228907.05542025622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-4.264729379385946E-2</v>
      </c>
      <c r="G16" s="167">
        <f t="shared" ref="G16:H16" si="2">LN(G10/G12)</f>
        <v>-4.2792348043331478E-2</v>
      </c>
      <c r="H16" s="167">
        <f t="shared" si="2"/>
        <v>-3.0887924925573438E-2</v>
      </c>
      <c r="I16" s="148">
        <f>IF(ISNUMBER(I14),LN(I10/I12),"na")</f>
        <v>-8.8282597718691999E-2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-3.8775855587588122E-2</v>
      </c>
      <c r="I18" s="66">
        <f>IF(ISNUMBER(I16),AVERAGE(G16:I16),"na")</f>
        <v>-5.3987623562532304E-2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3</v>
      </c>
      <c r="G22" s="149">
        <f t="shared" ref="G22" si="5">IF(G16&lt;-0.25,1,IF(G16&lt;-0.1,2,IF(G16&lt;0.1,3,IF(G16&lt;0.25,4,5))))</f>
        <v>3</v>
      </c>
      <c r="H22" s="149">
        <f>IF($H$16&lt;-0.25,1,IF($H$16&lt;-0.1,2,IF($H$16&lt;0.1,3,IF($H$16&lt;0.25,4,5))))</f>
        <v>3</v>
      </c>
      <c r="I22" s="149">
        <f>IF(ISNUMBER(I16),IF(I16&lt;-0.25,1,IF(I16&lt;-0.1,2,IF(I16&lt;0.1,3,IF(I16&lt;0.25,4,5)))),"na")</f>
        <v>3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Results!Print_Area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SLH-Deanne</cp:lastModifiedBy>
  <cp:lastPrinted>2017-08-09T17:37:37Z</cp:lastPrinted>
  <dcterms:created xsi:type="dcterms:W3CDTF">2016-07-20T15:58:10Z</dcterms:created>
  <dcterms:modified xsi:type="dcterms:W3CDTF">2017-08-09T17:37:44Z</dcterms:modified>
</cp:coreProperties>
</file>