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8800" windowHeight="1191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_xlnm.Print_Area" localSheetId="2">Results!$B$1:$K$26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H29" i="4" l="1"/>
  <c r="J21" i="4" l="1"/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<sst xmlns="http://schemas.openxmlformats.org/spreadsheetml/2006/main" count="521" uniqueCount="278">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</sst>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A94" zoomScaleNormal="100" workbookViewId="0">
      <selection activeCell="H5" sqref="H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3" t="s">
        <v>190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5" ht="19.5" customHeight="1" x14ac:dyDescent="0.25">
      <c r="C3" s="224" t="str">
        <f>IF(F5="Click to Choose an LDC","",F5)</f>
        <v>Sioux Lookout Hydro Inc.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188</v>
      </c>
      <c r="E5" s="78"/>
      <c r="F5" s="146" t="s">
        <v>260</v>
      </c>
      <c r="G5" s="14" t="s">
        <v>175</v>
      </c>
      <c r="H5" s="14" t="s">
        <v>176</v>
      </c>
      <c r="I5" s="14" t="s">
        <v>174</v>
      </c>
      <c r="J5" s="225" t="s">
        <v>177</v>
      </c>
      <c r="K5" s="225"/>
      <c r="L5" s="225"/>
      <c r="M5" s="225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6"/>
      <c r="I8" s="226"/>
      <c r="J8" s="226"/>
      <c r="K8" s="226"/>
      <c r="L8" s="226"/>
      <c r="M8" s="226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300614.28000000003</v>
      </c>
      <c r="H9" s="125">
        <v>330819</v>
      </c>
      <c r="I9" s="125">
        <v>595354</v>
      </c>
      <c r="J9" s="125">
        <v>563329</v>
      </c>
      <c r="K9" s="125">
        <v>401256</v>
      </c>
      <c r="L9" s="125">
        <v>557468</v>
      </c>
      <c r="M9" s="125">
        <v>290833</v>
      </c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2780</v>
      </c>
      <c r="H13" s="125">
        <v>2795</v>
      </c>
      <c r="I13" s="125">
        <v>2802</v>
      </c>
      <c r="J13" s="125">
        <v>2809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79023519.439999998</v>
      </c>
      <c r="H14" s="125">
        <v>70815698</v>
      </c>
      <c r="I14" s="125">
        <v>75074033</v>
      </c>
      <c r="J14" s="125">
        <v>74373533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21167</v>
      </c>
      <c r="H15" s="125">
        <v>17931</v>
      </c>
      <c r="I15" s="125">
        <v>18633</v>
      </c>
      <c r="J15" s="125">
        <v>18633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191</v>
      </c>
      <c r="F16" s="26"/>
      <c r="G16" s="86">
        <f>'Benchmarking Calculations'!G99</f>
        <v>275</v>
      </c>
      <c r="H16" s="125">
        <v>275</v>
      </c>
      <c r="I16" s="125">
        <v>275</v>
      </c>
      <c r="J16" s="125">
        <v>275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7.246376811594203E-3</v>
      </c>
      <c r="H17" s="119">
        <v>7.1999999999999998E-3</v>
      </c>
      <c r="I17" s="119">
        <v>7.1999999999999998E-3</v>
      </c>
      <c r="J17" s="119">
        <v>7.1999999999999998E-3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6"/>
      <c r="I19" s="226"/>
      <c r="J19" s="226"/>
      <c r="K19" s="226"/>
      <c r="L19" s="226"/>
      <c r="M19" s="226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>
        <v>2.5600000000000001E-2</v>
      </c>
      <c r="K20" s="124"/>
      <c r="L20" s="124"/>
      <c r="M20" s="124"/>
      <c r="N20" s="78" t="s">
        <v>187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>
        <f>I21</f>
        <v>1.574491305654421E-2</v>
      </c>
      <c r="K21" s="124"/>
      <c r="L21" s="124"/>
      <c r="M21" s="124"/>
      <c r="N21" s="78" t="s">
        <v>187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6.5100000000000005E-2</v>
      </c>
      <c r="I22" s="124">
        <v>6.5100000000000005E-2</v>
      </c>
      <c r="J22" s="124">
        <v>6.5100000000000005E-2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192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197</v>
      </c>
      <c r="G27" s="51">
        <f>G35-G36+G37</f>
        <v>1399313.34</v>
      </c>
      <c r="H27" s="51">
        <f t="shared" ref="H27:M27" si="0">H35-H36+H37</f>
        <v>1509184</v>
      </c>
      <c r="I27" s="51">
        <f t="shared" si="0"/>
        <v>1594479</v>
      </c>
      <c r="J27" s="51">
        <f t="shared" si="0"/>
        <v>1522496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201</v>
      </c>
      <c r="G29" s="51">
        <f t="shared" ref="G29:M29" si="1">G115-G121+G122</f>
        <v>1399313.34</v>
      </c>
      <c r="H29" s="51">
        <f>H115-H121+H122</f>
        <v>1509183</v>
      </c>
      <c r="I29" s="51">
        <f t="shared" si="1"/>
        <v>1594479</v>
      </c>
      <c r="J29" s="51">
        <f t="shared" si="1"/>
        <v>1522496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1399313.34</v>
      </c>
      <c r="H31" s="51">
        <f t="shared" si="2"/>
        <v>1509184</v>
      </c>
      <c r="I31" s="51">
        <f t="shared" si="2"/>
        <v>1594479</v>
      </c>
      <c r="J31" s="51">
        <f t="shared" si="2"/>
        <v>1522496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2" t="s">
        <v>183</v>
      </c>
      <c r="I34" s="222"/>
      <c r="J34" s="222"/>
      <c r="K34" s="222"/>
      <c r="L34" s="222"/>
      <c r="M34" s="222"/>
      <c r="N34" s="155"/>
    </row>
    <row r="35" spans="2:14" x14ac:dyDescent="0.2">
      <c r="C35" s="154"/>
      <c r="D35" s="171" t="s">
        <v>194</v>
      </c>
      <c r="E35" s="26" t="s">
        <v>202</v>
      </c>
      <c r="F35" s="26"/>
      <c r="G35" s="85">
        <f>G115</f>
        <v>1384910.86</v>
      </c>
      <c r="H35" s="125">
        <v>1494782</v>
      </c>
      <c r="I35" s="125">
        <v>1580077</v>
      </c>
      <c r="J35" s="120">
        <v>1508094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195</v>
      </c>
      <c r="E36" s="26" t="s">
        <v>193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196</v>
      </c>
      <c r="E37" s="26" t="s">
        <v>83</v>
      </c>
      <c r="F37" s="26"/>
      <c r="G37" s="51">
        <f>G122</f>
        <v>14402.479999999996</v>
      </c>
      <c r="H37" s="125">
        <v>14402</v>
      </c>
      <c r="I37" s="125">
        <v>14402</v>
      </c>
      <c r="J37" s="120">
        <v>14402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/>
      <c r="I44" s="142"/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/>
      <c r="I45" s="142"/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/>
      <c r="I46" s="142"/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0</v>
      </c>
      <c r="H49" s="142"/>
      <c r="I49" s="142"/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/>
      <c r="I50" s="142"/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429182.79</v>
      </c>
      <c r="H51" s="142">
        <v>447765</v>
      </c>
      <c r="I51" s="142">
        <v>419149</v>
      </c>
      <c r="J51" s="143">
        <v>369335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80485</v>
      </c>
      <c r="H52" s="142">
        <v>81680</v>
      </c>
      <c r="I52" s="142">
        <v>96937</v>
      </c>
      <c r="J52" s="143">
        <v>125444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/>
      <c r="I54" s="142"/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/>
      <c r="I55" s="142"/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/>
      <c r="I56" s="142"/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0</v>
      </c>
      <c r="H57" s="142"/>
      <c r="I57" s="142"/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17062.57</v>
      </c>
      <c r="H60" s="142">
        <v>44709</v>
      </c>
      <c r="I60" s="142">
        <v>29070</v>
      </c>
      <c r="J60" s="143">
        <v>21055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/>
      <c r="I62" s="142"/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526730.36</v>
      </c>
      <c r="H64" s="81">
        <f>SUM(H44:H63)</f>
        <v>574154</v>
      </c>
      <c r="I64" s="81">
        <f t="shared" ref="I64:M64" si="3">SUM(I44:I63)</f>
        <v>545156</v>
      </c>
      <c r="J64" s="81">
        <f t="shared" si="3"/>
        <v>515834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0</v>
      </c>
      <c r="H65" s="142"/>
      <c r="I65" s="142"/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0</v>
      </c>
      <c r="H68" s="142"/>
      <c r="I68" s="142"/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35677.33</v>
      </c>
      <c r="H69" s="142">
        <v>45480</v>
      </c>
      <c r="I69" s="142">
        <v>55141</v>
      </c>
      <c r="J69" s="143">
        <v>49392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0</v>
      </c>
      <c r="H70" s="142"/>
      <c r="I70" s="142"/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0</v>
      </c>
      <c r="H71" s="142"/>
      <c r="I71" s="142"/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59774.95</v>
      </c>
      <c r="H72" s="142">
        <v>75683</v>
      </c>
      <c r="I72" s="142">
        <v>63829</v>
      </c>
      <c r="J72" s="143">
        <v>64978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0</v>
      </c>
      <c r="H73" s="142"/>
      <c r="I73" s="142"/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0</v>
      </c>
      <c r="H74" s="142">
        <v>2212</v>
      </c>
      <c r="I74" s="142">
        <v>15000</v>
      </c>
      <c r="J74" s="143">
        <v>15000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0</v>
      </c>
      <c r="H75" s="142"/>
      <c r="I75" s="142"/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5527.71</v>
      </c>
      <c r="H76" s="142">
        <v>4553</v>
      </c>
      <c r="I76" s="142">
        <v>15189</v>
      </c>
      <c r="J76" s="143">
        <v>13777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54527.81</v>
      </c>
      <c r="H77" s="142">
        <v>60583</v>
      </c>
      <c r="I77" s="142">
        <v>83397</v>
      </c>
      <c r="J77" s="143">
        <v>83170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155507.79999999999</v>
      </c>
      <c r="H78" s="81">
        <f>SUM(H65:H77)</f>
        <v>188511</v>
      </c>
      <c r="I78" s="81">
        <f t="shared" ref="I78:M78" si="4">SUM(I65:I77)</f>
        <v>232556</v>
      </c>
      <c r="J78" s="81">
        <f t="shared" si="4"/>
        <v>226317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4532.88</v>
      </c>
      <c r="H80" s="142">
        <v>2555</v>
      </c>
      <c r="I80" s="142">
        <v>5054</v>
      </c>
      <c r="J80" s="143">
        <v>5156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206117.41</v>
      </c>
      <c r="H81" s="142">
        <v>231194</v>
      </c>
      <c r="I81" s="142">
        <v>235545</v>
      </c>
      <c r="J81" s="143">
        <v>239700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95179.04</v>
      </c>
      <c r="H82" s="142">
        <v>92276</v>
      </c>
      <c r="I82" s="142">
        <v>79109</v>
      </c>
      <c r="J82" s="143">
        <v>80487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-6.6</v>
      </c>
      <c r="H83" s="142">
        <v>105</v>
      </c>
      <c r="I83" s="142"/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305822.73000000004</v>
      </c>
      <c r="H86" s="81">
        <f>SUM(H79:H85)</f>
        <v>326130</v>
      </c>
      <c r="I86" s="81">
        <f t="shared" ref="I86:M86" si="5">SUM(I79:I85)</f>
        <v>319708</v>
      </c>
      <c r="J86" s="81">
        <f t="shared" si="5"/>
        <v>325343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0</v>
      </c>
      <c r="H88" s="142"/>
      <c r="I88" s="142"/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19624.48</v>
      </c>
      <c r="H92" s="142">
        <v>9845</v>
      </c>
      <c r="I92" s="142">
        <v>12930</v>
      </c>
      <c r="J92" s="143">
        <v>12930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130214.68</v>
      </c>
      <c r="H93" s="142">
        <v>140247</v>
      </c>
      <c r="I93" s="142">
        <v>151176</v>
      </c>
      <c r="J93" s="143">
        <v>153735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80851.570000000007</v>
      </c>
      <c r="H94" s="142">
        <v>81374</v>
      </c>
      <c r="I94" s="142">
        <v>92821</v>
      </c>
      <c r="J94" s="143">
        <v>94579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7470.13</v>
      </c>
      <c r="H95" s="142">
        <v>8968</v>
      </c>
      <c r="I95" s="142">
        <v>7457</v>
      </c>
      <c r="J95" s="143">
        <v>7549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32307.02</v>
      </c>
      <c r="H97" s="142">
        <v>36361</v>
      </c>
      <c r="I97" s="142">
        <v>31500</v>
      </c>
      <c r="J97" s="143">
        <v>45540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8443.02</v>
      </c>
      <c r="H99" s="142">
        <v>8685</v>
      </c>
      <c r="I99" s="142"/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26500.82</v>
      </c>
      <c r="H103" s="142">
        <v>15117</v>
      </c>
      <c r="I103" s="142">
        <v>15223</v>
      </c>
      <c r="J103" s="143">
        <v>28461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46621.62</v>
      </c>
      <c r="H104" s="142">
        <v>55632</v>
      </c>
      <c r="I104" s="142">
        <v>123141</v>
      </c>
      <c r="J104" s="143">
        <v>48572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20731.919999999998</v>
      </c>
      <c r="H105" s="142">
        <v>21001</v>
      </c>
      <c r="I105" s="142">
        <v>21103</v>
      </c>
      <c r="J105" s="143">
        <v>21483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/>
      <c r="I107" s="142"/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2598.14</v>
      </c>
      <c r="H108" s="142">
        <v>2614</v>
      </c>
      <c r="I108" s="142">
        <v>2614</v>
      </c>
      <c r="J108" s="143">
        <v>2614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375363.4</v>
      </c>
      <c r="H109" s="81">
        <f>SUM(H92:H108)</f>
        <v>379844</v>
      </c>
      <c r="I109" s="81">
        <f t="shared" ref="I109:M109" si="7">SUM(I92:I108)</f>
        <v>457965</v>
      </c>
      <c r="J109" s="81">
        <f t="shared" si="7"/>
        <v>415463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21486.57</v>
      </c>
      <c r="H110" s="142">
        <v>24229</v>
      </c>
      <c r="I110" s="142">
        <v>23552</v>
      </c>
      <c r="J110" s="143">
        <v>23977</v>
      </c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21486.57</v>
      </c>
      <c r="H112" s="81">
        <f>H110+H111</f>
        <v>24229</v>
      </c>
      <c r="I112" s="81">
        <f t="shared" ref="I112:M112" si="8">I110+I111</f>
        <v>23552</v>
      </c>
      <c r="J112" s="81">
        <f t="shared" si="8"/>
        <v>23977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v>1913</v>
      </c>
      <c r="I113" s="142">
        <v>1140</v>
      </c>
      <c r="J113" s="143">
        <v>1160</v>
      </c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1913</v>
      </c>
      <c r="I114" s="81">
        <f t="shared" ref="I114:M114" si="9">I113</f>
        <v>1140</v>
      </c>
      <c r="J114" s="81">
        <f t="shared" si="9"/>
        <v>1160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198</v>
      </c>
      <c r="F115" s="80" t="s">
        <v>80</v>
      </c>
      <c r="G115" s="58">
        <f>'Benchmarking Calculations'!G81</f>
        <v>1384910.86</v>
      </c>
      <c r="H115" s="81">
        <f>H114+H112+H109+H91+H86+H78+H64</f>
        <v>1494781</v>
      </c>
      <c r="I115" s="81">
        <f t="shared" ref="I115:M115" si="10">I114+I112+I109+I91+I86+I78+I64</f>
        <v>1580077</v>
      </c>
      <c r="J115" s="81">
        <f t="shared" si="10"/>
        <v>1508094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199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200</v>
      </c>
      <c r="F122" s="80" t="s">
        <v>83</v>
      </c>
      <c r="G122" s="110">
        <f>'Benchmarking Calculations'!G88</f>
        <v>14402.479999999996</v>
      </c>
      <c r="H122" s="176">
        <v>14402</v>
      </c>
      <c r="I122" s="176">
        <v>14402</v>
      </c>
      <c r="J122" s="176">
        <v>14402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G30" sqref="G3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8" t="s">
        <v>1</v>
      </c>
      <c r="C3" s="228"/>
      <c r="D3" s="101"/>
      <c r="E3" s="102" t="str">
        <f>'Model Inputs'!F5</f>
        <v>Sioux Lookout Hydro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4" t="s">
        <v>203</v>
      </c>
      <c r="R3" s="184" t="s">
        <v>205</v>
      </c>
      <c r="S3" s="184" t="s">
        <v>206</v>
      </c>
      <c r="T3" s="184" t="s">
        <v>207</v>
      </c>
      <c r="U3" s="184" t="s">
        <v>208</v>
      </c>
      <c r="V3" s="184" t="s">
        <v>209</v>
      </c>
      <c r="W3" s="184" t="s">
        <v>210</v>
      </c>
      <c r="X3" s="184" t="s">
        <v>211</v>
      </c>
      <c r="Y3" s="184" t="s">
        <v>212</v>
      </c>
      <c r="Z3" s="184" t="s">
        <v>213</v>
      </c>
      <c r="AA3" s="184" t="s">
        <v>214</v>
      </c>
      <c r="AB3" s="184" t="s">
        <v>215</v>
      </c>
      <c r="AC3" s="184" t="s">
        <v>216</v>
      </c>
      <c r="AD3" s="184" t="s">
        <v>217</v>
      </c>
      <c r="AE3" s="184" t="s">
        <v>218</v>
      </c>
      <c r="AF3" s="184" t="s">
        <v>219</v>
      </c>
      <c r="AG3" s="184" t="s">
        <v>220</v>
      </c>
      <c r="AH3" s="184" t="s">
        <v>221</v>
      </c>
      <c r="AI3" s="184" t="s">
        <v>222</v>
      </c>
      <c r="AJ3" s="184" t="s">
        <v>223</v>
      </c>
      <c r="AK3" s="184" t="s">
        <v>224</v>
      </c>
      <c r="AL3" s="184" t="s">
        <v>225</v>
      </c>
      <c r="AM3" s="184" t="s">
        <v>226</v>
      </c>
      <c r="AN3" s="184" t="s">
        <v>227</v>
      </c>
      <c r="AO3" s="184" t="s">
        <v>228</v>
      </c>
      <c r="AP3" s="184" t="s">
        <v>229</v>
      </c>
      <c r="AQ3" s="184" t="s">
        <v>230</v>
      </c>
      <c r="AR3" s="184" t="s">
        <v>231</v>
      </c>
      <c r="AS3" s="184" t="s">
        <v>232</v>
      </c>
      <c r="AT3" s="184" t="s">
        <v>233</v>
      </c>
      <c r="AU3" s="184" t="s">
        <v>234</v>
      </c>
      <c r="AV3" s="184" t="s">
        <v>235</v>
      </c>
      <c r="AW3" s="184" t="s">
        <v>236</v>
      </c>
      <c r="AX3" s="184" t="s">
        <v>273</v>
      </c>
      <c r="AY3" s="184" t="s">
        <v>237</v>
      </c>
      <c r="AZ3" s="184" t="s">
        <v>238</v>
      </c>
      <c r="BA3" s="184" t="s">
        <v>239</v>
      </c>
      <c r="BB3" s="184" t="s">
        <v>240</v>
      </c>
      <c r="BC3" s="184" t="s">
        <v>241</v>
      </c>
      <c r="BD3" s="184" t="s">
        <v>242</v>
      </c>
      <c r="BE3" s="184" t="s">
        <v>243</v>
      </c>
      <c r="BF3" s="184" t="s">
        <v>244</v>
      </c>
      <c r="BG3" s="184" t="s">
        <v>245</v>
      </c>
      <c r="BH3" s="184" t="s">
        <v>246</v>
      </c>
      <c r="BI3" s="184" t="s">
        <v>247</v>
      </c>
      <c r="BJ3" s="184" t="s">
        <v>248</v>
      </c>
      <c r="BK3" s="184" t="s">
        <v>249</v>
      </c>
      <c r="BL3" s="184" t="s">
        <v>250</v>
      </c>
      <c r="BM3" s="184" t="s">
        <v>251</v>
      </c>
      <c r="BN3" s="184" t="s">
        <v>252</v>
      </c>
      <c r="BO3" s="184" t="s">
        <v>253</v>
      </c>
      <c r="BP3" s="184" t="s">
        <v>254</v>
      </c>
      <c r="BQ3" s="184" t="s">
        <v>255</v>
      </c>
      <c r="BR3" s="184" t="s">
        <v>256</v>
      </c>
      <c r="BS3" s="184" t="s">
        <v>257</v>
      </c>
      <c r="BT3" s="184" t="s">
        <v>258</v>
      </c>
      <c r="BU3" s="184" t="s">
        <v>259</v>
      </c>
      <c r="BV3" s="184" t="s">
        <v>260</v>
      </c>
      <c r="BW3" s="184" t="s">
        <v>261</v>
      </c>
      <c r="BX3" s="184" t="s">
        <v>262</v>
      </c>
      <c r="BY3" s="184" t="s">
        <v>263</v>
      </c>
      <c r="BZ3" s="184" t="s">
        <v>264</v>
      </c>
      <c r="CA3" s="184" t="s">
        <v>265</v>
      </c>
      <c r="CB3" s="184" t="s">
        <v>266</v>
      </c>
      <c r="CC3" s="184" t="s">
        <v>267</v>
      </c>
      <c r="CD3" s="184" t="s">
        <v>268</v>
      </c>
      <c r="CE3" s="184" t="s">
        <v>269</v>
      </c>
      <c r="CF3" s="184" t="s">
        <v>270</v>
      </c>
      <c r="CG3" s="184" t="s">
        <v>271</v>
      </c>
      <c r="CH3" s="184" t="s">
        <v>272</v>
      </c>
      <c r="CI3" s="184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5">
      <c r="E4" s="5"/>
      <c r="F4" s="229"/>
      <c r="G4" s="230"/>
      <c r="H4" s="231" t="s">
        <v>2</v>
      </c>
      <c r="I4" s="232"/>
      <c r="J4" s="232"/>
      <c r="K4" s="232"/>
      <c r="L4" s="232"/>
      <c r="M4" s="23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274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429182.79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80485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17062.57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526730.36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35677.33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59774.95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5527.71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54527.81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155507.79999999999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4532.88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206117.41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95179.04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-6.6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305822.73000000004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19624.48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130214.68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80851.570000000007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7470.13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32307.02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8443.02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26500.82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46621.62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20731.919999999998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2598.14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375363.4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21486.57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21486.57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1384910.86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14402.479999999996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1399313.34</v>
      </c>
      <c r="H89" s="186">
        <f>'Model Inputs'!H31</f>
        <v>1509184</v>
      </c>
      <c r="I89" s="187">
        <f>'Model Inputs'!I31</f>
        <v>1594479</v>
      </c>
      <c r="J89" s="187">
        <f>'Model Inputs'!J31</f>
        <v>1522496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300614.28000000003</v>
      </c>
      <c r="H92" s="186">
        <f>'Model Inputs'!H9</f>
        <v>330819</v>
      </c>
      <c r="I92" s="187">
        <f>'Model Inputs'!I9</f>
        <v>595354</v>
      </c>
      <c r="J92" s="187">
        <f>'Model Inputs'!J9</f>
        <v>563329</v>
      </c>
      <c r="K92" s="187">
        <f>'Model Inputs'!K9</f>
        <v>401256</v>
      </c>
      <c r="L92" s="187">
        <f>'Model Inputs'!L9</f>
        <v>557468</v>
      </c>
      <c r="M92" s="188">
        <f>'Model Inputs'!M9</f>
        <v>290833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2780</v>
      </c>
      <c r="H96" s="186">
        <f>'Model Inputs'!H13</f>
        <v>2795</v>
      </c>
      <c r="I96" s="187">
        <f>'Model Inputs'!I13</f>
        <v>2802</v>
      </c>
      <c r="J96" s="187">
        <f>'Model Inputs'!J13</f>
        <v>2809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79023519.439999998</v>
      </c>
      <c r="H97" s="186">
        <f>'Model Inputs'!H14</f>
        <v>70815698</v>
      </c>
      <c r="I97" s="187">
        <f>'Model Inputs'!I14</f>
        <v>75074033</v>
      </c>
      <c r="J97" s="187">
        <f>'Model Inputs'!J14</f>
        <v>74373533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21167</v>
      </c>
      <c r="H98" s="186">
        <f>'Model Inputs'!H15</f>
        <v>17931</v>
      </c>
      <c r="I98" s="187">
        <f>'Model Inputs'!I15</f>
        <v>18633</v>
      </c>
      <c r="J98" s="187">
        <f>'Model Inputs'!J15</f>
        <v>18633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275</v>
      </c>
      <c r="H99" s="186">
        <f>'Model Inputs'!H16</f>
        <v>275</v>
      </c>
      <c r="I99" s="187">
        <f>'Model Inputs'!I16</f>
        <v>275</v>
      </c>
      <c r="J99" s="187">
        <f>'Model Inputs'!J16</f>
        <v>275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1399313.34</v>
      </c>
      <c r="H107" s="29">
        <f t="shared" ref="H107:K107" si="4">H89</f>
        <v>1509184</v>
      </c>
      <c r="I107" s="29">
        <f t="shared" si="4"/>
        <v>1594479</v>
      </c>
      <c r="J107" s="29">
        <f t="shared" si="4"/>
        <v>1522496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6.5100000000000005E-2</v>
      </c>
      <c r="I110" s="202">
        <f>'Model Inputs'!I22</f>
        <v>6.5100000000000005E-2</v>
      </c>
      <c r="J110" s="202">
        <f>'Model Inputs'!J22</f>
        <v>6.5100000000000005E-2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171.00798788639747</v>
      </c>
      <c r="K112" s="205">
        <f>J112*EXP('Model Inputs'!K21)</f>
        <v>171.00798788639747</v>
      </c>
      <c r="L112" s="205">
        <f>K112*EXP('Model Inputs'!L21)</f>
        <v>171.00798788639747</v>
      </c>
      <c r="M112" s="206">
        <f>L112*EXP('Model Inputs'!M21)</f>
        <v>171.00798788639747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18.224945241791218</v>
      </c>
      <c r="I113" s="29">
        <f t="shared" si="7"/>
        <v>18.514166325637145</v>
      </c>
      <c r="J113" s="29">
        <f t="shared" si="7"/>
        <v>18.807977208477315</v>
      </c>
      <c r="K113" s="29">
        <f t="shared" si="7"/>
        <v>7.8492666439856444</v>
      </c>
      <c r="L113" s="29">
        <f t="shared" si="7"/>
        <v>7.8492666439856444</v>
      </c>
      <c r="M113" s="29">
        <f t="shared" si="7"/>
        <v>7.8492666439856444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300614.28000000003</v>
      </c>
      <c r="H114" s="207">
        <f>H92</f>
        <v>330819</v>
      </c>
      <c r="I114" s="208">
        <f t="shared" ref="I114:L114" si="8">I92</f>
        <v>595354</v>
      </c>
      <c r="J114" s="208">
        <f t="shared" si="8"/>
        <v>563329</v>
      </c>
      <c r="K114" s="208">
        <f t="shared" si="8"/>
        <v>401256</v>
      </c>
      <c r="L114" s="208">
        <f t="shared" si="8"/>
        <v>557468</v>
      </c>
      <c r="M114" s="209">
        <f t="shared" ref="M114" si="9">M92</f>
        <v>290833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1842.9221781389192</v>
      </c>
      <c r="H116" s="8">
        <f t="shared" ref="H116:K116" si="12">(H114-H115)/H112</f>
        <v>1996.4107752383782</v>
      </c>
      <c r="I116" s="8">
        <f t="shared" si="12"/>
        <v>3536.6884791703415</v>
      </c>
      <c r="J116" s="8">
        <f t="shared" si="12"/>
        <v>3294.1677576735524</v>
      </c>
      <c r="K116" s="8">
        <f t="shared" si="12"/>
        <v>2346.416708128037</v>
      </c>
      <c r="L116" s="8">
        <f t="shared" ref="L116:M116" si="13">(L114-L115)/L112</f>
        <v>3259.894504871505</v>
      </c>
      <c r="M116" s="8">
        <f t="shared" si="13"/>
        <v>1700.6983334205629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2261.5682422580767</v>
      </c>
      <c r="H117" s="25">
        <f t="shared" ref="H117:M117" si="14">H111*G118</f>
        <v>2242.3523879150075</v>
      </c>
      <c r="I117" s="25">
        <f t="shared" si="14"/>
        <v>2231.0636678931501</v>
      </c>
      <c r="J117" s="25">
        <f t="shared" si="14"/>
        <v>2290.9918467307734</v>
      </c>
      <c r="K117" s="25">
        <f t="shared" si="14"/>
        <v>2337.0376210430468</v>
      </c>
      <c r="L117" s="25">
        <f t="shared" si="14"/>
        <v>2337.4681211402481</v>
      </c>
      <c r="M117" s="25">
        <f t="shared" si="14"/>
        <v>2379.8074921535126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48852.993200762685</v>
      </c>
      <c r="H118" s="25">
        <f t="shared" ref="H118:M118" si="15">G118+H116-H117</f>
        <v>48607.051588086055</v>
      </c>
      <c r="I118" s="25">
        <f t="shared" si="15"/>
        <v>49912.676399363248</v>
      </c>
      <c r="J118" s="25">
        <f t="shared" si="15"/>
        <v>50915.852310306029</v>
      </c>
      <c r="K118" s="25">
        <f t="shared" si="15"/>
        <v>50925.23139739102</v>
      </c>
      <c r="L118" s="25">
        <f t="shared" si="15"/>
        <v>51847.657781122274</v>
      </c>
      <c r="M118" s="25">
        <f t="shared" si="15"/>
        <v>51168.548622389324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875853.96842748602</v>
      </c>
      <c r="H119" s="25">
        <f t="shared" ref="H119:K119" si="16">H113*H118</f>
        <v>885860.85355778923</v>
      </c>
      <c r="I119" s="25">
        <f t="shared" si="16"/>
        <v>924091.59261551488</v>
      </c>
      <c r="J119" s="25">
        <f t="shared" si="16"/>
        <v>957624.18980243278</v>
      </c>
      <c r="K119" s="25">
        <f t="shared" si="16"/>
        <v>399725.72014479176</v>
      </c>
      <c r="L119" s="25">
        <f t="shared" ref="L119:M119" si="17">L113*L118</f>
        <v>406966.0907901458</v>
      </c>
      <c r="M119" s="25">
        <f t="shared" si="17"/>
        <v>401635.5819228781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2275167.3084274861</v>
      </c>
      <c r="H121" s="25">
        <f t="shared" ref="H121:K121" si="18">H107+H119</f>
        <v>2395044.8535577892</v>
      </c>
      <c r="I121" s="25">
        <f t="shared" si="18"/>
        <v>2518570.592615515</v>
      </c>
      <c r="J121" s="25">
        <f t="shared" si="18"/>
        <v>2480120.1898024329</v>
      </c>
      <c r="K121" s="25">
        <f t="shared" si="18"/>
        <v>399725.72014479176</v>
      </c>
      <c r="L121" s="25">
        <f t="shared" ref="L121:M121" si="19">L107+L119</f>
        <v>406966.0907901458</v>
      </c>
      <c r="M121" s="25">
        <f t="shared" si="19"/>
        <v>401635.5819228781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2780</v>
      </c>
      <c r="H128" s="8">
        <f t="shared" ref="H128:K130" si="20">H96</f>
        <v>2795</v>
      </c>
      <c r="I128" s="8">
        <f t="shared" si="20"/>
        <v>2802</v>
      </c>
      <c r="J128" s="8">
        <f t="shared" si="20"/>
        <v>2809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79023519.439999998</v>
      </c>
      <c r="H129" s="39">
        <f t="shared" si="20"/>
        <v>70815698</v>
      </c>
      <c r="I129" s="39">
        <f t="shared" si="20"/>
        <v>75074033</v>
      </c>
      <c r="J129" s="39">
        <f t="shared" si="20"/>
        <v>74373533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21167</v>
      </c>
      <c r="H130" s="8">
        <f t="shared" si="20"/>
        <v>17931</v>
      </c>
      <c r="I130" s="8">
        <f t="shared" si="20"/>
        <v>18633</v>
      </c>
      <c r="J130" s="8">
        <f t="shared" si="20"/>
        <v>18633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22753</v>
      </c>
      <c r="H131" s="8">
        <f t="shared" ref="H131:M131" si="24">MAX(G131,H130)</f>
        <v>22753</v>
      </c>
      <c r="I131" s="8">
        <f t="shared" si="24"/>
        <v>22753</v>
      </c>
      <c r="J131" s="8">
        <f t="shared" si="24"/>
        <v>22753</v>
      </c>
      <c r="K131" s="8">
        <f t="shared" si="24"/>
        <v>22753</v>
      </c>
      <c r="L131" s="8">
        <f t="shared" si="24"/>
        <v>22753</v>
      </c>
      <c r="M131" s="8">
        <f t="shared" si="24"/>
        <v>22753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120.79821124012295</v>
      </c>
      <c r="K134" s="214">
        <f>J134*EXP('Model Inputs'!K21)</f>
        <v>120.79821124012295</v>
      </c>
      <c r="L134" s="214">
        <f>K134*EXP('Model Inputs'!L21)</f>
        <v>120.79821124012295</v>
      </c>
      <c r="M134" s="215">
        <f>L134*EXP('Model Inputs'!M21)</f>
        <v>120.79821124012295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1039.6627436514473</v>
      </c>
      <c r="K135" s="217">
        <f>J135*EXP('Model Inputs'!K20)</f>
        <v>1039.6627436514473</v>
      </c>
      <c r="L135" s="217">
        <f>K135*EXP('Model Inputs'!L20)</f>
        <v>1039.6627436514473</v>
      </c>
      <c r="M135" s="218">
        <f>L135*EXP('Model Inputs'!M20)</f>
        <v>1039.6627436514473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2.2643473916963336E-2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118.56183642569529</v>
      </c>
      <c r="H137" s="29">
        <f t="shared" ref="H137:M137" si="26">G137*EXP(H136)</f>
        <v>121.28045267236115</v>
      </c>
      <c r="I137" s="29">
        <f t="shared" si="26"/>
        <v>124.06140663679059</v>
      </c>
      <c r="J137" s="29">
        <f t="shared" si="26"/>
        <v>126.9026340952186</v>
      </c>
      <c r="K137" s="29">
        <f t="shared" si="26"/>
        <v>126.9026340952186</v>
      </c>
      <c r="L137" s="29">
        <f t="shared" si="26"/>
        <v>126.9026340952186</v>
      </c>
      <c r="M137" s="29">
        <f t="shared" si="26"/>
        <v>126.9026340952186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18.224945241791218</v>
      </c>
      <c r="I139" s="29">
        <f t="shared" si="27"/>
        <v>18.514166325637145</v>
      </c>
      <c r="J139" s="29">
        <f t="shared" si="27"/>
        <v>18.807977208477315</v>
      </c>
      <c r="K139" s="29">
        <f t="shared" si="27"/>
        <v>7.8492666439856444</v>
      </c>
      <c r="L139" s="29">
        <f t="shared" ref="L139:M139" si="28">L113</f>
        <v>7.8492666439856444</v>
      </c>
      <c r="M139" s="29">
        <f t="shared" si="28"/>
        <v>7.8492666439856444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275</v>
      </c>
      <c r="H142" s="42">
        <f>'Model Inputs'!H16</f>
        <v>275</v>
      </c>
      <c r="I142" s="42">
        <f>'Model Inputs'!I16</f>
        <v>275</v>
      </c>
      <c r="J142" s="42">
        <f>'Model Inputs'!J16</f>
        <v>275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235.8857142857143</v>
      </c>
      <c r="H143" s="41">
        <f>(G143*14+H142)/15</f>
        <v>238.49333333333334</v>
      </c>
      <c r="I143" s="41">
        <f>(H143*15+I142)/16</f>
        <v>240.77500000000001</v>
      </c>
      <c r="J143" s="41">
        <f>(I143*16+J142)/17</f>
        <v>242.78823529411761</v>
      </c>
      <c r="K143" s="41">
        <f>(J143*17+K142)/18</f>
        <v>229.29999999999998</v>
      </c>
      <c r="L143" s="41">
        <f>(K143*17+L142)/18</f>
        <v>216.5611111111111</v>
      </c>
      <c r="M143" s="41">
        <f>(L143*17+M142)/18</f>
        <v>204.52993827160492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2760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7.246376811594203E-3</v>
      </c>
      <c r="H145" s="30">
        <f>'Model Inputs'!H17</f>
        <v>7.1999999999999998E-3</v>
      </c>
      <c r="I145" s="30">
        <f>'Model Inputs'!I17</f>
        <v>7.1999999999999998E-3</v>
      </c>
      <c r="J145" s="30">
        <f>'Model Inputs'!J17</f>
        <v>7.1999999999999998E-3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0.15121525515716414</v>
      </c>
      <c r="H152" s="44">
        <f t="shared" ref="H152:K152" si="31">H113/H137</f>
        <v>0.15027108524261418</v>
      </c>
      <c r="I152" s="44">
        <f t="shared" si="31"/>
        <v>0.14923389011572549</v>
      </c>
      <c r="J152" s="44">
        <f t="shared" si="31"/>
        <v>0.14820793392172743</v>
      </c>
      <c r="K152" s="44">
        <f t="shared" si="31"/>
        <v>6.1852669173881131E-2</v>
      </c>
      <c r="L152" s="44">
        <f t="shared" ref="L152:M152" si="32">L113/L137</f>
        <v>6.1852669173881131E-2</v>
      </c>
      <c r="M152" s="44">
        <f t="shared" si="32"/>
        <v>6.1852669173881131E-2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2780</v>
      </c>
      <c r="H153" s="25">
        <f t="shared" ref="H153:K153" si="33">H96</f>
        <v>2795</v>
      </c>
      <c r="I153" s="25">
        <f t="shared" si="33"/>
        <v>2802</v>
      </c>
      <c r="J153" s="25">
        <f t="shared" si="33"/>
        <v>2809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22753</v>
      </c>
      <c r="H154" s="25">
        <f t="shared" ref="H154:K154" si="35">H131</f>
        <v>22753</v>
      </c>
      <c r="I154" s="25">
        <f t="shared" si="35"/>
        <v>22753</v>
      </c>
      <c r="J154" s="25">
        <f t="shared" si="35"/>
        <v>22753</v>
      </c>
      <c r="K154" s="25">
        <f t="shared" si="35"/>
        <v>22753</v>
      </c>
      <c r="L154" s="25">
        <f t="shared" ref="L154:M154" si="36">L131</f>
        <v>22753</v>
      </c>
      <c r="M154" s="25">
        <f t="shared" si="36"/>
        <v>22753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79023519.439999998</v>
      </c>
      <c r="H155" s="39">
        <f t="shared" ref="H155:K155" si="37">H97</f>
        <v>70815698</v>
      </c>
      <c r="I155" s="39">
        <f t="shared" si="37"/>
        <v>75074033</v>
      </c>
      <c r="J155" s="39">
        <f t="shared" si="37"/>
        <v>74373533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235.8857142857143</v>
      </c>
      <c r="H156" s="45">
        <f t="shared" ref="H156:K156" si="39">H143</f>
        <v>238.49333333333334</v>
      </c>
      <c r="I156" s="45">
        <f t="shared" si="39"/>
        <v>240.77500000000001</v>
      </c>
      <c r="J156" s="45">
        <f t="shared" si="39"/>
        <v>242.78823529411761</v>
      </c>
      <c r="K156" s="45">
        <f t="shared" si="39"/>
        <v>229.29999999999998</v>
      </c>
      <c r="L156" s="45">
        <f t="shared" ref="L156:M156" si="40">L143</f>
        <v>216.5611111111111</v>
      </c>
      <c r="M156" s="45">
        <f t="shared" si="40"/>
        <v>204.52993827160492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7.246376811594203E-3</v>
      </c>
      <c r="H157" s="31">
        <f t="shared" ref="H157:L157" si="41">H145</f>
        <v>7.1999999999999998E-3</v>
      </c>
      <c r="I157" s="31">
        <f t="shared" si="41"/>
        <v>7.1999999999999998E-3</v>
      </c>
      <c r="J157" s="31">
        <f t="shared" si="41"/>
        <v>7.1999999999999998E-3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12.814570121024731</v>
      </c>
      <c r="H162" s="49">
        <f t="shared" ref="H162:M179" si="45">G162</f>
        <v>12.814570121024731</v>
      </c>
      <c r="I162" s="49">
        <f t="shared" si="45"/>
        <v>12.814570121024731</v>
      </c>
      <c r="J162" s="49">
        <f t="shared" si="45"/>
        <v>12.814570121024731</v>
      </c>
      <c r="K162" s="49">
        <f t="shared" si="45"/>
        <v>12.814570121024731</v>
      </c>
      <c r="L162" s="49">
        <f t="shared" si="45"/>
        <v>12.814570121024731</v>
      </c>
      <c r="M162" s="49">
        <f t="shared" si="45"/>
        <v>12.814570121024731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0.62666654379396858</v>
      </c>
      <c r="H163" s="49">
        <f t="shared" si="45"/>
        <v>0.62666654379396858</v>
      </c>
      <c r="I163" s="49">
        <f t="shared" si="45"/>
        <v>0.62666654379396858</v>
      </c>
      <c r="J163" s="49">
        <f t="shared" si="45"/>
        <v>0.62666654379396858</v>
      </c>
      <c r="K163" s="49">
        <f t="shared" si="45"/>
        <v>0.62666654379396858</v>
      </c>
      <c r="L163" s="49">
        <f t="shared" si="45"/>
        <v>0.62666654379396858</v>
      </c>
      <c r="M163" s="49">
        <f t="shared" si="45"/>
        <v>0.62666654379396858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0.44556299156779983</v>
      </c>
      <c r="H164" s="49">
        <f t="shared" si="45"/>
        <v>0.44556299156779983</v>
      </c>
      <c r="I164" s="49">
        <f t="shared" si="45"/>
        <v>0.44556299156779983</v>
      </c>
      <c r="J164" s="49">
        <f t="shared" si="45"/>
        <v>0.44556299156779983</v>
      </c>
      <c r="K164" s="49">
        <f t="shared" si="45"/>
        <v>0.44556299156779983</v>
      </c>
      <c r="L164" s="49">
        <f t="shared" si="45"/>
        <v>0.44556299156779983</v>
      </c>
      <c r="M164" s="49">
        <f t="shared" si="45"/>
        <v>0.44556299156779983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0.15984140060233723</v>
      </c>
      <c r="H165" s="49">
        <f t="shared" si="45"/>
        <v>0.15984140060233723</v>
      </c>
      <c r="I165" s="49">
        <f t="shared" si="45"/>
        <v>0.15984140060233723</v>
      </c>
      <c r="J165" s="49">
        <f t="shared" si="45"/>
        <v>0.15984140060233723</v>
      </c>
      <c r="K165" s="49">
        <f t="shared" si="45"/>
        <v>0.15984140060233723</v>
      </c>
      <c r="L165" s="49">
        <f t="shared" si="45"/>
        <v>0.15984140060233723</v>
      </c>
      <c r="M165" s="49">
        <f t="shared" si="45"/>
        <v>0.15984140060233723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0.10708229676935903</v>
      </c>
      <c r="H166" s="49">
        <f t="shared" si="45"/>
        <v>0.10708229676935903</v>
      </c>
      <c r="I166" s="49">
        <f t="shared" si="45"/>
        <v>0.10708229676935903</v>
      </c>
      <c r="J166" s="49">
        <f t="shared" si="45"/>
        <v>0.10708229676935903</v>
      </c>
      <c r="K166" s="49">
        <f t="shared" si="45"/>
        <v>0.10708229676935903</v>
      </c>
      <c r="L166" s="49">
        <f t="shared" si="45"/>
        <v>0.10708229676935903</v>
      </c>
      <c r="M166" s="49">
        <f t="shared" si="45"/>
        <v>0.10708229676935903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0.12342821347674704</v>
      </c>
      <c r="H167" s="49">
        <f t="shared" si="45"/>
        <v>0.12342821347674704</v>
      </c>
      <c r="I167" s="49">
        <f t="shared" si="45"/>
        <v>0.12342821347674704</v>
      </c>
      <c r="J167" s="49">
        <f t="shared" si="45"/>
        <v>0.12342821347674704</v>
      </c>
      <c r="K167" s="49">
        <f t="shared" si="45"/>
        <v>0.12342821347674704</v>
      </c>
      <c r="L167" s="49">
        <f t="shared" si="45"/>
        <v>0.12342821347674704</v>
      </c>
      <c r="M167" s="49">
        <f t="shared" si="45"/>
        <v>0.12342821347674704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-0.33851096182861345</v>
      </c>
      <c r="H168" s="49">
        <f t="shared" si="45"/>
        <v>-0.33851096182861345</v>
      </c>
      <c r="I168" s="49">
        <f t="shared" si="45"/>
        <v>-0.33851096182861345</v>
      </c>
      <c r="J168" s="49">
        <f t="shared" si="45"/>
        <v>-0.33851096182861345</v>
      </c>
      <c r="K168" s="49">
        <f t="shared" si="45"/>
        <v>-0.33851096182861345</v>
      </c>
      <c r="L168" s="49">
        <f t="shared" si="45"/>
        <v>-0.33851096182861345</v>
      </c>
      <c r="M168" s="49">
        <f t="shared" si="45"/>
        <v>-0.33851096182861345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0.17481390584244072</v>
      </c>
      <c r="H169" s="49">
        <f t="shared" si="45"/>
        <v>0.17481390584244072</v>
      </c>
      <c r="I169" s="49">
        <f t="shared" si="45"/>
        <v>0.17481390584244072</v>
      </c>
      <c r="J169" s="49">
        <f t="shared" si="45"/>
        <v>0.17481390584244072</v>
      </c>
      <c r="K169" s="49">
        <f t="shared" si="45"/>
        <v>0.17481390584244072</v>
      </c>
      <c r="L169" s="49">
        <f t="shared" si="45"/>
        <v>0.17481390584244072</v>
      </c>
      <c r="M169" s="49">
        <f t="shared" si="45"/>
        <v>0.17481390584244072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0.17654307212838749</v>
      </c>
      <c r="H170" s="49">
        <f t="shared" si="45"/>
        <v>0.17654307212838749</v>
      </c>
      <c r="I170" s="49">
        <f t="shared" si="45"/>
        <v>0.17654307212838749</v>
      </c>
      <c r="J170" s="49">
        <f t="shared" si="45"/>
        <v>0.17654307212838749</v>
      </c>
      <c r="K170" s="49">
        <f t="shared" si="45"/>
        <v>0.17654307212838749</v>
      </c>
      <c r="L170" s="49">
        <f t="shared" si="45"/>
        <v>0.17654307212838749</v>
      </c>
      <c r="M170" s="49">
        <f t="shared" si="45"/>
        <v>0.17654307212838749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5.4131604166514968E-2</v>
      </c>
      <c r="H171" s="49">
        <f t="shared" si="45"/>
        <v>5.4131604166514968E-2</v>
      </c>
      <c r="I171" s="49">
        <f t="shared" si="45"/>
        <v>5.4131604166514968E-2</v>
      </c>
      <c r="J171" s="49">
        <f t="shared" si="45"/>
        <v>5.4131604166514968E-2</v>
      </c>
      <c r="K171" s="49">
        <f t="shared" si="45"/>
        <v>5.4131604166514968E-2</v>
      </c>
      <c r="L171" s="49">
        <f t="shared" si="45"/>
        <v>5.4131604166514968E-2</v>
      </c>
      <c r="M171" s="49">
        <f t="shared" si="45"/>
        <v>5.4131604166514968E-2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9.3352609250269558E-3</v>
      </c>
      <c r="H172" s="49">
        <f t="shared" si="45"/>
        <v>9.3352609250269558E-3</v>
      </c>
      <c r="I172" s="49">
        <f t="shared" si="45"/>
        <v>9.3352609250269558E-3</v>
      </c>
      <c r="J172" s="49">
        <f t="shared" si="45"/>
        <v>9.3352609250269558E-3</v>
      </c>
      <c r="K172" s="49">
        <f t="shared" si="45"/>
        <v>9.3352609250269558E-3</v>
      </c>
      <c r="L172" s="49">
        <f t="shared" si="45"/>
        <v>9.3352609250269558E-3</v>
      </c>
      <c r="M172" s="49">
        <f t="shared" si="45"/>
        <v>9.3352609250269558E-3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-4.2344457436627181E-4</v>
      </c>
      <c r="H173" s="49">
        <f t="shared" si="45"/>
        <v>-4.2344457436627181E-4</v>
      </c>
      <c r="I173" s="49">
        <f t="shared" si="45"/>
        <v>-4.2344457436627181E-4</v>
      </c>
      <c r="J173" s="49">
        <f t="shared" si="45"/>
        <v>-4.2344457436627181E-4</v>
      </c>
      <c r="K173" s="49">
        <f t="shared" si="45"/>
        <v>-4.2344457436627181E-4</v>
      </c>
      <c r="L173" s="49">
        <f t="shared" si="45"/>
        <v>-4.2344457436627181E-4</v>
      </c>
      <c r="M173" s="49">
        <f t="shared" si="45"/>
        <v>-4.2344457436627181E-4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0.13835080358585455</v>
      </c>
      <c r="H174" s="49">
        <f t="shared" si="45"/>
        <v>0.13835080358585455</v>
      </c>
      <c r="I174" s="49">
        <f t="shared" si="45"/>
        <v>0.13835080358585455</v>
      </c>
      <c r="J174" s="49">
        <f t="shared" si="45"/>
        <v>0.13835080358585455</v>
      </c>
      <c r="K174" s="49">
        <f t="shared" si="45"/>
        <v>0.13835080358585455</v>
      </c>
      <c r="L174" s="49">
        <f t="shared" si="45"/>
        <v>0.13835080358585455</v>
      </c>
      <c r="M174" s="49">
        <f t="shared" si="45"/>
        <v>0.13835080358585455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3.5810646123854012E-2</v>
      </c>
      <c r="H175" s="49">
        <f t="shared" si="45"/>
        <v>3.5810646123854012E-2</v>
      </c>
      <c r="I175" s="49">
        <f t="shared" si="45"/>
        <v>3.5810646123854012E-2</v>
      </c>
      <c r="J175" s="49">
        <f t="shared" si="45"/>
        <v>3.5810646123854012E-2</v>
      </c>
      <c r="K175" s="49">
        <f t="shared" si="45"/>
        <v>3.5810646123854012E-2</v>
      </c>
      <c r="L175" s="49">
        <f t="shared" si="45"/>
        <v>3.5810646123854012E-2</v>
      </c>
      <c r="M175" s="49">
        <f t="shared" si="45"/>
        <v>3.5810646123854012E-2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-0.18160352832288848</v>
      </c>
      <c r="H176" s="49">
        <f t="shared" si="45"/>
        <v>-0.18160352832288848</v>
      </c>
      <c r="I176" s="49">
        <f t="shared" si="45"/>
        <v>-0.18160352832288848</v>
      </c>
      <c r="J176" s="49">
        <f t="shared" si="45"/>
        <v>-0.18160352832288848</v>
      </c>
      <c r="K176" s="49">
        <f t="shared" si="45"/>
        <v>-0.18160352832288848</v>
      </c>
      <c r="L176" s="49">
        <f t="shared" si="45"/>
        <v>-0.18160352832288848</v>
      </c>
      <c r="M176" s="49">
        <f t="shared" si="45"/>
        <v>-0.18160352832288848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0.28413142627924287</v>
      </c>
      <c r="H177" s="49">
        <f t="shared" si="45"/>
        <v>0.28413142627924287</v>
      </c>
      <c r="I177" s="49">
        <f t="shared" si="45"/>
        <v>0.28413142627924287</v>
      </c>
      <c r="J177" s="49">
        <f t="shared" si="45"/>
        <v>0.28413142627924287</v>
      </c>
      <c r="K177" s="49">
        <f t="shared" si="45"/>
        <v>0.28413142627924287</v>
      </c>
      <c r="L177" s="49">
        <f t="shared" si="45"/>
        <v>0.28413142627924287</v>
      </c>
      <c r="M177" s="49">
        <f t="shared" si="45"/>
        <v>0.28413142627924287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1.5802795299602459E-2</v>
      </c>
      <c r="H178" s="49">
        <f t="shared" si="45"/>
        <v>1.5802795299602459E-2</v>
      </c>
      <c r="I178" s="49">
        <f t="shared" si="45"/>
        <v>1.5802795299602459E-2</v>
      </c>
      <c r="J178" s="49">
        <f t="shared" si="45"/>
        <v>1.5802795299602459E-2</v>
      </c>
      <c r="K178" s="49">
        <f t="shared" si="45"/>
        <v>1.5802795299602459E-2</v>
      </c>
      <c r="L178" s="49">
        <f t="shared" si="45"/>
        <v>1.5802795299602459E-2</v>
      </c>
      <c r="M178" s="49">
        <f t="shared" si="45"/>
        <v>1.5802795299602459E-2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1.6875012456433913E-2</v>
      </c>
      <c r="H179" s="49">
        <f t="shared" si="45"/>
        <v>1.6875012456433913E-2</v>
      </c>
      <c r="I179" s="49">
        <f t="shared" si="45"/>
        <v>1.6875012456433913E-2</v>
      </c>
      <c r="J179" s="49">
        <f t="shared" si="45"/>
        <v>1.6875012456433913E-2</v>
      </c>
      <c r="K179" s="49">
        <f t="shared" si="45"/>
        <v>1.6875012456433913E-2</v>
      </c>
      <c r="L179" s="49">
        <f t="shared" si="45"/>
        <v>1.6875012456433913E-2</v>
      </c>
      <c r="M179" s="49">
        <f t="shared" si="45"/>
        <v>1.6875012456433913E-2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-8.3598130069505519E-2</v>
      </c>
      <c r="H206" s="48">
        <f t="shared" ref="H206:K209" si="49">LN(H152/H184)</f>
        <v>-8.9861584659273644E-2</v>
      </c>
      <c r="I206" s="48">
        <f t="shared" si="49"/>
        <v>-9.6787675098305034E-2</v>
      </c>
      <c r="J206" s="48">
        <f t="shared" si="49"/>
        <v>-0.10368623595872435</v>
      </c>
      <c r="K206" s="48">
        <f t="shared" si="49"/>
        <v>-0.97754722911441705</v>
      </c>
      <c r="L206" s="48">
        <f t="shared" ref="L206:M206" si="50">LN(L152/L184)</f>
        <v>-0.97754722911441705</v>
      </c>
      <c r="M206" s="48">
        <f t="shared" si="50"/>
        <v>-0.97754722911441705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-3.1273647929665631</v>
      </c>
      <c r="H207" s="48">
        <f t="shared" si="49"/>
        <v>-3.1219836140620463</v>
      </c>
      <c r="I207" s="48">
        <f t="shared" si="49"/>
        <v>-3.1194822727542935</v>
      </c>
      <c r="J207" s="48">
        <f t="shared" si="49"/>
        <v>-3.116987172547002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-2.7192212976548094</v>
      </c>
      <c r="H208" s="48">
        <f t="shared" si="49"/>
        <v>-2.7192212976548094</v>
      </c>
      <c r="I208" s="48">
        <f t="shared" si="49"/>
        <v>-2.7192212976548094</v>
      </c>
      <c r="J208" s="48">
        <f t="shared" si="49"/>
        <v>-2.7192212976548094</v>
      </c>
      <c r="K208" s="48">
        <f t="shared" si="49"/>
        <v>-2.7192212976548094</v>
      </c>
      <c r="L208" s="48">
        <f t="shared" ref="L208:M208" si="52">LN(L154/L186)</f>
        <v>-2.7192212976548094</v>
      </c>
      <c r="M208" s="48">
        <f t="shared" si="52"/>
        <v>-2.7192212976548094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-3.0267909743205688</v>
      </c>
      <c r="H209" s="48">
        <f t="shared" si="49"/>
        <v>-3.1364557976232548</v>
      </c>
      <c r="I209" s="48">
        <f t="shared" si="49"/>
        <v>-3.0780617635762626</v>
      </c>
      <c r="J209" s="48">
        <f t="shared" si="49"/>
        <v>-3.0874363576083046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3.4943236755589813E-3</v>
      </c>
      <c r="H210" s="48">
        <f t="shared" ref="H210:K213" si="54">H206*H206/2</f>
        <v>4.0375521987379018E-3</v>
      </c>
      <c r="I210" s="48">
        <f t="shared" si="54"/>
        <v>4.6839270254675283E-3</v>
      </c>
      <c r="J210" s="48">
        <f t="shared" si="54"/>
        <v>5.375417763644131E-3</v>
      </c>
      <c r="K210" s="48">
        <f t="shared" si="54"/>
        <v>0.47779929257463727</v>
      </c>
      <c r="L210" s="48">
        <f t="shared" ref="L210:M210" si="55">L206*L206/2</f>
        <v>0.47779929257463727</v>
      </c>
      <c r="M210" s="48">
        <f t="shared" si="55"/>
        <v>0.47779929257463727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4.8902052741433968</v>
      </c>
      <c r="H211" s="48">
        <f t="shared" si="54"/>
        <v>4.8733908432359581</v>
      </c>
      <c r="I211" s="48">
        <f t="shared" si="54"/>
        <v>4.865584825014146</v>
      </c>
      <c r="J211" s="48">
        <f t="shared" si="54"/>
        <v>4.8578045169112771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3.6970822328097528</v>
      </c>
      <c r="H212" s="48">
        <f t="shared" si="54"/>
        <v>3.6970822328097528</v>
      </c>
      <c r="I212" s="48">
        <f t="shared" si="54"/>
        <v>3.6970822328097528</v>
      </c>
      <c r="J212" s="48">
        <f t="shared" si="54"/>
        <v>3.6970822328097528</v>
      </c>
      <c r="K212" s="48">
        <f t="shared" si="54"/>
        <v>3.6970822328097528</v>
      </c>
      <c r="L212" s="48">
        <f t="shared" ref="L212:M212" si="57">L208*L208/2</f>
        <v>3.6970822328097528</v>
      </c>
      <c r="M212" s="48">
        <f t="shared" si="57"/>
        <v>3.6970822328097528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4.5807318011142293</v>
      </c>
      <c r="H213" s="48">
        <f t="shared" si="54"/>
        <v>4.9186774852222639</v>
      </c>
      <c r="I213" s="48">
        <f t="shared" si="54"/>
        <v>4.737232110195106</v>
      </c>
      <c r="J213" s="48">
        <f t="shared" si="54"/>
        <v>4.7661316311408175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0.26144184873721094</v>
      </c>
      <c r="H214" s="48">
        <f t="shared" ref="H214:K214" si="59">H206*H207</f>
        <v>0.28054639483990168</v>
      </c>
      <c r="I214" s="48">
        <f t="shared" si="59"/>
        <v>0.30192743669026473</v>
      </c>
      <c r="J214" s="48">
        <f t="shared" si="59"/>
        <v>0.32318866745302549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0.22732181572911633</v>
      </c>
      <c r="H215" s="48">
        <f t="shared" ref="H215:K215" si="61">H206*H208</f>
        <v>0.2443535348465076</v>
      </c>
      <c r="I215" s="48">
        <f t="shared" si="61"/>
        <v>0.2631871074778051</v>
      </c>
      <c r="J215" s="48">
        <f t="shared" si="61"/>
        <v>0.28194582109262517</v>
      </c>
      <c r="K215" s="48">
        <f t="shared" si="61"/>
        <v>2.6581672448713682</v>
      </c>
      <c r="L215" s="48">
        <f t="shared" ref="L215:M215" si="62">L206*L208</f>
        <v>2.6581672448713682</v>
      </c>
      <c r="M215" s="48">
        <f t="shared" si="62"/>
        <v>2.6581672448713682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0.25303406556445623</v>
      </c>
      <c r="H216" s="48">
        <f t="shared" ref="H216:K216" si="63">H206*H209</f>
        <v>0.28184688818819176</v>
      </c>
      <c r="I216" s="48">
        <f t="shared" si="63"/>
        <v>0.29791844190553513</v>
      </c>
      <c r="J216" s="48">
        <f t="shared" si="63"/>
        <v>0.32012465468251911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8.5039969505705013</v>
      </c>
      <c r="H217" s="48">
        <f t="shared" ref="H217:K217" si="65">H207*H208</f>
        <v>8.489364334286849</v>
      </c>
      <c r="I217" s="48">
        <f t="shared" si="65"/>
        <v>8.4825626337301046</v>
      </c>
      <c r="J217" s="48">
        <f t="shared" si="65"/>
        <v>8.4757779041066534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9.4658795287591069</v>
      </c>
      <c r="H218" s="48">
        <f t="shared" ref="H218:K218" si="67">H207*H209</f>
        <v>9.7919636064097073</v>
      </c>
      <c r="I218" s="48">
        <f t="shared" si="67"/>
        <v>9.6019591059189686</v>
      </c>
      <c r="J218" s="48">
        <f t="shared" si="67"/>
        <v>9.6234995227203246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8.2305144809218422</v>
      </c>
      <c r="H219" s="48">
        <f t="shared" ref="H219:K219" si="69">H208*H209</f>
        <v>8.5287174040500577</v>
      </c>
      <c r="I219" s="48">
        <f t="shared" si="69"/>
        <v>8.3699311030134957</v>
      </c>
      <c r="J219" s="48">
        <f t="shared" si="69"/>
        <v>8.3954226987622924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-2.4460678808036205</v>
      </c>
      <c r="H220" s="48">
        <f t="shared" ref="H220:K220" si="71">LN(H156/H198)</f>
        <v>-2.4350739495786153</v>
      </c>
      <c r="I220" s="48">
        <f t="shared" si="71"/>
        <v>-2.4255524195886231</v>
      </c>
      <c r="J220" s="48">
        <f t="shared" si="71"/>
        <v>-2.4172257033317437</v>
      </c>
      <c r="K220" s="48">
        <f t="shared" si="71"/>
        <v>-2.474384117171692</v>
      </c>
      <c r="L220" s="48">
        <f t="shared" ref="L220:M220" si="72">LN(L156/L198)</f>
        <v>-2.5315425310116408</v>
      </c>
      <c r="M220" s="48">
        <f t="shared" si="72"/>
        <v>-2.5887009448515896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5.6348186715351502E-2</v>
      </c>
      <c r="H221" s="31">
        <f t="shared" ref="H221:K221" si="73">H157/H199</f>
        <v>5.5987558320373255E-2</v>
      </c>
      <c r="I221" s="31">
        <f t="shared" si="73"/>
        <v>5.5987558320373255E-2</v>
      </c>
      <c r="J221" s="31">
        <f t="shared" si="73"/>
        <v>5.5987558320373255E-2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12.814570121024731</v>
      </c>
      <c r="H226" s="50">
        <f t="shared" ref="H226:K241" si="78">H162*H205</f>
        <v>12.814570121024731</v>
      </c>
      <c r="I226" s="50">
        <f t="shared" si="78"/>
        <v>12.814570121024731</v>
      </c>
      <c r="J226" s="50">
        <f t="shared" si="78"/>
        <v>12.814570121024731</v>
      </c>
      <c r="K226" s="50">
        <f t="shared" si="78"/>
        <v>12.814570121024731</v>
      </c>
      <c r="L226" s="50">
        <f t="shared" ref="L226:M226" si="79">L162*L205</f>
        <v>12.814570121024731</v>
      </c>
      <c r="M226" s="50">
        <f t="shared" si="79"/>
        <v>12.814570121024731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-5.2388151238295662E-2</v>
      </c>
      <c r="H227" s="50">
        <f t="shared" si="78"/>
        <v>-5.6313248678276119E-2</v>
      </c>
      <c r="I227" s="50">
        <f t="shared" si="78"/>
        <v>-6.0653597835708374E-2</v>
      </c>
      <c r="J227" s="50">
        <f t="shared" si="78"/>
        <v>-6.497669512725969E-2</v>
      </c>
      <c r="K227" s="50">
        <f t="shared" si="78"/>
        <v>-0.61259614346450242</v>
      </c>
      <c r="L227" s="50">
        <f t="shared" ref="L227:M227" si="80">L163*L206</f>
        <v>-0.61259614346450242</v>
      </c>
      <c r="M227" s="50">
        <f t="shared" si="80"/>
        <v>-0.61259614346450242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-1.3934380128779948</v>
      </c>
      <c r="H228" s="50">
        <f t="shared" si="78"/>
        <v>-1.3910403587071367</v>
      </c>
      <c r="I228" s="50">
        <f t="shared" si="78"/>
        <v>-1.3899258535911223</v>
      </c>
      <c r="J228" s="50">
        <f t="shared" si="78"/>
        <v>-1.3888141292785001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-0.4346441407648497</v>
      </c>
      <c r="H229" s="50">
        <f t="shared" si="78"/>
        <v>-0.4346441407648497</v>
      </c>
      <c r="I229" s="50">
        <f t="shared" si="78"/>
        <v>-0.4346441407648497</v>
      </c>
      <c r="J229" s="50">
        <f t="shared" si="78"/>
        <v>-0.4346441407648497</v>
      </c>
      <c r="K229" s="50">
        <f t="shared" si="78"/>
        <v>-0.4346441407648497</v>
      </c>
      <c r="L229" s="50">
        <f t="shared" ref="L229:M229" si="82">L165*L208</f>
        <v>-0.4346441407648497</v>
      </c>
      <c r="M229" s="50">
        <f t="shared" si="82"/>
        <v>-0.4346441407648497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-0.32411572937101252</v>
      </c>
      <c r="H230" s="50">
        <f t="shared" si="78"/>
        <v>-0.33585889052507006</v>
      </c>
      <c r="I230" s="50">
        <f t="shared" si="78"/>
        <v>-0.32960592324168997</v>
      </c>
      <c r="J230" s="50">
        <f t="shared" si="78"/>
        <v>-0.33060977630192134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4.3129812858374531E-4</v>
      </c>
      <c r="H231" s="50">
        <f t="shared" si="78"/>
        <v>4.9834785470933109E-4</v>
      </c>
      <c r="I231" s="50">
        <f t="shared" si="78"/>
        <v>5.7812874480891085E-4</v>
      </c>
      <c r="J231" s="50">
        <f t="shared" si="78"/>
        <v>6.6347821125776595E-4</v>
      </c>
      <c r="K231" s="50">
        <f t="shared" si="78"/>
        <v>5.8973913082941046E-2</v>
      </c>
      <c r="L231" s="50">
        <f t="shared" ref="L231:M231" si="84">L167*L210</f>
        <v>5.8973913082941046E-2</v>
      </c>
      <c r="M231" s="50">
        <f t="shared" si="84"/>
        <v>5.8973913082941046E-2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-1.6553880908896397</v>
      </c>
      <c r="H232" s="50">
        <f t="shared" si="78"/>
        <v>-1.6496962217105617</v>
      </c>
      <c r="I232" s="50">
        <f t="shared" si="78"/>
        <v>-1.6470537989742444</v>
      </c>
      <c r="J232" s="50">
        <f t="shared" si="78"/>
        <v>-1.6444200793950194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0.64630138533816461</v>
      </c>
      <c r="H233" s="50">
        <f t="shared" si="78"/>
        <v>0.64630138533816461</v>
      </c>
      <c r="I233" s="50">
        <f t="shared" si="78"/>
        <v>0.64630138533816461</v>
      </c>
      <c r="J233" s="50">
        <f t="shared" si="78"/>
        <v>0.64630138533816461</v>
      </c>
      <c r="K233" s="50">
        <f t="shared" si="78"/>
        <v>0.64630138533816461</v>
      </c>
      <c r="L233" s="50">
        <f t="shared" ref="L233:M233" si="86">L169*L212</f>
        <v>0.64630138533816461</v>
      </c>
      <c r="M233" s="50">
        <f t="shared" si="86"/>
        <v>0.64630138533816461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0.80869646476490775</v>
      </c>
      <c r="H234" s="50">
        <f t="shared" si="78"/>
        <v>0.86835843404986968</v>
      </c>
      <c r="I234" s="50">
        <f t="shared" si="78"/>
        <v>0.83632551011908784</v>
      </c>
      <c r="J234" s="50">
        <f t="shared" si="78"/>
        <v>0.84142752032988244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1.4152266668404584E-2</v>
      </c>
      <c r="H235" s="50">
        <f t="shared" si="78"/>
        <v>1.5186426395816376E-2</v>
      </c>
      <c r="I235" s="50">
        <f t="shared" si="78"/>
        <v>1.6343816489927918E-2</v>
      </c>
      <c r="J235" s="50">
        <f t="shared" si="78"/>
        <v>1.7494721017670616E-2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2.1221084637821977E-3</v>
      </c>
      <c r="H236" s="50">
        <f t="shared" si="78"/>
        <v>2.2811040057448152E-3</v>
      </c>
      <c r="I236" s="50">
        <f t="shared" si="78"/>
        <v>2.4569203204084238E-3</v>
      </c>
      <c r="J236" s="50">
        <f t="shared" si="78"/>
        <v>2.6320378066206247E-3</v>
      </c>
      <c r="K236" s="50">
        <f t="shared" si="78"/>
        <v>2.4814684813234244E-2</v>
      </c>
      <c r="L236" s="50">
        <f t="shared" ref="L236:M236" si="89">L172*L215</f>
        <v>2.4814684813234244E-2</v>
      </c>
      <c r="M236" s="50">
        <f t="shared" si="89"/>
        <v>2.4814684813234244E-2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-1.0714590219310849E-4</v>
      </c>
      <c r="H237" s="50">
        <f t="shared" si="78"/>
        <v>-1.1934653560530706E-4</v>
      </c>
      <c r="I237" s="50">
        <f t="shared" si="78"/>
        <v>-1.2615194782855221E-4</v>
      </c>
      <c r="J237" s="50">
        <f t="shared" si="78"/>
        <v>-1.3555504814618903E-4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1.1765348118030856</v>
      </c>
      <c r="H238" s="50">
        <f t="shared" si="78"/>
        <v>1.1745103775816788</v>
      </c>
      <c r="I238" s="50">
        <f t="shared" si="78"/>
        <v>1.1735693568439027</v>
      </c>
      <c r="J238" s="50">
        <f t="shared" si="78"/>
        <v>1.1726306840483856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0.33897926205542633</v>
      </c>
      <c r="H239" s="50">
        <f t="shared" si="78"/>
        <v>0.35065654356679532</v>
      </c>
      <c r="I239" s="50">
        <f t="shared" si="78"/>
        <v>0.34385235963778182</v>
      </c>
      <c r="J239" s="50">
        <f t="shared" si="78"/>
        <v>0.34462373588121553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-1.4946904696480336</v>
      </c>
      <c r="H240" s="50">
        <f t="shared" si="78"/>
        <v>-1.5488451726443166</v>
      </c>
      <c r="I240" s="50">
        <f t="shared" si="78"/>
        <v>-1.5200090201267367</v>
      </c>
      <c r="J240" s="50">
        <f t="shared" si="78"/>
        <v>-1.5246383838572988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-0.69500475574857778</v>
      </c>
      <c r="H241" s="50">
        <f t="shared" si="78"/>
        <v>-0.69188103438920112</v>
      </c>
      <c r="I241" s="50">
        <f t="shared" si="78"/>
        <v>-0.689175668492784</v>
      </c>
      <c r="J241" s="50">
        <f t="shared" si="78"/>
        <v>-0.68680978672649429</v>
      </c>
      <c r="K241" s="50">
        <f t="shared" si="78"/>
        <v>-0.70305028837469807</v>
      </c>
      <c r="L241" s="50">
        <f t="shared" ref="L241:M241" si="94">L177*L220</f>
        <v>-0.71929079002290197</v>
      </c>
      <c r="M241" s="50">
        <f t="shared" si="94"/>
        <v>-0.73553129167110576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8.9045886016647841E-4</v>
      </c>
      <c r="H242" s="50">
        <f t="shared" ref="H242:K243" si="95">H178*H221</f>
        <v>8.8475992346141307E-4</v>
      </c>
      <c r="I242" s="50">
        <f t="shared" si="95"/>
        <v>8.8475992346141307E-4</v>
      </c>
      <c r="J242" s="50">
        <f t="shared" si="95"/>
        <v>8.8475992346141307E-4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0.15187511210790522</v>
      </c>
      <c r="H243" s="50">
        <f t="shared" si="95"/>
        <v>0.16875012456433913</v>
      </c>
      <c r="I243" s="50">
        <f t="shared" si="95"/>
        <v>0.18562513702077305</v>
      </c>
      <c r="J243" s="50">
        <f t="shared" si="95"/>
        <v>0.20250014947720696</v>
      </c>
      <c r="K243" s="50">
        <f t="shared" si="95"/>
        <v>0.21937516193364087</v>
      </c>
      <c r="L243" s="50">
        <f t="shared" ref="L243:M243" si="97">L179*L222</f>
        <v>0.23625017439007479</v>
      </c>
      <c r="M243" s="50">
        <f t="shared" si="97"/>
        <v>0.2531251868465087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9.9047767927745589</v>
      </c>
      <c r="H245" s="44">
        <f t="shared" ref="H245:K245" si="98">SUM(H226:H243)</f>
        <v>9.9335992103502946</v>
      </c>
      <c r="I245" s="44">
        <f t="shared" si="98"/>
        <v>9.949313340488084</v>
      </c>
      <c r="J245" s="44">
        <f t="shared" si="98"/>
        <v>9.9686800465591077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20025.80143331784</v>
      </c>
      <c r="H246" s="8">
        <f t="shared" ref="H246:K246" si="100">EXP(H245)</f>
        <v>20611.391973563888</v>
      </c>
      <c r="I246" s="8">
        <f t="shared" si="100"/>
        <v>20937.840277353927</v>
      </c>
      <c r="J246" s="8">
        <f t="shared" si="100"/>
        <v>21347.289317809038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118.56183642569529</v>
      </c>
      <c r="H247" s="21">
        <f t="shared" ref="H247:K247" si="102">H137</f>
        <v>121.28045267236115</v>
      </c>
      <c r="I247" s="21">
        <f t="shared" si="102"/>
        <v>124.06140663679059</v>
      </c>
      <c r="J247" s="21">
        <f t="shared" si="102"/>
        <v>126.9026340952186</v>
      </c>
      <c r="K247" s="21">
        <f t="shared" si="102"/>
        <v>126.9026340952186</v>
      </c>
      <c r="L247" s="21">
        <f t="shared" ref="L247:M247" si="103">L137</f>
        <v>126.9026340952186</v>
      </c>
      <c r="M247" s="21">
        <f t="shared" si="103"/>
        <v>126.9026340952186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2374295.7938304842</v>
      </c>
      <c r="H248" s="8">
        <f t="shared" ref="H248:K248" si="104">H246*H247</f>
        <v>2499758.9487612997</v>
      </c>
      <c r="I248" s="8">
        <f t="shared" si="104"/>
        <v>2597577.9167449777</v>
      </c>
      <c r="J248" s="8">
        <f t="shared" si="104"/>
        <v>2709027.2452226891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2275167.3084274861</v>
      </c>
      <c r="H256" s="60">
        <f t="shared" ref="H256:K256" si="107">H121</f>
        <v>2395044.8535577892</v>
      </c>
      <c r="I256" s="60">
        <f t="shared" si="107"/>
        <v>2518570.592615515</v>
      </c>
      <c r="J256" s="60">
        <f t="shared" si="107"/>
        <v>2480120.1898024329</v>
      </c>
      <c r="K256" s="60">
        <f t="shared" si="107"/>
        <v>399725.72014479176</v>
      </c>
      <c r="L256" s="60">
        <f t="shared" ref="L256:M256" si="108">L121</f>
        <v>406966.0907901458</v>
      </c>
      <c r="M256" s="60">
        <f t="shared" si="108"/>
        <v>401635.5819228781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2374295.7938304842</v>
      </c>
      <c r="H257" s="60">
        <f t="shared" ref="H257:K257" si="110">H248</f>
        <v>2499758.9487612997</v>
      </c>
      <c r="I257" s="60">
        <f t="shared" si="110"/>
        <v>2597577.9167449777</v>
      </c>
      <c r="J257" s="60">
        <f t="shared" si="110"/>
        <v>2709027.2452226891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-99128.485402998049</v>
      </c>
      <c r="H258" s="25">
        <f t="shared" ref="H258:K258" si="113">H256-H257</f>
        <v>-104714.09520351049</v>
      </c>
      <c r="I258" s="25">
        <f t="shared" si="113"/>
        <v>-79007.324129462708</v>
      </c>
      <c r="J258" s="25">
        <f t="shared" si="113"/>
        <v>-228907.05542025622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-4.1750689050867033E-2</v>
      </c>
      <c r="H259" s="61">
        <f t="shared" ref="H259:K259" si="116">H258/H257</f>
        <v>-4.1889677104826141E-2</v>
      </c>
      <c r="I259" s="61">
        <f t="shared" si="116"/>
        <v>-3.0415766788034104E-2</v>
      </c>
      <c r="J259" s="61">
        <f t="shared" si="116"/>
        <v>-8.4497878647742969E-2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-4.264729379385946E-2</v>
      </c>
      <c r="H261" s="64">
        <f t="shared" ref="H261:K261" si="118">LN(H256/H257)</f>
        <v>-4.2792348043331478E-2</v>
      </c>
      <c r="I261" s="64">
        <f t="shared" si="118"/>
        <v>-3.0887924925573438E-2</v>
      </c>
      <c r="J261" s="64">
        <f t="shared" si="118"/>
        <v>-8.8282597718691999E-2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B1" sqref="B1:K2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3" t="s">
        <v>168</v>
      </c>
      <c r="D2" s="223"/>
      <c r="E2" s="223"/>
      <c r="F2" s="223"/>
      <c r="G2" s="223"/>
      <c r="H2" s="223"/>
      <c r="I2" s="223"/>
      <c r="J2" s="223"/>
      <c r="K2" s="223"/>
    </row>
    <row r="3" spans="3:17" s="92" customFormat="1" ht="22.5" customHeight="1" x14ac:dyDescent="0.25">
      <c r="C3" s="233" t="str">
        <f>'Model Inputs'!F5</f>
        <v>Sioux Lookout Hydro Inc.</v>
      </c>
      <c r="D3" s="233"/>
      <c r="E3" s="233"/>
      <c r="F3" s="233"/>
      <c r="G3" s="233"/>
      <c r="H3" s="233"/>
      <c r="I3" s="233"/>
      <c r="J3" s="233"/>
      <c r="K3" s="233"/>
    </row>
    <row r="4" spans="3:17" s="92" customFormat="1" ht="19.5" hidden="1" x14ac:dyDescent="0.35">
      <c r="C4" s="89"/>
      <c r="D4" s="89"/>
      <c r="E4" s="89"/>
      <c r="F4" s="89"/>
      <c r="G4" s="89"/>
      <c r="H4" s="89"/>
      <c r="I4" s="89"/>
      <c r="J4" s="89"/>
      <c r="K4" s="89"/>
    </row>
    <row r="5" spans="3:17" hidden="1" x14ac:dyDescent="0.2"/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221" t="s">
        <v>185</v>
      </c>
      <c r="H7" s="14" t="s">
        <v>277</v>
      </c>
      <c r="I7" s="26" t="s">
        <v>186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2275167.3084274861</v>
      </c>
      <c r="G10" s="86">
        <f>'Benchmarking Calculations'!H121</f>
        <v>2395044.8535577892</v>
      </c>
      <c r="H10" s="86">
        <f>'Benchmarking Calculations'!I121</f>
        <v>2518570.592615515</v>
      </c>
      <c r="I10" s="91">
        <f>IF(ISNUMBER(I12),'Benchmarking Calculations'!J121,"na")</f>
        <v>2480120.1898024329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2374295.7938304842</v>
      </c>
      <c r="G12" s="86">
        <f>'Benchmarking Calculations'!H257</f>
        <v>2499758.9487612997</v>
      </c>
      <c r="H12" s="86">
        <f>'Benchmarking Calculations'!I257</f>
        <v>2597577.9167449777</v>
      </c>
      <c r="I12" s="91">
        <f>IF(ISNUMBER('Benchmarking Calculations'!J257),'Benchmarking Calculations'!J257,"na")</f>
        <v>2709027.2452226891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-99128.485402998049</v>
      </c>
      <c r="G14" s="86">
        <f t="shared" si="0"/>
        <v>-104714.09520351049</v>
      </c>
      <c r="H14" s="86">
        <f t="shared" si="0"/>
        <v>-79007.324129462708</v>
      </c>
      <c r="I14" s="91">
        <f>IF(ISNUMBER(I12),I10-I12,"na")</f>
        <v>-228907.05542025622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-4.264729379385946E-2</v>
      </c>
      <c r="G16" s="167">
        <f t="shared" ref="G16:H16" si="2">LN(G10/G12)</f>
        <v>-4.2792348043331478E-2</v>
      </c>
      <c r="H16" s="167">
        <f t="shared" si="2"/>
        <v>-3.0887924925573438E-2</v>
      </c>
      <c r="I16" s="148">
        <f>IF(ISNUMBER(I14),LN(I10/I12),"na")</f>
        <v>-8.8282597718691999E-2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-3.8775855587588122E-2</v>
      </c>
      <c r="I18" s="66">
        <f>IF(ISNUMBER(I16),AVERAGE(G16:I16),"na")</f>
        <v>-5.3987623562532304E-2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 t="shared" ref="G22" si="5"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SLH-Deanne</cp:lastModifiedBy>
  <cp:lastPrinted>2017-08-09T17:37:37Z</cp:lastPrinted>
  <dcterms:created xsi:type="dcterms:W3CDTF">2016-07-20T15:58:10Z</dcterms:created>
  <dcterms:modified xsi:type="dcterms:W3CDTF">2017-08-09T17:37:44Z</dcterms:modified>
</cp:coreProperties>
</file>