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410" yWindow="720" windowWidth="15450" windowHeight="5970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Area" localSheetId="0">Sheet2!$A$1:$N$104</definedName>
    <definedName name="_xlnm.Print_Titles" localSheetId="0">Sheet2!$6:$7</definedName>
  </definedNames>
  <calcPr calcId="145621" iterate="1"/>
</workbook>
</file>

<file path=xl/calcChain.xml><?xml version="1.0" encoding="utf-8"?>
<calcChain xmlns="http://schemas.openxmlformats.org/spreadsheetml/2006/main">
  <c r="M92" i="2" l="1"/>
  <c r="L92" i="2"/>
  <c r="K92" i="2"/>
  <c r="J92" i="2"/>
  <c r="I92" i="2"/>
  <c r="H92" i="2"/>
  <c r="G92" i="2"/>
  <c r="F92" i="2"/>
  <c r="E92" i="2"/>
  <c r="D92" i="2"/>
  <c r="C92" i="2"/>
  <c r="B92" i="2"/>
  <c r="M88" i="2"/>
  <c r="L88" i="2"/>
  <c r="K88" i="2"/>
  <c r="J88" i="2"/>
  <c r="I88" i="2"/>
  <c r="H88" i="2"/>
  <c r="G88" i="2"/>
  <c r="F88" i="2"/>
  <c r="E88" i="2"/>
  <c r="D88" i="2"/>
  <c r="C88" i="2"/>
  <c r="B88" i="2"/>
  <c r="B87" i="2"/>
  <c r="N87" i="2" s="1"/>
  <c r="M82" i="2"/>
  <c r="L82" i="2"/>
  <c r="K82" i="2"/>
  <c r="J82" i="2"/>
  <c r="I82" i="2"/>
  <c r="H82" i="2"/>
  <c r="G82" i="2"/>
  <c r="F82" i="2"/>
  <c r="E82" i="2"/>
  <c r="D82" i="2"/>
  <c r="C82" i="2"/>
  <c r="B82" i="2"/>
  <c r="M78" i="2"/>
  <c r="L78" i="2"/>
  <c r="K78" i="2"/>
  <c r="J78" i="2"/>
  <c r="I78" i="2"/>
  <c r="H78" i="2"/>
  <c r="G78" i="2"/>
  <c r="F78" i="2"/>
  <c r="E78" i="2"/>
  <c r="D78" i="2"/>
  <c r="C78" i="2"/>
  <c r="B78" i="2"/>
  <c r="B77" i="2"/>
  <c r="N77" i="2" s="1"/>
  <c r="L72" i="2"/>
  <c r="K72" i="2"/>
  <c r="J72" i="2"/>
  <c r="I72" i="2"/>
  <c r="H72" i="2"/>
  <c r="G72" i="2"/>
  <c r="F72" i="2"/>
  <c r="E72" i="2"/>
  <c r="D72" i="2"/>
  <c r="C72" i="2"/>
  <c r="B72" i="2"/>
  <c r="M68" i="2"/>
  <c r="L68" i="2"/>
  <c r="K68" i="2"/>
  <c r="J68" i="2"/>
  <c r="I68" i="2"/>
  <c r="H68" i="2"/>
  <c r="G68" i="2"/>
  <c r="F68" i="2"/>
  <c r="E68" i="2"/>
  <c r="D68" i="2"/>
  <c r="C68" i="2"/>
  <c r="B68" i="2"/>
  <c r="B70" i="2" s="1"/>
  <c r="C67" i="2" s="1"/>
  <c r="N67" i="2"/>
  <c r="B67" i="2"/>
  <c r="M62" i="2"/>
  <c r="L62" i="2"/>
  <c r="K62" i="2"/>
  <c r="J62" i="2"/>
  <c r="I62" i="2"/>
  <c r="H62" i="2"/>
  <c r="G62" i="2"/>
  <c r="F62" i="2"/>
  <c r="E62" i="2"/>
  <c r="D62" i="2"/>
  <c r="C62" i="2"/>
  <c r="B62" i="2"/>
  <c r="M58" i="2"/>
  <c r="L58" i="2"/>
  <c r="K58" i="2"/>
  <c r="J58" i="2"/>
  <c r="I58" i="2"/>
  <c r="H58" i="2"/>
  <c r="G58" i="2"/>
  <c r="F58" i="2"/>
  <c r="E58" i="2"/>
  <c r="D58" i="2"/>
  <c r="C58" i="2"/>
  <c r="B58" i="2"/>
  <c r="B57" i="2"/>
  <c r="B59" i="2" s="1"/>
  <c r="M52" i="2"/>
  <c r="L52" i="2"/>
  <c r="K52" i="2"/>
  <c r="J52" i="2"/>
  <c r="H52" i="2"/>
  <c r="G52" i="2"/>
  <c r="F52" i="2"/>
  <c r="E52" i="2"/>
  <c r="D52" i="2"/>
  <c r="C52" i="2"/>
  <c r="B52" i="2"/>
  <c r="M48" i="2"/>
  <c r="L48" i="2"/>
  <c r="K48" i="2"/>
  <c r="J48" i="2"/>
  <c r="I48" i="2"/>
  <c r="H48" i="2"/>
  <c r="G48" i="2"/>
  <c r="F48" i="2"/>
  <c r="E48" i="2"/>
  <c r="D48" i="2"/>
  <c r="C48" i="2"/>
  <c r="B48" i="2"/>
  <c r="B49" i="2" s="1"/>
  <c r="B47" i="2"/>
  <c r="N47" i="2" s="1"/>
  <c r="M43" i="2"/>
  <c r="L43" i="2"/>
  <c r="K43" i="2"/>
  <c r="J43" i="2"/>
  <c r="I43" i="2"/>
  <c r="H43" i="2"/>
  <c r="G43" i="2"/>
  <c r="F43" i="2"/>
  <c r="E43" i="2"/>
  <c r="D43" i="2"/>
  <c r="C43" i="2"/>
  <c r="B43" i="2"/>
  <c r="M39" i="2"/>
  <c r="L39" i="2"/>
  <c r="K39" i="2"/>
  <c r="J39" i="2"/>
  <c r="I39" i="2"/>
  <c r="H39" i="2"/>
  <c r="G39" i="2"/>
  <c r="F39" i="2"/>
  <c r="E39" i="2"/>
  <c r="D39" i="2"/>
  <c r="C39" i="2"/>
  <c r="B39" i="2"/>
  <c r="B38" i="2"/>
  <c r="B40" i="2" s="1"/>
  <c r="B41" i="2" s="1"/>
  <c r="M34" i="2"/>
  <c r="L34" i="2"/>
  <c r="K34" i="2"/>
  <c r="J34" i="2"/>
  <c r="I34" i="2"/>
  <c r="H34" i="2"/>
  <c r="G34" i="2"/>
  <c r="F34" i="2"/>
  <c r="E34" i="2"/>
  <c r="D34" i="2"/>
  <c r="C34" i="2"/>
  <c r="B34" i="2"/>
  <c r="M30" i="2"/>
  <c r="L30" i="2"/>
  <c r="K30" i="2"/>
  <c r="J30" i="2"/>
  <c r="I30" i="2"/>
  <c r="H30" i="2"/>
  <c r="G30" i="2"/>
  <c r="F30" i="2"/>
  <c r="E30" i="2"/>
  <c r="D30" i="2"/>
  <c r="C30" i="2"/>
  <c r="B30" i="2"/>
  <c r="B32" i="2" s="1"/>
  <c r="N29" i="2"/>
  <c r="B29" i="2"/>
  <c r="M24" i="2"/>
  <c r="L24" i="2"/>
  <c r="K24" i="2"/>
  <c r="J24" i="2"/>
  <c r="I24" i="2"/>
  <c r="H24" i="2"/>
  <c r="G24" i="2"/>
  <c r="F24" i="2"/>
  <c r="E24" i="2"/>
  <c r="D24" i="2"/>
  <c r="C24" i="2"/>
  <c r="B24" i="2"/>
  <c r="M20" i="2"/>
  <c r="L20" i="2"/>
  <c r="K20" i="2"/>
  <c r="J20" i="2"/>
  <c r="I20" i="2"/>
  <c r="H20" i="2"/>
  <c r="G20" i="2"/>
  <c r="F20" i="2"/>
  <c r="E20" i="2"/>
  <c r="D20" i="2"/>
  <c r="C20" i="2"/>
  <c r="B20" i="2"/>
  <c r="B19" i="2"/>
  <c r="N19" i="2" s="1"/>
  <c r="M14" i="2"/>
  <c r="L14" i="2"/>
  <c r="K14" i="2"/>
  <c r="J14" i="2"/>
  <c r="I14" i="2"/>
  <c r="H14" i="2"/>
  <c r="G14" i="2"/>
  <c r="F14" i="2"/>
  <c r="E14" i="2"/>
  <c r="D14" i="2"/>
  <c r="C14" i="2"/>
  <c r="B14" i="2"/>
  <c r="N14" i="2" s="1"/>
  <c r="M10" i="2"/>
  <c r="L10" i="2"/>
  <c r="K10" i="2"/>
  <c r="J10" i="2"/>
  <c r="J98" i="2" s="1"/>
  <c r="I10" i="2"/>
  <c r="H10" i="2"/>
  <c r="G10" i="2"/>
  <c r="F10" i="2"/>
  <c r="F98" i="2" s="1"/>
  <c r="E10" i="2"/>
  <c r="D10" i="2"/>
  <c r="C10" i="2"/>
  <c r="B10" i="2"/>
  <c r="B98" i="2" s="1"/>
  <c r="B9" i="2"/>
  <c r="N9" i="2" s="1"/>
  <c r="B22" i="2" l="1"/>
  <c r="B21" i="2"/>
  <c r="C19" i="2" s="1"/>
  <c r="C22" i="2" s="1"/>
  <c r="C26" i="2" s="1"/>
  <c r="B69" i="2"/>
  <c r="N88" i="2"/>
  <c r="N89" i="2" s="1"/>
  <c r="H98" i="2"/>
  <c r="I98" i="2"/>
  <c r="B79" i="2"/>
  <c r="N90" i="2"/>
  <c r="B89" i="2"/>
  <c r="B31" i="2"/>
  <c r="C29" i="2" s="1"/>
  <c r="C32" i="2" s="1"/>
  <c r="C36" i="2" s="1"/>
  <c r="N39" i="2"/>
  <c r="B90" i="2"/>
  <c r="C87" i="2" s="1"/>
  <c r="C90" i="2" s="1"/>
  <c r="D87" i="2" s="1"/>
  <c r="B50" i="2"/>
  <c r="B54" i="2" s="1"/>
  <c r="C47" i="2"/>
  <c r="C49" i="2" s="1"/>
  <c r="B45" i="2"/>
  <c r="B60" i="2"/>
  <c r="N48" i="2"/>
  <c r="N49" i="2" s="1"/>
  <c r="N50" i="2" s="1"/>
  <c r="E98" i="2"/>
  <c r="M98" i="2"/>
  <c r="N20" i="2"/>
  <c r="N21" i="2" s="1"/>
  <c r="N24" i="2"/>
  <c r="B26" i="2"/>
  <c r="C31" i="2"/>
  <c r="D29" i="2" s="1"/>
  <c r="B36" i="2"/>
  <c r="B74" i="2"/>
  <c r="N10" i="2"/>
  <c r="C98" i="2"/>
  <c r="G98" i="2"/>
  <c r="K98" i="2"/>
  <c r="B11" i="2"/>
  <c r="C21" i="2"/>
  <c r="D19" i="2" s="1"/>
  <c r="C38" i="2"/>
  <c r="C40" i="2" s="1"/>
  <c r="N38" i="2"/>
  <c r="N40" i="2" s="1"/>
  <c r="N41" i="2" s="1"/>
  <c r="N57" i="2"/>
  <c r="C69" i="2"/>
  <c r="C70" i="2"/>
  <c r="D67" i="2" s="1"/>
  <c r="B97" i="2"/>
  <c r="N97" i="2" s="1"/>
  <c r="B12" i="2"/>
  <c r="D98" i="2"/>
  <c r="L98" i="2"/>
  <c r="N30" i="2"/>
  <c r="N32" i="2" s="1"/>
  <c r="N58" i="2"/>
  <c r="N68" i="2"/>
  <c r="N69" i="2" s="1"/>
  <c r="C74" i="2"/>
  <c r="N78" i="2"/>
  <c r="N79" i="2" s="1"/>
  <c r="C89" i="2"/>
  <c r="B80" i="2"/>
  <c r="C77" i="2" s="1"/>
  <c r="B94" i="2" l="1"/>
  <c r="N80" i="2"/>
  <c r="B100" i="2"/>
  <c r="N31" i="2"/>
  <c r="B84" i="2"/>
  <c r="D90" i="2"/>
  <c r="D89" i="2"/>
  <c r="N98" i="2"/>
  <c r="D32" i="2"/>
  <c r="D36" i="2" s="1"/>
  <c r="D31" i="2"/>
  <c r="E29" i="2" s="1"/>
  <c r="N12" i="2"/>
  <c r="C94" i="2"/>
  <c r="N22" i="2"/>
  <c r="C80" i="2"/>
  <c r="C79" i="2"/>
  <c r="D70" i="2"/>
  <c r="D69" i="2"/>
  <c r="D38" i="2"/>
  <c r="D40" i="2" s="1"/>
  <c r="C41" i="2"/>
  <c r="C45" i="2" s="1"/>
  <c r="D21" i="2"/>
  <c r="E19" i="2" s="1"/>
  <c r="D22" i="2"/>
  <c r="D26" i="2" s="1"/>
  <c r="N70" i="2"/>
  <c r="C57" i="2"/>
  <c r="B64" i="2"/>
  <c r="B99" i="2"/>
  <c r="C9" i="2"/>
  <c r="N60" i="2"/>
  <c r="N59" i="2"/>
  <c r="N11" i="2"/>
  <c r="N99" i="2" s="1"/>
  <c r="C50" i="2"/>
  <c r="C54" i="2" s="1"/>
  <c r="D47" i="2"/>
  <c r="D49" i="2" s="1"/>
  <c r="B16" i="2"/>
  <c r="N100" i="2" l="1"/>
  <c r="C60" i="2"/>
  <c r="C59" i="2"/>
  <c r="E21" i="2"/>
  <c r="F19" i="2" s="1"/>
  <c r="E22" i="2"/>
  <c r="E26" i="2" s="1"/>
  <c r="E67" i="2"/>
  <c r="D74" i="2"/>
  <c r="B104" i="2"/>
  <c r="C97" i="2"/>
  <c r="C11" i="2"/>
  <c r="C12" i="2"/>
  <c r="E32" i="2"/>
  <c r="E36" i="2" s="1"/>
  <c r="E31" i="2"/>
  <c r="F29" i="2" s="1"/>
  <c r="E87" i="2"/>
  <c r="D94" i="2"/>
  <c r="E47" i="2"/>
  <c r="E49" i="2" s="1"/>
  <c r="D50" i="2"/>
  <c r="D54" i="2" s="1"/>
  <c r="E38" i="2"/>
  <c r="E40" i="2" s="1"/>
  <c r="D41" i="2"/>
  <c r="D45" i="2" s="1"/>
  <c r="D77" i="2"/>
  <c r="C84" i="2"/>
  <c r="B103" i="2" l="1"/>
  <c r="B102" i="2" s="1"/>
  <c r="F22" i="2"/>
  <c r="F26" i="2" s="1"/>
  <c r="F21" i="2"/>
  <c r="G19" i="2" s="1"/>
  <c r="E41" i="2"/>
  <c r="E45" i="2" s="1"/>
  <c r="F38" i="2"/>
  <c r="F40" i="2" s="1"/>
  <c r="E89" i="2"/>
  <c r="E90" i="2"/>
  <c r="C99" i="2"/>
  <c r="D9" i="2"/>
  <c r="F32" i="2"/>
  <c r="F36" i="2" s="1"/>
  <c r="F31" i="2"/>
  <c r="G29" i="2" s="1"/>
  <c r="E70" i="2"/>
  <c r="E69" i="2"/>
  <c r="D57" i="2"/>
  <c r="C64" i="2"/>
  <c r="D79" i="2"/>
  <c r="D80" i="2"/>
  <c r="F47" i="2"/>
  <c r="F49" i="2" s="1"/>
  <c r="E50" i="2"/>
  <c r="E54" i="2" s="1"/>
  <c r="C100" i="2"/>
  <c r="C16" i="2"/>
  <c r="G31" i="2" l="1"/>
  <c r="H29" i="2" s="1"/>
  <c r="G32" i="2"/>
  <c r="G36" i="2" s="1"/>
  <c r="C104" i="2"/>
  <c r="F50" i="2"/>
  <c r="F54" i="2" s="1"/>
  <c r="G47" i="2"/>
  <c r="G49" i="2" s="1"/>
  <c r="D59" i="2"/>
  <c r="D60" i="2"/>
  <c r="E77" i="2"/>
  <c r="D84" i="2"/>
  <c r="F87" i="2"/>
  <c r="E94" i="2"/>
  <c r="G22" i="2"/>
  <c r="G26" i="2" s="1"/>
  <c r="G21" i="2"/>
  <c r="H19" i="2" s="1"/>
  <c r="F67" i="2"/>
  <c r="E74" i="2"/>
  <c r="D97" i="2"/>
  <c r="D11" i="2"/>
  <c r="D12" i="2"/>
  <c r="F41" i="2"/>
  <c r="F45" i="2" s="1"/>
  <c r="G38" i="2"/>
  <c r="G40" i="2" s="1"/>
  <c r="D100" i="2" l="1"/>
  <c r="D16" i="2"/>
  <c r="E57" i="2"/>
  <c r="D64" i="2"/>
  <c r="E9" i="2"/>
  <c r="D99" i="2"/>
  <c r="F69" i="2"/>
  <c r="F70" i="2"/>
  <c r="F89" i="2"/>
  <c r="F90" i="2"/>
  <c r="C103" i="2"/>
  <c r="C102" i="2" s="1"/>
  <c r="H38" i="2"/>
  <c r="H40" i="2" s="1"/>
  <c r="G41" i="2"/>
  <c r="G45" i="2" s="1"/>
  <c r="H21" i="2"/>
  <c r="I19" i="2" s="1"/>
  <c r="H22" i="2"/>
  <c r="H26" i="2" s="1"/>
  <c r="G50" i="2"/>
  <c r="G54" i="2" s="1"/>
  <c r="H47" i="2"/>
  <c r="H49" i="2" s="1"/>
  <c r="E80" i="2"/>
  <c r="E79" i="2"/>
  <c r="H32" i="2"/>
  <c r="H36" i="2" s="1"/>
  <c r="H31" i="2"/>
  <c r="I29" i="2" s="1"/>
  <c r="I32" i="2" l="1"/>
  <c r="I36" i="2" s="1"/>
  <c r="I31" i="2"/>
  <c r="J29" i="2" s="1"/>
  <c r="I38" i="2"/>
  <c r="I40" i="2" s="1"/>
  <c r="H41" i="2"/>
  <c r="H45" i="2" s="1"/>
  <c r="E97" i="2"/>
  <c r="E12" i="2"/>
  <c r="E11" i="2"/>
  <c r="D104" i="2"/>
  <c r="G67" i="2"/>
  <c r="F74" i="2"/>
  <c r="I47" i="2"/>
  <c r="I49" i="2" s="1"/>
  <c r="H50" i="2"/>
  <c r="H54" i="2" s="1"/>
  <c r="I21" i="2"/>
  <c r="J19" i="2" s="1"/>
  <c r="I22" i="2"/>
  <c r="I26" i="2" s="1"/>
  <c r="E60" i="2"/>
  <c r="E59" i="2"/>
  <c r="F77" i="2"/>
  <c r="E84" i="2"/>
  <c r="G87" i="2"/>
  <c r="F94" i="2"/>
  <c r="G70" i="2" l="1"/>
  <c r="G69" i="2"/>
  <c r="E100" i="2"/>
  <c r="E16" i="2"/>
  <c r="J32" i="2"/>
  <c r="J36" i="2" s="1"/>
  <c r="J31" i="2"/>
  <c r="K29" i="2" s="1"/>
  <c r="G90" i="2"/>
  <c r="G89" i="2"/>
  <c r="E64" i="2"/>
  <c r="F57" i="2"/>
  <c r="D103" i="2"/>
  <c r="D102" i="2" s="1"/>
  <c r="F80" i="2"/>
  <c r="F79" i="2"/>
  <c r="J21" i="2"/>
  <c r="K19" i="2" s="1"/>
  <c r="J22" i="2"/>
  <c r="J26" i="2" s="1"/>
  <c r="E99" i="2"/>
  <c r="F9" i="2"/>
  <c r="I41" i="2"/>
  <c r="I45" i="2" s="1"/>
  <c r="J38" i="2"/>
  <c r="J40" i="2" s="1"/>
  <c r="J47" i="2"/>
  <c r="J49" i="2" s="1"/>
  <c r="I50" i="2"/>
  <c r="I54" i="2" s="1"/>
  <c r="J50" i="2" l="1"/>
  <c r="J54" i="2" s="1"/>
  <c r="K47" i="2"/>
  <c r="K49" i="2" s="1"/>
  <c r="G77" i="2"/>
  <c r="F84" i="2"/>
  <c r="H67" i="2"/>
  <c r="G74" i="2"/>
  <c r="J41" i="2"/>
  <c r="J45" i="2" s="1"/>
  <c r="K38" i="2"/>
  <c r="K40" i="2" s="1"/>
  <c r="E104" i="2"/>
  <c r="K22" i="2"/>
  <c r="K26" i="2" s="1"/>
  <c r="K21" i="2"/>
  <c r="L19" i="2" s="1"/>
  <c r="H87" i="2"/>
  <c r="G94" i="2"/>
  <c r="F12" i="2"/>
  <c r="F11" i="2"/>
  <c r="F97" i="2"/>
  <c r="F59" i="2"/>
  <c r="F60" i="2"/>
  <c r="K31" i="2"/>
  <c r="L29" i="2" s="1"/>
  <c r="K32" i="2"/>
  <c r="K36" i="2" s="1"/>
  <c r="H90" i="2" l="1"/>
  <c r="H89" i="2"/>
  <c r="E103" i="2"/>
  <c r="E102" i="2" s="1"/>
  <c r="H70" i="2"/>
  <c r="H69" i="2"/>
  <c r="L32" i="2"/>
  <c r="L36" i="2" s="1"/>
  <c r="L31" i="2"/>
  <c r="M29" i="2" s="1"/>
  <c r="F99" i="2"/>
  <c r="G9" i="2"/>
  <c r="L21" i="2"/>
  <c r="M19" i="2" s="1"/>
  <c r="L22" i="2"/>
  <c r="L26" i="2" s="1"/>
  <c r="L38" i="2"/>
  <c r="L40" i="2" s="1"/>
  <c r="K41" i="2"/>
  <c r="K45" i="2" s="1"/>
  <c r="G57" i="2"/>
  <c r="F64" i="2"/>
  <c r="F100" i="2"/>
  <c r="F16" i="2"/>
  <c r="G80" i="2"/>
  <c r="G79" i="2"/>
  <c r="K50" i="2"/>
  <c r="K54" i="2" s="1"/>
  <c r="L47" i="2"/>
  <c r="L49" i="2" s="1"/>
  <c r="M38" i="2" l="1"/>
  <c r="M40" i="2" s="1"/>
  <c r="M41" i="2" s="1"/>
  <c r="M45" i="2" s="1"/>
  <c r="L41" i="2"/>
  <c r="L45" i="2" s="1"/>
  <c r="I67" i="2"/>
  <c r="H74" i="2"/>
  <c r="I87" i="2"/>
  <c r="H94" i="2"/>
  <c r="M32" i="2"/>
  <c r="M36" i="2" s="1"/>
  <c r="N36" i="2" s="1"/>
  <c r="M31" i="2"/>
  <c r="H77" i="2"/>
  <c r="G84" i="2"/>
  <c r="G60" i="2"/>
  <c r="G59" i="2"/>
  <c r="M22" i="2"/>
  <c r="M26" i="2" s="1"/>
  <c r="N26" i="2" s="1"/>
  <c r="M21" i="2"/>
  <c r="M47" i="2"/>
  <c r="M49" i="2" s="1"/>
  <c r="M50" i="2" s="1"/>
  <c r="M54" i="2" s="1"/>
  <c r="L50" i="2"/>
  <c r="L54" i="2" s="1"/>
  <c r="F104" i="2"/>
  <c r="G97" i="2"/>
  <c r="G11" i="2"/>
  <c r="G12" i="2"/>
  <c r="N45" i="2" l="1"/>
  <c r="N43" i="2" s="1"/>
  <c r="N34" i="2"/>
  <c r="G100" i="2"/>
  <c r="G16" i="2"/>
  <c r="F103" i="2"/>
  <c r="F102" i="2" s="1"/>
  <c r="H79" i="2"/>
  <c r="H80" i="2"/>
  <c r="I89" i="2"/>
  <c r="I90" i="2"/>
  <c r="G99" i="2"/>
  <c r="H9" i="2"/>
  <c r="N54" i="2"/>
  <c r="N52" i="2" s="1"/>
  <c r="H57" i="2"/>
  <c r="G64" i="2"/>
  <c r="I70" i="2"/>
  <c r="I69" i="2"/>
  <c r="H59" i="2" l="1"/>
  <c r="H60" i="2"/>
  <c r="J87" i="2"/>
  <c r="I94" i="2"/>
  <c r="J67" i="2"/>
  <c r="I74" i="2"/>
  <c r="H97" i="2"/>
  <c r="H12" i="2"/>
  <c r="H11" i="2"/>
  <c r="I77" i="2"/>
  <c r="H84" i="2"/>
  <c r="G104" i="2"/>
  <c r="G103" i="2" s="1"/>
  <c r="G102" i="2" s="1"/>
  <c r="H99" i="2" l="1"/>
  <c r="I9" i="2"/>
  <c r="H100" i="2"/>
  <c r="H16" i="2"/>
  <c r="J90" i="2"/>
  <c r="J89" i="2"/>
  <c r="I79" i="2"/>
  <c r="I80" i="2"/>
  <c r="I57" i="2"/>
  <c r="H64" i="2"/>
  <c r="J69" i="2"/>
  <c r="J70" i="2"/>
  <c r="H104" i="2" l="1"/>
  <c r="H103" i="2" s="1"/>
  <c r="H102" i="2" s="1"/>
  <c r="K67" i="2"/>
  <c r="J74" i="2"/>
  <c r="J77" i="2"/>
  <c r="I84" i="2"/>
  <c r="I97" i="2"/>
  <c r="I11" i="2"/>
  <c r="I12" i="2"/>
  <c r="I60" i="2"/>
  <c r="I59" i="2"/>
  <c r="K87" i="2"/>
  <c r="J94" i="2"/>
  <c r="K69" i="2" l="1"/>
  <c r="K70" i="2"/>
  <c r="J57" i="2"/>
  <c r="I64" i="2"/>
  <c r="I100" i="2"/>
  <c r="I16" i="2"/>
  <c r="J80" i="2"/>
  <c r="J79" i="2"/>
  <c r="K90" i="2"/>
  <c r="K89" i="2"/>
  <c r="I99" i="2"/>
  <c r="J9" i="2"/>
  <c r="L87" i="2" l="1"/>
  <c r="K94" i="2"/>
  <c r="J97" i="2"/>
  <c r="J12" i="2"/>
  <c r="J11" i="2"/>
  <c r="K77" i="2"/>
  <c r="J84" i="2"/>
  <c r="J60" i="2"/>
  <c r="J59" i="2"/>
  <c r="I104" i="2"/>
  <c r="I103" i="2" s="1"/>
  <c r="I102" i="2" s="1"/>
  <c r="L67" i="2"/>
  <c r="K74" i="2"/>
  <c r="K80" i="2" l="1"/>
  <c r="K79" i="2"/>
  <c r="J99" i="2"/>
  <c r="K9" i="2"/>
  <c r="L90" i="2"/>
  <c r="L89" i="2"/>
  <c r="K57" i="2"/>
  <c r="J64" i="2"/>
  <c r="J100" i="2"/>
  <c r="J16" i="2"/>
  <c r="L70" i="2"/>
  <c r="L69" i="2"/>
  <c r="M87" i="2" l="1"/>
  <c r="L94" i="2"/>
  <c r="L77" i="2"/>
  <c r="K84" i="2"/>
  <c r="K97" i="2"/>
  <c r="K11" i="2"/>
  <c r="K12" i="2"/>
  <c r="M67" i="2"/>
  <c r="L74" i="2"/>
  <c r="K60" i="2"/>
  <c r="K59" i="2"/>
  <c r="J104" i="2"/>
  <c r="J103" i="2" s="1"/>
  <c r="J102" i="2" s="1"/>
  <c r="M89" i="2" l="1"/>
  <c r="M90" i="2"/>
  <c r="M94" i="2" s="1"/>
  <c r="N94" i="2" s="1"/>
  <c r="M70" i="2"/>
  <c r="M74" i="2" s="1"/>
  <c r="N74" i="2" s="1"/>
  <c r="M69" i="2"/>
  <c r="K100" i="2"/>
  <c r="K16" i="2"/>
  <c r="L79" i="2"/>
  <c r="L80" i="2"/>
  <c r="L57" i="2"/>
  <c r="K64" i="2"/>
  <c r="K99" i="2"/>
  <c r="L9" i="2"/>
  <c r="N92" i="2" l="1"/>
  <c r="N72" i="2"/>
  <c r="L97" i="2"/>
  <c r="L12" i="2"/>
  <c r="L11" i="2"/>
  <c r="M77" i="2"/>
  <c r="L84" i="2"/>
  <c r="K104" i="2"/>
  <c r="K103" i="2" s="1"/>
  <c r="K102" i="2" s="1"/>
  <c r="L59" i="2"/>
  <c r="L60" i="2"/>
  <c r="M57" i="2" l="1"/>
  <c r="L64" i="2"/>
  <c r="M80" i="2"/>
  <c r="M84" i="2" s="1"/>
  <c r="N84" i="2" s="1"/>
  <c r="N82" i="2" s="1"/>
  <c r="M79" i="2"/>
  <c r="M9" i="2"/>
  <c r="L99" i="2"/>
  <c r="L100" i="2"/>
  <c r="L16" i="2"/>
  <c r="M97" i="2" l="1"/>
  <c r="M11" i="2"/>
  <c r="M12" i="2"/>
  <c r="M59" i="2"/>
  <c r="M60" i="2"/>
  <c r="M64" i="2" s="1"/>
  <c r="N64" i="2" s="1"/>
  <c r="N62" i="2" s="1"/>
  <c r="L104" i="2"/>
  <c r="L103" i="2" s="1"/>
  <c r="L102" i="2" s="1"/>
  <c r="M99" i="2" l="1"/>
  <c r="M100" i="2"/>
  <c r="M16" i="2"/>
  <c r="M104" i="2" l="1"/>
  <c r="N16" i="2"/>
  <c r="M103" i="2" l="1"/>
  <c r="M102" i="2" s="1"/>
  <c r="N104" i="2"/>
  <c r="N103" i="2" s="1"/>
  <c r="N102" i="2" s="1"/>
</calcChain>
</file>

<file path=xl/sharedStrings.xml><?xml version="1.0" encoding="utf-8"?>
<sst xmlns="http://schemas.openxmlformats.org/spreadsheetml/2006/main" count="113" uniqueCount="37">
  <si>
    <t>SUMMARY</t>
  </si>
  <si>
    <t>Residential - Year Round - Non Std. 'A'</t>
  </si>
  <si>
    <t>Customer Additions/Deletions</t>
  </si>
  <si>
    <t>Number of Customers - End of Period</t>
  </si>
  <si>
    <t>Effective # of Customers During Period</t>
  </si>
  <si>
    <t>Average kWh's/Customer Previous Year</t>
  </si>
  <si>
    <t>kWh's/Customer Increases/Decreases</t>
  </si>
  <si>
    <t>Average kWh's/Customer During Period</t>
  </si>
  <si>
    <t xml:space="preserve">      Total kWh's for Period</t>
  </si>
  <si>
    <t>Residential - Seasonal</t>
  </si>
  <si>
    <t>General Service 1-Phase - Non Std. 'A'</t>
  </si>
  <si>
    <t>General Service 3-Phase - Non Std. 'A'</t>
  </si>
  <si>
    <t>Street Lighting</t>
  </si>
  <si>
    <t>Residential - Road Access - Std. 'A'</t>
  </si>
  <si>
    <t>Residential - Air Access - Std. 'A"</t>
  </si>
  <si>
    <t>General Service - Road Access - Std. 'A'</t>
  </si>
  <si>
    <t>General Service - Air Access - Std. 'A'</t>
  </si>
  <si>
    <t>TOTAL SUMMARY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</si>
  <si>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</si>
  <si>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</si>
  <si>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</si>
  <si>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</si>
  <si>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</si>
  <si>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</si>
  <si>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</si>
  <si>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</si>
  <si>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</si>
  <si>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</si>
  <si>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</si>
  <si>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</si>
  <si>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</si>
  <si>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</t>
  </si>
  <si>
    <t>Number of Customers Start of Period</t>
  </si>
  <si>
    <t>Load Forecast by Month</t>
  </si>
  <si>
    <t>2018 PROJECTED</t>
  </si>
  <si>
    <t>Statistical Data for Load Forecast</t>
  </si>
  <si>
    <t>Hydro One Remote Communities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</si>
</sst>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ECD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165" fontId="2" fillId="0" borderId="1" xfId="1" applyNumberFormat="1" applyFont="1" applyFill="1" applyBorder="1" applyAlignment="1"/>
    <xf numFmtId="164" fontId="2" fillId="0" borderId="1" xfId="0" applyNumberFormat="1" applyFont="1" applyFill="1" applyBorder="1" applyAlignment="1"/>
    <xf numFmtId="165" fontId="2" fillId="2" borderId="1" xfId="1" applyNumberFormat="1" applyFont="1" applyFill="1" applyBorder="1" applyAlignment="1"/>
    <xf numFmtId="165" fontId="2" fillId="4" borderId="1" xfId="1" applyNumberFormat="1" applyFont="1" applyFill="1" applyBorder="1" applyAlignment="1"/>
    <xf numFmtId="165" fontId="2" fillId="3" borderId="1" xfId="1" applyNumberFormat="1" applyFont="1" applyFill="1" applyBorder="1" applyAlignment="1"/>
    <xf numFmtId="165" fontId="0" fillId="0" borderId="0" xfId="0" applyNumberForma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EEC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Business%20Plan_COS\2017%20COS\Load%20Revenue%20and%20Fuel%202016%20Actuals%20%202017%20-%202022%20BP%20Rev12%20v9%20(FINAL%202017%20BP_DS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P 2017"/>
      <sheetName val="Overall Sold Summary"/>
      <sheetName val="$$ Sold Summary"/>
      <sheetName val="Customer Summary"/>
      <sheetName val="KWH Sold Summary"/>
      <sheetName val="Generated Summary"/>
      <sheetName val="Statement of Key Assumptions"/>
      <sheetName val="BILLIMPACTS 2011 and Beyond"/>
      <sheetName val="Load Restrictions 2016-2022"/>
      <sheetName val="Revision History"/>
      <sheetName val="Summary All Communities KWH"/>
      <sheetName val="Key Measure Trends 2017"/>
      <sheetName val="2016 Plan Proj Chg Analysis"/>
      <sheetName val="Key Measure Trends 2016-2022"/>
      <sheetName val="Effect of Unbilled 2017"/>
      <sheetName val="Rates 2016"/>
      <sheetName val="Load Forecast"/>
      <sheetName val="Cost of Power Other"/>
      <sheetName val="New Community Dir @06-2016"/>
      <sheetName val="Net Adj &gt;Cat, Pik, Wunn"/>
      <sheetName val="Weenusk Adjustment NOT APPLIC"/>
      <sheetName val="Cat Lake Adj StartJan_2018"/>
      <sheetName val="Pikangikum Adj StartJan_2019"/>
      <sheetName val="Wunnummin Adj StartJan_2020"/>
      <sheetName val="Cat Lake PT"/>
      <sheetName val="Cat_Lake_Aged_AR"/>
      <sheetName val="Revenue - YR 1 (2017)"/>
      <sheetName val="Revenue -YR 2 to 6 (2018to2022)"/>
      <sheetName val="Fuel Summary"/>
      <sheetName val="Fuel Current Year 2016"/>
      <sheetName val="MB52 Jul 21"/>
      <sheetName val="Compund Interest"/>
      <sheetName val="Fuel - Year 1 2017"/>
      <sheetName val="Fuel-Yrs 2-6 2018-2022"/>
      <sheetName val="Fuel Price Index"/>
      <sheetName val="Fuel Efficiency Index "/>
      <sheetName val="Hydro and RETs"/>
      <sheetName val="RETs Cost of Power"/>
      <sheetName val="OESP (Cost of Power)"/>
      <sheetName val="Winter Road &amp; Other Deliverie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90">
          <cell r="EO1690">
            <v>2683.5</v>
          </cell>
        </row>
        <row r="1691">
          <cell r="EO1691">
            <v>22.666666666666675</v>
          </cell>
        </row>
        <row r="1704">
          <cell r="EN1704">
            <v>3.835450139083596E-3</v>
          </cell>
        </row>
        <row r="1705">
          <cell r="EO1705">
            <v>146.41666666666669</v>
          </cell>
        </row>
        <row r="1706">
          <cell r="EO1706">
            <v>0.33333333333333331</v>
          </cell>
        </row>
        <row r="1719">
          <cell r="EN1719">
            <v>3.7150654435312847E-3</v>
          </cell>
        </row>
        <row r="1720">
          <cell r="EO1720">
            <v>303</v>
          </cell>
        </row>
        <row r="1721">
          <cell r="EO1721">
            <v>5</v>
          </cell>
        </row>
        <row r="1734">
          <cell r="EN1734">
            <v>5.038025414958236E-3</v>
          </cell>
        </row>
        <row r="1735">
          <cell r="EO1735">
            <v>42.833333333333329</v>
          </cell>
        </row>
        <row r="1736">
          <cell r="EO1736">
            <v>0.66666666666666663</v>
          </cell>
        </row>
        <row r="1749">
          <cell r="EN1749">
            <v>4.3433711139626574E-3</v>
          </cell>
        </row>
        <row r="1750">
          <cell r="EO1750">
            <v>7.3333333333333321</v>
          </cell>
        </row>
        <row r="1751">
          <cell r="EO1751">
            <v>0.33333333333333331</v>
          </cell>
        </row>
        <row r="1758">
          <cell r="EN1758">
            <v>-4.6511270117851167E-2</v>
          </cell>
        </row>
        <row r="1759">
          <cell r="EO1759">
            <v>8</v>
          </cell>
        </row>
        <row r="1760">
          <cell r="ED1760">
            <v>0</v>
          </cell>
          <cell r="EE1760">
            <v>0</v>
          </cell>
          <cell r="EF1760">
            <v>0</v>
          </cell>
          <cell r="EG1760">
            <v>0</v>
          </cell>
          <cell r="EH1760">
            <v>0</v>
          </cell>
          <cell r="EI1760">
            <v>0</v>
          </cell>
          <cell r="EJ1760">
            <v>0</v>
          </cell>
          <cell r="EK1760">
            <v>0</v>
          </cell>
          <cell r="EL1760">
            <v>0</v>
          </cell>
          <cell r="EM1760">
            <v>0</v>
          </cell>
          <cell r="EN1760">
            <v>0</v>
          </cell>
          <cell r="EO1760">
            <v>0</v>
          </cell>
        </row>
        <row r="1767">
          <cell r="EN1767">
            <v>4.6299355134815645E-3</v>
          </cell>
        </row>
        <row r="1768">
          <cell r="EO1768">
            <v>131.75000000000003</v>
          </cell>
        </row>
        <row r="1769">
          <cell r="EO1769">
            <v>6.3333333333333339</v>
          </cell>
        </row>
        <row r="1776">
          <cell r="EN1776">
            <v>-4.7491271506379107E-3</v>
          </cell>
        </row>
        <row r="1777">
          <cell r="EO1777">
            <v>22</v>
          </cell>
        </row>
        <row r="1778">
          <cell r="EO1778">
            <v>0</v>
          </cell>
        </row>
        <row r="1785">
          <cell r="EN1785">
            <v>5.1442447238239097E-3</v>
          </cell>
        </row>
        <row r="1786">
          <cell r="EO1786">
            <v>287.08333333333337</v>
          </cell>
        </row>
        <row r="1787">
          <cell r="EO1787">
            <v>1.6666666666666665</v>
          </cell>
        </row>
        <row r="1794">
          <cell r="EN1794">
            <v>5.913091221632083E-3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5"/>
  <sheetViews>
    <sheetView tabSelected="1" zoomScaleNormal="100" zoomScaleSheetLayoutView="110" workbookViewId="0">
      <selection activeCell="A4" sqref="A4:N4"/>
    </sheetView>
  </sheetViews>
  <sheetFormatPr defaultRowHeight="15" x14ac:dyDescent="0.25"/>
  <cols>
    <col min="1" max="1" width="32.7109375" customWidth="1"/>
    <col min="2" max="14" width="11.42578125" style="13" customWidth="1"/>
    <col min="15" max="15" width="4" style="1" customWidth="1"/>
    <col min="17" max="17" width="11" bestFit="1" customWidth="1"/>
  </cols>
  <sheetData>
    <row r="2" spans="1:17" x14ac:dyDescent="0.25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7" x14ac:dyDescent="0.25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7" ht="15" customHeight="1" x14ac:dyDescent="0.3">
      <c r="A4" s="18" t="s">
        <v>33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7" ht="14.45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7" ht="14.45" x14ac:dyDescent="0.3">
      <c r="A6" s="2" t="s">
        <v>0</v>
      </c>
      <c r="B6" s="19" t="s">
        <v>34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7" ht="14.45" x14ac:dyDescent="0.3">
      <c r="A7" s="2"/>
      <c r="B7" s="3" t="s">
        <v>18</v>
      </c>
      <c r="C7" s="14" t="s">
        <v>19</v>
      </c>
      <c r="D7" s="14" t="s">
        <v>20</v>
      </c>
      <c r="E7" s="14" t="s">
        <v>21</v>
      </c>
      <c r="F7" s="14" t="s">
        <v>22</v>
      </c>
      <c r="G7" s="14" t="s">
        <v>23</v>
      </c>
      <c r="H7" s="14" t="s">
        <v>24</v>
      </c>
      <c r="I7" s="14" t="s">
        <v>25</v>
      </c>
      <c r="J7" s="14" t="s">
        <v>26</v>
      </c>
      <c r="K7" s="14" t="s">
        <v>27</v>
      </c>
      <c r="L7" s="14" t="s">
        <v>28</v>
      </c>
      <c r="M7" s="14" t="s">
        <v>29</v>
      </c>
      <c r="N7" s="14" t="s">
        <v>30</v>
      </c>
    </row>
    <row r="8" spans="1:17" ht="14.45" x14ac:dyDescent="0.3">
      <c r="A8" s="4" t="s">
        <v>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7" ht="14.45" x14ac:dyDescent="0.3">
      <c r="A9" s="5" t="s">
        <v>32</v>
      </c>
      <c r="B9" s="7">
        <f>'[1]Load Forecast'!$EO1690</f>
        <v>2683.5</v>
      </c>
      <c r="C9" s="7">
        <f>B11</f>
        <v>2685.3888888888887</v>
      </c>
      <c r="D9" s="7">
        <f t="shared" ref="D9:M9" si="0">C11</f>
        <v>2687.2777777777774</v>
      </c>
      <c r="E9" s="7">
        <f>D11</f>
        <v>2689.1666666666661</v>
      </c>
      <c r="F9" s="7">
        <f t="shared" si="0"/>
        <v>2691.0555555555547</v>
      </c>
      <c r="G9" s="7">
        <f t="shared" si="0"/>
        <v>2692.9444444444434</v>
      </c>
      <c r="H9" s="7">
        <f t="shared" si="0"/>
        <v>2694.8333333333321</v>
      </c>
      <c r="I9" s="7">
        <f t="shared" si="0"/>
        <v>2696.7222222222208</v>
      </c>
      <c r="J9" s="7">
        <f t="shared" si="0"/>
        <v>2698.6111111111095</v>
      </c>
      <c r="K9" s="7">
        <f t="shared" si="0"/>
        <v>2700.4999999999982</v>
      </c>
      <c r="L9" s="7">
        <f t="shared" si="0"/>
        <v>2702.3888888888869</v>
      </c>
      <c r="M9" s="7">
        <f t="shared" si="0"/>
        <v>2704.2777777777756</v>
      </c>
      <c r="N9" s="7">
        <f>B9</f>
        <v>2683.5</v>
      </c>
    </row>
    <row r="10" spans="1:17" ht="14.45" x14ac:dyDescent="0.3">
      <c r="A10" s="5" t="s">
        <v>2</v>
      </c>
      <c r="B10" s="7">
        <f>'[1]Load Forecast'!$EO1691/12</f>
        <v>1.8888888888888895</v>
      </c>
      <c r="C10" s="7">
        <f>'[1]Load Forecast'!$EO$1691/12</f>
        <v>1.8888888888888895</v>
      </c>
      <c r="D10" s="7">
        <f>'[1]Load Forecast'!$EO$1691/12</f>
        <v>1.8888888888888895</v>
      </c>
      <c r="E10" s="7">
        <f>'[1]Load Forecast'!$EO$1691/12</f>
        <v>1.8888888888888895</v>
      </c>
      <c r="F10" s="7">
        <f>'[1]Load Forecast'!$EO$1691/12</f>
        <v>1.8888888888888895</v>
      </c>
      <c r="G10" s="7">
        <f>'[1]Load Forecast'!$EO$1691/12</f>
        <v>1.8888888888888895</v>
      </c>
      <c r="H10" s="7">
        <f>'[1]Load Forecast'!$EO$1691/12</f>
        <v>1.8888888888888895</v>
      </c>
      <c r="I10" s="7">
        <f>'[1]Load Forecast'!$EO$1691/12</f>
        <v>1.8888888888888895</v>
      </c>
      <c r="J10" s="7">
        <f>'[1]Load Forecast'!$EO$1691/12</f>
        <v>1.8888888888888895</v>
      </c>
      <c r="K10" s="7">
        <f>'[1]Load Forecast'!$EO$1691/12</f>
        <v>1.8888888888888895</v>
      </c>
      <c r="L10" s="7">
        <f>'[1]Load Forecast'!$EO$1691/12</f>
        <v>1.8888888888888895</v>
      </c>
      <c r="M10" s="7">
        <f>'[1]Load Forecast'!$EO$1691/12</f>
        <v>1.8888888888888895</v>
      </c>
      <c r="N10" s="7">
        <f>SUM(B10:M10)</f>
        <v>22.666666666666675</v>
      </c>
    </row>
    <row r="11" spans="1:17" ht="14.45" x14ac:dyDescent="0.3">
      <c r="A11" s="8" t="s">
        <v>3</v>
      </c>
      <c r="B11" s="7">
        <f>SUM(B9:B10)</f>
        <v>2685.3888888888887</v>
      </c>
      <c r="C11" s="7">
        <f t="shared" ref="C11:M11" si="1">SUM(C9:C10)</f>
        <v>2687.2777777777774</v>
      </c>
      <c r="D11" s="7">
        <f t="shared" si="1"/>
        <v>2689.1666666666661</v>
      </c>
      <c r="E11" s="7">
        <f t="shared" si="1"/>
        <v>2691.0555555555547</v>
      </c>
      <c r="F11" s="7">
        <f t="shared" si="1"/>
        <v>2692.9444444444434</v>
      </c>
      <c r="G11" s="7">
        <f t="shared" si="1"/>
        <v>2694.8333333333321</v>
      </c>
      <c r="H11" s="7">
        <f t="shared" si="1"/>
        <v>2696.7222222222208</v>
      </c>
      <c r="I11" s="7">
        <f t="shared" si="1"/>
        <v>2698.6111111111095</v>
      </c>
      <c r="J11" s="7">
        <f t="shared" si="1"/>
        <v>2700.4999999999982</v>
      </c>
      <c r="K11" s="7">
        <f t="shared" si="1"/>
        <v>2702.3888888888869</v>
      </c>
      <c r="L11" s="7">
        <f t="shared" si="1"/>
        <v>2704.2777777777756</v>
      </c>
      <c r="M11" s="7">
        <f t="shared" si="1"/>
        <v>2706.1666666666642</v>
      </c>
      <c r="N11" s="7">
        <f>+N9+N10</f>
        <v>2706.1666666666665</v>
      </c>
    </row>
    <row r="12" spans="1:17" ht="14.45" x14ac:dyDescent="0.3">
      <c r="A12" s="8" t="s">
        <v>4</v>
      </c>
      <c r="B12" s="7">
        <f>B9+(B10*0.5)</f>
        <v>2684.4444444444443</v>
      </c>
      <c r="C12" s="7">
        <f t="shared" ref="C12:M12" si="2">C9+(C10*0.5)</f>
        <v>2686.333333333333</v>
      </c>
      <c r="D12" s="7">
        <f t="shared" si="2"/>
        <v>2688.2222222222217</v>
      </c>
      <c r="E12" s="7">
        <f t="shared" si="2"/>
        <v>2690.1111111111104</v>
      </c>
      <c r="F12" s="7">
        <f t="shared" si="2"/>
        <v>2691.9999999999991</v>
      </c>
      <c r="G12" s="7">
        <f t="shared" si="2"/>
        <v>2693.8888888888878</v>
      </c>
      <c r="H12" s="7">
        <f t="shared" si="2"/>
        <v>2695.7777777777765</v>
      </c>
      <c r="I12" s="7">
        <f t="shared" si="2"/>
        <v>2697.6666666666652</v>
      </c>
      <c r="J12" s="7">
        <f t="shared" si="2"/>
        <v>2699.5555555555538</v>
      </c>
      <c r="K12" s="7">
        <f t="shared" si="2"/>
        <v>2701.4444444444425</v>
      </c>
      <c r="L12" s="7">
        <f t="shared" si="2"/>
        <v>2703.3333333333312</v>
      </c>
      <c r="M12" s="7">
        <f t="shared" si="2"/>
        <v>2705.2222222222199</v>
      </c>
      <c r="N12" s="7">
        <f>N9+(N10*0.5)</f>
        <v>2694.8333333333335</v>
      </c>
    </row>
    <row r="13" spans="1:17" ht="14.45" x14ac:dyDescent="0.3">
      <c r="A13" s="8" t="s">
        <v>5</v>
      </c>
      <c r="B13" s="7">
        <v>1543.5224113218471</v>
      </c>
      <c r="C13" s="7">
        <v>1536.8637089001654</v>
      </c>
      <c r="D13" s="7">
        <v>1537.924455637773</v>
      </c>
      <c r="E13" s="7">
        <v>1241.2428019323715</v>
      </c>
      <c r="F13" s="7">
        <v>1243.7920834185222</v>
      </c>
      <c r="G13" s="7">
        <v>1246.3289599071149</v>
      </c>
      <c r="H13" s="7">
        <v>883.99074951311923</v>
      </c>
      <c r="I13" s="7">
        <v>883.97525343264874</v>
      </c>
      <c r="J13" s="7">
        <v>883.95977438781358</v>
      </c>
      <c r="K13" s="7">
        <v>1133.0284352955498</v>
      </c>
      <c r="L13" s="7">
        <v>1131.3400115180605</v>
      </c>
      <c r="M13" s="7">
        <v>1130.0000620208793</v>
      </c>
      <c r="N13" s="7">
        <v>14392.043869506191</v>
      </c>
    </row>
    <row r="14" spans="1:17" ht="14.45" x14ac:dyDescent="0.3">
      <c r="A14" s="8" t="s">
        <v>6</v>
      </c>
      <c r="B14" s="7">
        <f>B13*'[1]Load Forecast'!$EN1704</f>
        <v>5.9201032471830262</v>
      </c>
      <c r="C14" s="7">
        <f>C13*'[1]Load Forecast'!$EN$1704</f>
        <v>5.8945641260536705</v>
      </c>
      <c r="D14" s="7">
        <f>D13*'[1]Load Forecast'!$EN$1704</f>
        <v>5.8986325672759605</v>
      </c>
      <c r="E14" s="7">
        <f>E13*'[1]Load Forecast'!$EN$1704</f>
        <v>4.7607248773080268</v>
      </c>
      <c r="F14" s="7">
        <f>F13*'[1]Load Forecast'!$EN$1704</f>
        <v>4.7705025193386463</v>
      </c>
      <c r="G14" s="7">
        <f>G13*'[1]Load Forecast'!$EN$1704</f>
        <v>4.7802325826196572</v>
      </c>
      <c r="H14" s="7">
        <f>H13*'[1]Load Forecast'!$EN$1704</f>
        <v>3.3905024431687054</v>
      </c>
      <c r="I14" s="7">
        <f>I13*'[1]Load Forecast'!$EN$1704</f>
        <v>3.3904430087247097</v>
      </c>
      <c r="J14" s="7">
        <f>J13*'[1]Load Forecast'!$EN$1704</f>
        <v>3.3903836396200435</v>
      </c>
      <c r="K14" s="7">
        <f>K13*'[1]Load Forecast'!$EN$1704</f>
        <v>4.345674069739986</v>
      </c>
      <c r="L14" s="7">
        <f>L13*'[1]Load Forecast'!$EN$1704+0.005</f>
        <v>4.3441982045277818</v>
      </c>
      <c r="M14" s="7">
        <f>M13*'[1]Load Forecast'!$EN$1704+0.18</f>
        <v>4.5140588950424538</v>
      </c>
      <c r="N14" s="7">
        <f>SUM(B14:M14)</f>
        <v>55.400020180602667</v>
      </c>
    </row>
    <row r="15" spans="1:17" ht="14.45" x14ac:dyDescent="0.3">
      <c r="A15" s="8" t="s">
        <v>7</v>
      </c>
      <c r="B15" s="7">
        <v>1549.4425145690302</v>
      </c>
      <c r="C15" s="7">
        <v>1542.7582730262191</v>
      </c>
      <c r="D15" s="7">
        <v>1543.8230882050489</v>
      </c>
      <c r="E15" s="7">
        <v>1246.0035268096797</v>
      </c>
      <c r="F15" s="7">
        <v>1248.5625859378608</v>
      </c>
      <c r="G15" s="7">
        <v>1251.1091924897346</v>
      </c>
      <c r="H15" s="7">
        <v>887.38125195628788</v>
      </c>
      <c r="I15" s="7">
        <v>887.36569644137342</v>
      </c>
      <c r="J15" s="7">
        <v>887.35015802743362</v>
      </c>
      <c r="K15" s="7">
        <v>1137.3741093652898</v>
      </c>
      <c r="L15" s="7">
        <v>1135.6842097225883</v>
      </c>
      <c r="M15" s="7">
        <v>1135.6141209159216</v>
      </c>
      <c r="N15" s="7">
        <v>14447.10037604336</v>
      </c>
      <c r="P15" t="s">
        <v>31</v>
      </c>
    </row>
    <row r="16" spans="1:17" ht="14.45" x14ac:dyDescent="0.3">
      <c r="A16" s="5" t="s">
        <v>8</v>
      </c>
      <c r="B16" s="9">
        <f t="shared" ref="B16:L16" si="3">B15*B12</f>
        <v>4159392.3502208632</v>
      </c>
      <c r="C16" s="9">
        <f t="shared" si="3"/>
        <v>4144362.9741060995</v>
      </c>
      <c r="D16" s="9">
        <f t="shared" si="3"/>
        <v>4150139.5328925494</v>
      </c>
      <c r="E16" s="9">
        <f t="shared" si="3"/>
        <v>3351887.9319543494</v>
      </c>
      <c r="F16" s="9">
        <f t="shared" si="3"/>
        <v>3361130.4813447203</v>
      </c>
      <c r="G16" s="9">
        <f t="shared" si="3"/>
        <v>3370349.1524348445</v>
      </c>
      <c r="H16" s="9">
        <f t="shared" si="3"/>
        <v>2392182.6594403828</v>
      </c>
      <c r="I16" s="9">
        <f t="shared" si="3"/>
        <v>2393816.8604333438</v>
      </c>
      <c r="J16" s="9">
        <f t="shared" si="3"/>
        <v>2395451.048826057</v>
      </c>
      <c r="K16" s="9">
        <f t="shared" si="3"/>
        <v>3072552.9689998077</v>
      </c>
      <c r="L16" s="9">
        <f t="shared" si="3"/>
        <v>3070132.9802833945</v>
      </c>
      <c r="M16" s="9">
        <f>M15*M12+1735</f>
        <v>3073823.5557711022</v>
      </c>
      <c r="N16" s="9">
        <f>SUM(B16:M16)</f>
        <v>38935222.496707514</v>
      </c>
      <c r="P16" s="12" t="s">
        <v>31</v>
      </c>
      <c r="Q16" s="12" t="s">
        <v>31</v>
      </c>
    </row>
    <row r="17" spans="1:14" ht="14.45" x14ac:dyDescent="0.3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45" x14ac:dyDescent="0.3">
      <c r="A18" s="4" t="s">
        <v>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45" x14ac:dyDescent="0.3">
      <c r="A19" s="5" t="s">
        <v>32</v>
      </c>
      <c r="B19" s="7">
        <f>'[1]Load Forecast'!$EO$1705</f>
        <v>146.41666666666669</v>
      </c>
      <c r="C19" s="7">
        <f>B21</f>
        <v>146.44444444444446</v>
      </c>
      <c r="D19" s="7">
        <f t="shared" ref="D19:L19" si="4">C21</f>
        <v>146.47222222222223</v>
      </c>
      <c r="E19" s="7">
        <f t="shared" si="4"/>
        <v>146.5</v>
      </c>
      <c r="F19" s="7">
        <f t="shared" si="4"/>
        <v>146.52777777777777</v>
      </c>
      <c r="G19" s="7">
        <f t="shared" si="4"/>
        <v>146.55555555555554</v>
      </c>
      <c r="H19" s="7">
        <f t="shared" si="4"/>
        <v>146.58333333333331</v>
      </c>
      <c r="I19" s="7">
        <f t="shared" si="4"/>
        <v>146.61111111111109</v>
      </c>
      <c r="J19" s="7">
        <f t="shared" si="4"/>
        <v>146.63888888888886</v>
      </c>
      <c r="K19" s="7">
        <f t="shared" si="4"/>
        <v>146.66666666666663</v>
      </c>
      <c r="L19" s="7">
        <f t="shared" si="4"/>
        <v>146.6944444444444</v>
      </c>
      <c r="M19" s="7">
        <f>L21</f>
        <v>146.72222222222217</v>
      </c>
      <c r="N19" s="7">
        <f>B19</f>
        <v>146.41666666666669</v>
      </c>
    </row>
    <row r="20" spans="1:14" ht="15" customHeight="1" x14ac:dyDescent="0.3">
      <c r="A20" s="5" t="s">
        <v>2</v>
      </c>
      <c r="B20" s="7">
        <f>'[1]Load Forecast'!$EO$1706/12</f>
        <v>2.7777777777777776E-2</v>
      </c>
      <c r="C20" s="7">
        <f>'[1]Load Forecast'!$EO$1706/12</f>
        <v>2.7777777777777776E-2</v>
      </c>
      <c r="D20" s="7">
        <f>'[1]Load Forecast'!$EO$1706/12</f>
        <v>2.7777777777777776E-2</v>
      </c>
      <c r="E20" s="7">
        <f>'[1]Load Forecast'!$EO$1706/12</f>
        <v>2.7777777777777776E-2</v>
      </c>
      <c r="F20" s="7">
        <f>'[1]Load Forecast'!$EO$1706/12</f>
        <v>2.7777777777777776E-2</v>
      </c>
      <c r="G20" s="7">
        <f>'[1]Load Forecast'!$EO$1706/12</f>
        <v>2.7777777777777776E-2</v>
      </c>
      <c r="H20" s="7">
        <f>'[1]Load Forecast'!$EO$1706/12</f>
        <v>2.7777777777777776E-2</v>
      </c>
      <c r="I20" s="7">
        <f>'[1]Load Forecast'!$EO$1706/12</f>
        <v>2.7777777777777776E-2</v>
      </c>
      <c r="J20" s="7">
        <f>'[1]Load Forecast'!$EO$1706/12</f>
        <v>2.7777777777777776E-2</v>
      </c>
      <c r="K20" s="7">
        <f>'[1]Load Forecast'!$EO$1706/12</f>
        <v>2.7777777777777776E-2</v>
      </c>
      <c r="L20" s="7">
        <f>'[1]Load Forecast'!$EO$1706/12</f>
        <v>2.7777777777777776E-2</v>
      </c>
      <c r="M20" s="7">
        <f>'[1]Load Forecast'!$EO$1706/12</f>
        <v>2.7777777777777776E-2</v>
      </c>
      <c r="N20" s="7">
        <f>SUM(B20:M20)</f>
        <v>0.33333333333333343</v>
      </c>
    </row>
    <row r="21" spans="1:14" ht="15" customHeight="1" x14ac:dyDescent="0.3">
      <c r="A21" s="5" t="s">
        <v>3</v>
      </c>
      <c r="B21" s="7">
        <f>B19+B20</f>
        <v>146.44444444444446</v>
      </c>
      <c r="C21" s="7">
        <f t="shared" ref="C21:N21" si="5">C19+C20</f>
        <v>146.47222222222223</v>
      </c>
      <c r="D21" s="7">
        <f t="shared" si="5"/>
        <v>146.5</v>
      </c>
      <c r="E21" s="7">
        <f t="shared" si="5"/>
        <v>146.52777777777777</v>
      </c>
      <c r="F21" s="7">
        <f t="shared" si="5"/>
        <v>146.55555555555554</v>
      </c>
      <c r="G21" s="7">
        <f t="shared" si="5"/>
        <v>146.58333333333331</v>
      </c>
      <c r="H21" s="7">
        <f t="shared" si="5"/>
        <v>146.61111111111109</v>
      </c>
      <c r="I21" s="7">
        <f t="shared" si="5"/>
        <v>146.63888888888886</v>
      </c>
      <c r="J21" s="7">
        <f t="shared" si="5"/>
        <v>146.66666666666663</v>
      </c>
      <c r="K21" s="7">
        <f t="shared" si="5"/>
        <v>146.6944444444444</v>
      </c>
      <c r="L21" s="7">
        <f t="shared" si="5"/>
        <v>146.72222222222217</v>
      </c>
      <c r="M21" s="7">
        <f t="shared" si="5"/>
        <v>146.74999999999994</v>
      </c>
      <c r="N21" s="7">
        <f t="shared" si="5"/>
        <v>146.75000000000003</v>
      </c>
    </row>
    <row r="22" spans="1:14" ht="14.45" x14ac:dyDescent="0.3">
      <c r="A22" s="8" t="s">
        <v>4</v>
      </c>
      <c r="B22" s="7">
        <f>B19+(B20*0.05)</f>
        <v>146.41805555555558</v>
      </c>
      <c r="C22" s="7">
        <f t="shared" ref="C22:M22" si="6">C19+(C20*0.05)</f>
        <v>146.44583333333335</v>
      </c>
      <c r="D22" s="7">
        <f t="shared" si="6"/>
        <v>146.47361111111113</v>
      </c>
      <c r="E22" s="7">
        <f t="shared" si="6"/>
        <v>146.5013888888889</v>
      </c>
      <c r="F22" s="7">
        <f t="shared" si="6"/>
        <v>146.52916666666667</v>
      </c>
      <c r="G22" s="7">
        <f t="shared" si="6"/>
        <v>146.55694444444444</v>
      </c>
      <c r="H22" s="7">
        <f t="shared" si="6"/>
        <v>146.58472222222221</v>
      </c>
      <c r="I22" s="7">
        <f t="shared" si="6"/>
        <v>146.61249999999998</v>
      </c>
      <c r="J22" s="7">
        <f t="shared" si="6"/>
        <v>146.64027777777775</v>
      </c>
      <c r="K22" s="7">
        <f t="shared" si="6"/>
        <v>146.66805555555553</v>
      </c>
      <c r="L22" s="7">
        <f t="shared" si="6"/>
        <v>146.6958333333333</v>
      </c>
      <c r="M22" s="7">
        <f t="shared" si="6"/>
        <v>146.72361111111107</v>
      </c>
      <c r="N22" s="7">
        <f>N19+(N20*0.05)+0.07</f>
        <v>146.50333333333336</v>
      </c>
    </row>
    <row r="23" spans="1:14" ht="14.45" x14ac:dyDescent="0.3">
      <c r="A23" s="8" t="s">
        <v>5</v>
      </c>
      <c r="B23" s="7">
        <v>180.39405717588286</v>
      </c>
      <c r="C23" s="7">
        <v>180.39454137306845</v>
      </c>
      <c r="D23" s="7">
        <v>179.86169263848643</v>
      </c>
      <c r="E23" s="7">
        <v>87.946765845153593</v>
      </c>
      <c r="F23" s="7">
        <v>87.747952198038107</v>
      </c>
      <c r="G23" s="7">
        <v>86.891757958169762</v>
      </c>
      <c r="H23" s="7">
        <v>196.95465414891498</v>
      </c>
      <c r="I23" s="7">
        <v>196.96923879749249</v>
      </c>
      <c r="J23" s="7">
        <v>197.14885060372063</v>
      </c>
      <c r="K23" s="7">
        <v>241.63698243926115</v>
      </c>
      <c r="L23" s="7">
        <v>242.88917160778382</v>
      </c>
      <c r="M23" s="7">
        <v>244.24484105200384</v>
      </c>
      <c r="N23" s="7">
        <v>2123.3351093045608</v>
      </c>
    </row>
    <row r="24" spans="1:14" ht="14.45" x14ac:dyDescent="0.3">
      <c r="A24" s="8" t="s">
        <v>6</v>
      </c>
      <c r="B24" s="7">
        <f>B23*'[1]Load Forecast'!$EN$1719</f>
        <v>0.67017572803252923</v>
      </c>
      <c r="C24" s="7">
        <f>C23*'[1]Load Forecast'!$EN$1719</f>
        <v>0.67017752685676124</v>
      </c>
      <c r="D24" s="7">
        <f>D23*'[1]Load Forecast'!$EN$1719</f>
        <v>0.6681979589362862</v>
      </c>
      <c r="E24" s="7">
        <f>E23*'[1]Load Forecast'!$EN$1719</f>
        <v>0.32672799066166758</v>
      </c>
      <c r="F24" s="7">
        <f>F23*'[1]Load Forecast'!$EN$1719</f>
        <v>0.32598938495156637</v>
      </c>
      <c r="G24" s="7">
        <f>G23*'[1]Load Forecast'!$EN$1719</f>
        <v>0.322808567318081</v>
      </c>
      <c r="H24" s="7">
        <f>H23*'[1]Load Forecast'!$EN$1719</f>
        <v>0.73169942957128964</v>
      </c>
      <c r="I24" s="7">
        <f>I23*'[1]Load Forecast'!$EN$1719</f>
        <v>0.73175361249522597</v>
      </c>
      <c r="J24" s="7">
        <f>J23*'[1]Load Forecast'!$EN$1719</f>
        <v>0.73242088210979439</v>
      </c>
      <c r="K24" s="7">
        <f>K23*'[1]Load Forecast'!$EN$1719</f>
        <v>0.89769720333927494</v>
      </c>
      <c r="L24" s="7">
        <f>L23*'[1]Load Forecast'!$EN$1719+0.01</f>
        <v>0.91234916804801769</v>
      </c>
      <c r="M24" s="7">
        <f>M23*'[1]Load Forecast'!$EN$1719+0.05</f>
        <v>0.95738556875309078</v>
      </c>
      <c r="N24" s="7">
        <f>SUM(B24:M24)</f>
        <v>7.9473830210735859</v>
      </c>
    </row>
    <row r="25" spans="1:14" ht="14.45" x14ac:dyDescent="0.3">
      <c r="A25" s="8" t="s">
        <v>7</v>
      </c>
      <c r="B25" s="7">
        <v>181.06423290391538</v>
      </c>
      <c r="C25" s="7">
        <v>181.0647188999252</v>
      </c>
      <c r="D25" s="7">
        <v>180.52989059742271</v>
      </c>
      <c r="E25" s="7">
        <v>88.273493835815259</v>
      </c>
      <c r="F25" s="7">
        <v>88.073941582989676</v>
      </c>
      <c r="G25" s="7">
        <v>87.214566525487839</v>
      </c>
      <c r="H25" s="7">
        <v>197.68635357848626</v>
      </c>
      <c r="I25" s="7">
        <v>197.70099240998772</v>
      </c>
      <c r="J25" s="7">
        <v>197.88127148583044</v>
      </c>
      <c r="K25" s="7">
        <v>242.53467964260042</v>
      </c>
      <c r="L25" s="7">
        <v>243.80152077583185</v>
      </c>
      <c r="M25" s="7">
        <v>245.35222662075694</v>
      </c>
      <c r="N25" s="7">
        <v>2125.2151330854535</v>
      </c>
    </row>
    <row r="26" spans="1:14" ht="14.45" x14ac:dyDescent="0.3">
      <c r="A26" s="5" t="s">
        <v>8</v>
      </c>
      <c r="B26" s="9">
        <f t="shared" ref="B26:M26" si="7">B25*B22</f>
        <v>26511.072912449537</v>
      </c>
      <c r="C26" s="9">
        <f t="shared" si="7"/>
        <v>26516.173646565298</v>
      </c>
      <c r="D26" s="9">
        <f t="shared" si="7"/>
        <v>26442.86498929833</v>
      </c>
      <c r="E26" s="9">
        <f t="shared" si="7"/>
        <v>12932.189449021707</v>
      </c>
      <c r="F26" s="9">
        <f t="shared" si="7"/>
        <v>12905.401265204158</v>
      </c>
      <c r="G26" s="9">
        <f t="shared" si="7"/>
        <v>12781.900381022226</v>
      </c>
      <c r="H26" s="9">
        <f t="shared" si="7"/>
        <v>28977.799226426414</v>
      </c>
      <c r="I26" s="9">
        <f t="shared" si="7"/>
        <v>28985.436749709323</v>
      </c>
      <c r="J26" s="9">
        <f t="shared" si="7"/>
        <v>29017.364617702027</v>
      </c>
      <c r="K26" s="9">
        <f t="shared" si="7"/>
        <v>35572.089867969778</v>
      </c>
      <c r="L26" s="9">
        <f t="shared" si="7"/>
        <v>35764.667258144626</v>
      </c>
      <c r="M26" s="10">
        <f t="shared" si="7"/>
        <v>35998.964683949132</v>
      </c>
      <c r="N26" s="10">
        <f>SUM(B26:M26)</f>
        <v>312405.92504746257</v>
      </c>
    </row>
    <row r="27" spans="1:14" ht="14.45" x14ac:dyDescent="0.3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4.45" x14ac:dyDescent="0.3">
      <c r="A28" s="4" t="s">
        <v>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4.45" x14ac:dyDescent="0.3">
      <c r="A29" s="5" t="s">
        <v>32</v>
      </c>
      <c r="B29" s="7">
        <f>'[1]Load Forecast'!$EO$1720</f>
        <v>303</v>
      </c>
      <c r="C29" s="7">
        <f>B31</f>
        <v>303.41666666666669</v>
      </c>
      <c r="D29" s="7">
        <f>C31</f>
        <v>303.83333333333337</v>
      </c>
      <c r="E29" s="7">
        <f t="shared" ref="E29:M29" si="8">D31</f>
        <v>304.25000000000006</v>
      </c>
      <c r="F29" s="7">
        <f t="shared" si="8"/>
        <v>304.66666666666674</v>
      </c>
      <c r="G29" s="7">
        <f t="shared" si="8"/>
        <v>305.08333333333343</v>
      </c>
      <c r="H29" s="7">
        <f t="shared" si="8"/>
        <v>305.50000000000011</v>
      </c>
      <c r="I29" s="7">
        <f t="shared" si="8"/>
        <v>305.9166666666668</v>
      </c>
      <c r="J29" s="7">
        <f t="shared" si="8"/>
        <v>306.33333333333348</v>
      </c>
      <c r="K29" s="7">
        <f t="shared" si="8"/>
        <v>306.75000000000017</v>
      </c>
      <c r="L29" s="7">
        <f t="shared" si="8"/>
        <v>307.16666666666686</v>
      </c>
      <c r="M29" s="7">
        <f t="shared" si="8"/>
        <v>307.58333333333354</v>
      </c>
      <c r="N29" s="7">
        <f>B29</f>
        <v>303</v>
      </c>
    </row>
    <row r="30" spans="1:14" ht="14.45" x14ac:dyDescent="0.3">
      <c r="A30" s="5" t="s">
        <v>2</v>
      </c>
      <c r="B30" s="7">
        <f>'[1]Load Forecast'!$EO$1721/12</f>
        <v>0.41666666666666669</v>
      </c>
      <c r="C30" s="7">
        <f>'[1]Load Forecast'!$EO$1721/12</f>
        <v>0.41666666666666669</v>
      </c>
      <c r="D30" s="7">
        <f>'[1]Load Forecast'!$EO$1721/12</f>
        <v>0.41666666666666669</v>
      </c>
      <c r="E30" s="7">
        <f>'[1]Load Forecast'!$EO$1721/12</f>
        <v>0.41666666666666669</v>
      </c>
      <c r="F30" s="7">
        <f>'[1]Load Forecast'!$EO$1721/12</f>
        <v>0.41666666666666669</v>
      </c>
      <c r="G30" s="7">
        <f>'[1]Load Forecast'!$EO$1721/12</f>
        <v>0.41666666666666669</v>
      </c>
      <c r="H30" s="7">
        <f>'[1]Load Forecast'!$EO$1721/12</f>
        <v>0.41666666666666669</v>
      </c>
      <c r="I30" s="7">
        <f>'[1]Load Forecast'!$EO$1721/12</f>
        <v>0.41666666666666669</v>
      </c>
      <c r="J30" s="7">
        <f>'[1]Load Forecast'!$EO$1721/12</f>
        <v>0.41666666666666669</v>
      </c>
      <c r="K30" s="7">
        <f>'[1]Load Forecast'!$EO$1721/12</f>
        <v>0.41666666666666669</v>
      </c>
      <c r="L30" s="7">
        <f>'[1]Load Forecast'!$EO$1721/12</f>
        <v>0.41666666666666669</v>
      </c>
      <c r="M30" s="7">
        <f>'[1]Load Forecast'!$EO$1721/12</f>
        <v>0.41666666666666669</v>
      </c>
      <c r="N30" s="7">
        <f>SUM(B30:M30)</f>
        <v>5</v>
      </c>
    </row>
    <row r="31" spans="1:14" ht="14.45" x14ac:dyDescent="0.3">
      <c r="A31" s="5" t="s">
        <v>3</v>
      </c>
      <c r="B31" s="7">
        <f>SUM(B29:B30)</f>
        <v>303.41666666666669</v>
      </c>
      <c r="C31" s="7">
        <f>C29+(C30)</f>
        <v>303.83333333333337</v>
      </c>
      <c r="D31" s="7">
        <f t="shared" ref="D31:M31" si="9">D29+(D30)</f>
        <v>304.25000000000006</v>
      </c>
      <c r="E31" s="7">
        <f t="shared" si="9"/>
        <v>304.66666666666674</v>
      </c>
      <c r="F31" s="7">
        <f t="shared" si="9"/>
        <v>305.08333333333343</v>
      </c>
      <c r="G31" s="7">
        <f t="shared" si="9"/>
        <v>305.50000000000011</v>
      </c>
      <c r="H31" s="7">
        <f t="shared" si="9"/>
        <v>305.9166666666668</v>
      </c>
      <c r="I31" s="7">
        <f t="shared" si="9"/>
        <v>306.33333333333348</v>
      </c>
      <c r="J31" s="7">
        <f t="shared" si="9"/>
        <v>306.75000000000017</v>
      </c>
      <c r="K31" s="7">
        <f t="shared" si="9"/>
        <v>307.16666666666686</v>
      </c>
      <c r="L31" s="7">
        <f t="shared" si="9"/>
        <v>307.58333333333354</v>
      </c>
      <c r="M31" s="7">
        <f t="shared" si="9"/>
        <v>308.00000000000023</v>
      </c>
      <c r="N31" s="7">
        <f>N29+(N30)</f>
        <v>308</v>
      </c>
    </row>
    <row r="32" spans="1:14" ht="14.45" x14ac:dyDescent="0.3">
      <c r="A32" s="5" t="s">
        <v>4</v>
      </c>
      <c r="B32" s="7">
        <f>B29+(B30*0.5)</f>
        <v>303.20833333333331</v>
      </c>
      <c r="C32" s="7">
        <f t="shared" ref="C32:M32" si="10">C29+(C30*0.5)</f>
        <v>303.625</v>
      </c>
      <c r="D32" s="7">
        <f t="shared" si="10"/>
        <v>304.04166666666669</v>
      </c>
      <c r="E32" s="7">
        <f t="shared" si="10"/>
        <v>304.45833333333337</v>
      </c>
      <c r="F32" s="7">
        <f t="shared" si="10"/>
        <v>304.87500000000006</v>
      </c>
      <c r="G32" s="7">
        <f t="shared" si="10"/>
        <v>305.29166666666674</v>
      </c>
      <c r="H32" s="7">
        <f t="shared" si="10"/>
        <v>305.70833333333343</v>
      </c>
      <c r="I32" s="7">
        <f t="shared" si="10"/>
        <v>306.12500000000011</v>
      </c>
      <c r="J32" s="7">
        <f t="shared" si="10"/>
        <v>306.5416666666668</v>
      </c>
      <c r="K32" s="7">
        <f t="shared" si="10"/>
        <v>306.95833333333348</v>
      </c>
      <c r="L32" s="7">
        <f t="shared" si="10"/>
        <v>307.37500000000017</v>
      </c>
      <c r="M32" s="7">
        <f t="shared" si="10"/>
        <v>307.79166666666686</v>
      </c>
      <c r="N32" s="7">
        <f>N29+(N30*0.5)</f>
        <v>305.5</v>
      </c>
    </row>
    <row r="33" spans="1:17" ht="14.45" x14ac:dyDescent="0.3">
      <c r="A33" s="8" t="s">
        <v>5</v>
      </c>
      <c r="B33" s="7">
        <v>2277.075384076873</v>
      </c>
      <c r="C33" s="7">
        <v>2276.7705125910184</v>
      </c>
      <c r="D33" s="7">
        <v>2238.0390764553445</v>
      </c>
      <c r="E33" s="7">
        <v>1724.1340575072759</v>
      </c>
      <c r="F33" s="7">
        <v>1723.8562097157692</v>
      </c>
      <c r="G33" s="7">
        <v>1727.5113349793817</v>
      </c>
      <c r="H33" s="7">
        <v>1345.1186521002182</v>
      </c>
      <c r="I33" s="7">
        <v>1394.1759883472766</v>
      </c>
      <c r="J33" s="7">
        <v>1394.0238611200075</v>
      </c>
      <c r="K33" s="7">
        <v>1617.5376609146288</v>
      </c>
      <c r="L33" s="7">
        <v>1617.3806085579545</v>
      </c>
      <c r="M33" s="7">
        <v>1616.4757612675603</v>
      </c>
      <c r="N33" s="7">
        <v>20937.840511387534</v>
      </c>
    </row>
    <row r="34" spans="1:17" ht="14.45" x14ac:dyDescent="0.3">
      <c r="A34" s="5" t="s">
        <v>6</v>
      </c>
      <c r="B34" s="7">
        <f>B33*'[1]Load Forecast'!$EN$1734</f>
        <v>11.471963656755072</v>
      </c>
      <c r="C34" s="7">
        <f>C33*'[1]Load Forecast'!$EN$1734</f>
        <v>11.470427706461042</v>
      </c>
      <c r="D34" s="7">
        <f>D33*'[1]Load Forecast'!$EN$1734</f>
        <v>11.275297746851685</v>
      </c>
      <c r="E34" s="7">
        <f>E33*'[1]Load Forecast'!$EN$1734</f>
        <v>8.6862312005167208</v>
      </c>
      <c r="F34" s="7">
        <f>F33*'[1]Load Forecast'!$EN$1734</f>
        <v>8.6848313962816199</v>
      </c>
      <c r="G34" s="7">
        <f>G33*'[1]Load Forecast'!$EN$1734</f>
        <v>8.7032460102545564</v>
      </c>
      <c r="H34" s="7">
        <f>H33*'[1]Load Forecast'!$EN$1734</f>
        <v>6.7767419554152655</v>
      </c>
      <c r="I34" s="7">
        <f>I33*'[1]Load Forecast'!$EN$1734</f>
        <v>7.0238940622180968</v>
      </c>
      <c r="J34" s="7">
        <f>J33*'[1]Load Forecast'!$EN$1734</f>
        <v>7.0231276413808077</v>
      </c>
      <c r="K34" s="7">
        <f>K33*'[1]Load Forecast'!$EN$1734</f>
        <v>8.1491958453399977</v>
      </c>
      <c r="L34" s="7">
        <f>L33*'[1]Load Forecast'!$EN$1734</f>
        <v>8.148404611575593</v>
      </c>
      <c r="M34" s="7">
        <f>M33*'[1]Load Forecast'!$EN$1734+0.284</f>
        <v>8.4278459679299313</v>
      </c>
      <c r="N34" s="7">
        <f>N35-N33</f>
        <v>68.192328409480979</v>
      </c>
    </row>
    <row r="35" spans="1:17" ht="14.45" x14ac:dyDescent="0.3">
      <c r="A35" s="8" t="s">
        <v>7</v>
      </c>
      <c r="B35" s="7">
        <v>2288.5473477336282</v>
      </c>
      <c r="C35" s="7">
        <v>2288.2409402974795</v>
      </c>
      <c r="D35" s="7">
        <v>2249.3143742021962</v>
      </c>
      <c r="E35" s="7">
        <v>1732.8202887077925</v>
      </c>
      <c r="F35" s="7">
        <v>1732.5410411120508</v>
      </c>
      <c r="G35" s="7">
        <v>1736.2145809896363</v>
      </c>
      <c r="H35" s="7">
        <v>1351.8953940556335</v>
      </c>
      <c r="I35" s="7">
        <v>1401.1998824094946</v>
      </c>
      <c r="J35" s="7">
        <v>1401.0469887613883</v>
      </c>
      <c r="K35" s="7">
        <v>1625.6868567599688</v>
      </c>
      <c r="L35" s="7">
        <v>1625.5290131695301</v>
      </c>
      <c r="M35" s="7">
        <v>1624.9036072354902</v>
      </c>
      <c r="N35" s="7">
        <v>21006.032839797015</v>
      </c>
    </row>
    <row r="36" spans="1:17" ht="14.45" x14ac:dyDescent="0.3">
      <c r="A36" s="5" t="s">
        <v>8</v>
      </c>
      <c r="B36" s="9">
        <f t="shared" ref="B36:L36" si="11">B35*B32</f>
        <v>693906.62706073385</v>
      </c>
      <c r="C36" s="9">
        <f t="shared" si="11"/>
        <v>694767.15549782221</v>
      </c>
      <c r="D36" s="9">
        <f t="shared" si="11"/>
        <v>683885.29118972609</v>
      </c>
      <c r="E36" s="9">
        <f t="shared" si="11"/>
        <v>527571.57706616004</v>
      </c>
      <c r="F36" s="9">
        <f t="shared" si="11"/>
        <v>528208.44990903663</v>
      </c>
      <c r="G36" s="9">
        <f t="shared" si="11"/>
        <v>530051.84312129451</v>
      </c>
      <c r="H36" s="9">
        <f t="shared" si="11"/>
        <v>413285.68775775773</v>
      </c>
      <c r="I36" s="9">
        <f t="shared" si="11"/>
        <v>428942.31400260673</v>
      </c>
      <c r="J36" s="9">
        <f t="shared" si="11"/>
        <v>429479.27901323076</v>
      </c>
      <c r="K36" s="9">
        <f t="shared" si="11"/>
        <v>499018.12807294569</v>
      </c>
      <c r="L36" s="9">
        <f t="shared" si="11"/>
        <v>499646.98042298458</v>
      </c>
      <c r="M36" s="9">
        <f>M35*M32-1049</f>
        <v>499082.78944369056</v>
      </c>
      <c r="N36" s="9">
        <f>SUM(B36:M36)</f>
        <v>6427846.1225579884</v>
      </c>
      <c r="P36" s="12" t="s">
        <v>31</v>
      </c>
      <c r="Q36" s="12" t="s">
        <v>31</v>
      </c>
    </row>
    <row r="37" spans="1:17" ht="14.45" x14ac:dyDescent="0.3">
      <c r="A37" s="4" t="s">
        <v>11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7" ht="14.45" x14ac:dyDescent="0.3">
      <c r="A38" s="5" t="s">
        <v>32</v>
      </c>
      <c r="B38" s="7">
        <f>'[1]Load Forecast'!$EO$1735</f>
        <v>42.833333333333329</v>
      </c>
      <c r="C38" s="7">
        <f t="shared" ref="C38:M38" si="12">B40</f>
        <v>42.888888888888886</v>
      </c>
      <c r="D38" s="7">
        <f t="shared" si="12"/>
        <v>42.944444444444443</v>
      </c>
      <c r="E38" s="7">
        <f t="shared" si="12"/>
        <v>43</v>
      </c>
      <c r="F38" s="7">
        <f t="shared" si="12"/>
        <v>43.055555555555557</v>
      </c>
      <c r="G38" s="7">
        <f t="shared" si="12"/>
        <v>43.111111111111114</v>
      </c>
      <c r="H38" s="7">
        <f t="shared" si="12"/>
        <v>43.166666666666671</v>
      </c>
      <c r="I38" s="7">
        <f t="shared" si="12"/>
        <v>43.222222222222229</v>
      </c>
      <c r="J38" s="7">
        <f t="shared" si="12"/>
        <v>43.277777777777786</v>
      </c>
      <c r="K38" s="7">
        <f t="shared" si="12"/>
        <v>43.333333333333343</v>
      </c>
      <c r="L38" s="7">
        <f t="shared" si="12"/>
        <v>43.3888888888889</v>
      </c>
      <c r="M38" s="7">
        <f t="shared" si="12"/>
        <v>43.444444444444457</v>
      </c>
      <c r="N38" s="7">
        <f>B38</f>
        <v>42.833333333333329</v>
      </c>
    </row>
    <row r="39" spans="1:17" ht="14.45" x14ac:dyDescent="0.3">
      <c r="A39" s="5" t="s">
        <v>2</v>
      </c>
      <c r="B39" s="7">
        <f>'[1]Load Forecast'!$EO$1736/12</f>
        <v>5.5555555555555552E-2</v>
      </c>
      <c r="C39" s="7">
        <f>'[1]Load Forecast'!$EO$1736/12</f>
        <v>5.5555555555555552E-2</v>
      </c>
      <c r="D39" s="7">
        <f>'[1]Load Forecast'!$EO$1736/12</f>
        <v>5.5555555555555552E-2</v>
      </c>
      <c r="E39" s="7">
        <f>'[1]Load Forecast'!$EO$1736/12</f>
        <v>5.5555555555555552E-2</v>
      </c>
      <c r="F39" s="7">
        <f>'[1]Load Forecast'!$EO$1736/12</f>
        <v>5.5555555555555552E-2</v>
      </c>
      <c r="G39" s="7">
        <f>'[1]Load Forecast'!$EO$1736/12</f>
        <v>5.5555555555555552E-2</v>
      </c>
      <c r="H39" s="7">
        <f>'[1]Load Forecast'!$EO$1736/12</f>
        <v>5.5555555555555552E-2</v>
      </c>
      <c r="I39" s="7">
        <f>'[1]Load Forecast'!$EO$1736/12</f>
        <v>5.5555555555555552E-2</v>
      </c>
      <c r="J39" s="7">
        <f>'[1]Load Forecast'!$EO$1736/12</f>
        <v>5.5555555555555552E-2</v>
      </c>
      <c r="K39" s="7">
        <f>'[1]Load Forecast'!$EO$1736/12</f>
        <v>5.5555555555555552E-2</v>
      </c>
      <c r="L39" s="7">
        <f>'[1]Load Forecast'!$EO$1736/12</f>
        <v>5.5555555555555552E-2</v>
      </c>
      <c r="M39" s="7">
        <f>'[1]Load Forecast'!$EO$1736/12</f>
        <v>5.5555555555555552E-2</v>
      </c>
      <c r="N39" s="7">
        <f>SUM(B39:M39)</f>
        <v>0.66666666666666685</v>
      </c>
    </row>
    <row r="40" spans="1:17" ht="14.45" x14ac:dyDescent="0.3">
      <c r="A40" s="5" t="s">
        <v>3</v>
      </c>
      <c r="B40" s="7">
        <f t="shared" ref="B40:N40" si="13">SUM(B38:B39)</f>
        <v>42.888888888888886</v>
      </c>
      <c r="C40" s="7">
        <f t="shared" si="13"/>
        <v>42.944444444444443</v>
      </c>
      <c r="D40" s="7">
        <f t="shared" si="13"/>
        <v>43</v>
      </c>
      <c r="E40" s="7">
        <f t="shared" si="13"/>
        <v>43.055555555555557</v>
      </c>
      <c r="F40" s="7">
        <f t="shared" si="13"/>
        <v>43.111111111111114</v>
      </c>
      <c r="G40" s="7">
        <f t="shared" si="13"/>
        <v>43.166666666666671</v>
      </c>
      <c r="H40" s="7">
        <f t="shared" si="13"/>
        <v>43.222222222222229</v>
      </c>
      <c r="I40" s="7">
        <f t="shared" si="13"/>
        <v>43.277777777777786</v>
      </c>
      <c r="J40" s="7">
        <f t="shared" si="13"/>
        <v>43.333333333333343</v>
      </c>
      <c r="K40" s="7">
        <f t="shared" si="13"/>
        <v>43.3888888888889</v>
      </c>
      <c r="L40" s="7">
        <f t="shared" si="13"/>
        <v>43.444444444444457</v>
      </c>
      <c r="M40" s="7">
        <f t="shared" si="13"/>
        <v>43.500000000000014</v>
      </c>
      <c r="N40" s="7">
        <f t="shared" si="13"/>
        <v>43.499999999999993</v>
      </c>
    </row>
    <row r="41" spans="1:17" ht="14.45" x14ac:dyDescent="0.3">
      <c r="A41" s="8" t="s">
        <v>4</v>
      </c>
      <c r="B41" s="7">
        <f>B40+(B39*0.5)</f>
        <v>42.916666666666664</v>
      </c>
      <c r="C41" s="7">
        <f t="shared" ref="C41:M41" si="14">C40+(C39*0.5)</f>
        <v>42.972222222222221</v>
      </c>
      <c r="D41" s="7">
        <f t="shared" si="14"/>
        <v>43.027777777777779</v>
      </c>
      <c r="E41" s="7">
        <f t="shared" si="14"/>
        <v>43.083333333333336</v>
      </c>
      <c r="F41" s="7">
        <f t="shared" si="14"/>
        <v>43.138888888888893</v>
      </c>
      <c r="G41" s="7">
        <f t="shared" si="14"/>
        <v>43.19444444444445</v>
      </c>
      <c r="H41" s="7">
        <f t="shared" si="14"/>
        <v>43.250000000000007</v>
      </c>
      <c r="I41" s="7">
        <f t="shared" si="14"/>
        <v>43.305555555555564</v>
      </c>
      <c r="J41" s="7">
        <f t="shared" si="14"/>
        <v>43.361111111111121</v>
      </c>
      <c r="K41" s="7">
        <f t="shared" si="14"/>
        <v>43.416666666666679</v>
      </c>
      <c r="L41" s="7">
        <f t="shared" si="14"/>
        <v>43.472222222222236</v>
      </c>
      <c r="M41" s="7">
        <f t="shared" si="14"/>
        <v>43.527777777777793</v>
      </c>
      <c r="N41" s="7">
        <f>N40+(N39*0.5)-1</f>
        <v>42.833333333333329</v>
      </c>
    </row>
    <row r="42" spans="1:17" ht="14.45" x14ac:dyDescent="0.3">
      <c r="A42" s="8" t="s">
        <v>5</v>
      </c>
      <c r="B42" s="7">
        <v>11672.996111163473</v>
      </c>
      <c r="C42" s="7">
        <v>11671.400145581028</v>
      </c>
      <c r="D42" s="7">
        <v>11417.719080164859</v>
      </c>
      <c r="E42" s="7">
        <v>9101.77017174094</v>
      </c>
      <c r="F42" s="7">
        <v>8973.2600570681279</v>
      </c>
      <c r="G42" s="7">
        <v>8970.553762185169</v>
      </c>
      <c r="H42" s="7">
        <v>8754.8859444497393</v>
      </c>
      <c r="I42" s="7">
        <v>8751.3269033641955</v>
      </c>
      <c r="J42" s="7">
        <v>8747.7771366528177</v>
      </c>
      <c r="K42" s="7">
        <v>9426.3540446759998</v>
      </c>
      <c r="L42" s="7">
        <v>9424.8053002879806</v>
      </c>
      <c r="M42" s="7">
        <v>9423.2605760022016</v>
      </c>
      <c r="N42" s="7">
        <v>116295.87561752141</v>
      </c>
    </row>
    <row r="43" spans="1:17" ht="14.45" x14ac:dyDescent="0.3">
      <c r="A43" s="8" t="s">
        <v>6</v>
      </c>
      <c r="B43" s="7">
        <f>B42*'[1]Load Forecast'!$EN$1749+2.61</f>
        <v>53.31015412262586</v>
      </c>
      <c r="C43" s="7">
        <f>C42*'[1]Load Forecast'!$EN$1749+2.61</f>
        <v>53.303222251816194</v>
      </c>
      <c r="D43" s="7">
        <f>D42*'[1]Load Forecast'!$EN$1749+2.61</f>
        <v>52.201391240128331</v>
      </c>
      <c r="E43" s="7">
        <f>E42*'[1]Load Forecast'!$EN$1749+2.61</f>
        <v>42.142365649866534</v>
      </c>
      <c r="F43" s="7">
        <f>F42*'[1]Load Forecast'!$EN$1749+2.61</f>
        <v>41.584198529944615</v>
      </c>
      <c r="G43" s="7">
        <f>G42*'[1]Load Forecast'!$EN$1749+2.61</f>
        <v>41.572444086924108</v>
      </c>
      <c r="H43" s="7">
        <f>H42*'[1]Load Forecast'!$EN$1749+2.61</f>
        <v>40.635718717160678</v>
      </c>
      <c r="I43" s="7">
        <f>I42*'[1]Load Forecast'!$EN$1749+2.61</f>
        <v>40.620260480916315</v>
      </c>
      <c r="J43" s="7">
        <f>J42*'[1]Load Forecast'!$EN$1749+2.61</f>
        <v>40.604842526720816</v>
      </c>
      <c r="K43" s="7">
        <f>K42*'[1]Load Forecast'!$EN$1749+2.61</f>
        <v>43.5521538676308</v>
      </c>
      <c r="L43" s="7">
        <f>L42*'[1]Load Forecast'!$EN$1749+2.61</f>
        <v>43.545427095992963</v>
      </c>
      <c r="M43" s="7">
        <f>M42*'[1]Load Forecast'!$EN$1749+2.8</f>
        <v>43.728717785151069</v>
      </c>
      <c r="N43" s="7">
        <f>N44-N42</f>
        <v>960.0439368429943</v>
      </c>
    </row>
    <row r="44" spans="1:17" x14ac:dyDescent="0.25">
      <c r="A44" s="8" t="s">
        <v>7</v>
      </c>
      <c r="B44" s="7">
        <v>11726.306265286099</v>
      </c>
      <c r="C44" s="7">
        <v>11724.703367832844</v>
      </c>
      <c r="D44" s="7">
        <v>11469.920471404988</v>
      </c>
      <c r="E44" s="7">
        <v>9143.9125373908064</v>
      </c>
      <c r="F44" s="7">
        <v>9014.8442555980728</v>
      </c>
      <c r="G44" s="7">
        <v>9012.1262062720925</v>
      </c>
      <c r="H44" s="7">
        <v>8795.5216631669009</v>
      </c>
      <c r="I44" s="7">
        <v>8791.9471638451123</v>
      </c>
      <c r="J44" s="7">
        <v>8788.3819791795377</v>
      </c>
      <c r="K44" s="7">
        <v>9469.906198543631</v>
      </c>
      <c r="L44" s="7">
        <v>9468.3507273839732</v>
      </c>
      <c r="M44" s="7">
        <v>9466.9892937873519</v>
      </c>
      <c r="N44" s="7">
        <v>117255.9195543644</v>
      </c>
    </row>
    <row r="45" spans="1:17" x14ac:dyDescent="0.25">
      <c r="A45" s="5" t="s">
        <v>8</v>
      </c>
      <c r="B45" s="9">
        <f>B44*B41</f>
        <v>503253.97721852839</v>
      </c>
      <c r="C45" s="9">
        <f t="shared" ref="C45:M45" si="15">C44*C41</f>
        <v>503836.55861215026</v>
      </c>
      <c r="D45" s="9">
        <f t="shared" si="15"/>
        <v>493525.18917239801</v>
      </c>
      <c r="E45" s="9">
        <f>E44*E41-1200</f>
        <v>392750.23181925394</v>
      </c>
      <c r="F45" s="9">
        <f t="shared" ref="F45:J45" si="16">F44*F41-1200</f>
        <v>387690.36469288357</v>
      </c>
      <c r="G45" s="9">
        <f>G44*G41-1785</f>
        <v>387488.78474314185</v>
      </c>
      <c r="H45" s="9">
        <f t="shared" si="16"/>
        <v>379206.31193196855</v>
      </c>
      <c r="I45" s="9">
        <f t="shared" si="16"/>
        <v>379540.1563454037</v>
      </c>
      <c r="J45" s="9">
        <f t="shared" si="16"/>
        <v>379874.00748609059</v>
      </c>
      <c r="K45" s="9">
        <f t="shared" si="15"/>
        <v>411151.76078676945</v>
      </c>
      <c r="L45" s="9">
        <f t="shared" si="15"/>
        <v>411610.24689877563</v>
      </c>
      <c r="M45" s="9">
        <f t="shared" si="15"/>
        <v>412077.0062045774</v>
      </c>
      <c r="N45" s="9">
        <f>SUM(B45:M45)</f>
        <v>5042004.5959119415</v>
      </c>
    </row>
    <row r="46" spans="1:17" x14ac:dyDescent="0.25">
      <c r="A46" s="4" t="s">
        <v>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7" x14ac:dyDescent="0.25">
      <c r="A47" s="5" t="s">
        <v>32</v>
      </c>
      <c r="B47" s="7">
        <f>'[1]Load Forecast'!$EO$1750</f>
        <v>7.3333333333333321</v>
      </c>
      <c r="C47" s="7">
        <f t="shared" ref="C47:M47" si="17">B49</f>
        <v>7.3611111111111098</v>
      </c>
      <c r="D47" s="7">
        <f t="shared" si="17"/>
        <v>7.3888888888888875</v>
      </c>
      <c r="E47" s="7">
        <f t="shared" si="17"/>
        <v>7.4166666666666652</v>
      </c>
      <c r="F47" s="7">
        <f t="shared" si="17"/>
        <v>7.4444444444444429</v>
      </c>
      <c r="G47" s="7">
        <f t="shared" si="17"/>
        <v>7.4722222222222205</v>
      </c>
      <c r="H47" s="7">
        <f t="shared" si="17"/>
        <v>7.4999999999999982</v>
      </c>
      <c r="I47" s="7">
        <f t="shared" si="17"/>
        <v>7.5277777777777759</v>
      </c>
      <c r="J47" s="7">
        <f t="shared" si="17"/>
        <v>7.5555555555555536</v>
      </c>
      <c r="K47" s="7">
        <f t="shared" si="17"/>
        <v>7.5833333333333313</v>
      </c>
      <c r="L47" s="7">
        <f t="shared" si="17"/>
        <v>7.6111111111111089</v>
      </c>
      <c r="M47" s="7">
        <f t="shared" si="17"/>
        <v>7.6388888888888866</v>
      </c>
      <c r="N47" s="7">
        <f>B47</f>
        <v>7.3333333333333321</v>
      </c>
    </row>
    <row r="48" spans="1:17" x14ac:dyDescent="0.25">
      <c r="A48" s="5" t="s">
        <v>2</v>
      </c>
      <c r="B48" s="7">
        <f>'[1]Load Forecast'!$EO$1751/12</f>
        <v>2.7777777777777776E-2</v>
      </c>
      <c r="C48" s="7">
        <f>'[1]Load Forecast'!$EO$1751/12</f>
        <v>2.7777777777777776E-2</v>
      </c>
      <c r="D48" s="7">
        <f>'[1]Load Forecast'!$EO$1751/12</f>
        <v>2.7777777777777776E-2</v>
      </c>
      <c r="E48" s="7">
        <f>'[1]Load Forecast'!$EO$1751/12</f>
        <v>2.7777777777777776E-2</v>
      </c>
      <c r="F48" s="7">
        <f>'[1]Load Forecast'!$EO$1751/12</f>
        <v>2.7777777777777776E-2</v>
      </c>
      <c r="G48" s="7">
        <f>'[1]Load Forecast'!$EO$1751/12</f>
        <v>2.7777777777777776E-2</v>
      </c>
      <c r="H48" s="7">
        <f>'[1]Load Forecast'!$EO$1751/12</f>
        <v>2.7777777777777776E-2</v>
      </c>
      <c r="I48" s="7">
        <f>'[1]Load Forecast'!$EO$1751/12</f>
        <v>2.7777777777777776E-2</v>
      </c>
      <c r="J48" s="7">
        <f>'[1]Load Forecast'!$EO$1751/12</f>
        <v>2.7777777777777776E-2</v>
      </c>
      <c r="K48" s="7">
        <f>'[1]Load Forecast'!$EO$1751/12</f>
        <v>2.7777777777777776E-2</v>
      </c>
      <c r="L48" s="7">
        <f>'[1]Load Forecast'!$EO$1751/12</f>
        <v>2.7777777777777776E-2</v>
      </c>
      <c r="M48" s="7">
        <f>'[1]Load Forecast'!$EO$1751/12</f>
        <v>2.7777777777777776E-2</v>
      </c>
      <c r="N48" s="7">
        <f>SUM(B48:M48)</f>
        <v>0.33333333333333343</v>
      </c>
    </row>
    <row r="49" spans="1:14" x14ac:dyDescent="0.25">
      <c r="A49" s="5" t="s">
        <v>3</v>
      </c>
      <c r="B49" s="7">
        <f>SUM(B47:B48)</f>
        <v>7.3611111111111098</v>
      </c>
      <c r="C49" s="7">
        <f>C47+(C48)</f>
        <v>7.3888888888888875</v>
      </c>
      <c r="D49" s="7">
        <f t="shared" ref="D49:N49" si="18">D47+(D48)</f>
        <v>7.4166666666666652</v>
      </c>
      <c r="E49" s="7">
        <f t="shared" si="18"/>
        <v>7.4444444444444429</v>
      </c>
      <c r="F49" s="7">
        <f t="shared" si="18"/>
        <v>7.4722222222222205</v>
      </c>
      <c r="G49" s="7">
        <f t="shared" si="18"/>
        <v>7.4999999999999982</v>
      </c>
      <c r="H49" s="7">
        <f t="shared" si="18"/>
        <v>7.5277777777777759</v>
      </c>
      <c r="I49" s="7">
        <f t="shared" si="18"/>
        <v>7.5555555555555536</v>
      </c>
      <c r="J49" s="7">
        <f t="shared" si="18"/>
        <v>7.5833333333333313</v>
      </c>
      <c r="K49" s="7">
        <f t="shared" si="18"/>
        <v>7.6111111111111089</v>
      </c>
      <c r="L49" s="7">
        <f t="shared" si="18"/>
        <v>7.6388888888888866</v>
      </c>
      <c r="M49" s="7">
        <f t="shared" si="18"/>
        <v>7.6666666666666643</v>
      </c>
      <c r="N49" s="7">
        <f t="shared" si="18"/>
        <v>7.6666666666666652</v>
      </c>
    </row>
    <row r="50" spans="1:14" x14ac:dyDescent="0.25">
      <c r="A50" s="8" t="s">
        <v>4</v>
      </c>
      <c r="B50" s="7">
        <f>B49+(B48*0.5)</f>
        <v>7.3749999999999991</v>
      </c>
      <c r="C50" s="7">
        <f t="shared" ref="C50:N50" si="19">C49+(C48*0.5)</f>
        <v>7.4027777777777768</v>
      </c>
      <c r="D50" s="7">
        <f t="shared" si="19"/>
        <v>7.4305555555555545</v>
      </c>
      <c r="E50" s="7">
        <f t="shared" si="19"/>
        <v>7.4583333333333321</v>
      </c>
      <c r="F50" s="7">
        <f t="shared" si="19"/>
        <v>7.4861111111111098</v>
      </c>
      <c r="G50" s="7">
        <f t="shared" si="19"/>
        <v>7.5138888888888875</v>
      </c>
      <c r="H50" s="7">
        <f t="shared" si="19"/>
        <v>7.5416666666666652</v>
      </c>
      <c r="I50" s="7">
        <f t="shared" si="19"/>
        <v>7.5694444444444429</v>
      </c>
      <c r="J50" s="7">
        <f t="shared" si="19"/>
        <v>7.5972222222222205</v>
      </c>
      <c r="K50" s="7">
        <f t="shared" si="19"/>
        <v>7.6249999999999982</v>
      </c>
      <c r="L50" s="7">
        <f t="shared" si="19"/>
        <v>7.6527777777777759</v>
      </c>
      <c r="M50" s="7">
        <f t="shared" si="19"/>
        <v>7.6805555555555536</v>
      </c>
      <c r="N50" s="7">
        <f t="shared" si="19"/>
        <v>7.8333333333333321</v>
      </c>
    </row>
    <row r="51" spans="1:14" x14ac:dyDescent="0.25">
      <c r="A51" s="8" t="s">
        <v>5</v>
      </c>
      <c r="B51" s="7">
        <v>3201.5134175964636</v>
      </c>
      <c r="C51" s="7">
        <v>3189.0261851799096</v>
      </c>
      <c r="D51" s="7">
        <v>3176.637084255824</v>
      </c>
      <c r="E51" s="7">
        <v>3164.3449625953313</v>
      </c>
      <c r="F51" s="7">
        <v>3152.0083350608465</v>
      </c>
      <c r="G51" s="7">
        <v>3139.7675259926491</v>
      </c>
      <c r="H51" s="7">
        <v>3127.615938104449</v>
      </c>
      <c r="I51" s="7">
        <v>3115.5634682080927</v>
      </c>
      <c r="J51" s="7">
        <v>3103.6035316698658</v>
      </c>
      <c r="K51" s="7">
        <v>3091.7363288718934</v>
      </c>
      <c r="L51" s="7">
        <v>3079.9579428571428</v>
      </c>
      <c r="M51" s="7">
        <v>2214.924022770399</v>
      </c>
      <c r="N51" s="7">
        <v>36731.788673095522</v>
      </c>
    </row>
    <row r="52" spans="1:14" x14ac:dyDescent="0.25">
      <c r="A52" s="8" t="s">
        <v>6</v>
      </c>
      <c r="B52" s="7">
        <f>B51*'[1]Load Forecast'!$EN$1758</f>
        <v>-148.90645535175395</v>
      </c>
      <c r="C52" s="7">
        <f>C51*'[1]Load Forecast'!$EN$1758</f>
        <v>-148.32565831180324</v>
      </c>
      <c r="D52" s="7">
        <f>D51*'[1]Load Forecast'!$EN$1758</f>
        <v>-147.74942549220577</v>
      </c>
      <c r="E52" s="7">
        <f>E51*'[1]Load Forecast'!$EN$1758</f>
        <v>-147.17770330133311</v>
      </c>
      <c r="F52" s="7">
        <f>F51*'[1]Load Forecast'!$EN$1758</f>
        <v>-146.60391108573336</v>
      </c>
      <c r="G52" s="7">
        <f>G51*'[1]Load Forecast'!$EN$1758</f>
        <v>-146.03457550870138</v>
      </c>
      <c r="H52" s="7">
        <f>H51*'[1]Load Forecast'!$EN$1758</f>
        <v>-145.46938972207249</v>
      </c>
      <c r="I52" s="7">
        <v>-44.8</v>
      </c>
      <c r="J52" s="7">
        <f>J51*'[1]Load Forecast'!$EN$1758</f>
        <v>-144.35254220021397</v>
      </c>
      <c r="K52" s="7">
        <f>K51*'[1]Load Forecast'!$EN$1758</f>
        <v>-143.80058352533416</v>
      </c>
      <c r="L52" s="7">
        <f>L51*'[1]Load Forecast'!$EN$1758</f>
        <v>-143.25275583184978</v>
      </c>
      <c r="M52" s="7">
        <f>M51*'[1]Load Forecast'!$EN$1758</f>
        <v>-103.01892951359156</v>
      </c>
      <c r="N52" s="7">
        <f>N53-N51</f>
        <v>-3826.1141514845149</v>
      </c>
    </row>
    <row r="53" spans="1:14" x14ac:dyDescent="0.25">
      <c r="A53" s="8" t="s">
        <v>7</v>
      </c>
      <c r="B53" s="7">
        <v>3052.6069622447094</v>
      </c>
      <c r="C53" s="7">
        <v>3040.7005268681064</v>
      </c>
      <c r="D53" s="7">
        <v>3028.8876587636182</v>
      </c>
      <c r="E53" s="7">
        <v>3017.1672592939981</v>
      </c>
      <c r="F53" s="7">
        <v>3005.4044239751133</v>
      </c>
      <c r="G53" s="7">
        <v>2993.7329504839477</v>
      </c>
      <c r="H53" s="7">
        <v>2982.1465483823767</v>
      </c>
      <c r="I53" s="7">
        <v>3070.7734682080927</v>
      </c>
      <c r="J53" s="7">
        <v>2959.2509894696518</v>
      </c>
      <c r="K53" s="7">
        <v>2947.9357453465591</v>
      </c>
      <c r="L53" s="7">
        <v>2936.7051870252931</v>
      </c>
      <c r="M53" s="7">
        <v>2111.9050932568075</v>
      </c>
      <c r="N53" s="7">
        <v>32905.674521611007</v>
      </c>
    </row>
    <row r="54" spans="1:14" x14ac:dyDescent="0.25">
      <c r="A54" s="5" t="s">
        <v>8</v>
      </c>
      <c r="B54" s="9">
        <f t="shared" ref="B54:M54" si="20">B53*B50</f>
        <v>22512.976346554729</v>
      </c>
      <c r="C54" s="9">
        <f t="shared" si="20"/>
        <v>22509.630289176395</v>
      </c>
      <c r="D54" s="9">
        <f t="shared" si="20"/>
        <v>22506.318019979659</v>
      </c>
      <c r="E54" s="9">
        <f t="shared" si="20"/>
        <v>22503.0391422344</v>
      </c>
      <c r="F54" s="9">
        <f t="shared" si="20"/>
        <v>22498.791451702582</v>
      </c>
      <c r="G54" s="9">
        <f t="shared" si="20"/>
        <v>22494.576752941881</v>
      </c>
      <c r="H54" s="9">
        <f t="shared" si="20"/>
        <v>22490.35521905042</v>
      </c>
      <c r="I54" s="9">
        <f>I53*I50-1169</f>
        <v>22075.049169075141</v>
      </c>
      <c r="J54" s="9">
        <f t="shared" si="20"/>
        <v>22482.087378331933</v>
      </c>
      <c r="K54" s="9">
        <f t="shared" si="20"/>
        <v>22478.010058267508</v>
      </c>
      <c r="L54" s="9">
        <f t="shared" si="20"/>
        <v>22473.952195151891</v>
      </c>
      <c r="M54" s="9">
        <f t="shared" si="20"/>
        <v>16220.604396819643</v>
      </c>
      <c r="N54" s="9">
        <f>SUM(B54:M54)</f>
        <v>263245.39041928621</v>
      </c>
    </row>
    <row r="55" spans="1:14" x14ac:dyDescent="0.25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5">
      <c r="A56" s="4" t="s">
        <v>13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25">
      <c r="A57" s="5" t="s">
        <v>32</v>
      </c>
      <c r="B57" s="7">
        <f>'[1]Load Forecast'!$EO$1759</f>
        <v>8</v>
      </c>
      <c r="C57" s="7">
        <f>B60</f>
        <v>8</v>
      </c>
      <c r="D57" s="7">
        <f t="shared" ref="D57:M57" si="21">C60</f>
        <v>8</v>
      </c>
      <c r="E57" s="7">
        <f t="shared" si="21"/>
        <v>8</v>
      </c>
      <c r="F57" s="7">
        <f t="shared" si="21"/>
        <v>8</v>
      </c>
      <c r="G57" s="7">
        <f t="shared" si="21"/>
        <v>8</v>
      </c>
      <c r="H57" s="7">
        <f t="shared" si="21"/>
        <v>8</v>
      </c>
      <c r="I57" s="7">
        <f t="shared" si="21"/>
        <v>8</v>
      </c>
      <c r="J57" s="7">
        <f t="shared" si="21"/>
        <v>8</v>
      </c>
      <c r="K57" s="7">
        <f t="shared" si="21"/>
        <v>8</v>
      </c>
      <c r="L57" s="7">
        <f t="shared" si="21"/>
        <v>8</v>
      </c>
      <c r="M57" s="7">
        <f t="shared" si="21"/>
        <v>8</v>
      </c>
      <c r="N57" s="7">
        <f>B57</f>
        <v>8</v>
      </c>
    </row>
    <row r="58" spans="1:14" x14ac:dyDescent="0.25">
      <c r="A58" s="5" t="s">
        <v>2</v>
      </c>
      <c r="B58" s="7">
        <f>'[1]Load Forecast'!ED$1760/12</f>
        <v>0</v>
      </c>
      <c r="C58" s="7">
        <f>'[1]Load Forecast'!EE$1760/12</f>
        <v>0</v>
      </c>
      <c r="D58" s="7">
        <f>'[1]Load Forecast'!EF$1760/12</f>
        <v>0</v>
      </c>
      <c r="E58" s="7">
        <f>'[1]Load Forecast'!EG$1760/12</f>
        <v>0</v>
      </c>
      <c r="F58" s="7">
        <f>'[1]Load Forecast'!EH$1760/12</f>
        <v>0</v>
      </c>
      <c r="G58" s="7">
        <f>'[1]Load Forecast'!EI$1760/12</f>
        <v>0</v>
      </c>
      <c r="H58" s="7">
        <f>'[1]Load Forecast'!EJ$1760/12</f>
        <v>0</v>
      </c>
      <c r="I58" s="7">
        <f>'[1]Load Forecast'!EK$1760/12</f>
        <v>0</v>
      </c>
      <c r="J58" s="7">
        <f>'[1]Load Forecast'!EL$1760/12</f>
        <v>0</v>
      </c>
      <c r="K58" s="7">
        <f>'[1]Load Forecast'!EM$1760/12</f>
        <v>0</v>
      </c>
      <c r="L58" s="7">
        <f>'[1]Load Forecast'!EN$1760/12</f>
        <v>0</v>
      </c>
      <c r="M58" s="7">
        <f>'[1]Load Forecast'!EO$1760/12</f>
        <v>0</v>
      </c>
      <c r="N58" s="7">
        <f>SUM(B58:M58)</f>
        <v>0</v>
      </c>
    </row>
    <row r="59" spans="1:14" x14ac:dyDescent="0.25">
      <c r="A59" s="5" t="s">
        <v>3</v>
      </c>
      <c r="B59" s="7">
        <f t="shared" ref="B59:M59" si="22">B57+B58</f>
        <v>8</v>
      </c>
      <c r="C59" s="7">
        <f t="shared" si="22"/>
        <v>8</v>
      </c>
      <c r="D59" s="7">
        <f t="shared" si="22"/>
        <v>8</v>
      </c>
      <c r="E59" s="7">
        <f t="shared" si="22"/>
        <v>8</v>
      </c>
      <c r="F59" s="7">
        <f t="shared" si="22"/>
        <v>8</v>
      </c>
      <c r="G59" s="7">
        <f t="shared" si="22"/>
        <v>8</v>
      </c>
      <c r="H59" s="7">
        <f t="shared" si="22"/>
        <v>8</v>
      </c>
      <c r="I59" s="7">
        <f t="shared" si="22"/>
        <v>8</v>
      </c>
      <c r="J59" s="7">
        <f t="shared" si="22"/>
        <v>8</v>
      </c>
      <c r="K59" s="7">
        <f t="shared" si="22"/>
        <v>8</v>
      </c>
      <c r="L59" s="7">
        <f t="shared" si="22"/>
        <v>8</v>
      </c>
      <c r="M59" s="7">
        <f t="shared" si="22"/>
        <v>8</v>
      </c>
      <c r="N59" s="7">
        <f t="shared" ref="N59" si="23">SUM(N57:N58)</f>
        <v>8</v>
      </c>
    </row>
    <row r="60" spans="1:14" x14ac:dyDescent="0.25">
      <c r="A60" s="8" t="s">
        <v>4</v>
      </c>
      <c r="B60" s="7">
        <f>B57+(B58*0.5)</f>
        <v>8</v>
      </c>
      <c r="C60" s="7">
        <f t="shared" ref="C60:N60" si="24">C57+(C58*0.5)</f>
        <v>8</v>
      </c>
      <c r="D60" s="7">
        <f t="shared" si="24"/>
        <v>8</v>
      </c>
      <c r="E60" s="7">
        <f t="shared" si="24"/>
        <v>8</v>
      </c>
      <c r="F60" s="7">
        <f t="shared" si="24"/>
        <v>8</v>
      </c>
      <c r="G60" s="7">
        <f t="shared" si="24"/>
        <v>8</v>
      </c>
      <c r="H60" s="7">
        <f t="shared" si="24"/>
        <v>8</v>
      </c>
      <c r="I60" s="7">
        <f t="shared" si="24"/>
        <v>8</v>
      </c>
      <c r="J60" s="7">
        <f t="shared" si="24"/>
        <v>8</v>
      </c>
      <c r="K60" s="7">
        <f t="shared" si="24"/>
        <v>8</v>
      </c>
      <c r="L60" s="7">
        <f t="shared" si="24"/>
        <v>8</v>
      </c>
      <c r="M60" s="7">
        <f t="shared" si="24"/>
        <v>8</v>
      </c>
      <c r="N60" s="7">
        <f t="shared" si="24"/>
        <v>8</v>
      </c>
    </row>
    <row r="61" spans="1:14" x14ac:dyDescent="0.25">
      <c r="A61" s="8" t="s">
        <v>5</v>
      </c>
      <c r="B61" s="7">
        <v>774.55390625000007</v>
      </c>
      <c r="C61" s="7">
        <v>774.55390625000007</v>
      </c>
      <c r="D61" s="7">
        <v>811.17890624999995</v>
      </c>
      <c r="E61" s="7">
        <v>325.05390624999995</v>
      </c>
      <c r="F61" s="7">
        <v>325.05390624999995</v>
      </c>
      <c r="G61" s="7">
        <v>325.05390624999995</v>
      </c>
      <c r="H61" s="7">
        <v>368.67890625000001</v>
      </c>
      <c r="I61" s="7">
        <v>368.67890625000001</v>
      </c>
      <c r="J61" s="7">
        <v>368.67890625000001</v>
      </c>
      <c r="K61" s="7">
        <v>500.73281250000002</v>
      </c>
      <c r="L61" s="7">
        <v>500.73281250000002</v>
      </c>
      <c r="M61" s="7">
        <v>500.73281250000002</v>
      </c>
      <c r="N61" s="7">
        <v>5943.68359375</v>
      </c>
    </row>
    <row r="62" spans="1:14" x14ac:dyDescent="0.25">
      <c r="A62" s="8" t="s">
        <v>6</v>
      </c>
      <c r="B62" s="7">
        <f>B61*'[1]Load Forecast'!$EN$1767</f>
        <v>3.5861346376527456</v>
      </c>
      <c r="C62" s="7">
        <f>C61*'[1]Load Forecast'!$EN$1767</f>
        <v>3.5861346376527456</v>
      </c>
      <c r="D62" s="7">
        <f>D61*'[1]Load Forecast'!$EN$1767</f>
        <v>3.7557060258340074</v>
      </c>
      <c r="E62" s="7">
        <f>E61*'[1]Load Forecast'!$EN$1767</f>
        <v>1.5049786243427818</v>
      </c>
      <c r="F62" s="7">
        <f>F61*'[1]Load Forecast'!$EN$1767</f>
        <v>1.5049786243427818</v>
      </c>
      <c r="G62" s="7">
        <f>G61*'[1]Load Forecast'!$EN$1767</f>
        <v>1.5049786243427818</v>
      </c>
      <c r="H62" s="7">
        <f>H61*'[1]Load Forecast'!$EN$1767</f>
        <v>1.7069595611184154</v>
      </c>
      <c r="I62" s="7">
        <f>I61*'[1]Load Forecast'!$EN$1767</f>
        <v>1.7069595611184154</v>
      </c>
      <c r="J62" s="7">
        <f>J61*'[1]Load Forecast'!$EN$1767</f>
        <v>1.7069595611184154</v>
      </c>
      <c r="K62" s="7">
        <f>K61*'[1]Load Forecast'!$EN$1767</f>
        <v>2.3183606313592557</v>
      </c>
      <c r="L62" s="7">
        <f>L61*'[1]Load Forecast'!$EN$1767</f>
        <v>2.3183606313592557</v>
      </c>
      <c r="M62" s="7">
        <f>M61*'[1]Load Forecast'!$EN$1767+0.1</f>
        <v>2.4183606313592558</v>
      </c>
      <c r="N62" s="7">
        <f>N63-N61</f>
        <v>27.743871751600636</v>
      </c>
    </row>
    <row r="63" spans="1:14" x14ac:dyDescent="0.25">
      <c r="A63" s="8" t="s">
        <v>7</v>
      </c>
      <c r="B63" s="7">
        <v>778.14004088765284</v>
      </c>
      <c r="C63" s="7">
        <v>778.14004088765284</v>
      </c>
      <c r="D63" s="7">
        <v>814.93461227583396</v>
      </c>
      <c r="E63" s="7">
        <v>326.55888487434271</v>
      </c>
      <c r="F63" s="7">
        <v>326.55888487434271</v>
      </c>
      <c r="G63" s="7">
        <v>326.55888487434271</v>
      </c>
      <c r="H63" s="7">
        <v>370.38586581111844</v>
      </c>
      <c r="I63" s="7">
        <v>370.38586581111844</v>
      </c>
      <c r="J63" s="7">
        <v>370.38586581111844</v>
      </c>
      <c r="K63" s="7">
        <v>503.05117313135929</v>
      </c>
      <c r="L63" s="7">
        <v>503.05117313135929</v>
      </c>
      <c r="M63" s="7">
        <v>503.15117313135926</v>
      </c>
      <c r="N63" s="11">
        <v>5971.4274655016006</v>
      </c>
    </row>
    <row r="64" spans="1:14" x14ac:dyDescent="0.25">
      <c r="A64" s="5" t="s">
        <v>8</v>
      </c>
      <c r="B64" s="9">
        <f>B63*B60</f>
        <v>6225.1203271012228</v>
      </c>
      <c r="C64" s="9">
        <f t="shared" ref="C64:L64" si="25">C63*C60</f>
        <v>6225.1203271012228</v>
      </c>
      <c r="D64" s="9">
        <f t="shared" si="25"/>
        <v>6519.4768982066716</v>
      </c>
      <c r="E64" s="9">
        <f t="shared" si="25"/>
        <v>2612.4710789947417</v>
      </c>
      <c r="F64" s="9">
        <f t="shared" si="25"/>
        <v>2612.4710789947417</v>
      </c>
      <c r="G64" s="9">
        <f t="shared" si="25"/>
        <v>2612.4710789947417</v>
      </c>
      <c r="H64" s="9">
        <f t="shared" si="25"/>
        <v>2963.0869264889475</v>
      </c>
      <c r="I64" s="9">
        <f t="shared" si="25"/>
        <v>2963.0869264889475</v>
      </c>
      <c r="J64" s="9">
        <f t="shared" si="25"/>
        <v>2963.0869264889475</v>
      </c>
      <c r="K64" s="9">
        <f t="shared" si="25"/>
        <v>4024.4093850508743</v>
      </c>
      <c r="L64" s="9">
        <f t="shared" si="25"/>
        <v>4024.4093850508743</v>
      </c>
      <c r="M64" s="9">
        <f>M63*M60+1</f>
        <v>4026.2093850508741</v>
      </c>
      <c r="N64" s="9">
        <f>SUM(B64:M64)</f>
        <v>47771.419724012805</v>
      </c>
    </row>
    <row r="65" spans="1:14" x14ac:dyDescent="0.25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25">
      <c r="A66" s="4" t="s">
        <v>14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25">
      <c r="A67" s="5" t="s">
        <v>32</v>
      </c>
      <c r="B67" s="7">
        <f>'[1]Load Forecast'!$EO$1768</f>
        <v>131.75000000000003</v>
      </c>
      <c r="C67" s="7">
        <f>B70</f>
        <v>132.01388888888891</v>
      </c>
      <c r="D67" s="7">
        <f t="shared" ref="D67:M67" si="26">C70</f>
        <v>132.2777777777778</v>
      </c>
      <c r="E67" s="7">
        <f t="shared" si="26"/>
        <v>132.54166666666669</v>
      </c>
      <c r="F67" s="7">
        <f t="shared" si="26"/>
        <v>132.80555555555557</v>
      </c>
      <c r="G67" s="7">
        <f t="shared" si="26"/>
        <v>133.06944444444446</v>
      </c>
      <c r="H67" s="7">
        <f t="shared" si="26"/>
        <v>133.33333333333334</v>
      </c>
      <c r="I67" s="7">
        <f t="shared" si="26"/>
        <v>133.59722222222223</v>
      </c>
      <c r="J67" s="7">
        <f t="shared" si="26"/>
        <v>133.86111111111111</v>
      </c>
      <c r="K67" s="7">
        <f t="shared" si="26"/>
        <v>134.125</v>
      </c>
      <c r="L67" s="7">
        <f t="shared" si="26"/>
        <v>134.38888888888889</v>
      </c>
      <c r="M67" s="7">
        <f t="shared" si="26"/>
        <v>134.65277777777777</v>
      </c>
      <c r="N67" s="7">
        <f>B67</f>
        <v>131.75000000000003</v>
      </c>
    </row>
    <row r="68" spans="1:14" x14ac:dyDescent="0.25">
      <c r="A68" s="5" t="s">
        <v>2</v>
      </c>
      <c r="B68" s="7">
        <f>'[1]Load Forecast'!$EO$1769/12</f>
        <v>0.52777777777777779</v>
      </c>
      <c r="C68" s="7">
        <f>'[1]Load Forecast'!$EO$1769/12</f>
        <v>0.52777777777777779</v>
      </c>
      <c r="D68" s="7">
        <f>'[1]Load Forecast'!$EO$1769/12</f>
        <v>0.52777777777777779</v>
      </c>
      <c r="E68" s="7">
        <f>'[1]Load Forecast'!$EO$1769/12</f>
        <v>0.52777777777777779</v>
      </c>
      <c r="F68" s="7">
        <f>'[1]Load Forecast'!$EO$1769/12</f>
        <v>0.52777777777777779</v>
      </c>
      <c r="G68" s="7">
        <f>'[1]Load Forecast'!$EO$1769/12</f>
        <v>0.52777777777777779</v>
      </c>
      <c r="H68" s="7">
        <f>'[1]Load Forecast'!$EO$1769/12</f>
        <v>0.52777777777777779</v>
      </c>
      <c r="I68" s="7">
        <f>'[1]Load Forecast'!$EO$1769/12</f>
        <v>0.52777777777777779</v>
      </c>
      <c r="J68" s="7">
        <f>'[1]Load Forecast'!$EO$1769/12</f>
        <v>0.52777777777777779</v>
      </c>
      <c r="K68" s="7">
        <f>'[1]Load Forecast'!$EO$1769/12</f>
        <v>0.52777777777777779</v>
      </c>
      <c r="L68" s="7">
        <f>'[1]Load Forecast'!$EO$1769/12</f>
        <v>0.52777777777777779</v>
      </c>
      <c r="M68" s="7">
        <f>'[1]Load Forecast'!$EO$1769/12</f>
        <v>0.52777777777777779</v>
      </c>
      <c r="N68" s="7">
        <f>SUM(B68:M68)</f>
        <v>6.333333333333333</v>
      </c>
    </row>
    <row r="69" spans="1:14" x14ac:dyDescent="0.25">
      <c r="A69" s="5" t="s">
        <v>3</v>
      </c>
      <c r="B69" s="7">
        <f t="shared" ref="B69:M69" si="27">B67+B68</f>
        <v>132.2777777777778</v>
      </c>
      <c r="C69" s="7">
        <f t="shared" si="27"/>
        <v>132.54166666666669</v>
      </c>
      <c r="D69" s="7">
        <f t="shared" si="27"/>
        <v>132.80555555555557</v>
      </c>
      <c r="E69" s="7">
        <f t="shared" si="27"/>
        <v>133.06944444444446</v>
      </c>
      <c r="F69" s="7">
        <f t="shared" si="27"/>
        <v>133.33333333333334</v>
      </c>
      <c r="G69" s="7">
        <f t="shared" si="27"/>
        <v>133.59722222222223</v>
      </c>
      <c r="H69" s="7">
        <f t="shared" si="27"/>
        <v>133.86111111111111</v>
      </c>
      <c r="I69" s="7">
        <f t="shared" si="27"/>
        <v>134.125</v>
      </c>
      <c r="J69" s="7">
        <f t="shared" si="27"/>
        <v>134.38888888888889</v>
      </c>
      <c r="K69" s="7">
        <f t="shared" si="27"/>
        <v>134.65277777777777</v>
      </c>
      <c r="L69" s="7">
        <f t="shared" si="27"/>
        <v>134.91666666666666</v>
      </c>
      <c r="M69" s="7">
        <f t="shared" si="27"/>
        <v>135.18055555555554</v>
      </c>
      <c r="N69" s="7">
        <f t="shared" ref="N69" si="28">SUM(N67:N68)</f>
        <v>138.08333333333337</v>
      </c>
    </row>
    <row r="70" spans="1:14" x14ac:dyDescent="0.25">
      <c r="A70" s="8" t="s">
        <v>4</v>
      </c>
      <c r="B70" s="7">
        <f>B67+(B68*0.5)</f>
        <v>132.01388888888891</v>
      </c>
      <c r="C70" s="7">
        <f t="shared" ref="C70:N70" si="29">C67+(C68*0.5)</f>
        <v>132.2777777777778</v>
      </c>
      <c r="D70" s="7">
        <f t="shared" si="29"/>
        <v>132.54166666666669</v>
      </c>
      <c r="E70" s="7">
        <f t="shared" si="29"/>
        <v>132.80555555555557</v>
      </c>
      <c r="F70" s="7">
        <f t="shared" si="29"/>
        <v>133.06944444444446</v>
      </c>
      <c r="G70" s="7">
        <f t="shared" si="29"/>
        <v>133.33333333333334</v>
      </c>
      <c r="H70" s="7">
        <f t="shared" si="29"/>
        <v>133.59722222222223</v>
      </c>
      <c r="I70" s="7">
        <f t="shared" si="29"/>
        <v>133.86111111111111</v>
      </c>
      <c r="J70" s="7">
        <f t="shared" si="29"/>
        <v>134.125</v>
      </c>
      <c r="K70" s="7">
        <f t="shared" si="29"/>
        <v>134.38888888888889</v>
      </c>
      <c r="L70" s="7">
        <f t="shared" si="29"/>
        <v>134.65277777777777</v>
      </c>
      <c r="M70" s="7">
        <f t="shared" si="29"/>
        <v>134.91666666666666</v>
      </c>
      <c r="N70" s="7">
        <f t="shared" si="29"/>
        <v>134.91666666666669</v>
      </c>
    </row>
    <row r="71" spans="1:14" x14ac:dyDescent="0.25">
      <c r="A71" s="8" t="s">
        <v>5</v>
      </c>
      <c r="B71" s="7">
        <v>1156.3075328927748</v>
      </c>
      <c r="C71" s="7">
        <v>1154.9076803758326</v>
      </c>
      <c r="D71" s="7">
        <v>1148.5376951236894</v>
      </c>
      <c r="E71" s="7">
        <v>923.41839921981784</v>
      </c>
      <c r="F71" s="7">
        <v>920.27316279324168</v>
      </c>
      <c r="G71" s="7">
        <v>919.87142157763367</v>
      </c>
      <c r="H71" s="7">
        <v>591.22850135290469</v>
      </c>
      <c r="I71" s="7">
        <v>590.92734301084681</v>
      </c>
      <c r="J71" s="7">
        <v>590.62863180168711</v>
      </c>
      <c r="K71" s="7">
        <v>885.96807661738978</v>
      </c>
      <c r="L71" s="7">
        <v>874.00115477937652</v>
      </c>
      <c r="M71" s="7">
        <v>833.01491036479513</v>
      </c>
      <c r="N71" s="7">
        <v>10566.708522832516</v>
      </c>
    </row>
    <row r="72" spans="1:14" x14ac:dyDescent="0.25">
      <c r="A72" s="8" t="s">
        <v>6</v>
      </c>
      <c r="B72" s="7">
        <f>B71*'[1]Load Forecast'!$EN$1776</f>
        <v>-5.4914514989482157</v>
      </c>
      <c r="C72" s="7">
        <f>C71*'[1]Load Forecast'!$EN$1776</f>
        <v>-5.4848034213531163</v>
      </c>
      <c r="D72" s="7">
        <f>D71*'[1]Load Forecast'!$EN$1776</f>
        <v>-5.454551551443001</v>
      </c>
      <c r="E72" s="7">
        <f>E71*'[1]Load Forecast'!$EN$1776</f>
        <v>-4.3854313911334346</v>
      </c>
      <c r="F72" s="7">
        <f>F71*'[1]Load Forecast'!$EN$1776</f>
        <v>-4.3704942634248063</v>
      </c>
      <c r="G72" s="7">
        <f>G71*'[1]Load Forecast'!$EN$1776</f>
        <v>-4.3685863433102314</v>
      </c>
      <c r="H72" s="7">
        <f>H71*'[1]Load Forecast'!$EN$1776+2</f>
        <v>-0.80781932800604217</v>
      </c>
      <c r="I72" s="7">
        <f>I71*'[1]Load Forecast'!$EN$1776</f>
        <v>-2.8063890887471343</v>
      </c>
      <c r="J72" s="7">
        <f>J71*'[1]Load Forecast'!$EN$1776</f>
        <v>-2.804970471233514</v>
      </c>
      <c r="K72" s="7">
        <f>K71*'[1]Load Forecast'!$EN$1776</f>
        <v>-4.2075750472620941</v>
      </c>
      <c r="L72" s="7">
        <f>L71*'[1]Load Forecast'!$EN$1776</f>
        <v>-4.1507426138516239</v>
      </c>
      <c r="M72" s="7">
        <v>96.1</v>
      </c>
      <c r="N72" s="7">
        <f>N73-N71</f>
        <v>-56.432959020274211</v>
      </c>
    </row>
    <row r="73" spans="1:14" x14ac:dyDescent="0.25">
      <c r="A73" s="8" t="s">
        <v>7</v>
      </c>
      <c r="B73" s="7">
        <v>1150.8160813938266</v>
      </c>
      <c r="C73" s="7">
        <v>1149.4228769544795</v>
      </c>
      <c r="D73" s="7">
        <v>1143.0831435722464</v>
      </c>
      <c r="E73" s="7">
        <v>919.03296782868438</v>
      </c>
      <c r="F73" s="7">
        <v>915.90266852981688</v>
      </c>
      <c r="G73" s="7">
        <v>915.50283523432347</v>
      </c>
      <c r="H73" s="7">
        <v>590.42068202489861</v>
      </c>
      <c r="I73" s="7">
        <v>588.12095392209972</v>
      </c>
      <c r="J73" s="7">
        <v>587.82366133045355</v>
      </c>
      <c r="K73" s="7">
        <v>881.76050157012764</v>
      </c>
      <c r="L73" s="7">
        <v>869.85041216552486</v>
      </c>
      <c r="M73" s="7">
        <v>929.11491036479515</v>
      </c>
      <c r="N73" s="11">
        <v>10510.275563812242</v>
      </c>
    </row>
    <row r="74" spans="1:14" x14ac:dyDescent="0.25">
      <c r="A74" s="5" t="s">
        <v>8</v>
      </c>
      <c r="B74" s="9">
        <f t="shared" ref="B74:L74" si="30">B73*B70</f>
        <v>151923.70630067115</v>
      </c>
      <c r="C74" s="9">
        <f t="shared" si="30"/>
        <v>152043.10389047867</v>
      </c>
      <c r="D74" s="9">
        <f>D73*D70</f>
        <v>151506.14498763817</v>
      </c>
      <c r="E74" s="9">
        <f t="shared" si="30"/>
        <v>122052.68386635945</v>
      </c>
      <c r="F74" s="9">
        <f t="shared" si="30"/>
        <v>121878.65926644689</v>
      </c>
      <c r="G74" s="9">
        <f t="shared" si="30"/>
        <v>122067.04469790981</v>
      </c>
      <c r="H74" s="9">
        <f t="shared" si="30"/>
        <v>78878.563061076391</v>
      </c>
      <c r="I74" s="9">
        <f t="shared" si="30"/>
        <v>78726.524359738847</v>
      </c>
      <c r="J74" s="9">
        <f t="shared" si="30"/>
        <v>78841.848575947079</v>
      </c>
      <c r="K74" s="9">
        <f t="shared" si="30"/>
        <v>118498.81407211882</v>
      </c>
      <c r="L74" s="9">
        <f t="shared" si="30"/>
        <v>117127.77424923283</v>
      </c>
      <c r="M74" s="9">
        <f>M73*M70-11</f>
        <v>125342.08665671694</v>
      </c>
      <c r="N74" s="9">
        <f>SUM(B74:M74)</f>
        <v>1418886.9539843351</v>
      </c>
    </row>
    <row r="75" spans="1:14" x14ac:dyDescent="0.25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x14ac:dyDescent="0.25">
      <c r="A76" s="4" t="s">
        <v>15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x14ac:dyDescent="0.25">
      <c r="A77" s="5" t="s">
        <v>32</v>
      </c>
      <c r="B77" s="7">
        <f>'[1]Load Forecast'!$EO$1777</f>
        <v>22</v>
      </c>
      <c r="C77" s="7">
        <f>B80</f>
        <v>22</v>
      </c>
      <c r="D77" s="7">
        <f t="shared" ref="D77:M77" si="31">C80</f>
        <v>22</v>
      </c>
      <c r="E77" s="7">
        <f t="shared" si="31"/>
        <v>22</v>
      </c>
      <c r="F77" s="7">
        <f t="shared" si="31"/>
        <v>22</v>
      </c>
      <c r="G77" s="7">
        <f t="shared" si="31"/>
        <v>22</v>
      </c>
      <c r="H77" s="7">
        <f t="shared" si="31"/>
        <v>22</v>
      </c>
      <c r="I77" s="7">
        <f t="shared" si="31"/>
        <v>22</v>
      </c>
      <c r="J77" s="7">
        <f t="shared" si="31"/>
        <v>22</v>
      </c>
      <c r="K77" s="7">
        <f t="shared" si="31"/>
        <v>22</v>
      </c>
      <c r="L77" s="7">
        <f t="shared" si="31"/>
        <v>22</v>
      </c>
      <c r="M77" s="7">
        <f t="shared" si="31"/>
        <v>22</v>
      </c>
      <c r="N77" s="7">
        <f>B77</f>
        <v>22</v>
      </c>
    </row>
    <row r="78" spans="1:14" x14ac:dyDescent="0.25">
      <c r="A78" s="5" t="s">
        <v>2</v>
      </c>
      <c r="B78" s="7">
        <f>'[1]Load Forecast'!$EO$1778/12</f>
        <v>0</v>
      </c>
      <c r="C78" s="7">
        <f>'[1]Load Forecast'!$EO$1778/12</f>
        <v>0</v>
      </c>
      <c r="D78" s="7">
        <f>'[1]Load Forecast'!$EO$1778/12</f>
        <v>0</v>
      </c>
      <c r="E78" s="7">
        <f>'[1]Load Forecast'!$EO$1778/12</f>
        <v>0</v>
      </c>
      <c r="F78" s="7">
        <f>'[1]Load Forecast'!$EO$1778/12</f>
        <v>0</v>
      </c>
      <c r="G78" s="7">
        <f>'[1]Load Forecast'!$EO$1778/12</f>
        <v>0</v>
      </c>
      <c r="H78" s="7">
        <f>'[1]Load Forecast'!$EO$1778/12</f>
        <v>0</v>
      </c>
      <c r="I78" s="7">
        <f>'[1]Load Forecast'!$EO$1778/12</f>
        <v>0</v>
      </c>
      <c r="J78" s="7">
        <f>'[1]Load Forecast'!$EO$1778/12</f>
        <v>0</v>
      </c>
      <c r="K78" s="7">
        <f>'[1]Load Forecast'!$EO$1778/12</f>
        <v>0</v>
      </c>
      <c r="L78" s="7">
        <f>'[1]Load Forecast'!$EO$1778/12</f>
        <v>0</v>
      </c>
      <c r="M78" s="7">
        <f>'[1]Load Forecast'!$EO$1778/12</f>
        <v>0</v>
      </c>
      <c r="N78" s="7">
        <f>SUM(B78:M78)</f>
        <v>0</v>
      </c>
    </row>
    <row r="79" spans="1:14" x14ac:dyDescent="0.25">
      <c r="A79" s="5" t="s">
        <v>3</v>
      </c>
      <c r="B79" s="7">
        <f t="shared" ref="B79:M79" si="32">B77+B78</f>
        <v>22</v>
      </c>
      <c r="C79" s="7">
        <f t="shared" si="32"/>
        <v>22</v>
      </c>
      <c r="D79" s="7">
        <f t="shared" si="32"/>
        <v>22</v>
      </c>
      <c r="E79" s="7">
        <f t="shared" si="32"/>
        <v>22</v>
      </c>
      <c r="F79" s="7">
        <f t="shared" si="32"/>
        <v>22</v>
      </c>
      <c r="G79" s="7">
        <f t="shared" si="32"/>
        <v>22</v>
      </c>
      <c r="H79" s="7">
        <f t="shared" si="32"/>
        <v>22</v>
      </c>
      <c r="I79" s="7">
        <f t="shared" si="32"/>
        <v>22</v>
      </c>
      <c r="J79" s="7">
        <f t="shared" si="32"/>
        <v>22</v>
      </c>
      <c r="K79" s="7">
        <f t="shared" si="32"/>
        <v>22</v>
      </c>
      <c r="L79" s="7">
        <f t="shared" si="32"/>
        <v>22</v>
      </c>
      <c r="M79" s="7">
        <f t="shared" si="32"/>
        <v>22</v>
      </c>
      <c r="N79" s="7">
        <f t="shared" ref="N79" si="33">SUM(N77:N78)</f>
        <v>22</v>
      </c>
    </row>
    <row r="80" spans="1:14" x14ac:dyDescent="0.25">
      <c r="A80" s="8" t="s">
        <v>4</v>
      </c>
      <c r="B80" s="7">
        <f>B77+(B78*0.5)</f>
        <v>22</v>
      </c>
      <c r="C80" s="7">
        <f t="shared" ref="C80:N80" si="34">C77+(C78*0.5)</f>
        <v>22</v>
      </c>
      <c r="D80" s="7">
        <f t="shared" si="34"/>
        <v>22</v>
      </c>
      <c r="E80" s="7">
        <f t="shared" si="34"/>
        <v>22</v>
      </c>
      <c r="F80" s="7">
        <f t="shared" si="34"/>
        <v>22</v>
      </c>
      <c r="G80" s="7">
        <f t="shared" si="34"/>
        <v>22</v>
      </c>
      <c r="H80" s="7">
        <f t="shared" si="34"/>
        <v>22</v>
      </c>
      <c r="I80" s="7">
        <f t="shared" si="34"/>
        <v>22</v>
      </c>
      <c r="J80" s="7">
        <f t="shared" si="34"/>
        <v>22</v>
      </c>
      <c r="K80" s="7">
        <f t="shared" si="34"/>
        <v>22</v>
      </c>
      <c r="L80" s="7">
        <f t="shared" si="34"/>
        <v>22</v>
      </c>
      <c r="M80" s="7">
        <f t="shared" si="34"/>
        <v>22</v>
      </c>
      <c r="N80" s="7">
        <f t="shared" si="34"/>
        <v>22</v>
      </c>
    </row>
    <row r="81" spans="1:14" x14ac:dyDescent="0.25">
      <c r="A81" s="8" t="s">
        <v>5</v>
      </c>
      <c r="B81" s="7">
        <v>3202.8393741417676</v>
      </c>
      <c r="C81" s="7">
        <v>3202.8393741417676</v>
      </c>
      <c r="D81" s="7">
        <v>3566.5666468690401</v>
      </c>
      <c r="E81" s="7">
        <v>2500.3848286872217</v>
      </c>
      <c r="F81" s="7">
        <v>2500.3848286872217</v>
      </c>
      <c r="G81" s="7">
        <v>2500.3848286872217</v>
      </c>
      <c r="H81" s="7">
        <v>2187.9302832326762</v>
      </c>
      <c r="I81" s="7">
        <v>2187.9302832326762</v>
      </c>
      <c r="J81" s="7">
        <v>2187.9302832326762</v>
      </c>
      <c r="K81" s="7">
        <v>2693.2998467683833</v>
      </c>
      <c r="L81" s="7">
        <v>2693.2998467683833</v>
      </c>
      <c r="M81" s="7">
        <v>2693.2998467683833</v>
      </c>
      <c r="N81" s="7">
        <v>32117.090271217421</v>
      </c>
    </row>
    <row r="82" spans="1:14" x14ac:dyDescent="0.25">
      <c r="A82" s="8" t="s">
        <v>6</v>
      </c>
      <c r="B82" s="7">
        <f>B81*'[1]Load Forecast'!$EN$1785</f>
        <v>16.476189551684261</v>
      </c>
      <c r="C82" s="7">
        <f>C81*'[1]Load Forecast'!$EN$1785</f>
        <v>16.476189551684261</v>
      </c>
      <c r="D82" s="7">
        <f>D81*'[1]Load Forecast'!$EN$1785</f>
        <v>18.347291655322394</v>
      </c>
      <c r="E82" s="7">
        <f>E81*'[1]Load Forecast'!$EN$1785</f>
        <v>12.862591462503591</v>
      </c>
      <c r="F82" s="7">
        <f>F81*'[1]Load Forecast'!$EN$1785</f>
        <v>12.862591462503591</v>
      </c>
      <c r="G82" s="7">
        <f>G81*'[1]Load Forecast'!$EN$1785</f>
        <v>12.862591462503591</v>
      </c>
      <c r="H82" s="7">
        <f>H81*'[1]Load Forecast'!$EN$1785</f>
        <v>11.255248815614246</v>
      </c>
      <c r="I82" s="7">
        <f>I81*'[1]Load Forecast'!$EN$1785</f>
        <v>11.255248815614246</v>
      </c>
      <c r="J82" s="7">
        <f>J81*'[1]Load Forecast'!$EN$1785</f>
        <v>11.255248815614246</v>
      </c>
      <c r="K82" s="7">
        <f>K81*'[1]Load Forecast'!$EN$1785</f>
        <v>13.854993526414001</v>
      </c>
      <c r="L82" s="7">
        <f>L81*'[1]Load Forecast'!$EN$1785</f>
        <v>13.854993526414001</v>
      </c>
      <c r="M82" s="7">
        <f>M81*'[1]Load Forecast'!$EN$1785+0.9</f>
        <v>14.754993526414001</v>
      </c>
      <c r="N82" s="7">
        <f>N83-N81</f>
        <v>166.07271762683376</v>
      </c>
    </row>
    <row r="83" spans="1:14" x14ac:dyDescent="0.25">
      <c r="A83" s="8" t="s">
        <v>7</v>
      </c>
      <c r="B83" s="7">
        <v>3219.3155636934521</v>
      </c>
      <c r="C83" s="7">
        <v>3219.3155636934521</v>
      </c>
      <c r="D83" s="7">
        <v>3584.9139385243625</v>
      </c>
      <c r="E83" s="7">
        <v>2513.2474201497253</v>
      </c>
      <c r="F83" s="7">
        <v>2513.2474201497253</v>
      </c>
      <c r="G83" s="7">
        <v>2513.2474201497253</v>
      </c>
      <c r="H83" s="7">
        <v>2199.1855320482905</v>
      </c>
      <c r="I83" s="7">
        <v>2199.1855320482905</v>
      </c>
      <c r="J83" s="7">
        <v>2199.1855320482905</v>
      </c>
      <c r="K83" s="7">
        <v>2707.1548402947974</v>
      </c>
      <c r="L83" s="7">
        <v>2707.1548402947974</v>
      </c>
      <c r="M83" s="7">
        <v>2708.0548402947975</v>
      </c>
      <c r="N83" s="11">
        <v>32283.162988844255</v>
      </c>
    </row>
    <row r="84" spans="1:14" x14ac:dyDescent="0.25">
      <c r="A84" s="5" t="s">
        <v>8</v>
      </c>
      <c r="B84" s="9">
        <f>B83*B80</f>
        <v>70824.942401255947</v>
      </c>
      <c r="C84" s="9">
        <f t="shared" ref="C84:L84" si="35">C83*C80</f>
        <v>70824.942401255947</v>
      </c>
      <c r="D84" s="9">
        <f t="shared" si="35"/>
        <v>78868.106647535969</v>
      </c>
      <c r="E84" s="9">
        <f t="shared" si="35"/>
        <v>55291.443243293957</v>
      </c>
      <c r="F84" s="9">
        <f t="shared" si="35"/>
        <v>55291.443243293957</v>
      </c>
      <c r="G84" s="9">
        <f t="shared" si="35"/>
        <v>55291.443243293957</v>
      </c>
      <c r="H84" s="9">
        <f t="shared" si="35"/>
        <v>48382.081705062388</v>
      </c>
      <c r="I84" s="9">
        <f t="shared" si="35"/>
        <v>48382.081705062388</v>
      </c>
      <c r="J84" s="9">
        <f t="shared" si="35"/>
        <v>48382.081705062388</v>
      </c>
      <c r="K84" s="9">
        <f t="shared" si="35"/>
        <v>59557.406486485546</v>
      </c>
      <c r="L84" s="9">
        <f t="shared" si="35"/>
        <v>59557.406486485546</v>
      </c>
      <c r="M84" s="9">
        <f>M83*M80-1</f>
        <v>59576.206486485542</v>
      </c>
      <c r="N84" s="9">
        <f>SUM(B84:M84)</f>
        <v>710229.58575457358</v>
      </c>
    </row>
    <row r="85" spans="1:14" x14ac:dyDescent="0.25">
      <c r="A85" s="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25">
      <c r="A86" s="4" t="s">
        <v>16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x14ac:dyDescent="0.25">
      <c r="A87" s="5" t="s">
        <v>32</v>
      </c>
      <c r="B87" s="7">
        <f>'[1]Load Forecast'!$EO$1786</f>
        <v>287.08333333333337</v>
      </c>
      <c r="C87" s="7">
        <f>B90</f>
        <v>287.15277777777783</v>
      </c>
      <c r="D87" s="7">
        <f t="shared" ref="D87:M87" si="36">C90</f>
        <v>287.22222222222229</v>
      </c>
      <c r="E87" s="7">
        <f t="shared" si="36"/>
        <v>287.29166666666674</v>
      </c>
      <c r="F87" s="7">
        <f t="shared" si="36"/>
        <v>287.3611111111112</v>
      </c>
      <c r="G87" s="7">
        <f t="shared" si="36"/>
        <v>287.43055555555566</v>
      </c>
      <c r="H87" s="7">
        <f t="shared" si="36"/>
        <v>287.50000000000011</v>
      </c>
      <c r="I87" s="7">
        <f t="shared" si="36"/>
        <v>287.56944444444457</v>
      </c>
      <c r="J87" s="7">
        <f t="shared" si="36"/>
        <v>287.63888888888903</v>
      </c>
      <c r="K87" s="7">
        <f t="shared" si="36"/>
        <v>287.70833333333348</v>
      </c>
      <c r="L87" s="7">
        <f t="shared" si="36"/>
        <v>287.77777777777794</v>
      </c>
      <c r="M87" s="7">
        <f t="shared" si="36"/>
        <v>287.8472222222224</v>
      </c>
      <c r="N87" s="7">
        <f>B87</f>
        <v>287.08333333333337</v>
      </c>
    </row>
    <row r="88" spans="1:14" x14ac:dyDescent="0.25">
      <c r="A88" s="5" t="s">
        <v>2</v>
      </c>
      <c r="B88" s="7">
        <f>'[1]Load Forecast'!$EO$1787/12</f>
        <v>0.13888888888888887</v>
      </c>
      <c r="C88" s="7">
        <f>'[1]Load Forecast'!$EO$1787/12</f>
        <v>0.13888888888888887</v>
      </c>
      <c r="D88" s="7">
        <f>'[1]Load Forecast'!$EO$1787/12</f>
        <v>0.13888888888888887</v>
      </c>
      <c r="E88" s="7">
        <f>'[1]Load Forecast'!$EO$1787/12</f>
        <v>0.13888888888888887</v>
      </c>
      <c r="F88" s="7">
        <f>'[1]Load Forecast'!$EO$1787/12</f>
        <v>0.13888888888888887</v>
      </c>
      <c r="G88" s="7">
        <f>'[1]Load Forecast'!$EO$1787/12</f>
        <v>0.13888888888888887</v>
      </c>
      <c r="H88" s="7">
        <f>'[1]Load Forecast'!$EO$1787/12</f>
        <v>0.13888888888888887</v>
      </c>
      <c r="I88" s="7">
        <f>'[1]Load Forecast'!$EO$1787/12</f>
        <v>0.13888888888888887</v>
      </c>
      <c r="J88" s="7">
        <f>'[1]Load Forecast'!$EO$1787/12</f>
        <v>0.13888888888888887</v>
      </c>
      <c r="K88" s="7">
        <f>'[1]Load Forecast'!$EO$1787/12</f>
        <v>0.13888888888888887</v>
      </c>
      <c r="L88" s="7">
        <f>'[1]Load Forecast'!$EO$1787/12</f>
        <v>0.13888888888888887</v>
      </c>
      <c r="M88" s="7">
        <f>'[1]Load Forecast'!$EO$1787/12</f>
        <v>0.13888888888888887</v>
      </c>
      <c r="N88" s="7">
        <f>SUM(B88:M88)</f>
        <v>1.6666666666666663</v>
      </c>
    </row>
    <row r="89" spans="1:14" x14ac:dyDescent="0.25">
      <c r="A89" s="5" t="s">
        <v>3</v>
      </c>
      <c r="B89" s="7">
        <f t="shared" ref="B89:M89" si="37">B87+B88</f>
        <v>287.22222222222229</v>
      </c>
      <c r="C89" s="7">
        <f t="shared" si="37"/>
        <v>287.29166666666674</v>
      </c>
      <c r="D89" s="7">
        <f t="shared" si="37"/>
        <v>287.3611111111112</v>
      </c>
      <c r="E89" s="7">
        <f t="shared" si="37"/>
        <v>287.43055555555566</v>
      </c>
      <c r="F89" s="7">
        <f t="shared" si="37"/>
        <v>287.50000000000011</v>
      </c>
      <c r="G89" s="7">
        <f t="shared" si="37"/>
        <v>287.56944444444457</v>
      </c>
      <c r="H89" s="7">
        <f t="shared" si="37"/>
        <v>287.63888888888903</v>
      </c>
      <c r="I89" s="7">
        <f t="shared" si="37"/>
        <v>287.70833333333348</v>
      </c>
      <c r="J89" s="7">
        <f t="shared" si="37"/>
        <v>287.77777777777794</v>
      </c>
      <c r="K89" s="7">
        <f t="shared" si="37"/>
        <v>287.8472222222224</v>
      </c>
      <c r="L89" s="7">
        <f t="shared" si="37"/>
        <v>287.91666666666686</v>
      </c>
      <c r="M89" s="7">
        <f t="shared" si="37"/>
        <v>287.98611111111131</v>
      </c>
      <c r="N89" s="7">
        <f t="shared" ref="N89" si="38">SUM(N87:N88)</f>
        <v>288.75000000000006</v>
      </c>
    </row>
    <row r="90" spans="1:14" x14ac:dyDescent="0.25">
      <c r="A90" s="8" t="s">
        <v>4</v>
      </c>
      <c r="B90" s="7">
        <f>B87+(B88*0.5)</f>
        <v>287.15277777777783</v>
      </c>
      <c r="C90" s="7">
        <f t="shared" ref="C90:N90" si="39">C87+(C88*0.5)</f>
        <v>287.22222222222229</v>
      </c>
      <c r="D90" s="7">
        <f t="shared" si="39"/>
        <v>287.29166666666674</v>
      </c>
      <c r="E90" s="7">
        <f t="shared" si="39"/>
        <v>287.3611111111112</v>
      </c>
      <c r="F90" s="7">
        <f t="shared" si="39"/>
        <v>287.43055555555566</v>
      </c>
      <c r="G90" s="7">
        <f t="shared" si="39"/>
        <v>287.50000000000011</v>
      </c>
      <c r="H90" s="7">
        <f t="shared" si="39"/>
        <v>287.56944444444457</v>
      </c>
      <c r="I90" s="7">
        <f t="shared" si="39"/>
        <v>287.63888888888903</v>
      </c>
      <c r="J90" s="7">
        <f t="shared" si="39"/>
        <v>287.70833333333348</v>
      </c>
      <c r="K90" s="7">
        <f t="shared" si="39"/>
        <v>287.77777777777794</v>
      </c>
      <c r="L90" s="7">
        <f t="shared" si="39"/>
        <v>287.8472222222224</v>
      </c>
      <c r="M90" s="7">
        <f t="shared" si="39"/>
        <v>287.91666666666686</v>
      </c>
      <c r="N90" s="7">
        <f t="shared" si="39"/>
        <v>287.91666666666669</v>
      </c>
    </row>
    <row r="91" spans="1:14" x14ac:dyDescent="0.25">
      <c r="A91" s="8" t="s">
        <v>5</v>
      </c>
      <c r="B91" s="7">
        <v>3383.7498578826458</v>
      </c>
      <c r="C91" s="7">
        <v>3384.1368502500545</v>
      </c>
      <c r="D91" s="7">
        <v>3311.3640907976087</v>
      </c>
      <c r="E91" s="7">
        <v>2856.9636768872956</v>
      </c>
      <c r="F91" s="7">
        <v>2857.3001452401995</v>
      </c>
      <c r="G91" s="7">
        <v>2865.2402666206676</v>
      </c>
      <c r="H91" s="7">
        <v>2022.4815896068485</v>
      </c>
      <c r="I91" s="7">
        <v>2022.7869816131649</v>
      </c>
      <c r="J91" s="7">
        <v>2023.0920776252906</v>
      </c>
      <c r="K91" s="7">
        <v>2587.6433108460751</v>
      </c>
      <c r="L91" s="7">
        <v>2587.9055653361866</v>
      </c>
      <c r="M91" s="7">
        <v>2588.1675660111609</v>
      </c>
      <c r="N91" s="7">
        <v>32483.918056252689</v>
      </c>
    </row>
    <row r="92" spans="1:14" x14ac:dyDescent="0.25">
      <c r="A92" s="8" t="s">
        <v>6</v>
      </c>
      <c r="B92" s="7">
        <f>B91*'[1]Load Forecast'!$EN$1794</f>
        <v>20.008421580844683</v>
      </c>
      <c r="C92" s="7">
        <f>C91*'[1]Load Forecast'!$EN$1794</f>
        <v>20.010709902015243</v>
      </c>
      <c r="D92" s="7">
        <f>D91*'[1]Load Forecast'!$EN$1794</f>
        <v>19.580397936923045</v>
      </c>
      <c r="E92" s="7">
        <f>E91*'[1]Load Forecast'!$EN$1794</f>
        <v>16.893486838323987</v>
      </c>
      <c r="F92" s="7">
        <f>F91*'[1]Load Forecast'!$EN$1794</f>
        <v>16.8954764063879</v>
      </c>
      <c r="G92" s="7">
        <f>G91*'[1]Load Forecast'!$EN$1794</f>
        <v>16.942427068421438</v>
      </c>
      <c r="H92" s="7">
        <f>H91*'[1]Load Forecast'!$EN$1794</f>
        <v>11.959118133416757</v>
      </c>
      <c r="I92" s="7">
        <f>I91*'[1]Load Forecast'!$EN$1794</f>
        <v>11.960923944208464</v>
      </c>
      <c r="J92" s="7">
        <f>J91*'[1]Load Forecast'!$EN$1794</f>
        <v>11.962728004759519</v>
      </c>
      <c r="K92" s="7">
        <f>K91*'[1]Load Forecast'!$EN$1794</f>
        <v>15.300970946078905</v>
      </c>
      <c r="L92" s="7">
        <f>L91*'[1]Load Forecast'!$EN$1794</f>
        <v>15.302521680802219</v>
      </c>
      <c r="M92" s="7">
        <f>M91*'[1]Load Forecast'!$EN$1794+41</f>
        <v>56.304070914693469</v>
      </c>
      <c r="N92" s="7">
        <f>N93-N91</f>
        <v>183.76482943303927</v>
      </c>
    </row>
    <row r="93" spans="1:14" x14ac:dyDescent="0.25">
      <c r="A93" s="8" t="s">
        <v>7</v>
      </c>
      <c r="B93" s="7">
        <v>3403.7582794634905</v>
      </c>
      <c r="C93" s="7">
        <v>3404.1475601520697</v>
      </c>
      <c r="D93" s="7">
        <v>3330.9444887345317</v>
      </c>
      <c r="E93" s="7">
        <v>2873.8571637256196</v>
      </c>
      <c r="F93" s="7">
        <v>2874.1956216465874</v>
      </c>
      <c r="G93" s="7">
        <v>2882.1826936890889</v>
      </c>
      <c r="H93" s="7">
        <v>2034.4407077402652</v>
      </c>
      <c r="I93" s="7">
        <v>2034.7479055573733</v>
      </c>
      <c r="J93" s="7">
        <v>2035.0548056300502</v>
      </c>
      <c r="K93" s="7">
        <v>2602.944281792154</v>
      </c>
      <c r="L93" s="7">
        <v>2603.2080870169889</v>
      </c>
      <c r="M93" s="7">
        <v>2644.4716369258545</v>
      </c>
      <c r="N93" s="11">
        <v>32667.682885685728</v>
      </c>
    </row>
    <row r="94" spans="1:14" x14ac:dyDescent="0.25">
      <c r="A94" s="5" t="s">
        <v>8</v>
      </c>
      <c r="B94" s="9">
        <f>B93*B90</f>
        <v>977398.64483205113</v>
      </c>
      <c r="C94" s="9">
        <f t="shared" ref="C94:L94" si="40">C93*C90</f>
        <v>977746.82699923357</v>
      </c>
      <c r="D94" s="9">
        <f t="shared" si="40"/>
        <v>956952.5937426918</v>
      </c>
      <c r="E94" s="9">
        <f t="shared" si="40"/>
        <v>825834.78774282068</v>
      </c>
      <c r="F94" s="9">
        <f t="shared" si="40"/>
        <v>826131.6443052243</v>
      </c>
      <c r="G94" s="9">
        <f t="shared" si="40"/>
        <v>828627.52443561342</v>
      </c>
      <c r="H94" s="9">
        <f t="shared" si="40"/>
        <v>585042.9840800307</v>
      </c>
      <c r="I94" s="9">
        <f t="shared" si="40"/>
        <v>585272.62672351697</v>
      </c>
      <c r="J94" s="9">
        <f t="shared" si="40"/>
        <v>585502.22636981262</v>
      </c>
      <c r="K94" s="9">
        <f t="shared" si="40"/>
        <v>749069.52109352034</v>
      </c>
      <c r="L94" s="9">
        <f t="shared" si="40"/>
        <v>749326.21671426564</v>
      </c>
      <c r="M94" s="9">
        <f>M93*M90+1</f>
        <v>761388.4587982361</v>
      </c>
      <c r="N94" s="9">
        <f>SUM(B94:M94)</f>
        <v>9408294.0558370166</v>
      </c>
    </row>
    <row r="95" spans="1:14" x14ac:dyDescent="0.25">
      <c r="A95" s="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x14ac:dyDescent="0.25">
      <c r="A96" s="14" t="s">
        <v>17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x14ac:dyDescent="0.25">
      <c r="A97" s="5" t="s">
        <v>32</v>
      </c>
      <c r="B97" s="7">
        <f t="shared" ref="B97:M100" si="41">B9+B19+B29+B38+B47+B57+B67+B77+B87</f>
        <v>3631.916666666667</v>
      </c>
      <c r="C97" s="7">
        <f t="shared" si="41"/>
        <v>3634.6666666666665</v>
      </c>
      <c r="D97" s="7">
        <f t="shared" si="41"/>
        <v>3637.4166666666661</v>
      </c>
      <c r="E97" s="7">
        <f t="shared" si="41"/>
        <v>3640.1666666666661</v>
      </c>
      <c r="F97" s="7">
        <f t="shared" si="41"/>
        <v>3642.9166666666661</v>
      </c>
      <c r="G97" s="7">
        <f t="shared" si="41"/>
        <v>3645.6666666666661</v>
      </c>
      <c r="H97" s="7">
        <f t="shared" si="41"/>
        <v>3648.4166666666656</v>
      </c>
      <c r="I97" s="7">
        <f t="shared" si="41"/>
        <v>3651.1666666666661</v>
      </c>
      <c r="J97" s="7">
        <f t="shared" si="41"/>
        <v>3653.9166666666656</v>
      </c>
      <c r="K97" s="7">
        <f t="shared" si="41"/>
        <v>3656.6666666666652</v>
      </c>
      <c r="L97" s="7">
        <f t="shared" si="41"/>
        <v>3659.4166666666647</v>
      </c>
      <c r="M97" s="7">
        <f t="shared" si="41"/>
        <v>3662.1666666666642</v>
      </c>
      <c r="N97" s="7">
        <f>B97</f>
        <v>3631.916666666667</v>
      </c>
    </row>
    <row r="98" spans="1:14" x14ac:dyDescent="0.25">
      <c r="A98" s="5" t="s">
        <v>2</v>
      </c>
      <c r="B98" s="7">
        <f t="shared" si="41"/>
        <v>3.0833333333333335</v>
      </c>
      <c r="C98" s="7">
        <f t="shared" si="41"/>
        <v>3.0833333333333335</v>
      </c>
      <c r="D98" s="7">
        <f t="shared" si="41"/>
        <v>3.0833333333333335</v>
      </c>
      <c r="E98" s="7">
        <f t="shared" si="41"/>
        <v>3.0833333333333335</v>
      </c>
      <c r="F98" s="7">
        <f t="shared" si="41"/>
        <v>3.0833333333333335</v>
      </c>
      <c r="G98" s="7">
        <f t="shared" si="41"/>
        <v>3.0833333333333335</v>
      </c>
      <c r="H98" s="7">
        <f t="shared" si="41"/>
        <v>3.0833333333333335</v>
      </c>
      <c r="I98" s="7">
        <f t="shared" si="41"/>
        <v>3.0833333333333335</v>
      </c>
      <c r="J98" s="7">
        <f t="shared" si="41"/>
        <v>3.0833333333333335</v>
      </c>
      <c r="K98" s="7">
        <f t="shared" si="41"/>
        <v>3.0833333333333335</v>
      </c>
      <c r="L98" s="7">
        <f t="shared" si="41"/>
        <v>3.0833333333333335</v>
      </c>
      <c r="M98" s="7">
        <f t="shared" si="41"/>
        <v>3.0833333333333335</v>
      </c>
      <c r="N98" s="7">
        <f>N10+N20+N30+N39+N48+N58+N68+N78+N88</f>
        <v>37.000000000000007</v>
      </c>
    </row>
    <row r="99" spans="1:14" x14ac:dyDescent="0.25">
      <c r="A99" s="5" t="s">
        <v>3</v>
      </c>
      <c r="B99" s="7">
        <f t="shared" si="41"/>
        <v>3634.9999999999995</v>
      </c>
      <c r="C99" s="7">
        <f t="shared" si="41"/>
        <v>3637.7499999999991</v>
      </c>
      <c r="D99" s="7">
        <f t="shared" si="41"/>
        <v>3640.4999999999995</v>
      </c>
      <c r="E99" s="7">
        <f t="shared" si="41"/>
        <v>3643.2499999999991</v>
      </c>
      <c r="F99" s="7">
        <f t="shared" si="41"/>
        <v>3645.9999999999995</v>
      </c>
      <c r="G99" s="7">
        <f t="shared" si="41"/>
        <v>3648.7499999999991</v>
      </c>
      <c r="H99" s="7">
        <f t="shared" si="41"/>
        <v>3651.4999999999995</v>
      </c>
      <c r="I99" s="7">
        <f t="shared" si="41"/>
        <v>3654.2499999999986</v>
      </c>
      <c r="J99" s="7">
        <f t="shared" si="41"/>
        <v>3656.9999999999982</v>
      </c>
      <c r="K99" s="7">
        <f t="shared" si="41"/>
        <v>3659.7499999999982</v>
      </c>
      <c r="L99" s="7">
        <f t="shared" si="41"/>
        <v>3662.4999999999977</v>
      </c>
      <c r="M99" s="7">
        <f t="shared" si="41"/>
        <v>3665.2499999999977</v>
      </c>
      <c r="N99" s="7">
        <f>N11+N21+N31+N40+N49+N59+N69+N79+N89</f>
        <v>3668.9166666666665</v>
      </c>
    </row>
    <row r="100" spans="1:14" x14ac:dyDescent="0.25">
      <c r="A100" s="8" t="s">
        <v>4</v>
      </c>
      <c r="B100" s="7">
        <f t="shared" si="41"/>
        <v>3633.5291666666667</v>
      </c>
      <c r="C100" s="7">
        <f t="shared" si="41"/>
        <v>3636.2791666666662</v>
      </c>
      <c r="D100" s="7">
        <f t="shared" si="41"/>
        <v>3639.0291666666662</v>
      </c>
      <c r="E100" s="7">
        <f t="shared" si="41"/>
        <v>3641.7791666666667</v>
      </c>
      <c r="F100" s="7">
        <f t="shared" si="41"/>
        <v>3644.5291666666658</v>
      </c>
      <c r="G100" s="7">
        <f t="shared" si="41"/>
        <v>3647.2791666666658</v>
      </c>
      <c r="H100" s="7">
        <f t="shared" si="41"/>
        <v>3650.0291666666653</v>
      </c>
      <c r="I100" s="7">
        <f t="shared" si="41"/>
        <v>3652.7791666666658</v>
      </c>
      <c r="J100" s="7">
        <f t="shared" si="41"/>
        <v>3655.5291666666653</v>
      </c>
      <c r="K100" s="7">
        <f t="shared" si="41"/>
        <v>3658.2791666666644</v>
      </c>
      <c r="L100" s="7">
        <f t="shared" si="41"/>
        <v>3661.0291666666644</v>
      </c>
      <c r="M100" s="7">
        <f t="shared" si="41"/>
        <v>3663.7791666666649</v>
      </c>
      <c r="N100" s="7">
        <f>N90+N80+N70+N60+N50+N41+N32+N22+N12+2</f>
        <v>3652.336666666667</v>
      </c>
    </row>
    <row r="101" spans="1:14" x14ac:dyDescent="0.25">
      <c r="A101" s="8" t="s">
        <v>5</v>
      </c>
      <c r="B101" s="7">
        <v>1801.7349105340986</v>
      </c>
      <c r="C101" s="7">
        <v>1796.7724923928602</v>
      </c>
      <c r="D101" s="7">
        <v>1787.8570377937485</v>
      </c>
      <c r="E101" s="7">
        <v>1445.5206506280738</v>
      </c>
      <c r="F101" s="7">
        <v>1445.795747979897</v>
      </c>
      <c r="G101" s="7">
        <v>1448.5189852445249</v>
      </c>
      <c r="H101" s="7">
        <v>1072.1196068806178</v>
      </c>
      <c r="I101" s="7">
        <v>1075.9620655810897</v>
      </c>
      <c r="J101" s="7">
        <v>1075.9360016469441</v>
      </c>
      <c r="K101" s="7">
        <v>1346.1283156137708</v>
      </c>
      <c r="L101" s="7">
        <v>1344.5095427528056</v>
      </c>
      <c r="M101" s="7">
        <v>1340.3195197129889</v>
      </c>
      <c r="N101" s="7">
        <v>16975.432907939674</v>
      </c>
    </row>
    <row r="102" spans="1:14" x14ac:dyDescent="0.25">
      <c r="A102" s="8" t="s">
        <v>6</v>
      </c>
      <c r="B102" s="7">
        <f>B103-B101</f>
        <v>17.969601067741905</v>
      </c>
      <c r="C102" s="7">
        <f t="shared" ref="C102:L102" si="42">C103-C101</f>
        <v>17.948595652465656</v>
      </c>
      <c r="D102" s="7">
        <f t="shared" si="42"/>
        <v>17.66449490625746</v>
      </c>
      <c r="E102" s="7">
        <f t="shared" si="42"/>
        <v>13.501468010134204</v>
      </c>
      <c r="F102" s="7">
        <f t="shared" si="42"/>
        <v>13.473052829766402</v>
      </c>
      <c r="G102" s="7">
        <f t="shared" si="42"/>
        <v>13.328188291654442</v>
      </c>
      <c r="H102" s="7">
        <f t="shared" si="42"/>
        <v>10.449695697534025</v>
      </c>
      <c r="I102" s="7">
        <f t="shared" si="42"/>
        <v>10.526866635575516</v>
      </c>
      <c r="J102" s="7">
        <f t="shared" si="42"/>
        <v>10.635285245735531</v>
      </c>
      <c r="K102" s="7">
        <f t="shared" si="42"/>
        <v>12.959627735624053</v>
      </c>
      <c r="L102" s="7">
        <f t="shared" si="42"/>
        <v>12.940618841597143</v>
      </c>
      <c r="M102" s="7">
        <f>M103-M101</f>
        <v>20.988751048407494</v>
      </c>
      <c r="N102" s="7">
        <f>N103-N101</f>
        <v>154.94395927431469</v>
      </c>
    </row>
    <row r="103" spans="1:14" x14ac:dyDescent="0.25">
      <c r="A103" s="8" t="s">
        <v>7</v>
      </c>
      <c r="B103" s="7">
        <f>B104/B100</f>
        <v>1819.7045116018405</v>
      </c>
      <c r="C103" s="7">
        <f t="shared" ref="C103:L103" si="43">C104/C100</f>
        <v>1814.7210880453258</v>
      </c>
      <c r="D103" s="7">
        <f t="shared" si="43"/>
        <v>1805.521532700006</v>
      </c>
      <c r="E103" s="7">
        <f t="shared" si="43"/>
        <v>1459.022118638208</v>
      </c>
      <c r="F103" s="7">
        <f t="shared" si="43"/>
        <v>1459.2688008096634</v>
      </c>
      <c r="G103" s="7">
        <f t="shared" si="43"/>
        <v>1461.8471735361793</v>
      </c>
      <c r="H103" s="7">
        <f t="shared" si="43"/>
        <v>1082.5693025781518</v>
      </c>
      <c r="I103" s="7">
        <f t="shared" si="43"/>
        <v>1086.4889322166653</v>
      </c>
      <c r="J103" s="7">
        <f t="shared" si="43"/>
        <v>1086.5712868926796</v>
      </c>
      <c r="K103" s="7">
        <f t="shared" si="43"/>
        <v>1359.0879433493949</v>
      </c>
      <c r="L103" s="7">
        <f t="shared" si="43"/>
        <v>1357.4501615944027</v>
      </c>
      <c r="M103" s="7">
        <f>M104/M100</f>
        <v>1361.3082707613964</v>
      </c>
      <c r="N103" s="7">
        <f>N104/N100</f>
        <v>17130.376867213989</v>
      </c>
    </row>
    <row r="104" spans="1:14" x14ac:dyDescent="0.25">
      <c r="A104" s="5" t="s">
        <v>8</v>
      </c>
      <c r="B104" s="9">
        <f t="shared" ref="B104:L104" si="44">B16+B26+B36+B45+B54+B64+B74+B84+B94</f>
        <v>6611949.417620209</v>
      </c>
      <c r="C104" s="9">
        <f t="shared" si="44"/>
        <v>6598832.4857698828</v>
      </c>
      <c r="D104" s="9">
        <f t="shared" si="44"/>
        <v>6570345.5185400248</v>
      </c>
      <c r="E104" s="9">
        <f t="shared" si="44"/>
        <v>5313436.355362488</v>
      </c>
      <c r="F104" s="9">
        <f t="shared" si="44"/>
        <v>5318347.7065575076</v>
      </c>
      <c r="G104" s="9">
        <f t="shared" si="44"/>
        <v>5331764.7408890566</v>
      </c>
      <c r="H104" s="9">
        <f t="shared" si="44"/>
        <v>3951409.5293482444</v>
      </c>
      <c r="I104" s="9">
        <f t="shared" si="44"/>
        <v>3968704.1364149461</v>
      </c>
      <c r="J104" s="9">
        <f t="shared" si="44"/>
        <v>3971993.0308987233</v>
      </c>
      <c r="K104" s="9">
        <f t="shared" si="44"/>
        <v>4971923.1088229353</v>
      </c>
      <c r="L104" s="9">
        <f t="shared" si="44"/>
        <v>4969664.6338934852</v>
      </c>
      <c r="M104" s="9">
        <f>M16+M26+M36+M45+M54+M64+M74+M84+M94-3</f>
        <v>4987532.881826628</v>
      </c>
      <c r="N104" s="9">
        <f>SUM(B104:M104)</f>
        <v>62565903.545944124</v>
      </c>
    </row>
    <row r="105" spans="1:14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</sheetData>
  <mergeCells count="4">
    <mergeCell ref="A3:N3"/>
    <mergeCell ref="A4:N4"/>
    <mergeCell ref="B6:N6"/>
    <mergeCell ref="A2:N2"/>
  </mergeCells>
  <pageMargins left="0.7" right="0.7" top="0.75" bottom="0.75" header="0.3" footer="0.3"/>
  <pageSetup scale="68" fitToHeight="0" orientation="landscape" r:id="rId1"/>
  <rowBreaks count="1" manualBreakCount="1">
    <brk id="8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45DBF087-8991-4482-AAB9-D4EC3C878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C7389-1A35-4ED8-BF74-A0AD366C2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060B5-B3D7-494C-BBFC-6578B4171A2D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ea909525-6dd5-47d7-9eed-71e77e5cedc6"/>
    <ds:schemaRef ds:uri="http://schemas.microsoft.com/office/infopath/2007/PartnerControls"/>
    <ds:schemaRef ds:uri="http://www.w3.org/XML/1998/namespace"/>
    <ds:schemaRef ds:uri="f9175001-c430-4d57-adde-c1c10539e919"/>
    <ds:schemaRef ds:uri="31a38067-a042-4e0e-9037-517587b10700"/>
    <ds:schemaRef ds:uri="http://schemas.openxmlformats.org/package/2006/metadata/core-properties"/>
    <ds:schemaRef ds:uri="f0af1d65-dfd0-4b99-b523-def3a9545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Sheet3</vt:lpstr>
      <vt:lpstr>Sheet2!Print_Area</vt:lpstr>
      <vt:lpstr>Sheet2!Print_Titles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Data for 2018 Load Forecast</dc:title>
  <dc:creator>Una O'Reilly</dc:creator>
  <cp:lastModifiedBy>NAPIERALA Christine</cp:lastModifiedBy>
  <cp:lastPrinted>2017-08-14T15:41:36Z</cp:lastPrinted>
  <dcterms:created xsi:type="dcterms:W3CDTF">2012-10-29T18:31:20Z</dcterms:created>
  <dcterms:modified xsi:type="dcterms:W3CDTF">2017-08-22T15:51:34Z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  <property fmtid="{D5CDD505-2E9C-101B-9397-08002B2CF9AE}" pid="3" name="Order">
    <vt:r8>525700</vt:r8>
  </property>
</Properties>
</file>